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11.xml" ContentType="application/vnd.openxmlformats-officedocument.drawing+xml"/>
  <Override PartName="/xl/comments8.xml" ContentType="application/vnd.openxmlformats-officedocument.spreadsheetml.comments+xml"/>
  <Override PartName="/xl/drawings/drawing12.xml" ContentType="application/vnd.openxmlformats-officedocument.drawing+xml"/>
  <Override PartName="/xl/comments9.xml" ContentType="application/vnd.openxmlformats-officedocument.spreadsheetml.comments+xml"/>
  <Override PartName="/xl/drawings/drawing13.xml" ContentType="application/vnd.openxmlformats-officedocument.drawing+xml"/>
  <Override PartName="/xl/comments10.xml" ContentType="application/vnd.openxmlformats-officedocument.spreadsheetml.comments+xml"/>
  <Override PartName="/xl/drawings/drawing14.xml" ContentType="application/vnd.openxmlformats-officedocument.drawing+xml"/>
  <Override PartName="/xl/comments11.xml" ContentType="application/vnd.openxmlformats-officedocument.spreadsheetml.comments+xml"/>
  <Override PartName="/xl/drawings/drawing15.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drawings/drawing16.xml" ContentType="application/vnd.openxmlformats-officedocument.drawing+xml"/>
  <Override PartName="/xl/charts/chart77.xml" ContentType="application/vnd.openxmlformats-officedocument.drawingml.chart+xml"/>
  <Override PartName="/xl/drawings/drawing17.xml" ContentType="application/vnd.openxmlformats-officedocument.drawing+xml"/>
  <Override PartName="/xl/comments12.xml" ContentType="application/vnd.openxmlformats-officedocument.spreadsheetml.comments+xml"/>
  <Override PartName="/xl/drawings/drawing18.xml" ContentType="application/vnd.openxmlformats-officedocument.drawing+xml"/>
  <Override PartName="/xl/comments13.xml" ContentType="application/vnd.openxmlformats-officedocument.spreadsheetml.comments+xml"/>
  <Override PartName="/xl/drawings/drawing19.xml" ContentType="application/vnd.openxmlformats-officedocument.drawing+xml"/>
  <Override PartName="/xl/comments14.xml" ContentType="application/vnd.openxmlformats-officedocument.spreadsheetml.comments+xml"/>
  <Override PartName="/xl/drawings/drawing20.xml" ContentType="application/vnd.openxmlformats-officedocument.drawing+xml"/>
  <Override PartName="/xl/comments15.xml" ContentType="application/vnd.openxmlformats-officedocument.spreadsheetml.comments+xml"/>
  <Override PartName="/xl/drawings/drawing21.xml" ContentType="application/vnd.openxmlformats-officedocument.drawing+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drawings/drawing22.xml" ContentType="application/vnd.openxmlformats-officedocument.drawing+xml"/>
  <Override PartName="/xl/comments16.xml" ContentType="application/vnd.openxmlformats-officedocument.spreadsheetml.comments+xml"/>
  <Override PartName="/xl/drawings/drawing23.xml" ContentType="application/vnd.openxmlformats-officedocument.drawing+xml"/>
  <Override PartName="/xl/comments17.xml" ContentType="application/vnd.openxmlformats-officedocument.spreadsheetml.comments+xml"/>
  <Override PartName="/xl/drawings/drawing24.xml" ContentType="application/vnd.openxmlformats-officedocument.drawing+xml"/>
  <Override PartName="/xl/drawings/drawing25.xml" ContentType="application/vnd.openxmlformats-officedocument.drawing+xml"/>
  <Override PartName="/xl/charts/chart100.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presupuesto - Gastos" sheetId="2" r:id="rId6"/>
    <sheet name="presupuesto - Table 2" sheetId="3" r:id="rId7"/>
    <sheet name="presupuesto - Table 1" sheetId="4" r:id="rId8"/>
    <sheet name="presupuesto - Table 3" sheetId="5" r:id="rId9"/>
    <sheet name="presupuesto - Ingreso líquido" sheetId="6" r:id="rId10"/>
    <sheet name="presupuesto - Capacidad ahorro" sheetId="7" r:id="rId11"/>
    <sheet name="presupuesto - APV - simulación " sheetId="8" r:id="rId12"/>
    <sheet name="presupuesto - apv - rebaja impu" sheetId="9" r:id="rId13"/>
    <sheet name="flujos - Gasto mes actual" sheetId="10" r:id="rId14"/>
    <sheet name="flujos - Table 1-3" sheetId="11" r:id="rId15"/>
    <sheet name="flujos - Table 1-2" sheetId="12" r:id="rId16"/>
    <sheet name="flujos - Table 1-4" sheetId="13" r:id="rId17"/>
    <sheet name="flujos - Table 3-1-1" sheetId="14" r:id="rId18"/>
    <sheet name="flujos - Table 3-1-1-1" sheetId="15" r:id="rId19"/>
    <sheet name="flujos - Table 3-1" sheetId="16" r:id="rId20"/>
    <sheet name="flujos - Totales" sheetId="17" r:id="rId21"/>
    <sheet name="flujos - Table 2-1" sheetId="18" r:id="rId22"/>
    <sheet name="flujos - Table 3-2" sheetId="19" r:id="rId23"/>
    <sheet name="flujos - Gasto mensual" sheetId="20" r:id="rId24"/>
    <sheet name="flujos - Table 1" sheetId="21" r:id="rId25"/>
    <sheet name="flujos - Table 1-1" sheetId="22" r:id="rId26"/>
    <sheet name="flujos - Table 1-1-1" sheetId="23" r:id="rId27"/>
    <sheet name="flujos - Table 3" sheetId="24" r:id="rId28"/>
    <sheet name="flujos - Table 2" sheetId="25" r:id="rId29"/>
    <sheet name="flujos - Table 3-3" sheetId="26" r:id="rId30"/>
    <sheet name="flujos - Table 3-3-1" sheetId="27" r:id="rId31"/>
    <sheet name="flujos - Drawings" sheetId="28" r:id="rId32"/>
    <sheet name="anual - Table 1-1" sheetId="29" r:id="rId33"/>
    <sheet name="net worth - Table 2" sheetId="30" r:id="rId34"/>
    <sheet name="net worth - dap-1" sheetId="31" r:id="rId35"/>
    <sheet name="net worth - net worth" sheetId="32" r:id="rId36"/>
    <sheet name="net worth - cash" sheetId="33" r:id="rId37"/>
    <sheet name="net worth - balances" sheetId="34" r:id="rId38"/>
    <sheet name="net worth - Table 1" sheetId="35" r:id="rId39"/>
    <sheet name="net worth - resumen | depósitos" sheetId="36" r:id="rId40"/>
    <sheet name="net worth - retiro" sheetId="37" r:id="rId41"/>
    <sheet name="net worth - brokerage" sheetId="38" r:id="rId42"/>
    <sheet name="net worth - cash and cash equiv" sheetId="39" r:id="rId43"/>
    <sheet name="net worth - criptomonedas" sheetId="40" r:id="rId44"/>
    <sheet name="net worth - Aporte APV" sheetId="41" r:id="rId45"/>
    <sheet name="net worth - stocks" sheetId="42" r:id="rId46"/>
    <sheet name="net worth - Table 1-1" sheetId="43" r:id="rId47"/>
    <sheet name="net worth - Table 1-2" sheetId="44" r:id="rId48"/>
    <sheet name="net worth - Table 1-2-1" sheetId="45" r:id="rId49"/>
    <sheet name="net worth - dap" sheetId="46" r:id="rId50"/>
    <sheet name="net worth - Table 1-3" sheetId="47" r:id="rId51"/>
    <sheet name="net worth - Drawings" sheetId="48" r:id="rId52"/>
    <sheet name="depto - Departamento" sheetId="49" r:id="rId53"/>
    <sheet name="depto - Table 3" sheetId="50" r:id="rId54"/>
    <sheet name="depto - Gastos-1" sheetId="51" r:id="rId55"/>
    <sheet name="depto - Table 5-2-1" sheetId="52" r:id="rId56"/>
    <sheet name="depto - Table 6" sheetId="53" r:id="rId57"/>
    <sheet name="depto - Table 1" sheetId="54" r:id="rId58"/>
    <sheet name="depto - Table 1-1" sheetId="55" r:id="rId59"/>
    <sheet name="depto - Table 2" sheetId="56" r:id="rId60"/>
    <sheet name="depto - Table 2-1" sheetId="57" r:id="rId61"/>
    <sheet name="depto - Table 7" sheetId="58" r:id="rId62"/>
    <sheet name="depto - Table 3-3-1" sheetId="59" r:id="rId63"/>
    <sheet name="depto - Table 5" sheetId="60" r:id="rId64"/>
    <sheet name="depto - Gastos" sheetId="61" r:id="rId65"/>
    <sheet name="depto - Table 5-1" sheetId="62" r:id="rId66"/>
    <sheet name="depto - Table 4-1" sheetId="63" r:id="rId67"/>
    <sheet name="depto - Table 1-2" sheetId="64" r:id="rId68"/>
    <sheet name="depto - dividendos" sheetId="65" r:id="rId69"/>
    <sheet name="depto - dividendos-1" sheetId="66" r:id="rId70"/>
    <sheet name="depto - Drawings" sheetId="67" r:id="rId71"/>
    <sheet name="variables - Table 1" sheetId="68" r:id="rId72"/>
    <sheet name="variables - Table 1-1" sheetId="69" r:id="rId73"/>
    <sheet name="variables - Table 2" sheetId="70" r:id="rId74"/>
    <sheet name="variables - Table 1-4" sheetId="71" r:id="rId75"/>
    <sheet name="variables - Table 3" sheetId="72" r:id="rId76"/>
    <sheet name="variables - Drawings" sheetId="73" r:id="rId77"/>
    <sheet name="cripto - Fees" sheetId="74" r:id="rId78"/>
    <sheet name="cripto - Bitcoin – BTC" sheetId="75" r:id="rId79"/>
    <sheet name="cripto - Ether – ETH" sheetId="76" r:id="rId80"/>
    <sheet name="watchlist - anime" sheetId="77" r:id="rId81"/>
    <sheet name="watchlist - Movies" sheetId="78" r:id="rId82"/>
    <sheet name="watchlist - dramas" sheetId="79" r:id="rId83"/>
    <sheet name="watchlist - dramedies" sheetId="80" r:id="rId84"/>
    <sheet name="watchlist - sitcoms" sheetId="81" r:id="rId85"/>
    <sheet name="watchlist - Games" sheetId="82" r:id="rId86"/>
    <sheet name="watchlist - accion" sheetId="83" r:id="rId87"/>
    <sheet name="watchlist - animacion" sheetId="84" r:id="rId88"/>
    <sheet name="tracking - Table 2-1-2-1" sheetId="85" r:id="rId89"/>
    <sheet name="tracking - Table 4" sheetId="86" r:id="rId90"/>
    <sheet name="tracking - Table 1" sheetId="87" r:id="rId91"/>
    <sheet name="tracking - Days since last-1" sheetId="88" r:id="rId92"/>
    <sheet name="tracking - Trackers" sheetId="89" r:id="rId93"/>
    <sheet name="tracking - Table 1-2" sheetId="90" r:id="rId94"/>
    <sheet name="tracking - Table 2-1" sheetId="91" r:id="rId95"/>
    <sheet name="tracking - Table 2-1-2" sheetId="92" r:id="rId96"/>
    <sheet name="tracking - Table 1-1" sheetId="93" r:id="rId97"/>
    <sheet name="tracking - Deudas" sheetId="94" r:id="rId98"/>
    <sheet name="tracking - Table 3-1" sheetId="95" r:id="rId99"/>
    <sheet name="tracking - Table 2" sheetId="96" r:id="rId100"/>
    <sheet name="tracking - Table 3" sheetId="97" r:id="rId101"/>
    <sheet name="tracking - Table 3-1-1" sheetId="98" r:id="rId102"/>
    <sheet name="tracking - Table 3-1-1-1-1" sheetId="99" r:id="rId103"/>
    <sheet name="tracking - Table 2-1-1" sheetId="100" r:id="rId104"/>
    <sheet name="tracking - Table 2-1-1-1" sheetId="101" r:id="rId105"/>
    <sheet name="tracking - Drawings" sheetId="102" r:id="rId106"/>
    <sheet name="Trees - Table 1" sheetId="103" r:id="rId107"/>
    <sheet name="Trees - Table 1-1" sheetId="104" r:id="rId108"/>
    <sheet name="Trees - Table 1-1-1" sheetId="105" r:id="rId109"/>
    <sheet name="Trees - Table 3" sheetId="106" r:id="rId110"/>
    <sheet name="Trees - Table 3-1" sheetId="107" r:id="rId111"/>
    <sheet name="Trees - Table 4" sheetId="108" r:id="rId112"/>
    <sheet name="Trees - Table 2" sheetId="109" r:id="rId113"/>
    <sheet name="Trees - Table 5" sheetId="110" r:id="rId114"/>
    <sheet name="Trees - Table 3-1-1" sheetId="111" r:id="rId115"/>
    <sheet name="Sheet 3" sheetId="112" r:id="rId116"/>
    <sheet name="comida - Table 2" sheetId="113" r:id="rId117"/>
    <sheet name="comida - Table 2-1" sheetId="114" r:id="rId118"/>
    <sheet name="comida - Table 2-1-1" sheetId="115" r:id="rId119"/>
    <sheet name="comida - Table 2-1-2" sheetId="116" r:id="rId120"/>
    <sheet name="comida - Eat" sheetId="117" r:id="rId121"/>
    <sheet name="comida - Table 1" sheetId="118" r:id="rId122"/>
    <sheet name="comida - Drawings" sheetId="119" r:id="rId123"/>
    <sheet name="auto - Depreciación auto" sheetId="120" r:id="rId124"/>
    <sheet name="auto - Table 1-1" sheetId="121" r:id="rId125"/>
    <sheet name="auto - Mantenciones" sheetId="122" r:id="rId126"/>
    <sheet name="auto - Table 3" sheetId="123" r:id="rId127"/>
    <sheet name="auto - Table 2" sheetId="124" r:id="rId128"/>
    <sheet name="auto - Drawings" sheetId="125" r:id="rId129"/>
    <sheet name="Precios - Farmacia" sheetId="126" r:id="rId130"/>
    <sheet name="Sheet 2" sheetId="127" r:id="rId131"/>
    <sheet name="Regalos" sheetId="128" r:id="rId132"/>
    <sheet name="Sheet 1" sheetId="129" r:id="rId133"/>
  </sheets>
</workbook>
</file>

<file path=xl/comments1.xml><?xml version="1.0" encoding="utf-8"?>
<comments xmlns="http://schemas.openxmlformats.org/spreadsheetml/2006/main">
  <authors>
    <author>Cristian Fraser</author>
  </authors>
  <commentList>
    <comment ref="A2" authorId="0">
      <text>
        <r>
          <rPr>
            <sz val="11"/>
            <color indexed="8"/>
            <rFont val="Helvetica"/>
          </rPr>
          <t>Cristian Fraser:
2 pantallas + HD
Tarjeta papá vence 6/20 (junio 2020)</t>
        </r>
      </text>
    </comment>
    <comment ref="A3" authorId="0">
      <text>
        <r>
          <rPr>
            <sz val="11"/>
            <color indexed="8"/>
            <rFont val="Helvetica"/>
          </rPr>
          <t>Cristian Fraser:
Hasta diciembre 2018 suscripción estudiante</t>
        </r>
      </text>
    </comment>
    <comment ref="A4" authorId="0">
      <text>
        <r>
          <rPr>
            <sz val="11"/>
            <color indexed="8"/>
            <rFont val="Helvetica"/>
          </rPr>
          <t>Cristian Fraser:
50 GB Storage Plan</t>
        </r>
      </text>
    </comment>
  </commentList>
</comments>
</file>

<file path=xl/comments2.xml><?xml version="1.0" encoding="utf-8"?>
<comments xmlns="http://schemas.openxmlformats.org/spreadsheetml/2006/main">
  <authors>
    <author>Cristian Fraser</author>
  </authors>
  <commentList>
    <comment ref="A3" authorId="0">
      <text>
        <r>
          <rPr>
            <sz val="11"/>
            <color indexed="8"/>
            <rFont val="Helvetica"/>
          </rPr>
          <t>Cristian Fraser:
- 2.6GHz Dual-Core Intel Core i5 (Turbo Boost up to 3.1GHz)
- 16GB 1600MHz LPDDR3 SDRAM
- 1TB Fusion Drive
- Magic Keyboard - Spanish
- Magic Trackpad 2</t>
        </r>
      </text>
    </comment>
  </commentList>
</comments>
</file>

<file path=xl/comments3.xml><?xml version="1.0" encoding="utf-8"?>
<comments xmlns="http://schemas.openxmlformats.org/spreadsheetml/2006/main">
  <authors>
    <author>Cristian Fraser</author>
  </authors>
  <commentList>
    <comment ref="D19" authorId="0">
      <text>
        <r>
          <rPr>
            <sz val="11"/>
            <color indexed="8"/>
            <rFont val="Helvetica"/>
          </rPr>
          <t xml:space="preserve">Cristian Fraser:
tiene que ser menor que 7%
</t>
        </r>
      </text>
    </comment>
    <comment ref="D22" authorId="0">
      <text>
        <r>
          <rPr>
            <sz val="11"/>
            <color indexed="8"/>
            <rFont val="Helvetica"/>
          </rPr>
          <t xml:space="preserve">Cristian Fraser:
meses de isapre que cubre un año de excedentes
</t>
        </r>
      </text>
    </comment>
  </commentList>
</comments>
</file>

<file path=xl/comments4.xml><?xml version="1.0" encoding="utf-8"?>
<comments xmlns="http://schemas.openxmlformats.org/spreadsheetml/2006/main">
  <authors>
    <author>Cristian Fraser</author>
  </authors>
  <commentList>
    <comment ref="A2" authorId="0">
      <text>
        <r>
          <rPr>
            <sz val="11"/>
            <color indexed="8"/>
            <rFont val="Helvetica"/>
          </rPr>
          <t>Cristian Fraser:
- Deuda pagada (por adelantado)
- Gasto que no es deuda (una cuenta que no es mía, pero contabilizo)</t>
        </r>
      </text>
    </comment>
  </commentList>
</comments>
</file>

<file path=xl/comments5.xml><?xml version="1.0" encoding="utf-8"?>
<comments xmlns="http://schemas.openxmlformats.org/spreadsheetml/2006/main">
  <authors>
    <author>Cristian Fraser</author>
  </authors>
  <commentList>
    <comment ref="A8" authorId="0">
      <text>
        <r>
          <rPr>
            <sz val="11"/>
            <color indexed="8"/>
            <rFont val="Helvetica"/>
          </rPr>
          <t xml:space="preserve">Cristian Fraser:
top 0,8% chile (2018)
</t>
        </r>
      </text>
    </comment>
    <comment ref="A10" authorId="0">
      <text>
        <r>
          <rPr>
            <sz val="11"/>
            <color indexed="8"/>
            <rFont val="Helvetica"/>
          </rPr>
          <t xml:space="preserve">Cristian Fraser:
top 0,8% chile (2025) (480-520k usd)
top 1% chile incluyendo propiedades (2025)
mmm.. ya no se, lo de arriba dice gemini,
pero claude dice:
top 0,8% chile (2025) (300k usd - parecido en dolares, en pesos subio mucho mas)
top 1% chile incluyendo propiedades (2025): 400k
</t>
        </r>
      </text>
    </comment>
  </commentList>
</comments>
</file>

<file path=xl/comments6.xml><?xml version="1.0" encoding="utf-8"?>
<comments xmlns="http://schemas.openxmlformats.org/spreadsheetml/2006/main">
  <authors>
    <author>Cristian Fraser</author>
  </authors>
  <commentList>
    <comment ref="B2" authorId="0">
      <text>
        <r>
          <rPr>
            <sz val="11"/>
            <color indexed="8"/>
            <rFont val="Helvetica"/>
          </rPr>
          <t>Cristian Fraser:
necesito efectivo en la cuenta para:
- estacionamiento / 50k
- gastos comunes / 90k
- cuenta corriente / 25k
= 165k</t>
        </r>
      </text>
    </comment>
  </commentList>
</comments>
</file>

<file path=xl/comments7.xml><?xml version="1.0" encoding="utf-8"?>
<comments xmlns="http://schemas.openxmlformats.org/spreadsheetml/2006/main">
  <authors>
    <author>Cristian Fraser</author>
  </authors>
  <commentList>
    <comment ref="D38" authorId="0">
      <text>
        <r>
          <rPr>
            <sz val="11"/>
            <color indexed="8"/>
            <rFont val="Helvetica"/>
          </rPr>
          <t>Cristian Fraser:
120 USD producto
+ 120 USD shipping
+ 100.000 CLP impuesto
= 318.000 CLP</t>
        </r>
      </text>
    </comment>
  </commentList>
</comments>
</file>

<file path=xl/comments8.xml><?xml version="1.0" encoding="utf-8"?>
<comments xmlns="http://schemas.openxmlformats.org/spreadsheetml/2006/main">
  <authors>
    <author>Cristian Fraser</author>
  </authors>
  <commentList>
    <comment ref="A6" authorId="0">
      <text>
        <r>
          <rPr>
            <sz val="11"/>
            <color indexed="8"/>
            <rFont val="Helvetica"/>
          </rPr>
          <t>Cristian Fraser:
https://www.samsung.com/cl/washers-and-dryers/washing-machines/ww5100t-front-loading-eco-bubble-ai-control-hygiene-steam-12-5kg-white-ww12t504dce-zs/#specs</t>
        </r>
      </text>
    </comment>
    <comment ref="G18" authorId="0">
      <text>
        <r>
          <rPr>
            <sz val="11"/>
            <color indexed="8"/>
            <rFont val="Helvetica"/>
          </rPr>
          <t xml:space="preserve">Cristian Fraser:
https://www.tienda.junkers.cl/MLC-542370005-calefon-tiro-forzado-hydrowind-plus-junkers-10-lts-gn-_JM
</t>
        </r>
      </text>
    </comment>
    <comment ref="G19" authorId="0">
      <text>
        <r>
          <rPr>
            <sz val="11"/>
            <color indexed="8"/>
            <rFont val="Helvetica"/>
          </rPr>
          <t>Cristian Fraser:
https://www.tienda.junkers.cl/MLC-625817808-calefon-tiro-forzado-junkers-10-litros-gas-natural-wd-10-kme-_JM?searchVariation=92485264810#polycard_client=search-nordic-mshops&amp;searchVariation=92485264810&amp;position=1&amp;search_layout=stack&amp;type=item&amp;tracking_id=b63e0e42-b700-435f-8e1a-bbda10e68e07</t>
        </r>
      </text>
    </comment>
    <comment ref="B24" authorId="0">
      <text>
        <r>
          <rPr>
            <sz val="11"/>
            <color indexed="8"/>
            <rFont val="Helvetica"/>
          </rPr>
          <t>Cristian Fraser:
https://kitchenhouse.cl/collections/encimeras/products/encimera-pgh6b5b60-inox-bosch</t>
        </r>
      </text>
    </comment>
    <comment ref="C24" authorId="0">
      <text>
        <r>
          <rPr>
            <sz val="11"/>
            <color indexed="8"/>
            <rFont val="Helvetica"/>
          </rPr>
          <t>Cristian Fraser:
https://cdn.shopify.com/s/files/1/0035/7695/4978/files/Ficha_comercial_-_PGH6B5B60.pdf</t>
        </r>
      </text>
    </comment>
  </commentList>
</comments>
</file>

<file path=xl/comments9.xml><?xml version="1.0" encoding="utf-8"?>
<comments xmlns="http://schemas.openxmlformats.org/spreadsheetml/2006/main">
  <authors>
    <author>Cristian Fraser</author>
  </authors>
  <commentList>
    <comment ref="B2" authorId="0">
      <text>
        <r>
          <rPr>
            <sz val="11"/>
            <color indexed="8"/>
            <rFont val="Helvetica"/>
          </rPr>
          <t xml:space="preserve">Cristian Fraser:
https://docs.google.com/spreadsheets/d/1nxVO1Vo218TRAySV9iN3oNFzY1bvypEI/edit </t>
        </r>
      </text>
    </comment>
  </commentList>
</comments>
</file>

<file path=xl/comments10.xml><?xml version="1.0" encoding="utf-8"?>
<comments xmlns="http://schemas.openxmlformats.org/spreadsheetml/2006/main">
  <authors>
    <author>Cristian Fraser</author>
  </authors>
  <commentList>
    <comment ref="C12" authorId="0">
      <text>
        <r>
          <rPr>
            <sz val="11"/>
            <color indexed="8"/>
            <rFont val="Helvetica"/>
          </rPr>
          <t xml:space="preserve">Cristian Fraser:
el 28-nov se vio reflejado en saldo
(9 dias hábiles se demoró)
</t>
        </r>
      </text>
    </comment>
    <comment ref="BG12" authorId="0">
      <text>
        <r>
          <rPr>
            <sz val="11"/>
            <color indexed="8"/>
            <rFont val="Helvetica"/>
          </rPr>
          <t>Cristian Fraser:
interés + comisión prepago</t>
        </r>
      </text>
    </comment>
    <comment ref="C13" authorId="0">
      <text>
        <r>
          <rPr>
            <sz val="11"/>
            <color indexed="8"/>
            <rFont val="Helvetica"/>
          </rPr>
          <t xml:space="preserve">Cristian Fraser:
pague 3043112
sale 3042268 en la pag
</t>
        </r>
      </text>
    </comment>
    <comment ref="BC14" authorId="0">
      <text>
        <r>
          <rPr>
            <sz val="11"/>
            <color indexed="8"/>
            <rFont val="Helvetica"/>
          </rPr>
          <t>Cristian Fraser:
+11 pesos por alguna razon</t>
        </r>
      </text>
    </comment>
    <comment ref="BC17" authorId="0">
      <text>
        <r>
          <rPr>
            <sz val="11"/>
            <color indexed="8"/>
            <rFont val="Helvetica"/>
          </rPr>
          <t xml:space="preserve">Cristian Fraser:
-778 pesos por alguna razon
</t>
        </r>
      </text>
    </comment>
    <comment ref="C30" authorId="0">
      <text>
        <r>
          <rPr>
            <sz val="11"/>
            <color indexed="8"/>
            <rFont val="Helvetica"/>
          </rPr>
          <t>Cristian Fraser:
1 semana - 5 dias habiles, 
deposite el martes, estuvo listo el miercoles de la siguiente semana</t>
        </r>
      </text>
    </comment>
  </commentList>
</comments>
</file>

<file path=xl/comments11.xml><?xml version="1.0" encoding="utf-8"?>
<comments xmlns="http://schemas.openxmlformats.org/spreadsheetml/2006/main">
  <authors>
    <author>Cristian Fraser</author>
  </authors>
  <commentList>
    <comment ref="C12" authorId="0">
      <text>
        <r>
          <rPr>
            <sz val="11"/>
            <color indexed="8"/>
            <rFont val="Helvetica"/>
          </rPr>
          <t xml:space="preserve">Cristian Fraser:
pague 3043112
sale 3042268 en la pag
</t>
        </r>
      </text>
    </comment>
    <comment ref="C28" authorId="0">
      <text>
        <r>
          <rPr>
            <sz val="11"/>
            <color indexed="8"/>
            <rFont val="Helvetica"/>
          </rPr>
          <t>Cristian Fraser:
1 semana - 5 dias habiles, 
deposite el martes, estuvo listo el miercoles de la siguiente semana</t>
        </r>
      </text>
    </comment>
  </commentList>
</comments>
</file>

<file path=xl/comments12.xml><?xml version="1.0" encoding="utf-8"?>
<comments xmlns="http://schemas.openxmlformats.org/spreadsheetml/2006/main">
  <authors>
    <author>Cristian Fraser</author>
  </authors>
  <commentList>
    <comment ref="A1" authorId="0">
      <text>
        <r>
          <rPr>
            <sz val="11"/>
            <color indexed="8"/>
            <rFont val="Helvetica"/>
          </rPr>
          <t>Cristian Fraser:
- ej</t>
        </r>
      </text>
    </comment>
    <comment ref="A2" authorId="0">
      <text>
        <r>
          <rPr>
            <sz val="11"/>
            <color indexed="8"/>
            <rFont val="Helvetica"/>
          </rPr>
          <t>Cristian Fraser:
- ej</t>
        </r>
      </text>
    </comment>
    <comment ref="A3" authorId="0">
      <text>
        <r>
          <rPr>
            <sz val="11"/>
            <color indexed="8"/>
            <rFont val="Helvetica"/>
          </rPr>
          <t>Cristian Fraser:
- ej</t>
        </r>
      </text>
    </comment>
    <comment ref="A4" authorId="0">
      <text>
        <r>
          <rPr>
            <sz val="11"/>
            <color indexed="8"/>
            <rFont val="Helvetica"/>
          </rPr>
          <t>Cristian Fraser:
- ej
22:40 — 37,3 ºC
22:44 — 37,5 ºC</t>
        </r>
      </text>
    </comment>
    <comment ref="A5" authorId="0">
      <text>
        <r>
          <rPr>
            <sz val="11"/>
            <color indexed="8"/>
            <rFont val="Helvetica"/>
          </rPr>
          <t>Cristian Fraser:
- ej
22:40 — 37,3 ºC
22:44 — 37,5 ºC</t>
        </r>
      </text>
    </comment>
  </commentList>
</comments>
</file>

<file path=xl/comments13.xml><?xml version="1.0" encoding="utf-8"?>
<comments xmlns="http://schemas.openxmlformats.org/spreadsheetml/2006/main">
  <authors>
    <author>Cristian Fraser</author>
  </authors>
  <commentList>
    <comment ref="D9" authorId="0">
      <text>
        <r>
          <rPr>
            <sz val="11"/>
            <color indexed="8"/>
            <rFont val="Helvetica"/>
          </rPr>
          <t>Cristian Fraser:
-igual piola</t>
        </r>
      </text>
    </comment>
    <comment ref="E20" authorId="0">
      <text>
        <r>
          <rPr>
            <sz val="11"/>
            <color indexed="8"/>
            <rFont val="Helvetica"/>
          </rPr>
          <t>Cristian Fraser:
-igual piola</t>
        </r>
      </text>
    </comment>
    <comment ref="D24" authorId="0">
      <text>
        <r>
          <rPr>
            <sz val="11"/>
            <color indexed="8"/>
            <rFont val="Helvetica"/>
          </rPr>
          <t>Cristian Fraser:
-igual piola</t>
        </r>
      </text>
    </comment>
  </commentList>
</comments>
</file>

<file path=xl/comments14.xml><?xml version="1.0" encoding="utf-8"?>
<comments xmlns="http://schemas.openxmlformats.org/spreadsheetml/2006/main">
  <authors>
    <author>Cristian Fraser</author>
  </authors>
  <commentList>
    <comment ref="B10" authorId="0">
      <text>
        <r>
          <rPr>
            <sz val="11"/>
            <color indexed="8"/>
            <rFont val="Helvetica"/>
          </rPr>
          <t>Cristian Fraser:
este podria ser dumbbells en vez de barbell</t>
        </r>
      </text>
    </comment>
  </commentList>
</comments>
</file>

<file path=xl/comments15.xml><?xml version="1.0" encoding="utf-8"?>
<comments xmlns="http://schemas.openxmlformats.org/spreadsheetml/2006/main">
  <authors>
    <author>Cristian Fraser</author>
  </authors>
  <commentList>
    <comment ref="J2" authorId="0">
      <text>
        <r>
          <rPr>
            <sz val="11"/>
            <color indexed="8"/>
            <rFont val="Helvetica"/>
          </rPr>
          <t>Cristian Fraser:
max reps at 95lbs, 135lbs, 185lbs or 225lbs</t>
        </r>
      </text>
    </comment>
  </commentList>
</comments>
</file>

<file path=xl/comments16.xml><?xml version="1.0" encoding="utf-8"?>
<comments xmlns="http://schemas.openxmlformats.org/spreadsheetml/2006/main">
  <authors>
    <author>Cristian Fraser</author>
  </authors>
  <commentList>
    <comment ref="I6" authorId="0">
      <text>
        <r>
          <rPr>
            <sz val="11"/>
            <color indexed="8"/>
            <rFont val="Helvetica"/>
          </rPr>
          <t>Cristian Fraser:
4 semanas</t>
        </r>
      </text>
    </comment>
    <comment ref="I10" authorId="0">
      <text>
        <r>
          <rPr>
            <sz val="11"/>
            <color indexed="8"/>
            <rFont val="Helvetica"/>
          </rPr>
          <t xml:space="preserve">Cristian Fraser:
8 semanas
</t>
        </r>
      </text>
    </comment>
  </commentList>
</comments>
</file>

<file path=xl/comments17.xml><?xml version="1.0" encoding="utf-8"?>
<comments xmlns="http://schemas.openxmlformats.org/spreadsheetml/2006/main">
  <authors>
    <author>Cristian Fraser</author>
  </authors>
  <commentList>
    <comment ref="I6" authorId="0">
      <text>
        <r>
          <rPr>
            <sz val="11"/>
            <color indexed="8"/>
            <rFont val="Helvetica"/>
          </rPr>
          <t>Cristian Fraser:
4 semanas</t>
        </r>
      </text>
    </comment>
    <comment ref="I10" authorId="0">
      <text>
        <r>
          <rPr>
            <sz val="11"/>
            <color indexed="8"/>
            <rFont val="Helvetica"/>
          </rPr>
          <t xml:space="preserve">Cristian Fraser:
8 semanas
</t>
        </r>
      </text>
    </comment>
    <comment ref="I12" authorId="0">
      <text>
        <r>
          <rPr>
            <sz val="11"/>
            <color indexed="8"/>
            <rFont val="Helvetica"/>
          </rPr>
          <t xml:space="preserve">Cristian Fraser:
10 semanas
</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<sst xmlns="http://schemas.openxmlformats.org/spreadsheetml/2006/main" uniqueCount="1894">
  <si>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</si>
  <si>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</si>
  <si>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</si>
  <si>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</si>
  <si>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presupuesto</t>
  </si>
  <si>
    <t>Gastos</t>
  </si>
  <si>
    <t>presupuesto - Gastos</t>
  </si>
  <si>
    <t>CLP</t>
  </si>
  <si>
    <t>Credito hipotecario</t>
  </si>
  <si>
    <t>Internet</t>
  </si>
  <si>
    <t>Arriendo</t>
  </si>
  <si>
    <t>-</t>
  </si>
  <si>
    <t>Agua</t>
  </si>
  <si>
    <t>Cuentas</t>
  </si>
  <si>
    <t>Luz</t>
  </si>
  <si>
    <t>Gas</t>
  </si>
  <si>
    <t>Supermercado</t>
  </si>
  <si>
    <t>Gastos comunes</t>
  </si>
  <si>
    <t>Estacionamiento</t>
  </si>
  <si>
    <t>Celular</t>
  </si>
  <si>
    <t>Bip</t>
  </si>
  <si>
    <t>Arriendo máximo</t>
  </si>
  <si>
    <t>Uber</t>
  </si>
  <si>
    <t>Suscripciones</t>
  </si>
  <si>
    <t>Gimnasio</t>
  </si>
  <si>
    <t>Sueldo liq ideal</t>
  </si>
  <si>
    <t>Salud</t>
  </si>
  <si>
    <t>Isapre</t>
  </si>
  <si>
    <t>Marzo auto</t>
  </si>
  <si>
    <t>Estacionar casual</t>
  </si>
  <si>
    <t>SOAP</t>
  </si>
  <si>
    <t>Mantencion</t>
  </si>
  <si>
    <t>Patente</t>
  </si>
  <si>
    <t>Bencina</t>
  </si>
  <si>
    <t>Revisión técnica</t>
  </si>
  <si>
    <t>Seguro auto</t>
  </si>
  <si>
    <t>Marzo / 12</t>
  </si>
  <si>
    <t>Por mes</t>
  </si>
  <si>
    <t>Tag</t>
  </si>
  <si>
    <t>take out</t>
  </si>
  <si>
    <t>Carrete</t>
  </si>
  <si>
    <t>Fun</t>
  </si>
  <si>
    <t>Drugs</t>
  </si>
  <si>
    <t>Limpieza</t>
  </si>
  <si>
    <t>Lavanderia</t>
  </si>
  <si>
    <t>Shit</t>
  </si>
  <si>
    <t>Gasto mensual</t>
  </si>
  <si>
    <t>Gasto anual</t>
  </si>
  <si>
    <t>Ahorro anual</t>
  </si>
  <si>
    <t>Disponible</t>
  </si>
  <si>
    <t>Disponible liq</t>
  </si>
  <si>
    <t>Tasa de ahorro</t>
  </si>
  <si>
    <t>Table 2</t>
  </si>
  <si>
    <t>presupuesto - Table 2</t>
  </si>
  <si>
    <t>Netflix</t>
  </si>
  <si>
    <t>Apple Music</t>
  </si>
  <si>
    <t>iCloud</t>
  </si>
  <si>
    <t>apple tv+</t>
  </si>
  <si>
    <t>paramount+</t>
  </si>
  <si>
    <t>uber one</t>
  </si>
  <si>
    <t>1password</t>
  </si>
  <si>
    <t>Table 1</t>
  </si>
  <si>
    <t>presupuesto - Table 1</t>
  </si>
  <si>
    <t>Wishlist</t>
  </si>
  <si>
    <t>Chile</t>
  </si>
  <si>
    <t>Diferencia</t>
  </si>
  <si>
    <t>iPhone SE2 128 GB</t>
  </si>
  <si>
    <t>Mac Mini</t>
  </si>
  <si>
    <t>Volcano digital</t>
  </si>
  <si>
    <t>Pax 3</t>
  </si>
  <si>
    <t>MFLB</t>
  </si>
  <si>
    <t>Bongs</t>
  </si>
  <si>
    <t>DaVinci IQ</t>
  </si>
  <si>
    <t>Barbour Ashby Waxed Jacket</t>
  </si>
  <si>
    <t>Escritorio</t>
  </si>
  <si>
    <t>Silla</t>
  </si>
  <si>
    <t>Pantalla</t>
  </si>
  <si>
    <t>Repuestos PC</t>
  </si>
  <si>
    <t>tv</t>
  </si>
  <si>
    <t>Sony 1000XM3</t>
  </si>
  <si>
    <t>Table 3</t>
  </si>
  <si>
    <t>presupuesto - Table 3</t>
  </si>
  <si>
    <t>Ahorro</t>
  </si>
  <si>
    <t>Mensual</t>
  </si>
  <si>
    <t>Anual</t>
  </si>
  <si>
    <t>Fintual</t>
  </si>
  <si>
    <t>AFP</t>
  </si>
  <si>
    <t>APV - a</t>
  </si>
  <si>
    <t>APV - b</t>
  </si>
  <si>
    <t>Ahorro vivienda</t>
  </si>
  <si>
    <t>Sobra</t>
  </si>
  <si>
    <t>Ingreso líquido</t>
  </si>
  <si>
    <t>presupuesto - Ingreso líquido</t>
  </si>
  <si>
    <t>Sueldo base</t>
  </si>
  <si>
    <t>sueldo min × 4,75÷12</t>
  </si>
  <si>
    <t>Tope 2026</t>
  </si>
  <si>
    <t>Gratificación</t>
  </si>
  <si>
    <t>previsional</t>
  </si>
  <si>
    <t>Movilización</t>
  </si>
  <si>
    <t>cesantía</t>
  </si>
  <si>
    <t>Colación</t>
  </si>
  <si>
    <t>Total sueldo bruto</t>
  </si>
  <si>
    <t>Sueldo imponible</t>
  </si>
  <si>
    <t>Base imponible</t>
  </si>
  <si>
    <t>Anual AFP</t>
  </si>
  <si>
    <t>Comision</t>
  </si>
  <si>
    <t>Comisión AFP</t>
  </si>
  <si>
    <t>AFP depositado</t>
  </si>
  <si>
    <t>Previsión 7%</t>
  </si>
  <si>
    <t>Seguro de cesantía</t>
  </si>
  <si>
    <t>Excedentes</t>
  </si>
  <si>
    <t>+ empleador</t>
  </si>
  <si>
    <t>Anuales</t>
  </si>
  <si>
    <t>Base tributable</t>
  </si>
  <si>
    <t>Impuesto efectivo</t>
  </si>
  <si>
    <t>Anual impuestos</t>
  </si>
  <si>
    <t>Seguro colectivo</t>
  </si>
  <si>
    <t>Total descuentos</t>
  </si>
  <si>
    <t>Sin impuestos</t>
  </si>
  <si>
    <t>Sueldo líquido</t>
  </si>
  <si>
    <t>Dealing</t>
  </si>
  <si>
    <t>Anual tributable</t>
  </si>
  <si>
    <t>Anual líquido</t>
  </si>
  <si>
    <t>Anual bruto</t>
  </si>
  <si>
    <t>Capacidad ahorro</t>
  </si>
  <si>
    <t>presupuesto - Capacidad ahorro</t>
  </si>
  <si>
    <t>Meses:</t>
  </si>
  <si>
    <t>APV - simulación régimen B</t>
  </si>
  <si>
    <t xml:space="preserve">presupuesto - APV - simulación </t>
  </si>
  <si>
    <t>Tramos</t>
  </si>
  <si>
    <t>Tasa</t>
  </si>
  <si>
    <t>Cantidad afecta</t>
  </si>
  <si>
    <t>con APV</t>
  </si>
  <si>
    <t>impuesto</t>
  </si>
  <si>
    <t>con apv</t>
  </si>
  <si>
    <t>∆</t>
  </si>
  <si>
    <t>APV-b mensual</t>
  </si>
  <si>
    <t>15% máx APV-a</t>
  </si>
  <si>
    <t>apv - rebaja impuestos interés hipotecario</t>
  </si>
  <si>
    <t>presupuesto - apv - rebaja impu</t>
  </si>
  <si>
    <t>tramos</t>
  </si>
  <si>
    <t>tasa</t>
  </si>
  <si>
    <t>cantidad afecta</t>
  </si>
  <si>
    <t>menos interés</t>
  </si>
  <si>
    <t>o intereses</t>
  </si>
  <si>
    <t>flujos</t>
  </si>
  <si>
    <t>Gasto mes actual</t>
  </si>
  <si>
    <t>flujos - Gasto mes actual</t>
  </si>
  <si>
    <t>Agosto</t>
  </si>
  <si>
    <t>Total diario</t>
  </si>
  <si>
    <t>Comida</t>
  </si>
  <si>
    <t>Ropa</t>
  </si>
  <si>
    <t>Otros</t>
  </si>
  <si>
    <t>Transporte</t>
  </si>
  <si>
    <t>Dólares</t>
  </si>
  <si>
    <t>Repasar esta columna</t>
  </si>
  <si>
    <t>hipotecario</t>
  </si>
  <si>
    <t>mobike</t>
  </si>
  <si>
    <t>gastos comunes</t>
  </si>
  <si>
    <t>cabify</t>
  </si>
  <si>
    <t>entel</t>
  </si>
  <si>
    <t>costanera norte</t>
  </si>
  <si>
    <t>electricidad</t>
  </si>
  <si>
    <t>vespucio sur</t>
  </si>
  <si>
    <t>delivery</t>
  </si>
  <si>
    <t>gas</t>
  </si>
  <si>
    <t>bencina</t>
  </si>
  <si>
    <t>suscripciones</t>
  </si>
  <si>
    <t>bip</t>
  </si>
  <si>
    <t>amazon</t>
  </si>
  <si>
    <t>estacionamiento</t>
  </si>
  <si>
    <t>Almuerzo</t>
  </si>
  <si>
    <t>Mota</t>
  </si>
  <si>
    <t>Table 1-3</t>
  </si>
  <si>
    <t>flujos - Table 1-3</t>
  </si>
  <si>
    <t>febrero</t>
  </si>
  <si>
    <t>12/12/2024</t>
  </si>
  <si>
    <t>8 BITS</t>
  </si>
  <si>
    <t>07/02/2025</t>
  </si>
  <si>
    <t>AGUA LUNA</t>
  </si>
  <si>
    <t>06/02/2025</t>
  </si>
  <si>
    <t>AHUM L272 LOS LEONES 1160</t>
  </si>
  <si>
    <t>AHUM L526 ALC.INFANT 1541</t>
  </si>
  <si>
    <t>ALANA</t>
  </si>
  <si>
    <t>ALMACENES BILBAO</t>
  </si>
  <si>
    <t>05/02/2025</t>
  </si>
  <si>
    <t>04/02/2025</t>
  </si>
  <si>
    <t>21/02/2025</t>
  </si>
  <si>
    <t>APOTECARIO VAPE SHOP</t>
  </si>
  <si>
    <t>05/12/2024</t>
  </si>
  <si>
    <r>
      <rPr>
        <u val="single"/>
        <sz val="12"/>
        <color indexed="8"/>
        <rFont val="Times Roman"/>
      </rPr>
      <t>APPLE.COM</t>
    </r>
    <r>
      <rPr>
        <sz val="12"/>
        <color indexed="8"/>
        <rFont val="Times Roman"/>
      </rPr>
      <t xml:space="preserve"> CL APPLE</t>
    </r>
  </si>
  <si>
    <t>03/12/2024</t>
  </si>
  <si>
    <t>12/02/2025</t>
  </si>
  <si>
    <t>B-1326 PENALOLEN</t>
  </si>
  <si>
    <t>23/01/2025</t>
  </si>
  <si>
    <t>BEE MARKET</t>
  </si>
  <si>
    <t>BOTILLERIA LA MALTIT</t>
  </si>
  <si>
    <t>22/02/2025</t>
  </si>
  <si>
    <t>BOTILLERIA PORTEZUELO</t>
  </si>
  <si>
    <t>10/02/2025</t>
  </si>
  <si>
    <t>CARNES LOS PLOMOS</t>
  </si>
  <si>
    <t>15/02/2025</t>
  </si>
  <si>
    <t>COPEC APP</t>
  </si>
  <si>
    <t>CORP. CULTURAL DE LA ESTA</t>
  </si>
  <si>
    <t>DANIELA ANDREA GARCIA YAN</t>
  </si>
  <si>
    <t>ENEL</t>
  </si>
  <si>
    <t>ENTEL HOGAR</t>
  </si>
  <si>
    <t>EXPRESS PLAZA LYON</t>
  </si>
  <si>
    <t>FU XING</t>
  </si>
  <si>
    <t>GOOGLE PLAY YOUTUBE</t>
  </si>
  <si>
    <t>4/02/2025</t>
  </si>
  <si>
    <t>INTERESES</t>
  </si>
  <si>
    <t>JACK&amp;JONES OPEN PLAZA</t>
  </si>
  <si>
    <t>28/01/2025</t>
  </si>
  <si>
    <t>JUMBO COSTANERA CENTER</t>
  </si>
  <si>
    <t>24/01/2025</t>
  </si>
  <si>
    <t>LA CABRERA ISIDORA</t>
  </si>
  <si>
    <t>20/01/2025</t>
  </si>
  <si>
    <r>
      <rPr>
        <u val="single"/>
        <sz val="12"/>
        <color indexed="8"/>
        <rFont val="Times Roman"/>
      </rPr>
      <t>LATAM.COM</t>
    </r>
    <r>
      <rPr>
        <sz val="12"/>
        <color indexed="8"/>
        <rFont val="Times Roman"/>
      </rPr>
      <t xml:space="preserve"> XP INTER</t>
    </r>
  </si>
  <si>
    <t>LONDON COFFEE ALCANTARA</t>
  </si>
  <si>
    <t>17/02/2025</t>
  </si>
  <si>
    <t>30/01/2025</t>
  </si>
  <si>
    <t>27/01/2025</t>
  </si>
  <si>
    <t>LYON 1</t>
  </si>
  <si>
    <t>26/01/2025</t>
  </si>
  <si>
    <t>MERCADO PAGO 4 TCOM</t>
  </si>
  <si>
    <t>21/12/2024</t>
  </si>
  <si>
    <t>MERCADOPAGO*MARIN</t>
  </si>
  <si>
    <t>MERCADOPAGO*PUBLIKT</t>
  </si>
  <si>
    <t>MERPAGO*BAZO SPA BAZO SP</t>
  </si>
  <si>
    <t>MERPAGO*COMERCIAL GIOVAN</t>
  </si>
  <si>
    <t>MERPAGO*MICOCACOLA</t>
  </si>
  <si>
    <t>31/01/2025</t>
  </si>
  <si>
    <t>MERPAGO*MR PRETZELS ASES</t>
  </si>
  <si>
    <t>MERPAGO*ST LOUIS FACTORY</t>
  </si>
  <si>
    <t>MERPAGO*STREAT BURGER ME</t>
  </si>
  <si>
    <t>02/02/2025</t>
  </si>
  <si>
    <t>MERPAGO*TAPROOM UNO TAPR</t>
  </si>
  <si>
    <t>MERPAGO*TOLIVMARKETSPA</t>
  </si>
  <si>
    <t>MONTO CANCELADO</t>
  </si>
  <si>
    <t>MP *LA DICHA</t>
  </si>
  <si>
    <t>MP *MERCADO LIBRE</t>
  </si>
  <si>
    <t>27/11/2024</t>
  </si>
  <si>
    <t>22/12/2024</t>
  </si>
  <si>
    <t>MP *MICOCA COLACL</t>
  </si>
  <si>
    <t>MUTUARIA</t>
  </si>
  <si>
    <t>MY SWEET 39</t>
  </si>
  <si>
    <t>OKM SUECIA</t>
  </si>
  <si>
    <t>PARIS PARQUE ARAUCO</t>
  </si>
  <si>
    <t>PASS LINE LTDA</t>
  </si>
  <si>
    <t>23/02/2025</t>
  </si>
  <si>
    <t>PAYU *UBER EATS</t>
  </si>
  <si>
    <t>18/02/2025</t>
  </si>
  <si>
    <t>16/02/2025</t>
  </si>
  <si>
    <t>11/02/2025</t>
  </si>
  <si>
    <t>29/01/2025</t>
  </si>
  <si>
    <t>25/01/2025</t>
  </si>
  <si>
    <t>PAYU *UBER TRIP</t>
  </si>
  <si>
    <t>08/02/2025</t>
  </si>
  <si>
    <t>PUNTO TICKET WEB</t>
  </si>
  <si>
    <t>REGISTROCIVIL PROVIDENCIA</t>
  </si>
  <si>
    <t>RESTAURANT DON CARLOS</t>
  </si>
  <si>
    <t>SALCOBRAND LOS LEONES</t>
  </si>
  <si>
    <t>19/02/2025</t>
  </si>
  <si>
    <t>SERVICIOS Y COMERCIAL RA</t>
  </si>
  <si>
    <t>STA ISABEL MAIPU PARQ</t>
  </si>
  <si>
    <t>01/02/2025</t>
  </si>
  <si>
    <t>SumUp * FARMACIAS LAFO</t>
  </si>
  <si>
    <t>22/01/2025</t>
  </si>
  <si>
    <t>SUPERMERCADO LAS VIOLETAS</t>
  </si>
  <si>
    <t>14/02/2025</t>
  </si>
  <si>
    <t>SUSHI HANAMI</t>
  </si>
  <si>
    <t>23/12/2024</t>
  </si>
  <si>
    <t>TOALLAS LOURDES</t>
  </si>
  <si>
    <t>TOTTUS KENNEDY II</t>
  </si>
  <si>
    <t>20/02/2025</t>
  </si>
  <si>
    <t>TUU*almacenElAlcazar</t>
  </si>
  <si>
    <t>13/02/2025</t>
  </si>
  <si>
    <t>TUU*clubVita</t>
  </si>
  <si>
    <t>09/02/2025</t>
  </si>
  <si>
    <t>TUU*creacionesValkiria</t>
  </si>
  <si>
    <t>TUU*scrunchiesKonoha</t>
  </si>
  <si>
    <t>10/01/2025</t>
  </si>
  <si>
    <t>VISTA LIBRE</t>
  </si>
  <si>
    <t>Table 1-2</t>
  </si>
  <si>
    <t>flujos - Table 1-2</t>
  </si>
  <si>
    <t>enero</t>
  </si>
  <si>
    <t>18/01/2025</t>
  </si>
  <si>
    <t>17/01/2025</t>
  </si>
  <si>
    <t>11/01/2025</t>
  </si>
  <si>
    <t>08/01/2025</t>
  </si>
  <si>
    <t>07/01/2025</t>
  </si>
  <si>
    <t>06/01/2025</t>
  </si>
  <si>
    <t>03/01/2025</t>
  </si>
  <si>
    <t>24/12/2024</t>
  </si>
  <si>
    <t>ALTO LAS CONDES</t>
  </si>
  <si>
    <t>ANTARTICA COSTANERA H2H</t>
  </si>
  <si>
    <t>C. VERDE PROVIDENC 2594</t>
  </si>
  <si>
    <t>25/12/2024</t>
  </si>
  <si>
    <t>COMERCIAL MAHO LIMITADA</t>
  </si>
  <si>
    <t>COPEC PROVIDENCIA</t>
  </si>
  <si>
    <t>ENCANTI</t>
  </si>
  <si>
    <t>20/12/2024</t>
  </si>
  <si>
    <t>14/01/2025</t>
  </si>
  <si>
    <t>28/12/2024</t>
  </si>
  <si>
    <t>16/01/2025</t>
  </si>
  <si>
    <t>FALABELLA ALTO LAS CONDES</t>
  </si>
  <si>
    <t>FARM AHUMADA SPA L717</t>
  </si>
  <si>
    <t>12/01/2025</t>
  </si>
  <si>
    <t>FRUTERRA SPA</t>
  </si>
  <si>
    <t>GALLETERIA DE LAURA R</t>
  </si>
  <si>
    <t>15/01/2025</t>
  </si>
  <si>
    <t>01/01/2025</t>
  </si>
  <si>
    <t>GRUPO AYRES SPA</t>
  </si>
  <si>
    <t>27/12/2024</t>
  </si>
  <si>
    <t>LA DICHA</t>
  </si>
  <si>
    <t>21/01/2025</t>
  </si>
  <si>
    <t>29/12/2024</t>
  </si>
  <si>
    <t>MERPAGO*MCDONALDS</t>
  </si>
  <si>
    <t>09/01/2025</t>
  </si>
  <si>
    <t>MERPAGO*V CARUSI V CARUS</t>
  </si>
  <si>
    <t>METROGAS PAT</t>
  </si>
  <si>
    <t>30/12/2024</t>
  </si>
  <si>
    <t>26/12/2024</t>
  </si>
  <si>
    <t>PARIS ALTO LAS CONDES</t>
  </si>
  <si>
    <t>PARKING ALTO LAS CONDES</t>
  </si>
  <si>
    <t>PARKING COSTANERA</t>
  </si>
  <si>
    <t>13/01/2025</t>
  </si>
  <si>
    <t>04/01/2025</t>
  </si>
  <si>
    <t>02/01/2025</t>
  </si>
  <si>
    <t>PICANTERIA</t>
  </si>
  <si>
    <t>PRT LAS CONDES 2508</t>
  </si>
  <si>
    <t>PUNTO COPEC PROVIDENCIA</t>
  </si>
  <si>
    <t>SB 731</t>
  </si>
  <si>
    <t>SumUp * Maria Eugenia</t>
  </si>
  <si>
    <t>05/01/2025</t>
  </si>
  <si>
    <t>TUU*toliv</t>
  </si>
  <si>
    <t>Table 1-4</t>
  </si>
  <si>
    <t>flujos - Table 1-4</t>
  </si>
  <si>
    <t>marzo</t>
  </si>
  <si>
    <t>10/03/2025</t>
  </si>
  <si>
    <t>AUTOSERVICIO CL ALEMANA</t>
  </si>
  <si>
    <t>BELLAS ARTES EXPRESS</t>
  </si>
  <si>
    <t>09/03/2025</t>
  </si>
  <si>
    <t>CALVIN KLEIN PARQUE</t>
  </si>
  <si>
    <t>CHICKEN FACTORY</t>
  </si>
  <si>
    <t>21/03/2025</t>
  </si>
  <si>
    <t>27/02/2025</t>
  </si>
  <si>
    <t>DL*BOOKINGCOM</t>
  </si>
  <si>
    <t>13/03/2025</t>
  </si>
  <si>
    <t>15/03/2025</t>
  </si>
  <si>
    <t>EXPRESS AVDA VALPARAI</t>
  </si>
  <si>
    <t>26/02/2025</t>
  </si>
  <si>
    <t>FLOW *PINARES.CL</t>
  </si>
  <si>
    <t>GOOGLE PLAY YOUTUBE CL</t>
  </si>
  <si>
    <t>HAULMER*LA BOTISHOP</t>
  </si>
  <si>
    <t>25/03/2025</t>
  </si>
  <si>
    <t>JUMBO ALTO LAS CONDES</t>
  </si>
  <si>
    <t>24/03/2025</t>
  </si>
  <si>
    <t>20/03/2025</t>
  </si>
  <si>
    <t>19/03/2025</t>
  </si>
  <si>
    <t>12/03/2025</t>
  </si>
  <si>
    <t>04/03/2025</t>
  </si>
  <si>
    <t>03/03/2025</t>
  </si>
  <si>
    <t>25/02/2025</t>
  </si>
  <si>
    <t>05/03/2025</t>
  </si>
  <si>
    <t>MERCADOPAGO*2PRODUCTOS</t>
  </si>
  <si>
    <t>MERCADOPAGO*ARCOSDEVALPAR</t>
  </si>
  <si>
    <t>MERCADOPAGO*MCDONALDS</t>
  </si>
  <si>
    <t>17/03/2025</t>
  </si>
  <si>
    <t>MERPAGO*PAPA JOHNS PJ CH</t>
  </si>
  <si>
    <t>14/03/2025</t>
  </si>
  <si>
    <t>07/03/2025</t>
  </si>
  <si>
    <t>MERPAGO*PUBLIKT</t>
  </si>
  <si>
    <t>22/03/2025</t>
  </si>
  <si>
    <t>MERPAGO*STREAT BURGER MEE</t>
  </si>
  <si>
    <t>MK WEBPAY.CL</t>
  </si>
  <si>
    <t>MUNICIPALIDAD DE VITACURA</t>
  </si>
  <si>
    <t>11/03/2025</t>
  </si>
  <si>
    <t>NINTENDO OF AMERICA</t>
  </si>
  <si>
    <t>NOTA DE CREDITO</t>
  </si>
  <si>
    <t>PANCAKE SPA</t>
  </si>
  <si>
    <t>06/03/2025</t>
  </si>
  <si>
    <t>24/02/2025</t>
  </si>
  <si>
    <t>PESCADOS CAPITALES</t>
  </si>
  <si>
    <t>PREPAGO EN CUOTAS</t>
  </si>
  <si>
    <t>ROCA WEBPAY</t>
  </si>
  <si>
    <t>23/03/2025</t>
  </si>
  <si>
    <t>SALCOBRAND AV. LAS CON</t>
  </si>
  <si>
    <t>01/03/2025</t>
  </si>
  <si>
    <t>SAN SERGIO ESTACIONAMIENT</t>
  </si>
  <si>
    <t>08/03/2025</t>
  </si>
  <si>
    <t>SHELL C. MELIPILLA F178</t>
  </si>
  <si>
    <t>02/03/2025</t>
  </si>
  <si>
    <t>SUC. LUIS THAYER OJEDA</t>
  </si>
  <si>
    <t>TOMATA</t>
  </si>
  <si>
    <t>18/03/2025</t>
  </si>
  <si>
    <t>TUU*capriIi</t>
  </si>
  <si>
    <t>16/03/2025</t>
  </si>
  <si>
    <t>UBER</t>
  </si>
  <si>
    <t>Table 3-1-1</t>
  </si>
  <si>
    <t>flujos - Table 3-1-1</t>
  </si>
  <si>
    <t>mayo</t>
  </si>
  <si>
    <t>CK ECOMMERCE</t>
  </si>
  <si>
    <t>29/04/2025</t>
  </si>
  <si>
    <t>10/05/2025</t>
  </si>
  <si>
    <t>28/04/2025</t>
  </si>
  <si>
    <t>EASY COSTANERA CENTER</t>
  </si>
  <si>
    <t>EASY INTERNET</t>
  </si>
  <si>
    <t>22/04/2025</t>
  </si>
  <si>
    <t>07/05/2025</t>
  </si>
  <si>
    <t>FABRICA</t>
  </si>
  <si>
    <t>15/05/2025</t>
  </si>
  <si>
    <t>IKEA OPEN KENNEDY</t>
  </si>
  <si>
    <t>22/05/2025</t>
  </si>
  <si>
    <t>INVERSIONES MONASTRELL WI</t>
  </si>
  <si>
    <t>21/05/2025</t>
  </si>
  <si>
    <t>17/05/2025</t>
  </si>
  <si>
    <t>04/05/2025</t>
  </si>
  <si>
    <t>26/04/2025</t>
  </si>
  <si>
    <t>06/05/2025</t>
  </si>
  <si>
    <t>05/05/2025</t>
  </si>
  <si>
    <t>30/04/2025</t>
  </si>
  <si>
    <t>12/05/2025</t>
  </si>
  <si>
    <t>MC DONALDS PROVIDENCIA 3</t>
  </si>
  <si>
    <t>11/05/2025</t>
  </si>
  <si>
    <t>MERPAGO*GLOVOX GLOVOX PRO</t>
  </si>
  <si>
    <t>13/05/2025</t>
  </si>
  <si>
    <t>27/04/2025</t>
  </si>
  <si>
    <t>MERPAGO*V CARUSI V CARUSI</t>
  </si>
  <si>
    <t>METLIFE CHILE SEGUROS DE</t>
  </si>
  <si>
    <t>08/05/2025</t>
  </si>
  <si>
    <t>20/05/2025</t>
  </si>
  <si>
    <t>ORTODONCIAGO SPA</t>
  </si>
  <si>
    <t>PARIS COSTANERA CENTER</t>
  </si>
  <si>
    <t>03/05/2025</t>
  </si>
  <si>
    <t>02/05/2025</t>
  </si>
  <si>
    <t>19/05/2025</t>
  </si>
  <si>
    <t>09/05/2025</t>
  </si>
  <si>
    <t>23/04/2025</t>
  </si>
  <si>
    <t>SERVICIOS Y COMERCIAL RAU</t>
  </si>
  <si>
    <t>SUMUP * HANS CORNEJO</t>
  </si>
  <si>
    <t>14/05/2025</t>
  </si>
  <si>
    <t>TGR</t>
  </si>
  <si>
    <t>25/04/2025</t>
  </si>
  <si>
    <t>UBER EATS</t>
  </si>
  <si>
    <t>WORK CAFE GERTRUDIS ECHEN</t>
  </si>
  <si>
    <t>Table 3-1-1-1</t>
  </si>
  <si>
    <t>flujos - Table 3-1-1-1</t>
  </si>
  <si>
    <t>13/06/2025</t>
  </si>
  <si>
    <t>26/05/2025</t>
  </si>
  <si>
    <t>03/06/2025</t>
  </si>
  <si>
    <r>
      <rPr>
        <u val="single"/>
        <sz val="12"/>
        <color indexed="8"/>
        <rFont val="Times Roman"/>
      </rPr>
      <t>BOOKING.COM</t>
    </r>
  </si>
  <si>
    <t>DOCKERS COSTANERA CENTER</t>
  </si>
  <si>
    <t>23/05/2025</t>
  </si>
  <si>
    <t>10/06/2025</t>
  </si>
  <si>
    <t>27/05/2025</t>
  </si>
  <si>
    <t>IBERIA OPERADORA SA TCOMP</t>
  </si>
  <si>
    <t>IMPTO. DECRETO LEY 3475</t>
  </si>
  <si>
    <t>23/06/2025</t>
  </si>
  <si>
    <t>INVERSIONES EL PARRON SA</t>
  </si>
  <si>
    <t>18/06/2025</t>
  </si>
  <si>
    <t>14/06/2025</t>
  </si>
  <si>
    <t>08/06/2025</t>
  </si>
  <si>
    <t>06/06/2025</t>
  </si>
  <si>
    <t>04/06/2025</t>
  </si>
  <si>
    <t>01/06/2025</t>
  </si>
  <si>
    <t>25/05/2025</t>
  </si>
  <si>
    <t>24/05/2025</t>
  </si>
  <si>
    <t>LA CABRERA ALONSO</t>
  </si>
  <si>
    <t>05/06/2025</t>
  </si>
  <si>
    <t>28/05/2025</t>
  </si>
  <si>
    <t>12/06/2025</t>
  </si>
  <si>
    <t>MC DONALDS COSTANERA CENT</t>
  </si>
  <si>
    <t>02/06/2025</t>
  </si>
  <si>
    <t>MERCADOPAGO*ALIPAYSINGAPO</t>
  </si>
  <si>
    <t>22/06/2025</t>
  </si>
  <si>
    <t>MERCADOPAGO*MICOCACOLA</t>
  </si>
  <si>
    <t>11/06/2025</t>
  </si>
  <si>
    <t>MERPAGO*COMERCIALLASI</t>
  </si>
  <si>
    <t>29/05/2025</t>
  </si>
  <si>
    <t>09/06/2025</t>
  </si>
  <si>
    <t>15/06/2025</t>
  </si>
  <si>
    <t>ROSEN</t>
  </si>
  <si>
    <t>SP DIGITAL SPA</t>
  </si>
  <si>
    <t>30/05/2025</t>
  </si>
  <si>
    <t>TUU*oggi</t>
  </si>
  <si>
    <t>Table 3-1</t>
  </si>
  <si>
    <t>flujos - Table 3-1</t>
  </si>
  <si>
    <t>abril</t>
  </si>
  <si>
    <t>08/04/2025</t>
  </si>
  <si>
    <t>COSTANERA CENTER</t>
  </si>
  <si>
    <t>DP *IKEA COM</t>
  </si>
  <si>
    <t>02/04/2025</t>
  </si>
  <si>
    <t>17/04/2025</t>
  </si>
  <si>
    <t>14/04/2025</t>
  </si>
  <si>
    <t>18/04/2025</t>
  </si>
  <si>
    <t>12/04/2025</t>
  </si>
  <si>
    <t>06/04/2025</t>
  </si>
  <si>
    <t>04/04/2025</t>
  </si>
  <si>
    <t>21/04/2025</t>
  </si>
  <si>
    <t>05/04/2025</t>
  </si>
  <si>
    <t>19/04/2025</t>
  </si>
  <si>
    <t>10/04/2025</t>
  </si>
  <si>
    <t>07/04/2025</t>
  </si>
  <si>
    <t>01/04/2025</t>
  </si>
  <si>
    <t>31/03/2025</t>
  </si>
  <si>
    <t>29/03/2025</t>
  </si>
  <si>
    <t>LOS BRAVOS SPA</t>
  </si>
  <si>
    <t>15/04/2025</t>
  </si>
  <si>
    <t>MAXIK</t>
  </si>
  <si>
    <t>MC DONALDS 4 04</t>
  </si>
  <si>
    <t>MERCADOPAGO*COMERCIANTEAU</t>
  </si>
  <si>
    <t>MERCADOPAGO*IMPORTADORABO</t>
  </si>
  <si>
    <t>16/04/2025</t>
  </si>
  <si>
    <t>03/04/2025</t>
  </si>
  <si>
    <t>MERPAGO*NUEVOGENESISSPA</t>
  </si>
  <si>
    <t>28/03/2025</t>
  </si>
  <si>
    <t>MONTANA SPA</t>
  </si>
  <si>
    <t>09/04/2025</t>
  </si>
  <si>
    <t>MUNICIPALIDAD DE MAIPU</t>
  </si>
  <si>
    <t>11/04/2025</t>
  </si>
  <si>
    <t>NUEVA ISIDORA</t>
  </si>
  <si>
    <t>20/04/2025</t>
  </si>
  <si>
    <t>PETROBRAS ELIOD. YA EZ</t>
  </si>
  <si>
    <t>27/03/2025</t>
  </si>
  <si>
    <t>SAN DAMIAN</t>
  </si>
  <si>
    <t>26/03/2025</t>
  </si>
  <si>
    <t>13/04/2025</t>
  </si>
  <si>
    <t>SB 733</t>
  </si>
  <si>
    <t>Totales</t>
  </si>
  <si>
    <t>flujos - Totales</t>
  </si>
  <si>
    <t>Deuda pagada</t>
  </si>
  <si>
    <t>Gasto falso</t>
  </si>
  <si>
    <t>Deuda nacional</t>
  </si>
  <si>
    <t>Internacional</t>
  </si>
  <si>
    <t>Efectivo</t>
  </si>
  <si>
    <t>Líder Mastercard</t>
  </si>
  <si>
    <t>Not monthly</t>
  </si>
  <si>
    <t>Total gastos</t>
  </si>
  <si>
    <t>Cupo disponible</t>
  </si>
  <si>
    <t>- líder</t>
  </si>
  <si>
    <t>Table 2-1</t>
  </si>
  <si>
    <t>flujos - Table 2-1</t>
  </si>
  <si>
    <t xml:space="preserve">Cuenta corriente </t>
  </si>
  <si>
    <t>Adelantado</t>
  </si>
  <si>
    <t>Mach</t>
  </si>
  <si>
    <t>Líquido bruto</t>
  </si>
  <si>
    <t>Deuda</t>
  </si>
  <si>
    <t>Deuda mes anterior</t>
  </si>
  <si>
    <t>Líquido mes neto</t>
  </si>
  <si>
    <t>Table 3-2</t>
  </si>
  <si>
    <t>flujos - Table 3-2</t>
  </si>
  <si>
    <t>apple music</t>
  </si>
  <si>
    <t>apple cloud storage</t>
  </si>
  <si>
    <t>apple tv</t>
  </si>
  <si>
    <t>youtube family</t>
  </si>
  <si>
    <t>flujos - Gasto mensual</t>
  </si>
  <si>
    <t>usd</t>
  </si>
  <si>
    <t>Ingreso</t>
  </si>
  <si>
    <t>Bruto</t>
  </si>
  <si>
    <t>Líquido</t>
  </si>
  <si>
    <t>Adicional</t>
  </si>
  <si>
    <t>Saldo tc</t>
  </si>
  <si>
    <t>Crédito</t>
  </si>
  <si>
    <t>Gasto real</t>
  </si>
  <si>
    <t>Gasto</t>
  </si>
  <si>
    <t>Cabify</t>
  </si>
  <si>
    <t>Scooters</t>
  </si>
  <si>
    <t>Delivery</t>
  </si>
  <si>
    <t>Líder + falso</t>
  </si>
  <si>
    <t>Falso</t>
  </si>
  <si>
    <t>flujos - Table 1</t>
  </si>
  <si>
    <t>Cris</t>
  </si>
  <si>
    <t>Pana</t>
  </si>
  <si>
    <t>Chamo</t>
  </si>
  <si>
    <t>Seba</t>
  </si>
  <si>
    <t>+ propina</t>
  </si>
  <si>
    <t>+ berni</t>
  </si>
  <si>
    <t>Table 1-1</t>
  </si>
  <si>
    <t>flujos - Table 1-1</t>
  </si>
  <si>
    <t>Wale</t>
  </si>
  <si>
    <t>Cleme</t>
  </si>
  <si>
    <t>acero</t>
  </si>
  <si>
    <t>hielo</t>
  </si>
  <si>
    <t>roca</t>
  </si>
  <si>
    <t>hi</t>
  </si>
  <si>
    <t>ac</t>
  </si>
  <si>
    <t>r</t>
  </si>
  <si>
    <t>ok</t>
  </si>
  <si>
    <t>Table 1-1-1</t>
  </si>
  <si>
    <t>flujos - Table 1-1-1</t>
  </si>
  <si>
    <t>Flavia</t>
  </si>
  <si>
    <t>Berni</t>
  </si>
  <si>
    <t>flujos - Table 3</t>
  </si>
  <si>
    <t>cuota</t>
  </si>
  <si>
    <t>offset</t>
  </si>
  <si>
    <t>llevo</t>
  </si>
  <si>
    <t>falta</t>
  </si>
  <si>
    <t>total</t>
  </si>
  <si>
    <t>a pagar 10-mar</t>
  </si>
  <si>
    <t>.</t>
  </si>
  <si>
    <t>funk tribu</t>
  </si>
  <si>
    <t>respaldo cama</t>
  </si>
  <si>
    <t>rosen</t>
  </si>
  <si>
    <t>la roche</t>
  </si>
  <si>
    <t>mercadolibre</t>
  </si>
  <si>
    <t>funda ipad</t>
  </si>
  <si>
    <t>motits</t>
  </si>
  <si>
    <t>permiso 1/2</t>
  </si>
  <si>
    <t>bandeja brownies</t>
  </si>
  <si>
    <t>contribuciones 1/4 marzo</t>
  </si>
  <si>
    <t>le creuset</t>
  </si>
  <si>
    <t>mercadopago 4</t>
  </si>
  <si>
    <t>mercadolibe shit</t>
  </si>
  <si>
    <t>macbook air</t>
  </si>
  <si>
    <t>impresora</t>
  </si>
  <si>
    <t>sp digital</t>
  </si>
  <si>
    <t>ipad</t>
  </si>
  <si>
    <t>lo arcaya</t>
  </si>
  <si>
    <t>flujos - Table 2</t>
  </si>
  <si>
    <t>cupo utilizado</t>
  </si>
  <si>
    <t>worldmember</t>
  </si>
  <si>
    <t>gastado este mes</t>
  </si>
  <si>
    <t>cuota mes</t>
  </si>
  <si>
    <t xml:space="preserve"> </t>
  </si>
  <si>
    <t>lider</t>
  </si>
  <si>
    <t>gasto del mes</t>
  </si>
  <si>
    <t>total mes pesos</t>
  </si>
  <si>
    <t>dolares</t>
  </si>
  <si>
    <t>total mes</t>
  </si>
  <si>
    <t>dividendo</t>
  </si>
  <si>
    <t>- dividendo</t>
  </si>
  <si>
    <t xml:space="preserve">a pagar </t>
  </si>
  <si>
    <t>retirar de fintual</t>
  </si>
  <si>
    <t>c. corriente</t>
  </si>
  <si>
    <t>+ sueldo</t>
  </si>
  <si>
    <t>a pagar</t>
  </si>
  <si>
    <t>retirar pa pagar</t>
  </si>
  <si>
    <t>Table 3-3</t>
  </si>
  <si>
    <t>flujos - Table 3-3</t>
  </si>
  <si>
    <t>metrogas</t>
  </si>
  <si>
    <t>enel</t>
  </si>
  <si>
    <t>LONDON COFFEE A</t>
  </si>
  <si>
    <t>17/12/2025</t>
  </si>
  <si>
    <t>16/12/2025</t>
  </si>
  <si>
    <t>15/12/2025</t>
  </si>
  <si>
    <t>CARMINE CC</t>
  </si>
  <si>
    <t>Table 3-3-1</t>
  </si>
  <si>
    <t>flujos - Table 3-3-1</t>
  </si>
  <si>
    <t>0-5</t>
  </si>
  <si>
    <t>5-10</t>
  </si>
  <si>
    <t>10-25</t>
  </si>
  <si>
    <t>25-40</t>
  </si>
  <si>
    <t>40-60</t>
  </si>
  <si>
    <t>paris</t>
  </si>
  <si>
    <t>cenco</t>
  </si>
  <si>
    <t>unimarc</t>
  </si>
  <si>
    <t>cineplis</t>
  </si>
  <si>
    <t>latam</t>
  </si>
  <si>
    <t>1 milla x dolar</t>
  </si>
  <si>
    <t>“All Drawings from the Sheet”</t>
  </si>
  <si>
    <t>flujos - Drawings</t>
  </si>
  <si>
    <t>anual</t>
  </si>
  <si>
    <t>anual - Table 1-1</t>
  </si>
  <si>
    <t>Depositado</t>
  </si>
  <si>
    <t>USD depositado</t>
  </si>
  <si>
    <t>% crec</t>
  </si>
  <si>
    <t>∆ net worth</t>
  </si>
  <si>
    <t>∆ inversiones</t>
  </si>
  <si>
    <t>∆ retiro</t>
  </si>
  <si>
    <t>∆ cripto</t>
  </si>
  <si>
    <t>∆ pasivo</t>
  </si>
  <si>
    <t>acum</t>
  </si>
  <si>
    <t>USD net worth</t>
  </si>
  <si>
    <t>Net worth</t>
  </si>
  <si>
    <t>Assets</t>
  </si>
  <si>
    <t>Inversiones</t>
  </si>
  <si>
    <t>Cripto</t>
  </si>
  <si>
    <t>Retiro</t>
  </si>
  <si>
    <t>liabilities</t>
  </si>
  <si>
    <t>net worth</t>
  </si>
  <si>
    <t>net worth - Table 2</t>
  </si>
  <si>
    <t>invested</t>
  </si>
  <si>
    <t>dap-1</t>
  </si>
  <si>
    <t>net worth - dap-1</t>
  </si>
  <si>
    <t>fintual reserva</t>
  </si>
  <si>
    <t>dap</t>
  </si>
  <si>
    <t>x</t>
  </si>
  <si>
    <t>net worth - net worth</t>
  </si>
  <si>
    <t>cripto</t>
  </si>
  <si>
    <t>brokerage</t>
  </si>
  <si>
    <t>retiro</t>
  </si>
  <si>
    <t>cash and eqs</t>
  </si>
  <si>
    <t>real estate</t>
  </si>
  <si>
    <t>availabl</t>
  </si>
  <si>
    <t>cash</t>
  </si>
  <si>
    <t>net worth - cash</t>
  </si>
  <si>
    <t>cuenta corriente</t>
  </si>
  <si>
    <t>reserva</t>
  </si>
  <si>
    <t>eur</t>
  </si>
  <si>
    <t>foreign money</t>
  </si>
  <si>
    <t xml:space="preserve">emergencia </t>
  </si>
  <si>
    <t>no cuenta</t>
  </si>
  <si>
    <t>no cuenta2</t>
  </si>
  <si>
    <t>líquido</t>
  </si>
  <si>
    <t>balances</t>
  </si>
  <si>
    <t>net worth - balances</t>
  </si>
  <si>
    <t>reserva - fintual</t>
  </si>
  <si>
    <t>rn - fintual</t>
  </si>
  <si>
    <t>stocks</t>
  </si>
  <si>
    <t>ahorro vivienda</t>
  </si>
  <si>
    <t>rn apv-a - fintual</t>
  </si>
  <si>
    <t>rn apv-b - fintual</t>
  </si>
  <si>
    <t>afp</t>
  </si>
  <si>
    <t>afc</t>
  </si>
  <si>
    <t>net worth - Table 1</t>
  </si>
  <si>
    <t>Precio de comrpa</t>
  </si>
  <si>
    <t>Kindle</t>
  </si>
  <si>
    <t>Wayfarers</t>
  </si>
  <si>
    <t>Bose QC35</t>
  </si>
  <si>
    <t>Batería portátil</t>
  </si>
  <si>
    <t>Kronaby</t>
  </si>
  <si>
    <t>Correa Kronaby</t>
  </si>
  <si>
    <t>iPhone SE</t>
  </si>
  <si>
    <t>Wüsthof</t>
  </si>
  <si>
    <t>Clubmasters</t>
  </si>
  <si>
    <t>Switch</t>
  </si>
  <si>
    <t>Mario Kart</t>
  </si>
  <si>
    <t>Zelda: BotW</t>
  </si>
  <si>
    <t>Dynavap x2</t>
  </si>
  <si>
    <t>AirPods</t>
  </si>
  <si>
    <t>Super Mario Party</t>
  </si>
  <si>
    <t>Magic Keyboard</t>
  </si>
  <si>
    <t>Magic Trackpad</t>
  </si>
  <si>
    <t>Cama</t>
  </si>
  <si>
    <t>Refrigerador</t>
  </si>
  <si>
    <t>Bravia X72F</t>
  </si>
  <si>
    <t>Cortinas</t>
  </si>
  <si>
    <t>Mesa comedor</t>
  </si>
  <si>
    <t>MacBook Pro</t>
  </si>
  <si>
    <t>AC Infinity T4</t>
  </si>
  <si>
    <t>Lavadora</t>
  </si>
  <si>
    <t>iPhone SE 2020</t>
  </si>
  <si>
    <t>Procesadora</t>
  </si>
  <si>
    <t>Silla de escritorio</t>
  </si>
  <si>
    <t>Bici P3</t>
  </si>
  <si>
    <t>Aire</t>
  </si>
  <si>
    <t>LGR black matte/blue mirror</t>
  </si>
  <si>
    <t>PC escritorio</t>
  </si>
  <si>
    <t>Plays</t>
  </si>
  <si>
    <t>Nintendo</t>
  </si>
  <si>
    <t>Sus juegos</t>
  </si>
  <si>
    <t>resumen | depósitos - actual</t>
  </si>
  <si>
    <t>net worth - resumen | depósitos</t>
  </si>
  <si>
    <t>+ real estate</t>
  </si>
  <si>
    <t>- cripto</t>
  </si>
  <si>
    <t>Actual</t>
  </si>
  <si>
    <t>º</t>
  </si>
  <si>
    <t>%</t>
  </si>
  <si>
    <t>net worth - retiro</t>
  </si>
  <si>
    <t>apv-a</t>
  </si>
  <si>
    <t>año a la fecha</t>
  </si>
  <si>
    <t>apv-b</t>
  </si>
  <si>
    <t>risky norris</t>
  </si>
  <si>
    <t>aporte estado</t>
  </si>
  <si>
    <t>aporte propio</t>
  </si>
  <si>
    <t>empleador</t>
  </si>
  <si>
    <t>net worth - brokerage</t>
  </si>
  <si>
    <t>Risky Norris</t>
  </si>
  <si>
    <t>acciones</t>
  </si>
  <si>
    <t>cash and cash equivalents</t>
  </si>
  <si>
    <t>net worth - cash and cash equiv</t>
  </si>
  <si>
    <t>plazo MARZO</t>
  </si>
  <si>
    <t>Cuenta ahorro</t>
  </si>
  <si>
    <t>Depósitos</t>
  </si>
  <si>
    <t>Abonos</t>
  </si>
  <si>
    <t>Intereses</t>
  </si>
  <si>
    <t>criptomonedas</t>
  </si>
  <si>
    <t>net worth - criptomonedas</t>
  </si>
  <si>
    <t>Bitcoin</t>
  </si>
  <si>
    <t>Ether</t>
  </si>
  <si>
    <t>Aporte APV</t>
  </si>
  <si>
    <t>net worth - Aporte APV</t>
  </si>
  <si>
    <t>Régimen A</t>
  </si>
  <si>
    <t>Tope 15%</t>
  </si>
  <si>
    <t>Total anual</t>
  </si>
  <si>
    <t>mensualizado</t>
  </si>
  <si>
    <t>net worth - stocks</t>
  </si>
  <si>
    <t>goal</t>
  </si>
  <si>
    <t>current</t>
  </si>
  <si>
    <t>depositado</t>
  </si>
  <si>
    <t>valor accion</t>
  </si>
  <si>
    <t>dividendos</t>
  </si>
  <si>
    <t>actual</t>
  </si>
  <si>
    <t>spy</t>
  </si>
  <si>
    <t>vea</t>
  </si>
  <si>
    <t>vti</t>
  </si>
  <si>
    <t>iaum</t>
  </si>
  <si>
    <t>ezu</t>
  </si>
  <si>
    <t>exie</t>
  </si>
  <si>
    <t>alibaba</t>
  </si>
  <si>
    <t>byd</t>
  </si>
  <si>
    <t>kweb</t>
  </si>
  <si>
    <t>net worth - Table 1-1</t>
  </si>
  <si>
    <t>nw usd</t>
  </si>
  <si>
    <t>-liabilities</t>
  </si>
  <si>
    <t>nw - assets</t>
  </si>
  <si>
    <t>∑ inversiones + cripto</t>
  </si>
  <si>
    <t>inversiones USD</t>
  </si>
  <si>
    <t>net worth - Table 1-2</t>
  </si>
  <si>
    <t>Cripto depositado</t>
  </si>
  <si>
    <t>Cripto total</t>
  </si>
  <si>
    <t>Retorno cripto</t>
  </si>
  <si>
    <t>BTC</t>
  </si>
  <si>
    <t>retorno BTC</t>
  </si>
  <si>
    <t>∆ BTC</t>
  </si>
  <si>
    <t>ETH</t>
  </si>
  <si>
    <t>retorno ETH</t>
  </si>
  <si>
    <t>∆ ETH</t>
  </si>
  <si>
    <t>Table 1-2-1</t>
  </si>
  <si>
    <t>net worth - Table 1-2-1</t>
  </si>
  <si>
    <t>Foreign money</t>
  </si>
  <si>
    <t>deuda tc</t>
  </si>
  <si>
    <t>deuda hip</t>
  </si>
  <si>
    <t>ss</t>
  </si>
  <si>
    <t>net worth - dap</t>
  </si>
  <si>
    <t>pagado</t>
  </si>
  <si>
    <t>buda</t>
  </si>
  <si>
    <t>cuenta vista</t>
  </si>
  <si>
    <t>fintual</t>
  </si>
  <si>
    <t>vista</t>
  </si>
  <si>
    <t>corriente</t>
  </si>
  <si>
    <t>net worth - Table 1-3</t>
  </si>
  <si>
    <t>Total</t>
  </si>
  <si>
    <t>brokerage total</t>
  </si>
  <si>
    <t>brokerage depositado</t>
  </si>
  <si>
    <t>brokerage retorno</t>
  </si>
  <si>
    <t>% total brokerage</t>
  </si>
  <si>
    <t>∆ brokerage</t>
  </si>
  <si>
    <t>∆ brokerage %</t>
  </si>
  <si>
    <t>Fintual total</t>
  </si>
  <si>
    <t>Fintual depositado</t>
  </si>
  <si>
    <t>Fintual retorno</t>
  </si>
  <si>
    <t>% total fintual</t>
  </si>
  <si>
    <t>∆ Fintual</t>
  </si>
  <si>
    <t>∆ Fintual %</t>
  </si>
  <si>
    <t>stocks total</t>
  </si>
  <si>
    <t>stocks depositado</t>
  </si>
  <si>
    <t>stocks retorno</t>
  </si>
  <si>
    <t>% total stocks</t>
  </si>
  <si>
    <t>∆ stocks</t>
  </si>
  <si>
    <t>∆ stocks %</t>
  </si>
  <si>
    <t>Reserva</t>
  </si>
  <si>
    <t>Total retiro</t>
  </si>
  <si>
    <t>AFP + APV</t>
  </si>
  <si>
    <t>AFC</t>
  </si>
  <si>
    <t>Retiro depositado</t>
  </si>
  <si>
    <t>R. depositado + AFC</t>
  </si>
  <si>
    <t>Retorno retiro</t>
  </si>
  <si>
    <t>% total retiro</t>
  </si>
  <si>
    <t>∆ retiro %</t>
  </si>
  <si>
    <t>Total AFP</t>
  </si>
  <si>
    <t>Retorno AFP</t>
  </si>
  <si>
    <t>% total AFP</t>
  </si>
  <si>
    <t>∆ AFP</t>
  </si>
  <si>
    <t>∆ AFP %</t>
  </si>
  <si>
    <t>Total APV-a</t>
  </si>
  <si>
    <t>APV-a depositado</t>
  </si>
  <si>
    <t>Retorno APV-a</t>
  </si>
  <si>
    <t>% total APV-a</t>
  </si>
  <si>
    <t>∆ APV-a</t>
  </si>
  <si>
    <t>∆ APV-a %</t>
  </si>
  <si>
    <t>Total APV-b</t>
  </si>
  <si>
    <t>APV-b depositado</t>
  </si>
  <si>
    <t>Retorno APV-b</t>
  </si>
  <si>
    <t>% total APV-b</t>
  </si>
  <si>
    <t>∆ APV-b</t>
  </si>
  <si>
    <t>∆ APV-b %</t>
  </si>
  <si>
    <t>∆ total</t>
  </si>
  <si>
    <t>YTD</t>
  </si>
  <si>
    <t>Total retorno</t>
  </si>
  <si>
    <t>∆ total + cripto</t>
  </si>
  <si>
    <t>ytd total + cripto</t>
  </si>
  <si>
    <t>"disponible"</t>
  </si>
  <si>
    <t>retorno total</t>
  </si>
  <si>
    <t>ytd</t>
  </si>
  <si>
    <t>net worth - Drawings</t>
  </si>
  <si>
    <t>depto</t>
  </si>
  <si>
    <t>Departamento</t>
  </si>
  <si>
    <t>depto - Departamento</t>
  </si>
  <si>
    <t>depto compra</t>
  </si>
  <si>
    <t>depto actual</t>
  </si>
  <si>
    <t>valor compra</t>
  </si>
  <si>
    <t>valor actual</t>
  </si>
  <si>
    <t>crédito restante</t>
  </si>
  <si>
    <t>del depto</t>
  </si>
  <si>
    <t>del crédito en UF</t>
  </si>
  <si>
    <t>del crédito en $</t>
  </si>
  <si>
    <t>avalúo fiscal</t>
  </si>
  <si>
    <t>2026-1</t>
  </si>
  <si>
    <t>2025-2</t>
  </si>
  <si>
    <t>2024-1</t>
  </si>
  <si>
    <t>2019-2</t>
  </si>
  <si>
    <t>1% restante</t>
  </si>
  <si>
    <t>apv</t>
  </si>
  <si>
    <t>uf líquido</t>
  </si>
  <si>
    <t>para</t>
  </si>
  <si>
    <t>inversiones</t>
  </si>
  <si>
    <t>queda en</t>
  </si>
  <si>
    <t>podría quedar en</t>
  </si>
  <si>
    <t>depto - Table 3</t>
  </si>
  <si>
    <t>Pie 20%</t>
  </si>
  <si>
    <t>Plazo</t>
  </si>
  <si>
    <t>Precio Depto</t>
  </si>
  <si>
    <t>Financiamiento</t>
  </si>
  <si>
    <t>Cuota UF</t>
  </si>
  <si>
    <t>Desgravamen</t>
  </si>
  <si>
    <t>Incendio/Sismo</t>
  </si>
  <si>
    <t>Cuota</t>
  </si>
  <si>
    <t>% ingreso</t>
  </si>
  <si>
    <t>Total UF</t>
  </si>
  <si>
    <t>Gastos-1</t>
  </si>
  <si>
    <t>depto - Gastos-1</t>
  </si>
  <si>
    <t>Necesarios</t>
  </si>
  <si>
    <t>Estacionamiento bicis</t>
  </si>
  <si>
    <t>Baño con ventana</t>
  </si>
  <si>
    <t>bici en el ascensor</t>
  </si>
  <si>
    <t>Campana cocina independiente
o cocina con ventana</t>
  </si>
  <si>
    <t>Estacionamiento techado</t>
  </si>
  <si>
    <t>Calle tranquila / depa silencioso</t>
  </si>
  <si>
    <t>último piso</t>
  </si>
  <si>
    <t>Conexión lavadora</t>
  </si>
  <si>
    <t>buena vista</t>
  </si>
  <si>
    <t>lavadora carga superior</t>
  </si>
  <si>
    <t>lavadora se puede sacar</t>
  </si>
  <si>
    <t>internet fibra</t>
  </si>
  <si>
    <t>secadora se puede sacar</t>
  </si>
  <si>
    <t>electrodomesticos se pueden sacar</t>
  </si>
  <si>
    <t>horno bien fijado al mueble (esta atornillado, you cant pull it out)</t>
  </si>
  <si>
    <t>muebles de la cocina sin espacio entre muebles/techo</t>
  </si>
  <si>
    <t>Lavaplatos grande</t>
  </si>
  <si>
    <t>Cocina a gas</t>
  </si>
  <si>
    <t>Conexion a gas</t>
  </si>
  <si>
    <t>Orientación norte ("poco" sol)</t>
  </si>
  <si>
    <t>basura se saca por ducto (o algo normal)</t>
  </si>
  <si>
    <t>Presion del agua
    - fria/caliente
    - lavaplatos
    - lavamanos
    - ducha (quiza el telefono es de bajo consumo)
    - diferencia verano/invierno (comprar/arrendar en verano, verificar que el agua no salga muy caliente y se pueda regular, en VERANO)</t>
  </si>
  <si>
    <t>Desagües destapados
    - lavamanos
    - lavaplatos
    - ducha</t>
  </si>
  <si>
    <t>espacio entre lavaplatos y pared
    - se puede cambiar grifo facil?
    - hay espacio para trabajar con herramientas (llave para girar griferia y cambiarla)?</t>
  </si>
  <si>
    <t>filtraciones cocina
    - gas
    - agua</t>
  </si>
  <si>
    <t>Filtraciones puertas ducha</t>
  </si>
  <si>
    <t>Nivelación piso ducha</t>
  </si>
  <si>
    <t>Se puede instalar aire acondicionado</t>
  </si>
  <si>
    <t>se pueden instalar paneles solares</t>
  </si>
  <si>
    <t>se puede fumar piola</t>
  </si>
  <si>
    <t>Table 5-2-1</t>
  </si>
  <si>
    <t>depto - Table 5-2-1</t>
  </si>
  <si>
    <t>plazo</t>
  </si>
  <si>
    <t>plazo meses</t>
  </si>
  <si>
    <t>cae</t>
  </si>
  <si>
    <t>costo total</t>
  </si>
  <si>
    <t>dividendo total</t>
  </si>
  <si>
    <t>anual uf</t>
  </si>
  <si>
    <t>restante meses</t>
  </si>
  <si>
    <t>años</t>
  </si>
  <si>
    <t>restante uf</t>
  </si>
  <si>
    <t>cuotas pagadas</t>
  </si>
  <si>
    <t>Table 6</t>
  </si>
  <si>
    <t>depto - Table 6</t>
  </si>
  <si>
    <t>kg</t>
  </si>
  <si>
    <t>alto</t>
  </si>
  <si>
    <t>ancho</t>
  </si>
  <si>
    <t>profundidad</t>
  </si>
  <si>
    <t>lavadora</t>
  </si>
  <si>
    <t>frontal</t>
  </si>
  <si>
    <t>samgung ww5100t</t>
  </si>
  <si>
    <t>samsung ww5000t</t>
  </si>
  <si>
    <t>lg wm12wvc4s6</t>
  </si>
  <si>
    <t>wa5000c</t>
  </si>
  <si>
    <t>superior</t>
  </si>
  <si>
    <t>calefont</t>
  </si>
  <si>
    <t>10 litros gas natural</t>
  </si>
  <si>
    <t>Calefón Tiro Forzado Hydrowind Plus Junkers 10 Lts Gn</t>
  </si>
  <si>
    <t>1o litros</t>
  </si>
  <si>
    <t>link</t>
  </si>
  <si>
    <t>encimera</t>
  </si>
  <si>
    <t>link ficha</t>
  </si>
  <si>
    <t>depto - Table 1</t>
  </si>
  <si>
    <t>Engel &amp; Völkers</t>
  </si>
  <si>
    <t>Francisco Vicuña Balaresque</t>
  </si>
  <si>
    <r>
      <rPr>
        <u val="single"/>
        <sz val="10"/>
        <color indexed="8"/>
        <rFont val="Helvetica"/>
      </rPr>
      <t>https://fvb.cl/</t>
    </r>
  </si>
  <si>
    <t>El Nido</t>
  </si>
  <si>
    <r>
      <rPr>
        <u val="single"/>
        <sz val="10"/>
        <color indexed="8"/>
        <rFont val="Helvetica"/>
      </rPr>
      <t>http://elnidopropiedades.cl/</t>
    </r>
  </si>
  <si>
    <t>McClure</t>
  </si>
  <si>
    <r>
      <rPr>
        <u val="single"/>
        <sz val="10"/>
        <color indexed="8"/>
        <rFont val="Helvetica"/>
      </rPr>
      <t>http://www.mcclure.cl/</t>
    </r>
  </si>
  <si>
    <t>Alonso y Ascui</t>
  </si>
  <si>
    <r>
      <rPr>
        <u val="single"/>
        <sz val="10"/>
        <color indexed="8"/>
        <rFont val="Helvetica"/>
      </rPr>
      <t>https://alonsoascui.com</t>
    </r>
  </si>
  <si>
    <t>Realty Corp - Alejandro Jaime y Asociados</t>
  </si>
  <si>
    <r>
      <rPr>
        <u val="single"/>
        <sz val="10"/>
        <color indexed="8"/>
        <rFont val="Helvetica"/>
      </rPr>
      <t>http://www.realtycorp.cl</t>
    </r>
  </si>
  <si>
    <t>Makler Gestión Inmobiliaria</t>
  </si>
  <si>
    <r>
      <rPr>
        <u val="single"/>
        <sz val="10"/>
        <color indexed="8"/>
        <rFont val="Helvetica"/>
      </rPr>
      <t>http://www.makler.cl</t>
    </r>
  </si>
  <si>
    <t>Sotheby’s</t>
  </si>
  <si>
    <r>
      <rPr>
        <u val="single"/>
        <sz val="10"/>
        <color indexed="8"/>
        <rFont val="Helvetica"/>
      </rPr>
      <t>http://www.chilesir.com</t>
    </r>
  </si>
  <si>
    <t>M4 Propiedades</t>
  </si>
  <si>
    <r>
      <rPr>
        <u val="single"/>
        <sz val="10"/>
        <color indexed="8"/>
        <rFont val="Helvetica"/>
      </rPr>
      <t>http://www.m4propiedades.cl</t>
    </r>
  </si>
  <si>
    <t>La Casa de Juana</t>
  </si>
  <si>
    <r>
      <rPr>
        <u val="single"/>
        <sz val="10"/>
        <color indexed="8"/>
        <rFont val="Helvetica"/>
      </rPr>
      <t>https://lacasadejuana.cl/la-casa/</t>
    </r>
  </si>
  <si>
    <t>Casa Lab!</t>
  </si>
  <si>
    <r>
      <rPr>
        <u val="single"/>
        <sz val="10"/>
        <color indexed="8"/>
        <rFont val="Helvetica"/>
      </rPr>
      <t>https://www.casalab.cl</t>
    </r>
  </si>
  <si>
    <t>Mandaat</t>
  </si>
  <si>
    <r>
      <rPr>
        <u val="single"/>
        <sz val="10"/>
        <color indexed="8"/>
        <rFont val="Helvetica"/>
      </rPr>
      <t>https://mandaat.cl</t>
    </r>
  </si>
  <si>
    <t>Romo</t>
  </si>
  <si>
    <r>
      <rPr>
        <u val="single"/>
        <sz val="10"/>
        <color indexed="8"/>
        <rFont val="Helvetica"/>
      </rPr>
      <t>https://romopropiedades.cl/</t>
    </r>
  </si>
  <si>
    <t>depto - Table 1-1</t>
  </si>
  <si>
    <t>prepago parcial</t>
  </si>
  <si>
    <t>cristian soto</t>
  </si>
  <si>
    <t>comision + sht</t>
  </si>
  <si>
    <t>3/5</t>
  </si>
  <si>
    <t>prepago 2</t>
  </si>
  <si>
    <t>prepago 3</t>
  </si>
  <si>
    <t>prepago total</t>
  </si>
  <si>
    <t>comision</t>
  </si>
  <si>
    <t>interes</t>
  </si>
  <si>
    <t>seguros</t>
  </si>
  <si>
    <t>gastos ops</t>
  </si>
  <si>
    <t>dif total</t>
  </si>
  <si>
    <t>dif div min</t>
  </si>
  <si>
    <t>depto - Table 2</t>
  </si>
  <si>
    <t>Valor UF</t>
  </si>
  <si>
    <t>depto - Table 2-1</t>
  </si>
  <si>
    <t>rol tesoreria</t>
  </si>
  <si>
    <t>1533-81</t>
  </si>
  <si>
    <t>suecia 859</t>
  </si>
  <si>
    <t>bloque C</t>
  </si>
  <si>
    <t>fojas</t>
  </si>
  <si>
    <t>depto 207</t>
  </si>
  <si>
    <t>número</t>
  </si>
  <si>
    <t>año</t>
  </si>
  <si>
    <t>257721-6</t>
  </si>
  <si>
    <t>vence 19?</t>
  </si>
  <si>
    <t>18020282k</t>
  </si>
  <si>
    <t>vence 13 del mes</t>
  </si>
  <si>
    <t>Table 7</t>
  </si>
  <si>
    <t>depto - Table 7</t>
  </si>
  <si>
    <t>cuota hip</t>
  </si>
  <si>
    <t>depto - Table 3-3-1</t>
  </si>
  <si>
    <t>tarfias gas</t>
  </si>
  <si>
    <t>Table 5</t>
  </si>
  <si>
    <t>depto - Table 5</t>
  </si>
  <si>
    <t>now</t>
  </si>
  <si>
    <t>div min 2.0</t>
  </si>
  <si>
    <t>dividendo mínimo</t>
  </si>
  <si>
    <t>div = interes * 2 + seguro</t>
  </si>
  <si>
    <t>dividendo prom</t>
  </si>
  <si>
    <t>interes real * 2</t>
  </si>
  <si>
    <t>10 años</t>
  </si>
  <si>
    <t>dividendo máximo</t>
  </si>
  <si>
    <t>prepago min</t>
  </si>
  <si>
    <t>fin 2035</t>
  </si>
  <si>
    <t>fin 2034</t>
  </si>
  <si>
    <t>fin 2033</t>
  </si>
  <si>
    <t>fin 2032</t>
  </si>
  <si>
    <t>fin 2031</t>
  </si>
  <si>
    <t>fin 2030</t>
  </si>
  <si>
    <t>fin 2029</t>
  </si>
  <si>
    <t>fin 2028</t>
  </si>
  <si>
    <t>fin 2027</t>
  </si>
  <si>
    <t>fin 2026</t>
  </si>
  <si>
    <t>prepago min s/preguntas</t>
  </si>
  <si>
    <t>fin 2025</t>
  </si>
  <si>
    <t>fin 2024</t>
  </si>
  <si>
    <t>depto - Gastos</t>
  </si>
  <si>
    <t>No necesarios</t>
  </si>
  <si>
    <t>Bicicleta</t>
  </si>
  <si>
    <t>Impresora</t>
  </si>
  <si>
    <t>Kit indoor</t>
  </si>
  <si>
    <t>Calefactor</t>
  </si>
  <si>
    <t>Estufa eléctrica</t>
  </si>
  <si>
    <t>Zapatero entrada</t>
  </si>
  <si>
    <t>Microcomponente/Hometheather</t>
  </si>
  <si>
    <t>Aire acondicionado</t>
  </si>
  <si>
    <t>Living</t>
  </si>
  <si>
    <t>TV</t>
  </si>
  <si>
    <t>Sofa</t>
  </si>
  <si>
    <t>Mesa de centro</t>
  </si>
  <si>
    <t>Reposera</t>
  </si>
  <si>
    <t>Pieza</t>
  </si>
  <si>
    <t>Sabanas</t>
  </si>
  <si>
    <t>Velador</t>
  </si>
  <si>
    <t>secadora</t>
  </si>
  <si>
    <t>Aspiradora</t>
  </si>
  <si>
    <t>Escoba</t>
  </si>
  <si>
    <t>Pala</t>
  </si>
  <si>
    <t>Cocina</t>
  </si>
  <si>
    <t>Isla</t>
  </si>
  <si>
    <t>Organizador Oxo</t>
  </si>
  <si>
    <t>Microondas</t>
  </si>
  <si>
    <t>Toaster oven</t>
  </si>
  <si>
    <t>air fryer</t>
  </si>
  <si>
    <t>Set ollas</t>
  </si>
  <si>
    <t>Set servicios</t>
  </si>
  <si>
    <t>Cuchillos</t>
  </si>
  <si>
    <t>Mesa plegable</t>
  </si>
  <si>
    <t>Sillas</t>
  </si>
  <si>
    <t>Set baño</t>
  </si>
  <si>
    <t>Toallas</t>
  </si>
  <si>
    <t>Piso ducha</t>
  </si>
  <si>
    <t>3 ampolletas</t>
  </si>
  <si>
    <t>Tengo</t>
  </si>
  <si>
    <t>Falta</t>
  </si>
  <si>
    <t>Table 5-1</t>
  </si>
  <si>
    <t>depto - Table 5-1</t>
  </si>
  <si>
    <t>Table 4-1</t>
  </si>
  <si>
    <t>depto - Table 4-1</t>
  </si>
  <si>
    <t>drive</t>
  </si>
  <si>
    <t>primer pago</t>
  </si>
  <si>
    <t>2 - diseño listo y comienzo de obra</t>
  </si>
  <si>
    <t>3 - canalizaciones electricas</t>
  </si>
  <si>
    <t>4 - baños revestidos</t>
  </si>
  <si>
    <t>5 - llegada de muebles</t>
  </si>
  <si>
    <t>6 - saldo pendiente**</t>
  </si>
  <si>
    <t>adicionales</t>
  </si>
  <si>
    <t>depto - Table 1-2</t>
  </si>
  <si>
    <t>kwh</t>
  </si>
  <si>
    <t>electricidad + gas</t>
  </si>
  <si>
    <t>internet</t>
  </si>
  <si>
    <t>contribuciones</t>
  </si>
  <si>
    <t>lastarria -&gt;</t>
  </si>
  <si>
    <t>-&gt; suecia</t>
  </si>
  <si>
    <t>depto - dividendos</t>
  </si>
  <si>
    <t>cuotas</t>
  </si>
  <si>
    <t>uf día</t>
  </si>
  <si>
    <t>m/m</t>
  </si>
  <si>
    <t>y/y</t>
  </si>
  <si>
    <t>+ tasa</t>
  </si>
  <si>
    <t>credito restante uf</t>
  </si>
  <si>
    <t>restante</t>
  </si>
  <si>
    <t>∆ credito</t>
  </si>
  <si>
    <t>valor neto uf</t>
  </si>
  <si>
    <t>valor neto</t>
  </si>
  <si>
    <t>pagado neto uf</t>
  </si>
  <si>
    <t>∆ valor neto</t>
  </si>
  <si>
    <t>valor uf</t>
  </si>
  <si>
    <t>valor</t>
  </si>
  <si>
    <t>min UF</t>
  </si>
  <si>
    <t>máx UF</t>
  </si>
  <si>
    <t>min pesos</t>
  </si>
  <si>
    <t>máx pesos</t>
  </si>
  <si>
    <t>incendio</t>
  </si>
  <si>
    <t>desgravamen</t>
  </si>
  <si>
    <t>total seguros</t>
  </si>
  <si>
    <t>amortización</t>
  </si>
  <si>
    <t>amortización ext</t>
  </si>
  <si>
    <t>interés</t>
  </si>
  <si>
    <t>interés oculto</t>
  </si>
  <si>
    <t>interés real</t>
  </si>
  <si>
    <t>interes calculado</t>
  </si>
  <si>
    <t>amort / interes</t>
  </si>
  <si>
    <t>mora</t>
  </si>
  <si>
    <t>pago acumulado</t>
  </si>
  <si>
    <t>amortizacion acum</t>
  </si>
  <si>
    <t>interes acum</t>
  </si>
  <si>
    <t>amortizacion acum UF</t>
  </si>
  <si>
    <t>interes acum UF</t>
  </si>
  <si>
    <t>int oculto acum</t>
  </si>
  <si>
    <t>int real acum</t>
  </si>
  <si>
    <t>amortizacion acm</t>
  </si>
  <si>
    <t>&lt;5</t>
  </si>
  <si>
    <t>moving avg</t>
  </si>
  <si>
    <t>liquido</t>
  </si>
  <si>
    <t>inv + cripto + liquido</t>
  </si>
  <si>
    <t>remaining</t>
  </si>
  <si>
    <t>remaining - retiro</t>
  </si>
  <si>
    <t>apv 85% + afc</t>
  </si>
  <si>
    <t>pie</t>
  </si>
  <si>
    <t>prepago 1</t>
  </si>
  <si>
    <t>amortizacion</t>
  </si>
  <si>
    <t>current value</t>
  </si>
  <si>
    <t>STILL420</t>
  </si>
  <si>
    <t>dividendos-1</t>
  </si>
  <si>
    <t>depto - dividendos-1</t>
  </si>
  <si>
    <t>depto - Drawings</t>
  </si>
  <si>
    <t>variables</t>
  </si>
  <si>
    <t>variables - Table 1</t>
  </si>
  <si>
    <t>UF</t>
  </si>
  <si>
    <t>UTM</t>
  </si>
  <si>
    <t>UTA</t>
  </si>
  <si>
    <t>Dólar Santander</t>
  </si>
  <si>
    <t>Sueldo mínimo</t>
  </si>
  <si>
    <t>Dólar automático</t>
  </si>
  <si>
    <t>Euro automático</t>
  </si>
  <si>
    <t>variables - Table 1-1</t>
  </si>
  <si>
    <t>uf</t>
  </si>
  <si>
    <t>variables - Table 2</t>
  </si>
  <si>
    <t>max ganacias retiradas al año</t>
  </si>
  <si>
    <t>utm</t>
  </si>
  <si>
    <t>ganancia max que no paga impuestos</t>
  </si>
  <si>
    <t>variables - Table 1-4</t>
  </si>
  <si>
    <t>btc</t>
  </si>
  <si>
    <t>eth</t>
  </si>
  <si>
    <t>variables - Table 3</t>
  </si>
  <si>
    <t>uf actual</t>
  </si>
  <si>
    <t>ipc mensual</t>
  </si>
  <si>
    <t>dias (28, 30, 31)</t>
  </si>
  <si>
    <t>∆ diario</t>
  </si>
  <si>
    <t>uf final</t>
  </si>
  <si>
    <t>variables - Drawings</t>
  </si>
  <si>
    <t>Fees</t>
  </si>
  <si>
    <t>cripto - Fees</t>
  </si>
  <si>
    <t>Bitcoin – BTC</t>
  </si>
  <si>
    <t>cripto - Bitcoin – BTC</t>
  </si>
  <si>
    <t>Retirado</t>
  </si>
  <si>
    <t>Ether – ETH</t>
  </si>
  <si>
    <t>cripto - Ether – ETH</t>
  </si>
  <si>
    <t>watchlist</t>
  </si>
  <si>
    <t>anime</t>
  </si>
  <si>
    <t>watchlist - anime</t>
  </si>
  <si>
    <t>When</t>
  </si>
  <si>
    <t>Season</t>
  </si>
  <si>
    <t>Where</t>
  </si>
  <si>
    <t>k-on!</t>
  </si>
  <si>
    <t>ano hana</t>
  </si>
  <si>
    <t>one piece</t>
  </si>
  <si>
    <t>fma: brotherhood</t>
  </si>
  <si>
    <t>full metal alchemist</t>
  </si>
  <si>
    <t>madoka magica</t>
  </si>
  <si>
    <t>demon slayer</t>
  </si>
  <si>
    <t>shingeki</t>
  </si>
  <si>
    <t>haruhi</t>
  </si>
  <si>
    <t>Movies</t>
  </si>
  <si>
    <t>watchlist - Movies</t>
  </si>
  <si>
    <t>Palm Springs</t>
  </si>
  <si>
    <t>Hulu</t>
  </si>
  <si>
    <t>Memento</t>
  </si>
  <si>
    <t>Anomalisa</t>
  </si>
  <si>
    <t>Loop</t>
  </si>
  <si>
    <t>Disney+</t>
  </si>
  <si>
    <t>the lobster</t>
  </si>
  <si>
    <t>the cabin in the woods</t>
  </si>
  <si>
    <t>Breakfast Club</t>
  </si>
  <si>
    <t>Dirty Dancing</t>
  </si>
  <si>
    <t>Who Framed Roger Rabbit</t>
  </si>
  <si>
    <t>An American Tail</t>
  </si>
  <si>
    <t>everything everywhere all at once</t>
  </si>
  <si>
    <t>the unbearable weight of massive talent</t>
  </si>
  <si>
    <t>dramas</t>
  </si>
  <si>
    <t>watchlist - dramas</t>
  </si>
  <si>
    <t>Band of Brothers</t>
  </si>
  <si>
    <t>succession</t>
  </si>
  <si>
    <t>big little lies</t>
  </si>
  <si>
    <t>for all mankind</t>
  </si>
  <si>
    <t>jessica jones</t>
  </si>
  <si>
    <t>the oc</t>
  </si>
  <si>
    <t>e. r.</t>
  </si>
  <si>
    <t>broadchurch</t>
  </si>
  <si>
    <t>the good morning show</t>
  </si>
  <si>
    <t>sweet tooth</t>
  </si>
  <si>
    <t>arcane</t>
  </si>
  <si>
    <t>the umbrella academy</t>
  </si>
  <si>
    <t>the witcher</t>
  </si>
  <si>
    <t>fringe</t>
  </si>
  <si>
    <t>the americans</t>
  </si>
  <si>
    <t>black mirror</t>
  </si>
  <si>
    <t>the handmaid's tale</t>
  </si>
  <si>
    <t>halt and catch fire</t>
  </si>
  <si>
    <t>perry mason</t>
  </si>
  <si>
    <t>true detective (s1)</t>
  </si>
  <si>
    <t>chernobyl</t>
  </si>
  <si>
    <t>watchmen</t>
  </si>
  <si>
    <t>the leftovers</t>
  </si>
  <si>
    <t>his dark materials</t>
  </si>
  <si>
    <t>ozark</t>
  </si>
  <si>
    <t>bloodline</t>
  </si>
  <si>
    <t>the boys</t>
  </si>
  <si>
    <t>the oa</t>
  </si>
  <si>
    <t>dark</t>
  </si>
  <si>
    <t>i am not okay with this</t>
  </si>
  <si>
    <t>peaky blinders</t>
  </si>
  <si>
    <t>atlanta</t>
  </si>
  <si>
    <t>bodyguard</t>
  </si>
  <si>
    <t>vikings</t>
  </si>
  <si>
    <t>the crown</t>
  </si>
  <si>
    <t>the end of the f***ing world</t>
  </si>
  <si>
    <t>six feet under</t>
  </si>
  <si>
    <t>sense8</t>
  </si>
  <si>
    <t>the sopranos</t>
  </si>
  <si>
    <t>the wire</t>
  </si>
  <si>
    <t>mad men</t>
  </si>
  <si>
    <t>better call saul</t>
  </si>
  <si>
    <t>mr robot</t>
  </si>
  <si>
    <t>dramedies</t>
  </si>
  <si>
    <t>watchlist - dramedies</t>
  </si>
  <si>
    <t>pushing daisies</t>
  </si>
  <si>
    <t>gilmore girls</t>
  </si>
  <si>
    <t>bojack horseman</t>
  </si>
  <si>
    <t>living with yourself</t>
  </si>
  <si>
    <t>invincible</t>
  </si>
  <si>
    <t>sex education</t>
  </si>
  <si>
    <t>santa clarita diet</t>
  </si>
  <si>
    <t>dead to me</t>
  </si>
  <si>
    <t>russian doll</t>
  </si>
  <si>
    <t>she-ra</t>
  </si>
  <si>
    <t>fleabag</t>
  </si>
  <si>
    <t>crashing</t>
  </si>
  <si>
    <t>sick note</t>
  </si>
  <si>
    <t>g.l.o.w.</t>
  </si>
  <si>
    <t>ted lasso</t>
  </si>
  <si>
    <t>fargo</t>
  </si>
  <si>
    <t>the flight attendant</t>
  </si>
  <si>
    <t>sitcoms</t>
  </si>
  <si>
    <t>watchlist - sitcoms</t>
  </si>
  <si>
    <t>Justified</t>
  </si>
  <si>
    <t>Mr Inbetween</t>
  </si>
  <si>
    <t>smiling friends</t>
  </si>
  <si>
    <t>seinfeld</t>
  </si>
  <si>
    <t>the marvelous mrs. maisel</t>
  </si>
  <si>
    <t>parks and rec</t>
  </si>
  <si>
    <t>cybill</t>
  </si>
  <si>
    <t>the inbetweeners</t>
  </si>
  <si>
    <t>broad city</t>
  </si>
  <si>
    <t>ted</t>
  </si>
  <si>
    <t>what we do in the shadows</t>
  </si>
  <si>
    <t>the good place</t>
  </si>
  <si>
    <t>archer</t>
  </si>
  <si>
    <t>the white lotus</t>
  </si>
  <si>
    <t>curb your enthusiasm</t>
  </si>
  <si>
    <t>brooklyn 99</t>
  </si>
  <si>
    <t>superstore</t>
  </si>
  <si>
    <t>schitt's creek</t>
  </si>
  <si>
    <t>the it crowd</t>
  </si>
  <si>
    <t>rick and morty</t>
  </si>
  <si>
    <t>barry</t>
  </si>
  <si>
    <t>silicon valley</t>
  </si>
  <si>
    <t>arrested development</t>
  </si>
  <si>
    <t>kimmy schmidt</t>
  </si>
  <si>
    <t>murderville</t>
  </si>
  <si>
    <t>mythic quest</t>
  </si>
  <si>
    <t>peep show</t>
  </si>
  <si>
    <t>veep</t>
  </si>
  <si>
    <t>derry girls</t>
  </si>
  <si>
    <t>30 rock</t>
  </si>
  <si>
    <t>iasip</t>
  </si>
  <si>
    <t>community</t>
  </si>
  <si>
    <t>Games</t>
  </si>
  <si>
    <t>watchlist - Games</t>
  </si>
  <si>
    <t>Platform</t>
  </si>
  <si>
    <t>accion</t>
  </si>
  <si>
    <t>watchlist - accion</t>
  </si>
  <si>
    <t>alice in wonderland</t>
  </si>
  <si>
    <t>animacion</t>
  </si>
  <si>
    <t>watchlist - animacion</t>
  </si>
  <si>
    <t>adventure time</t>
  </si>
  <si>
    <t>midnight gospel</t>
  </si>
  <si>
    <t>tracking</t>
  </si>
  <si>
    <t>Table 2-1-2-1</t>
  </si>
  <si>
    <t>tracking - Table 2-1-2-1</t>
  </si>
  <si>
    <t>Bulking</t>
  </si>
  <si>
    <t>Recomping+</t>
  </si>
  <si>
    <t>Maintenance</t>
  </si>
  <si>
    <t>Recomping-</t>
  </si>
  <si>
    <t>Cutting</t>
  </si>
  <si>
    <t>light exercise</t>
  </si>
  <si>
    <t>mod exercise</t>
  </si>
  <si>
    <t>heavy exercise</t>
  </si>
  <si>
    <t>Table 4</t>
  </si>
  <si>
    <t>tracking - Table 4</t>
  </si>
  <si>
    <t>Current goal</t>
  </si>
  <si>
    <t>Other goal</t>
  </si>
  <si>
    <t>Recomping+ mod exercise</t>
  </si>
  <si>
    <t>Maintenance mod exercise</t>
  </si>
  <si>
    <t>tracking - Table 1</t>
  </si>
  <si>
    <t>!</t>
  </si>
  <si>
    <t>X</t>
  </si>
  <si>
    <t>Days since last-1</t>
  </si>
  <si>
    <t>tracking - Days since last-1</t>
  </si>
  <si>
    <t>Trackers</t>
  </si>
  <si>
    <t>tracking - Trackers</t>
  </si>
  <si>
    <t>Corte de pelo</t>
  </si>
  <si>
    <t>Lifting</t>
  </si>
  <si>
    <t>Mon</t>
  </si>
  <si>
    <t>Tue</t>
  </si>
  <si>
    <t>Wed</t>
  </si>
  <si>
    <t>Thu</t>
  </si>
  <si>
    <t>Fri</t>
  </si>
  <si>
    <t>Sat</t>
  </si>
  <si>
    <t>Sun</t>
  </si>
  <si>
    <t>A</t>
  </si>
  <si>
    <t>B</t>
  </si>
  <si>
    <t>b*</t>
  </si>
  <si>
    <t>a*</t>
  </si>
  <si>
    <t>tracking - Table 1-2</t>
  </si>
  <si>
    <t>Protein</t>
  </si>
  <si>
    <t>Fat</t>
  </si>
  <si>
    <t>Carbs</t>
  </si>
  <si>
    <t>30/35/35</t>
  </si>
  <si>
    <t>40/40/20</t>
  </si>
  <si>
    <t>30/20/50</t>
  </si>
  <si>
    <t>1g prot x lb</t>
  </si>
  <si>
    <t>0,8g prot x lb</t>
  </si>
  <si>
    <t>tracking - Table 2-1</t>
  </si>
  <si>
    <t>Porción</t>
  </si>
  <si>
    <t>Proteinas</t>
  </si>
  <si>
    <t>Grasa</t>
  </si>
  <si>
    <t>Calorias</t>
  </si>
  <si>
    <t>current goal</t>
  </si>
  <si>
    <t>other goal</t>
  </si>
  <si>
    <t>Pollo crudo</t>
  </si>
  <si>
    <t>Pollo cocinado</t>
  </si>
  <si>
    <t>Filete</t>
  </si>
  <si>
    <t>Lomo vetado</t>
  </si>
  <si>
    <t>Escalopa</t>
  </si>
  <si>
    <t>Carne molida 10% cruda</t>
  </si>
  <si>
    <t>Carne molida 10% cocida</t>
  </si>
  <si>
    <t>Carne molida 4% cruda</t>
  </si>
  <si>
    <t>Carne molida 4% cocida</t>
  </si>
  <si>
    <t>Carne molida 3% cruda</t>
  </si>
  <si>
    <t>Carne molida 3% cocida</t>
  </si>
  <si>
    <t>Reineta</t>
  </si>
  <si>
    <t>Atún lata aceite</t>
  </si>
  <si>
    <t>atún agua</t>
  </si>
  <si>
    <t>Boloñesa</t>
  </si>
  <si>
    <t>Jamon serrano</t>
  </si>
  <si>
    <t>patty w/ cheese</t>
  </si>
  <si>
    <t>hamburguer bun</t>
  </si>
  <si>
    <t>Huevo</t>
  </si>
  <si>
    <t>1 grande</t>
  </si>
  <si>
    <t>clara de huevo</t>
  </si>
  <si>
    <t>Tostada</t>
  </si>
  <si>
    <t>Yogurt Proteina</t>
  </si>
  <si>
    <t>creme brulee</t>
  </si>
  <si>
    <t>Leche entera</t>
  </si>
  <si>
    <t>Leche chocolate</t>
  </si>
  <si>
    <t>Leche proteína+</t>
  </si>
  <si>
    <t>proteina+ cacao</t>
  </si>
  <si>
    <t>Leche cult prot+</t>
  </si>
  <si>
    <t>crinkle fries</t>
  </si>
  <si>
    <t>homemade fries</t>
  </si>
  <si>
    <t>crackers</t>
  </si>
  <si>
    <t>Papas</t>
  </si>
  <si>
    <t>Arroz</t>
  </si>
  <si>
    <t>Pasta seca</t>
  </si>
  <si>
    <t>Tortilla de harina</t>
  </si>
  <si>
    <t>mayonesa</t>
  </si>
  <si>
    <t>ketchup</t>
  </si>
  <si>
    <t>Mantequilla</t>
  </si>
  <si>
    <t>Aceita de oliva</t>
  </si>
  <si>
    <t>Tomate romanita</t>
  </si>
  <si>
    <t>Manzana</t>
  </si>
  <si>
    <t>Mantequilla maní</t>
  </si>
  <si>
    <t>Mani</t>
  </si>
  <si>
    <t>Maní con sal</t>
  </si>
  <si>
    <t>Maní japones</t>
  </si>
  <si>
    <t>castañas de cajú</t>
  </si>
  <si>
    <t>Queso Montana</t>
  </si>
  <si>
    <t>Parmesano</t>
  </si>
  <si>
    <t>mozzarella latte</t>
  </si>
  <si>
    <t>Mozzarella buffala</t>
  </si>
  <si>
    <t>Cerveza</t>
  </si>
  <si>
    <t>Coke</t>
  </si>
  <si>
    <t>250mL</t>
  </si>
  <si>
    <t>350mL</t>
  </si>
  <si>
    <t>streat cheeseburger</t>
  </si>
  <si>
    <t>streat double cheeseburger</t>
  </si>
  <si>
    <t>mccuarto de libra</t>
  </si>
  <si>
    <t>doble cuarto</t>
  </si>
  <si>
    <t>10 mcnuggets</t>
  </si>
  <si>
    <t>mcpapas chicas</t>
  </si>
  <si>
    <t>mcpapas mediana</t>
  </si>
  <si>
    <t>Table 2-1-2</t>
  </si>
  <si>
    <t>tracking - Table 2-1-2</t>
  </si>
  <si>
    <t>amount</t>
  </si>
  <si>
    <t>toasts</t>
  </si>
  <si>
    <t>eggs</t>
  </si>
  <si>
    <t>egg whites</t>
  </si>
  <si>
    <t>atún aceite</t>
  </si>
  <si>
    <t>reineta</t>
  </si>
  <si>
    <t>filete</t>
  </si>
  <si>
    <t>lomo vetado</t>
  </si>
  <si>
    <t>escalopa</t>
  </si>
  <si>
    <t>pollo</t>
  </si>
  <si>
    <t>carne 10%</t>
  </si>
  <si>
    <t>10% cocida</t>
  </si>
  <si>
    <t>carne 4%</t>
  </si>
  <si>
    <t>4% cocida</t>
  </si>
  <si>
    <t>carne 3%</t>
  </si>
  <si>
    <t>3% cocida</t>
  </si>
  <si>
    <t>jamon serrano</t>
  </si>
  <si>
    <t>arroz</t>
  </si>
  <si>
    <t>pasta seca</t>
  </si>
  <si>
    <t>papas</t>
  </si>
  <si>
    <t>tomate</t>
  </si>
  <si>
    <t>aceite</t>
  </si>
  <si>
    <t>mantequilla</t>
  </si>
  <si>
    <t>quesadilla pollo</t>
  </si>
  <si>
    <t>yogur proteina</t>
  </si>
  <si>
    <t>pb toasts</t>
  </si>
  <si>
    <t>manzana</t>
  </si>
  <si>
    <t>single chzbrgr</t>
  </si>
  <si>
    <t>double chzbrgr</t>
  </si>
  <si>
    <t>papas fritas</t>
  </si>
  <si>
    <t>mcnuggets</t>
  </si>
  <si>
    <t>mcpapas</t>
  </si>
  <si>
    <t>tortilla de harina</t>
  </si>
  <si>
    <t>maní</t>
  </si>
  <si>
    <t>mani con sal</t>
  </si>
  <si>
    <t>maní japo</t>
  </si>
  <si>
    <t>castañas de caju</t>
  </si>
  <si>
    <t>queso montana</t>
  </si>
  <si>
    <t>parmesano</t>
  </si>
  <si>
    <t>mozzarella buff</t>
  </si>
  <si>
    <t>chelas</t>
  </si>
  <si>
    <t>coke</t>
  </si>
  <si>
    <t>leche protein+</t>
  </si>
  <si>
    <t>protein+ cacao</t>
  </si>
  <si>
    <t>leche cult prot+</t>
  </si>
  <si>
    <t>leche entera</t>
  </si>
  <si>
    <t>leche chocolate</t>
  </si>
  <si>
    <t>free</t>
  </si>
  <si>
    <t>tracking - Table 1-1</t>
  </si>
  <si>
    <t>Deudas</t>
  </si>
  <si>
    <t>tracking - Deudas</t>
  </si>
  <si>
    <t>Nico</t>
  </si>
  <si>
    <t>tracking - Table 3-1</t>
  </si>
  <si>
    <t>lb</t>
  </si>
  <si>
    <t>7-day</t>
  </si>
  <si>
    <t>14-day</t>
  </si>
  <si>
    <t>30-day</t>
  </si>
  <si>
    <t>Deadlift</t>
  </si>
  <si>
    <t>Bench press</t>
  </si>
  <si>
    <t>Incline bench</t>
  </si>
  <si>
    <t>Split squats</t>
  </si>
  <si>
    <t>Chest flies</t>
  </si>
  <si>
    <t>Lateral raises</t>
  </si>
  <si>
    <t>Skullcrushers</t>
  </si>
  <si>
    <t>Rear delt flies</t>
  </si>
  <si>
    <t>Biceps curls</t>
  </si>
  <si>
    <t>Shrugs</t>
  </si>
  <si>
    <t>tracking - Table 2</t>
  </si>
  <si>
    <t>Inches</t>
  </si>
  <si>
    <t>cm</t>
  </si>
  <si>
    <t>tracking - Table 3</t>
  </si>
  <si>
    <t>Left Arm</t>
  </si>
  <si>
    <t>Right Arm</t>
  </si>
  <si>
    <t>Chest</t>
  </si>
  <si>
    <t>Waist</t>
  </si>
  <si>
    <t>Hip</t>
  </si>
  <si>
    <t>flexed</t>
  </si>
  <si>
    <t>nonflexed</t>
  </si>
  <si>
    <t>Sundays</t>
  </si>
  <si>
    <t>Flexed</t>
  </si>
  <si>
    <t>Relaxed</t>
  </si>
  <si>
    <t>Inhaled</t>
  </si>
  <si>
    <t>diff</t>
  </si>
  <si>
    <t>tracking - Table 3-1-1</t>
  </si>
  <si>
    <t>∆ kg</t>
  </si>
  <si>
    <t>∆ lb</t>
  </si>
  <si>
    <t>recomp</t>
  </si>
  <si>
    <t>bulk</t>
  </si>
  <si>
    <t>cut (sick*)</t>
  </si>
  <si>
    <t>bulk (recovery)</t>
  </si>
  <si>
    <t>recomp-</t>
  </si>
  <si>
    <t>-----</t>
  </si>
  <si>
    <t>Table 3-1-1-1-1</t>
  </si>
  <si>
    <t>tracking - Table 3-1-1-1-1</t>
  </si>
  <si>
    <t>weight</t>
  </si>
  <si>
    <t>body fat%</t>
  </si>
  <si>
    <t>fat</t>
  </si>
  <si>
    <t>lean</t>
  </si>
  <si>
    <t>dif</t>
  </si>
  <si>
    <t>grasa (?)</t>
  </si>
  <si>
    <t>Table 2-1-1</t>
  </si>
  <si>
    <t>tracking - Table 2-1-1</t>
  </si>
  <si>
    <t>barra kg</t>
  </si>
  <si>
    <t>Pullups</t>
  </si>
  <si>
    <t xml:space="preserve">7 6 6 </t>
  </si>
  <si>
    <t>3x10</t>
  </si>
  <si>
    <t>3x12</t>
  </si>
  <si>
    <t>5x5</t>
  </si>
  <si>
    <t>3x8</t>
  </si>
  <si>
    <t>Flat bench press</t>
  </si>
  <si>
    <t>12 12 8</t>
  </si>
  <si>
    <t>Incline bench press</t>
  </si>
  <si>
    <t>10 10 10</t>
  </si>
  <si>
    <t xml:space="preserve">6 8 8 </t>
  </si>
  <si>
    <t>8 6 6</t>
  </si>
  <si>
    <t>inverted row</t>
  </si>
  <si>
    <t>Table 2-1-1-1</t>
  </si>
  <si>
    <t>tracking - Table 2-1-1-1</t>
  </si>
  <si>
    <t>max effort upper body</t>
  </si>
  <si>
    <t>mon</t>
  </si>
  <si>
    <t>tue</t>
  </si>
  <si>
    <t>lower body</t>
  </si>
  <si>
    <t>wed</t>
  </si>
  <si>
    <t>thu</t>
  </si>
  <si>
    <t>uppber body again</t>
  </si>
  <si>
    <t>fri</t>
  </si>
  <si>
    <t>sat</t>
  </si>
  <si>
    <t>sun</t>
  </si>
  <si>
    <t>max effort lift</t>
  </si>
  <si>
    <t>flat bench press</t>
  </si>
  <si>
    <t>dead lift</t>
  </si>
  <si>
    <t>repetition lift</t>
  </si>
  <si>
    <t>supplemental lift</t>
  </si>
  <si>
    <t>incline db press</t>
  </si>
  <si>
    <t>unilateral movement</t>
  </si>
  <si>
    <t>split squat</t>
  </si>
  <si>
    <t>supplemental lift tris</t>
  </si>
  <si>
    <t>skullcrushers</t>
  </si>
  <si>
    <t>horizontal row</t>
  </si>
  <si>
    <t>barbell rows</t>
  </si>
  <si>
    <t>hamstring / post chain</t>
  </si>
  <si>
    <t>romanian deadlifts</t>
  </si>
  <si>
    <t>vertical pulling</t>
  </si>
  <si>
    <t>pullups</t>
  </si>
  <si>
    <t>rear delt/upper back</t>
  </si>
  <si>
    <t>rear delt flyes</t>
  </si>
  <si>
    <t>grip training</t>
  </si>
  <si>
    <t>farmer's walks</t>
  </si>
  <si>
    <t>med delt traps</t>
  </si>
  <si>
    <t>shrugs</t>
  </si>
  <si>
    <t>abs</t>
  </si>
  <si>
    <t>elbow</t>
  </si>
  <si>
    <t>db curls</t>
  </si>
  <si>
    <t>tracking - Drawings</t>
  </si>
  <si>
    <t>Trees</t>
  </si>
  <si>
    <t>Trees - Table 1</t>
  </si>
  <si>
    <t>Planted</t>
  </si>
  <si>
    <t>Sprouted</t>
  </si>
  <si>
    <t>Started flowering</t>
  </si>
  <si>
    <t>Tiempo en veg</t>
  </si>
  <si>
    <t>Tiempo blooming</t>
  </si>
  <si>
    <t>Días total</t>
  </si>
  <si>
    <t>Cosecha</t>
  </si>
  <si>
    <t>a</t>
  </si>
  <si>
    <t>b</t>
  </si>
  <si>
    <t>c</t>
  </si>
  <si>
    <t>d</t>
  </si>
  <si>
    <t>Trees - Table 1-1</t>
  </si>
  <si>
    <t>Trees - Table 1-1-1</t>
  </si>
  <si>
    <t>Trees - Table 3</t>
  </si>
  <si>
    <t>Trees - Table 3-1</t>
  </si>
  <si>
    <t>x - water all</t>
  </si>
  <si>
    <t>a, b, c</t>
  </si>
  <si>
    <t>a, b, c - water</t>
  </si>
  <si>
    <t>A, B</t>
  </si>
  <si>
    <t>* - with nutes</t>
  </si>
  <si>
    <t>a, b</t>
  </si>
  <si>
    <t>b, c – C</t>
  </si>
  <si>
    <t>A, B, C - lst</t>
  </si>
  <si>
    <t>a - A</t>
  </si>
  <si>
    <t>C*</t>
  </si>
  <si>
    <t>a*, b*, c*</t>
  </si>
  <si>
    <t>4 semanas</t>
  </si>
  <si>
    <t>A, C</t>
  </si>
  <si>
    <t>a* – B</t>
  </si>
  <si>
    <t>b*, c*, a</t>
  </si>
  <si>
    <t>Topped B</t>
  </si>
  <si>
    <t>a**, b**, c**</t>
  </si>
  <si>
    <t>8 semanas</t>
  </si>
  <si>
    <t>Trees - Table 4</t>
  </si>
  <si>
    <t>Dimensiones base</t>
  </si>
  <si>
    <t>80 cm x 80 cm</t>
  </si>
  <si>
    <t>31" x 31"</t>
  </si>
  <si>
    <t>2,6' x 2,6'</t>
  </si>
  <si>
    <t>Area</t>
  </si>
  <si>
    <t>0,64 m2</t>
  </si>
  <si>
    <t>6,88 sqft</t>
  </si>
  <si>
    <t>Potencia luz</t>
  </si>
  <si>
    <t>190 W real</t>
  </si>
  <si>
    <t>324 W falso</t>
  </si>
  <si>
    <t>Humedad</t>
  </si>
  <si>
    <t>veg</t>
  </si>
  <si>
    <t>40-50</t>
  </si>
  <si>
    <t>flower</t>
  </si>
  <si>
    <t>40-45</t>
  </si>
  <si>
    <t>late flower</t>
  </si>
  <si>
    <t>50-60</t>
  </si>
  <si>
    <t>drying</t>
  </si>
  <si>
    <t>en 2 L</t>
  </si>
  <si>
    <t>middle flower</t>
  </si>
  <si>
    <t>Grow - NPK</t>
  </si>
  <si>
    <t>Bloom</t>
  </si>
  <si>
    <t>Topmax - NPK</t>
  </si>
  <si>
    <t>Trees - Table 2</t>
  </si>
  <si>
    <t>Piranha</t>
  </si>
  <si>
    <t>Kit pH</t>
  </si>
  <si>
    <t>Camara secado</t>
  </si>
  <si>
    <t>Trimmer</t>
  </si>
  <si>
    <t>Trees - Table 5</t>
  </si>
  <si>
    <t>Plantas</t>
  </si>
  <si>
    <t>Inicio</t>
  </si>
  <si>
    <t>Duracion</t>
  </si>
  <si>
    <t>Training</t>
  </si>
  <si>
    <t>Yield</t>
  </si>
  <si>
    <t>Total yield</t>
  </si>
  <si>
    <t>1a</t>
  </si>
  <si>
    <t>Sweet Cheese Auto</t>
  </si>
  <si>
    <t>1b</t>
  </si>
  <si>
    <t>por planta</t>
  </si>
  <si>
    <t>1c</t>
  </si>
  <si>
    <t>2a</t>
  </si>
  <si>
    <t>FB Girl Scout Cookies</t>
  </si>
  <si>
    <t>LST</t>
  </si>
  <si>
    <t>2b</t>
  </si>
  <si>
    <t>LST, topped wk6</t>
  </si>
  <si>
    <t>2c</t>
  </si>
  <si>
    <t>Topped, LST</t>
  </si>
  <si>
    <t>3a</t>
  </si>
  <si>
    <t>Dutch Passion WW</t>
  </si>
  <si>
    <t>3b</t>
  </si>
  <si>
    <t>5a</t>
  </si>
  <si>
    <t>sweet skunk</t>
  </si>
  <si>
    <t>5b</t>
  </si>
  <si>
    <t>desd</t>
  </si>
  <si>
    <t>6a</t>
  </si>
  <si>
    <t>6b</t>
  </si>
  <si>
    <t>Trees - Table 3-1-1</t>
  </si>
  <si>
    <t>WHITE WIDOW</t>
  </si>
  <si>
    <t>SWEET SKUNK</t>
  </si>
  <si>
    <t>ded</t>
  </si>
  <si>
    <t>Sheet 3</t>
  </si>
  <si>
    <t>comida</t>
  </si>
  <si>
    <t>comida - Table 2</t>
  </si>
  <si>
    <t>Peso venta</t>
  </si>
  <si>
    <t>Precio venta</t>
  </si>
  <si>
    <t>Factor</t>
  </si>
  <si>
    <t>Polvos de hornear</t>
  </si>
  <si>
    <t>Levadura</t>
  </si>
  <si>
    <t>Harina</t>
  </si>
  <si>
    <t>Aceite</t>
  </si>
  <si>
    <t>Leche</t>
  </si>
  <si>
    <t>Crema</t>
  </si>
  <si>
    <t>Sal</t>
  </si>
  <si>
    <t>Azúcar</t>
  </si>
  <si>
    <t>Garbanzos</t>
  </si>
  <si>
    <t>Sesamo</t>
  </si>
  <si>
    <t>Ajo (1 diente)</t>
  </si>
  <si>
    <t>Cebolla</t>
  </si>
  <si>
    <t>Limon</t>
  </si>
  <si>
    <t>Vainilla (1 vaina)</t>
  </si>
  <si>
    <t>comida - Table 2-1</t>
  </si>
  <si>
    <t>Porcion</t>
  </si>
  <si>
    <t>Precio porcion</t>
  </si>
  <si>
    <t>Crackelet</t>
  </si>
  <si>
    <t>Levadura (2 cdts)</t>
  </si>
  <si>
    <t>2 bandejas</t>
  </si>
  <si>
    <t>Pan de sandwich</t>
  </si>
  <si>
    <t>170−230</t>
  </si>
  <si>
    <t>113-150</t>
  </si>
  <si>
    <t>Pan de molde</t>
  </si>
  <si>
    <t>Pizza</t>
  </si>
  <si>
    <t>~7 pizzas individ.</t>
  </si>
  <si>
    <t>Azucar</t>
  </si>
  <si>
    <t>comida - Table 2-1-1</t>
  </si>
  <si>
    <t>Crema brulela</t>
  </si>
  <si>
    <t>Vainiila</t>
  </si>
  <si>
    <t>Huevos</t>
  </si>
  <si>
    <t>Salen 4</t>
  </si>
  <si>
    <t>Buttery Snickerdoodles</t>
  </si>
  <si>
    <t>Vainilla</t>
  </si>
  <si>
    <t>Canela</t>
  </si>
  <si>
    <t>Salen 18</t>
  </si>
  <si>
    <t>Pie de limón</t>
  </si>
  <si>
    <t>Limón</t>
  </si>
  <si>
    <t>Queque básico</t>
  </si>
  <si>
    <t>comida - Table 2-1-2</t>
  </si>
  <si>
    <t>Hummus</t>
  </si>
  <si>
    <t>Ajo</t>
  </si>
  <si>
    <t>1 pote</t>
  </si>
  <si>
    <t>Fideos</t>
  </si>
  <si>
    <t>2  porciones</t>
  </si>
  <si>
    <t>Carne mechada</t>
  </si>
  <si>
    <t>Carne</t>
  </si>
  <si>
    <t>Pimenton</t>
  </si>
  <si>
    <t>~6 porciones</t>
  </si>
  <si>
    <t>Zanahoria</t>
  </si>
  <si>
    <t>Guiso zapallo italiano</t>
  </si>
  <si>
    <t>Zapallo italiano</t>
  </si>
  <si>
    <t>Caldo pollo</t>
  </si>
  <si>
    <t>Queso</t>
  </si>
  <si>
    <t>Proteína champignon</t>
  </si>
  <si>
    <t>Proteína</t>
  </si>
  <si>
    <t>Mostaza</t>
  </si>
  <si>
    <t>Champiñones</t>
  </si>
  <si>
    <t>Vino</t>
  </si>
  <si>
    <t>Pimienta</t>
  </si>
  <si>
    <t>Eat</t>
  </si>
  <si>
    <t>comida - Eat</t>
  </si>
  <si>
    <t>Riso al forno</t>
  </si>
  <si>
    <r>
      <rPr>
        <u val="single"/>
        <sz val="10"/>
        <color indexed="8"/>
        <rFont val="Helvetica"/>
      </rPr>
      <t>https://www.triedandtruerecipe.com/riso-al-forno-baked-risotto/</t>
    </r>
  </si>
  <si>
    <r>
      <rPr>
        <u val="single"/>
        <sz val="10"/>
        <color indexed="8"/>
        <rFont val="Helvetica"/>
      </rPr>
      <t>https://www.reddit.com/r/EatCheapAndHealthy/comments/r4yigd/i_learned_about_an_italian_peasant_dish_called/</t>
    </r>
  </si>
  <si>
    <t>Beef risotto</t>
  </si>
  <si>
    <t>Flan patissier</t>
  </si>
  <si>
    <r>
      <rPr>
        <u val="single"/>
        <sz val="10"/>
        <color indexed="8"/>
        <rFont val="Helvetica"/>
      </rPr>
      <t>https://www.recipetineats.com/flan-patissier-french-custard-tart/</t>
    </r>
  </si>
  <si>
    <t>Molasses spice lemon sandwich cookie</t>
  </si>
  <si>
    <r>
      <rPr>
        <u val="single"/>
        <sz val="10"/>
        <color indexed="8"/>
        <rFont val="Helvetica"/>
      </rPr>
      <t>https://www.americastestkitchen.com/recipes/2722-molasses-spice-lemon-sandwich-cookies?pac=7N3W%2Bys/Z4NF16D7SsnD5LMjy2uTbDo2VGlIva1BpY0=%0A&amp;extcode=NSAKH28IG&amp;utm_source=instagram&amp;utm_medium=photo&amp;utm_content=molassescookies&amp;utm_campaign=atkthanksgiving</t>
    </r>
  </si>
  <si>
    <t>Thumbprints de membrillo</t>
  </si>
  <si>
    <r>
      <rPr>
        <u val="single"/>
        <sz val="10"/>
        <color indexed="8"/>
        <rFont val="Helvetica"/>
      </rPr>
      <t>https://en.wikipedia.org/wiki/Quince_cheese</t>
    </r>
  </si>
  <si>
    <t>peppermint bark</t>
  </si>
  <si>
    <t>fudge</t>
  </si>
  <si>
    <t>comida - Table 1</t>
  </si>
  <si>
    <t>Parmeaso</t>
  </si>
  <si>
    <t>Queso Valdivia</t>
  </si>
  <si>
    <t>Café</t>
  </si>
  <si>
    <t>Pillows</t>
  </si>
  <si>
    <t>Bolsas Frozen</t>
  </si>
  <si>
    <t>Kerrygold</t>
  </si>
  <si>
    <t>Leche almendra</t>
  </si>
  <si>
    <t>Leche almendra c</t>
  </si>
  <si>
    <t>Walkers</t>
  </si>
  <si>
    <t>Bebidas</t>
  </si>
  <si>
    <t>Toalla nova</t>
  </si>
  <si>
    <t>comida - Drawings</t>
  </si>
  <si>
    <t>auto</t>
  </si>
  <si>
    <t>Depreciación auto</t>
  </si>
  <si>
    <t>auto - Depreciación auto</t>
  </si>
  <si>
    <t>Corsa  Enjoy HB3 1.4 MT</t>
  </si>
  <si>
    <t>Corsa Enjoy HB5 1.4T MT</t>
  </si>
  <si>
    <t>Corsa Cosmo HB5 1.4 AT</t>
  </si>
  <si>
    <t>auto - Table 1-1</t>
  </si>
  <si>
    <t>Opel</t>
  </si>
  <si>
    <t>Astra Enjoy 1.4T AT</t>
  </si>
  <si>
    <t>Toyota</t>
  </si>
  <si>
    <t>Prius C</t>
  </si>
  <si>
    <t>Honda</t>
  </si>
  <si>
    <t>Fit EX 1.5 AT</t>
  </si>
  <si>
    <t>HR-V Smart EX 1.8 CVT</t>
  </si>
  <si>
    <t>Subaru</t>
  </si>
  <si>
    <t xml:space="preserve">Impreza 2.0 Sport AWD CVT Limited </t>
  </si>
  <si>
    <t>Mazda</t>
  </si>
  <si>
    <t>New Mazda3 Sport GT SR 2.5 6AT Audio Bose Cuero GPS</t>
  </si>
  <si>
    <t>Mazda6 Sport Wagon GT 2.5 6AT GPS</t>
  </si>
  <si>
    <t>Volvo</t>
  </si>
  <si>
    <t>S60 T3 Aut. Comfort</t>
  </si>
  <si>
    <t>V40 Turbo</t>
  </si>
  <si>
    <t>Lexus</t>
  </si>
  <si>
    <t>CT200h</t>
  </si>
  <si>
    <t>Audi</t>
  </si>
  <si>
    <t>A3 1.4 TFSI 150 HP S Tronic</t>
  </si>
  <si>
    <t>A1 1.4 MT</t>
  </si>
  <si>
    <t>A1 Sportback 1.4 STRO</t>
  </si>
  <si>
    <t>A1 1.4 TFSI 125 HP MT</t>
  </si>
  <si>
    <t>Mantenciones</t>
  </si>
  <si>
    <t>auto - Mantenciones</t>
  </si>
  <si>
    <t>07/2019</t>
  </si>
  <si>
    <t>auto - Table 3</t>
  </si>
  <si>
    <t>5 años</t>
  </si>
  <si>
    <t>auto - Table 2</t>
  </si>
  <si>
    <t>km</t>
  </si>
  <si>
    <t>litros</t>
  </si>
  <si>
    <t>$</t>
  </si>
  <si>
    <t>auto - Drawings</t>
  </si>
  <si>
    <t>Precios</t>
  </si>
  <si>
    <t>Farmacia</t>
  </si>
  <si>
    <t>Precios - Farmacia</t>
  </si>
  <si>
    <t>Dosis</t>
  </si>
  <si>
    <t>Cantidad</t>
  </si>
  <si>
    <t>Ahumada</t>
  </si>
  <si>
    <t>Ácido mefenámico</t>
  </si>
  <si>
    <t>500 mg</t>
  </si>
  <si>
    <t>Celebra</t>
  </si>
  <si>
    <t>200 mg</t>
  </si>
  <si>
    <t>Nastizol</t>
  </si>
  <si>
    <t>Gaviscon Doble Acción</t>
  </si>
  <si>
    <t>Abrilar</t>
  </si>
  <si>
    <t>Bilidren</t>
  </si>
  <si>
    <t>20 mg</t>
  </si>
  <si>
    <t>Blistex original</t>
  </si>
  <si>
    <t>Vitis suave + mini pasta</t>
  </si>
  <si>
    <t>Kank·eze</t>
  </si>
  <si>
    <t>Sheet 2</t>
  </si>
  <si>
    <t>Yosy</t>
  </si>
  <si>
    <t>Entel</t>
  </si>
  <si>
    <t>Vale Petit</t>
  </si>
  <si>
    <t>FLSmidth</t>
  </si>
  <si>
    <t>Jorge</t>
  </si>
  <si>
    <t>Lemontech - senior</t>
  </si>
  <si>
    <t>TechK CTO</t>
  </si>
  <si>
    <t>Unholster senior</t>
  </si>
  <si>
    <t>Matias (4 dias)</t>
  </si>
  <si>
    <t>Capitaria</t>
  </si>
  <si>
    <t>Daniel</t>
  </si>
  <si>
    <t>TechK - iOS</t>
  </si>
  <si>
    <t>Sosafe - iOS</t>
  </si>
  <si>
    <t>Jaime</t>
  </si>
  <si>
    <t>TechK - Android Sr.</t>
  </si>
  <si>
    <t>Eduardo</t>
  </si>
  <si>
    <t>TechK - FullStack Sr.</t>
  </si>
  <si>
    <t>Regalos</t>
  </si>
  <si>
    <t>fat pikachu</t>
  </si>
  <si>
    <t>Sheet 1</t>
  </si>
  <si>
    <t>Dias</t>
  </si>
  <si>
    <t>Alojamiento</t>
  </si>
  <si>
    <t>Atracciones</t>
  </si>
</sst>
</file>

<file path=xl/styles.xml><?xml version="1.0" encoding="utf-8"?>
<styleSheet xmlns="http://schemas.openxmlformats.org/spreadsheetml/2006/main">
  <numFmts count="55">
    <numFmt numFmtId="0" formatCode="General"/>
    <numFmt numFmtId="59" formatCode="_-&quot;$&quot;* #,##0_-;_-&quot;$&quot;* \(#,##0\)_-;_-&quot;$&quot;* &quot;-&quot;??;_-@_-"/>
    <numFmt numFmtId="60" formatCode="#,##0.00%"/>
    <numFmt numFmtId="61" formatCode="[&lt;0]&quot;(UF&quot;* #,###.00);&quot;UF&quot;* #,###.00"/>
    <numFmt numFmtId="62" formatCode="&quot;CLP&quot;* #,###_ &quot;   ANUAL&quot;"/>
    <numFmt numFmtId="63" formatCode="#,##0%"/>
    <numFmt numFmtId="64" formatCode="_-[$$-409]* #,##0_-;_-[$$-409]* \(#,##0\)_-;_-[$$-409]* &quot;-&quot;??;_-@_-"/>
    <numFmt numFmtId="65" formatCode="0.0%"/>
    <numFmt numFmtId="66" formatCode="_-[$$-409]* #,##0.00_-;_-[$$-409]* \(#,##0.00\)_-;_-[$$-409]* &quot;-&quot;??;_-@_-"/>
    <numFmt numFmtId="67" formatCode="_-&quot;$&quot;* #,##0.00_-;_-&quot;$&quot;* \(#,##0.00\)_-;_-&quot;$&quot;* &quot;-&quot;??;_-@_-"/>
    <numFmt numFmtId="68" formatCode="_-&quot;$&quot;* #,##0.0_-;_-&quot;$&quot;* \(#,##0.0\)_-;_-&quot;$&quot;* &quot;-&quot;??;_-@_-"/>
    <numFmt numFmtId="69" formatCode="0.0"/>
    <numFmt numFmtId="70" formatCode="_-[$€-2]* #,##0_-;_-[$€-2]* \(#,##0\)_-;_-[$€-2]* &quot;-&quot;??;_-@_-"/>
    <numFmt numFmtId="71" formatCode="&quot;$&quot;#,##0"/>
    <numFmt numFmtId="72" formatCode="#,##0.0#"/>
    <numFmt numFmtId="73" formatCode="dddd d"/>
    <numFmt numFmtId="74" formatCode="&quot;$&quot;0"/>
    <numFmt numFmtId="75" formatCode="mmm yy"/>
    <numFmt numFmtId="76" formatCode="mmmm yyyy"/>
    <numFmt numFmtId="77" formatCode="d mmm"/>
    <numFmt numFmtId="78" formatCode="mmmm"/>
    <numFmt numFmtId="79" formatCode="#,##0.0"/>
    <numFmt numFmtId="80" formatCode="#,##0.0%"/>
    <numFmt numFmtId="81" formatCode="# ???/???"/>
    <numFmt numFmtId="82" formatCode="[&lt;0](#,###);#,###"/>
    <numFmt numFmtId="83" formatCode="[=1]#,###&quot; mes&quot;;#,###&quot; meses&quot;"/>
    <numFmt numFmtId="84" formatCode="dd-mm-yy"/>
    <numFmt numFmtId="85" formatCode="d mmmm"/>
    <numFmt numFmtId="86" formatCode="[&lt;0]&quot;UF&quot;* (#,###);&quot;UF&quot;* #,###"/>
    <numFmt numFmtId="87" formatCode="m/d"/>
    <numFmt numFmtId="88" formatCode="m/yy"/>
    <numFmt numFmtId="89" formatCode="_-[$£-809]* #,##0_-;\-[$£-809]* #,##0_-;_-[$£-809]* &quot;-&quot;??;_-@_-"/>
    <numFmt numFmtId="90" formatCode="&quot;UTM&quot;* #,###"/>
    <numFmt numFmtId="91" formatCode="[$$-409]0.00"/>
    <numFmt numFmtId="92" formatCode="_-[$$-409]* #,##0.0_-;_-[$$-409]* \(#,##0.0\)_-;_-[$$-409]* &quot;-&quot;??;_-@_-"/>
    <numFmt numFmtId="93" formatCode="[$$-409]#,##0"/>
    <numFmt numFmtId="94" formatCode="0.0#%"/>
    <numFmt numFmtId="95" formatCode="#,##0.0#%"/>
    <numFmt numFmtId="96" formatCode="[&lt;0]&quot;UF &quot;* (#,###.????);&quot;UF &quot;* #,###.????"/>
    <numFmt numFmtId="97" formatCode="[=1]#,###&quot; año&quot;;#,###.#&quot; años&quot;"/>
    <numFmt numFmtId="98" formatCode="#,##0.000%"/>
    <numFmt numFmtId="99" formatCode="yyyy-mm-dd"/>
    <numFmt numFmtId="100" formatCode="0.0000"/>
    <numFmt numFmtId="101" formatCode="#,##0.0000"/>
    <numFmt numFmtId="102" formatCode="0.0000_);\(0.0000\)"/>
    <numFmt numFmtId="103" formatCode="&quot;BTC&quot;* .00000000"/>
    <numFmt numFmtId="104" formatCode="&quot;ETH&quot;* .00000000"/>
    <numFmt numFmtId="105" formatCode="#,###&quot; g&quot;"/>
    <numFmt numFmtId="106" formatCode="d mmm hh:mm"/>
    <numFmt numFmtId="107" formatCode="0.000"/>
    <numFmt numFmtId="108" formatCode="dd-mm-yyyy"/>
    <numFmt numFmtId="109" formatCode="#,###&quot; g/m2&quot;"/>
    <numFmt numFmtId="110" formatCode="#,###.##&quot; oz&quot;"/>
    <numFmt numFmtId="111" formatCode="ddd d mmm"/>
    <numFmt numFmtId="112" formatCode="_-[$€-2]* #,##0.00_-;_-[$€-2]* \(#,##0.00\)_-;_-[$€-2]* &quot;-&quot;??;_-@_-"/>
  </numFmts>
  <fonts count="58">
    <font>
      <sz val="10"/>
      <color indexed="8"/>
      <name val="Helvetica"/>
    </font>
    <font>
      <sz val="12"/>
      <color indexed="8"/>
      <name val="Helvetica"/>
    </font>
    <font>
      <sz val="14"/>
      <color indexed="8"/>
      <name val="Helvetica"/>
    </font>
    <font>
      <u val="single"/>
      <sz val="12"/>
      <color indexed="11"/>
      <name val="Helvetica"/>
    </font>
    <font>
      <b val="1"/>
      <sz val="10"/>
      <color indexed="8"/>
      <name val="Helvetica"/>
    </font>
    <font>
      <sz val="11"/>
      <color indexed="8"/>
      <name val="Helvetica"/>
    </font>
    <font>
      <b val="1"/>
      <sz val="10"/>
      <color indexed="26"/>
      <name val="Helvetica"/>
    </font>
    <font>
      <sz val="10"/>
      <color indexed="27"/>
      <name val="Helvetica"/>
    </font>
    <font>
      <sz val="10"/>
      <color indexed="28"/>
      <name val="Helvetica"/>
    </font>
    <font>
      <sz val="12"/>
      <color indexed="8"/>
      <name val="Times Roman"/>
    </font>
    <font>
      <u val="single"/>
      <sz val="12"/>
      <color indexed="8"/>
      <name val="Times Roman"/>
    </font>
    <font>
      <sz val="10"/>
      <color indexed="47"/>
      <name val="Helvetica"/>
    </font>
    <font>
      <sz val="10"/>
      <color indexed="8"/>
      <name val="Helvetica"/>
    </font>
    <font>
      <sz val="10"/>
      <color indexed="52"/>
      <name val="Helvetica"/>
    </font>
    <font>
      <b val="1"/>
      <sz val="10"/>
      <color indexed="53"/>
      <name val="Helvetica"/>
    </font>
    <font>
      <sz val="10"/>
      <color indexed="8"/>
      <name val="Menlo Regular"/>
    </font>
    <font>
      <sz val="10"/>
      <color indexed="56"/>
      <name val="Menlo Regular"/>
    </font>
    <font>
      <sz val="10"/>
      <color indexed="60"/>
      <name val="Helvetica"/>
    </font>
    <font>
      <b val="1"/>
      <strike val="1"/>
      <sz val="10"/>
      <color indexed="8"/>
      <name val="Helvetica"/>
    </font>
    <font>
      <shadow val="1"/>
      <sz val="12"/>
      <color indexed="16"/>
      <name val="Helvetica"/>
    </font>
    <font>
      <shadow val="1"/>
      <sz val="12"/>
      <color indexed="8"/>
      <name val="Helvetica"/>
    </font>
    <font>
      <sz val="10"/>
      <color rgb="ffcbcbcb"/>
      <name val="Menlo Regular"/>
    </font>
    <font>
      <sz val="10"/>
      <color rgb="ff939393"/>
      <name val="Menlo Regular"/>
    </font>
    <font>
      <sz val="10"/>
      <color rgb="ffadadad"/>
      <name val="Menlo Regular"/>
    </font>
    <font>
      <b val="1"/>
      <sz val="10"/>
      <color indexed="8"/>
      <name val="Menlo Regular"/>
    </font>
    <font>
      <b val="1"/>
      <sz val="10"/>
      <color rgb="ffadadad"/>
      <name val="Menlo Regular"/>
    </font>
    <font>
      <sz val="10"/>
      <color rgb="ffbababa"/>
      <name val="Menlo Regular"/>
    </font>
    <font>
      <sz val="10"/>
      <color rgb="ffcbcbcb"/>
      <name val="Helvetica"/>
    </font>
    <font>
      <sz val="10"/>
      <color rgb="ffcccacc"/>
      <name val="Menlo Regular"/>
    </font>
    <font>
      <sz val="12"/>
      <color indexed="16"/>
      <name val="Helvetica"/>
    </font>
    <font>
      <b val="1"/>
      <sz val="9"/>
      <color indexed="16"/>
      <name val="Helvetica"/>
    </font>
    <font>
      <sz val="9"/>
      <color indexed="8"/>
      <name val="Helvetica"/>
    </font>
    <font>
      <sz val="5"/>
      <color indexed="8"/>
      <name val="Helvetica"/>
    </font>
    <font>
      <sz val="3"/>
      <color indexed="8"/>
      <name val="Helvetica"/>
    </font>
    <font>
      <u val="single"/>
      <sz val="10"/>
      <color indexed="8"/>
      <name val="Helvetica"/>
    </font>
    <font>
      <sz val="10"/>
      <color rgb="ffa9a9a9"/>
      <name val="Helvetica"/>
    </font>
    <font>
      <sz val="10"/>
      <color indexed="56"/>
      <name val="Helvetica"/>
    </font>
    <font>
      <sz val="10"/>
      <color rgb="ffcdcdcd"/>
      <name val="Helvetica"/>
    </font>
    <font>
      <i val="1"/>
      <sz val="10"/>
      <color indexed="8"/>
      <name val="Helvetica"/>
    </font>
    <font>
      <sz val="10"/>
      <color rgb="58000000"/>
      <name val="Menlo Regular"/>
    </font>
    <font>
      <b val="1"/>
      <sz val="10"/>
      <color rgb="2a000000"/>
      <name val="Menlo Regular"/>
    </font>
    <font>
      <sz val="10"/>
      <color indexed="52"/>
      <name val="Menlo Regular"/>
    </font>
    <font>
      <sz val="10"/>
      <color indexed="28"/>
      <name val="Menlo Regular"/>
    </font>
    <font>
      <sz val="10"/>
      <color rgb="ffcdcdcd"/>
      <name val="Menlo Regular"/>
    </font>
    <font>
      <b val="1"/>
      <sz val="10"/>
      <color indexed="20"/>
      <name val="Menlo Regular"/>
    </font>
    <font>
      <sz val="10"/>
      <color rgb="ff707070"/>
      <name val="Menlo Regular"/>
    </font>
    <font>
      <sz val="23"/>
      <color indexed="8"/>
      <name val="Menlo Regular"/>
    </font>
    <font>
      <sz val="10"/>
      <color rgb="7f000000"/>
      <name val="Helvetica"/>
    </font>
    <font>
      <sz val="10"/>
      <color indexed="15"/>
      <name val="Helvetica"/>
    </font>
    <font>
      <b val="1"/>
      <sz val="10"/>
      <color rgb="77000000"/>
      <name val="Helvetica"/>
    </font>
    <font>
      <sz val="10"/>
      <color rgb="ffa8a8a8"/>
      <name val="Helvetica"/>
    </font>
    <font>
      <b val="1"/>
      <sz val="10"/>
      <color rgb="ffa8a8a8"/>
      <name val="Helvetica"/>
    </font>
    <font>
      <b val="1"/>
      <sz val="10"/>
      <color rgb="ffcfcfcf"/>
      <name val="Helvetica"/>
    </font>
    <font>
      <b val="1"/>
      <sz val="10"/>
      <color rgb="ffd6d6d6"/>
      <name val="Helvetica"/>
    </font>
    <font>
      <sz val="10"/>
      <color rgb="ffb8b8b8"/>
      <name val="Helvetica"/>
    </font>
    <font>
      <sz val="10"/>
      <color rgb="ff040404"/>
      <name val="Helvetica"/>
    </font>
    <font>
      <sz val="10"/>
      <color rgb="ff313131"/>
      <name val="Helvetica"/>
    </font>
    <font>
      <sz val="10"/>
      <color rgb="ffc7c7c7"/>
      <name val="Helvetica"/>
    </font>
  </fonts>
  <fills count="7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4"/>
        <bgColor auto="1"/>
      </patternFill>
    </fill>
    <fill>
      <patternFill patternType="solid">
        <fgColor indexed="25"/>
        <bgColor auto="1"/>
      </patternFill>
    </fill>
    <fill>
      <patternFill patternType="solid">
        <fgColor indexed="30"/>
        <bgColor auto="1"/>
      </patternFill>
    </fill>
    <fill>
      <patternFill patternType="solid">
        <fgColor indexed="16"/>
        <bgColor auto="1"/>
      </patternFill>
    </fill>
    <fill>
      <patternFill patternType="solid">
        <fgColor indexed="33"/>
        <bgColor auto="1"/>
      </patternFill>
    </fill>
    <fill>
      <patternFill patternType="solid">
        <fgColor indexed="34"/>
        <bgColor auto="1"/>
      </patternFill>
    </fill>
    <fill>
      <patternFill patternType="solid">
        <fgColor indexed="35"/>
        <bgColor auto="1"/>
      </patternFill>
    </fill>
    <fill>
      <patternFill patternType="solid">
        <fgColor indexed="36"/>
        <bgColor auto="1"/>
      </patternFill>
    </fill>
    <fill>
      <patternFill patternType="solid">
        <fgColor indexed="37"/>
        <bgColor auto="1"/>
      </patternFill>
    </fill>
    <fill>
      <patternFill patternType="solid">
        <fgColor indexed="38"/>
        <bgColor auto="1"/>
      </patternFill>
    </fill>
    <fill>
      <patternFill patternType="solid">
        <fgColor indexed="39"/>
        <bgColor auto="1"/>
      </patternFill>
    </fill>
    <fill>
      <patternFill patternType="solid">
        <fgColor indexed="40"/>
        <bgColor auto="1"/>
      </patternFill>
    </fill>
    <fill>
      <patternFill patternType="solid">
        <fgColor indexed="41"/>
        <bgColor auto="1"/>
      </patternFill>
    </fill>
    <fill>
      <patternFill patternType="solid">
        <fgColor indexed="42"/>
        <bgColor auto="1"/>
      </patternFill>
    </fill>
    <fill>
      <patternFill patternType="solid">
        <fgColor indexed="43"/>
        <bgColor auto="1"/>
      </patternFill>
    </fill>
    <fill>
      <patternFill patternType="solid">
        <fgColor indexed="44"/>
        <bgColor auto="1"/>
      </patternFill>
    </fill>
    <fill>
      <patternFill patternType="solid">
        <fgColor indexed="45"/>
        <bgColor auto="1"/>
      </patternFill>
    </fill>
    <fill>
      <patternFill patternType="solid">
        <fgColor indexed="46"/>
        <bgColor auto="1"/>
      </patternFill>
    </fill>
    <fill>
      <patternFill patternType="solid">
        <fgColor indexed="49"/>
        <bgColor auto="1"/>
      </patternFill>
    </fill>
    <fill>
      <patternFill patternType="solid">
        <fgColor indexed="50"/>
        <bgColor auto="1"/>
      </patternFill>
    </fill>
    <fill>
      <patternFill patternType="solid">
        <fgColor indexed="51"/>
        <bgColor auto="1"/>
      </patternFill>
    </fill>
    <fill>
      <patternFill patternType="solid">
        <fgColor indexed="54"/>
        <bgColor auto="1"/>
      </patternFill>
    </fill>
    <fill>
      <patternFill patternType="solid">
        <fgColor indexed="55"/>
        <bgColor auto="1"/>
      </patternFill>
    </fill>
    <fill>
      <patternFill patternType="solid">
        <fgColor indexed="57"/>
        <bgColor auto="1"/>
      </patternFill>
    </fill>
    <fill>
      <patternFill patternType="solid">
        <fgColor indexed="58"/>
        <bgColor auto="1"/>
      </patternFill>
    </fill>
    <fill>
      <patternFill patternType="solid">
        <fgColor indexed="59"/>
        <bgColor auto="1"/>
      </patternFill>
    </fill>
    <fill>
      <patternFill patternType="solid">
        <fgColor indexed="61"/>
        <bgColor auto="1"/>
      </patternFill>
    </fill>
    <fill>
      <patternFill patternType="solid">
        <fgColor indexed="62"/>
        <bgColor auto="1"/>
      </patternFill>
    </fill>
    <fill>
      <patternFill patternType="solid">
        <fgColor rgb="fff0f2f2"/>
        <bgColor auto="1"/>
      </patternFill>
    </fill>
    <fill>
      <patternFill patternType="solid">
        <fgColor rgb="ffe2fade"/>
        <bgColor auto="1"/>
      </patternFill>
    </fill>
    <fill>
      <patternFill patternType="solid">
        <fgColor rgb="ffffebe7"/>
        <bgColor auto="1"/>
      </patternFill>
    </fill>
    <fill>
      <patternFill patternType="solid">
        <fgColor rgb="ffd3d5d5"/>
        <bgColor auto="1"/>
      </patternFill>
    </fill>
    <fill>
      <patternFill patternType="solid">
        <fgColor rgb="ffdbdede"/>
        <bgColor auto="1"/>
      </patternFill>
    </fill>
    <fill>
      <patternFill patternType="solid">
        <fgColor rgb="ffd6f6c3"/>
        <bgColor auto="1"/>
      </patternFill>
    </fill>
    <fill>
      <patternFill patternType="solid">
        <fgColor rgb="ffededed"/>
        <bgColor auto="1"/>
      </patternFill>
    </fill>
    <fill>
      <patternFill patternType="solid">
        <fgColor rgb="ffcce4ba"/>
        <bgColor auto="1"/>
      </patternFill>
    </fill>
    <fill>
      <patternFill patternType="solid">
        <fgColor rgb="ffc7ddff"/>
        <bgColor auto="1"/>
      </patternFill>
    </fill>
    <fill>
      <patternFill patternType="solid">
        <fgColor rgb="ffc5e0f5"/>
        <bgColor auto="1"/>
      </patternFill>
    </fill>
    <fill>
      <patternFill patternType="solid">
        <fgColor rgb="ffbcf9a9"/>
        <bgColor auto="1"/>
      </patternFill>
    </fill>
    <fill>
      <patternFill patternType="solid">
        <fgColor rgb="ffafe7ff"/>
        <bgColor auto="1"/>
      </patternFill>
    </fill>
    <fill>
      <patternFill patternType="solid">
        <fgColor rgb="ff9ce159"/>
        <bgColor auto="1"/>
      </patternFill>
    </fill>
    <fill>
      <patternFill patternType="solid">
        <fgColor rgb="ffe9f4fe"/>
        <bgColor auto="1"/>
      </patternFill>
    </fill>
    <fill>
      <patternFill patternType="solid">
        <fgColor rgb="ffdceed6"/>
        <bgColor auto="1"/>
      </patternFill>
    </fill>
    <fill>
      <patternFill patternType="solid">
        <fgColor rgb="ffd5e1e9"/>
        <bgColor auto="1"/>
      </patternFill>
    </fill>
    <fill>
      <patternFill patternType="solid">
        <fgColor rgb="fffce9e4"/>
        <bgColor auto="1"/>
      </patternFill>
    </fill>
    <fill>
      <patternFill patternType="solid">
        <fgColor rgb="ffd7ebfd"/>
        <bgColor auto="1"/>
      </patternFill>
    </fill>
    <fill>
      <patternFill patternType="solid">
        <fgColor rgb="ffc5e3bb"/>
        <bgColor auto="1"/>
      </patternFill>
    </fill>
    <fill>
      <patternFill patternType="solid">
        <fgColor rgb="ffafc6d5"/>
        <bgColor auto="1"/>
      </patternFill>
    </fill>
    <fill>
      <patternFill patternType="solid">
        <fgColor rgb="fff6ded7"/>
        <bgColor auto="1"/>
      </patternFill>
    </fill>
    <fill>
      <patternFill patternType="solid">
        <fgColor rgb="ffe7f8dd"/>
        <bgColor auto="1"/>
      </patternFill>
    </fill>
    <fill>
      <patternFill patternType="solid">
        <fgColor rgb="ffbfeda4"/>
        <bgColor auto="1"/>
      </patternFill>
    </fill>
    <fill>
      <patternFill patternType="solid">
        <fgColor rgb="ff9de473"/>
        <bgColor auto="1"/>
      </patternFill>
    </fill>
    <fill>
      <patternFill patternType="solid">
        <fgColor rgb="fffce1d9"/>
        <bgColor auto="1"/>
      </patternFill>
    </fill>
    <fill>
      <patternFill patternType="solid">
        <fgColor rgb="fff5a288"/>
        <bgColor auto="1"/>
      </patternFill>
    </fill>
    <fill>
      <patternFill patternType="solid">
        <fgColor rgb="fff2f2f3"/>
        <bgColor auto="1"/>
      </patternFill>
    </fill>
    <fill>
      <patternFill patternType="solid">
        <fgColor rgb="ffcfa1df"/>
        <bgColor auto="1"/>
      </patternFill>
    </fill>
    <fill>
      <patternFill patternType="solid">
        <fgColor rgb="ffd2e5f3"/>
        <bgColor auto="1"/>
      </patternFill>
    </fill>
    <fill>
      <patternFill patternType="solid">
        <fgColor rgb="ffeeecef"/>
        <bgColor auto="1"/>
      </patternFill>
    </fill>
    <fill>
      <patternFill patternType="solid">
        <fgColor rgb="ffdfeff8"/>
        <bgColor auto="1"/>
      </patternFill>
    </fill>
    <fill>
      <patternFill patternType="solid">
        <fgColor rgb="ffd4f3c1"/>
        <bgColor auto="1"/>
      </patternFill>
    </fill>
    <fill>
      <patternFill patternType="solid">
        <fgColor rgb="ffeffae8"/>
        <bgColor auto="1"/>
      </patternFill>
    </fill>
    <fill>
      <patternFill patternType="solid">
        <fgColor rgb="fff4dde0"/>
        <bgColor auto="1"/>
      </patternFill>
    </fill>
    <fill>
      <patternFill patternType="solid">
        <fgColor rgb="ffffa6b3"/>
        <bgColor auto="1"/>
      </patternFill>
    </fill>
    <fill>
      <patternFill patternType="solid">
        <fgColor rgb="fff5f5f5"/>
        <bgColor auto="1"/>
      </patternFill>
    </fill>
    <fill>
      <patternFill patternType="solid">
        <fgColor rgb="ffecedf0"/>
        <bgColor auto="1"/>
      </patternFill>
    </fill>
    <fill>
      <patternFill patternType="solid">
        <fgColor rgb="ffd6d8d8"/>
        <bgColor auto="1"/>
      </patternFill>
    </fill>
    <fill>
      <patternFill patternType="solid">
        <fgColor rgb="ffe5e7e7"/>
        <bgColor auto="1"/>
      </patternFill>
    </fill>
  </fills>
  <borders count="15">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thin">
        <color indexed="13"/>
      </left>
      <right style="thin">
        <color indexed="13"/>
      </right>
      <top style="medium">
        <color indexed="8"/>
      </top>
      <bottom style="thin">
        <color indexed="13"/>
      </bottom>
      <diagonal/>
    </border>
    <border>
      <left style="thin">
        <color indexed="13"/>
      </left>
      <right style="thin">
        <color indexed="14"/>
      </right>
      <top style="thin">
        <color indexed="13"/>
      </top>
      <bottom style="thin">
        <color indexed="14"/>
      </bottom>
      <diagonal/>
    </border>
    <border>
      <left style="thin">
        <color indexed="14"/>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4"/>
      </bottom>
      <diagonal/>
    </border>
    <border>
      <left style="thin">
        <color indexed="14"/>
      </left>
      <right style="thin">
        <color indexed="13"/>
      </right>
      <top style="thin">
        <color indexed="14"/>
      </top>
      <bottom style="thin">
        <color indexed="14"/>
      </bottom>
      <diagonal/>
    </border>
    <border>
      <left style="thin">
        <color indexed="13"/>
      </left>
      <right style="thin">
        <color indexed="13"/>
      </right>
      <top style="thin">
        <color indexed="14"/>
      </top>
      <bottom style="thin">
        <color indexed="14"/>
      </bottom>
      <diagonal/>
    </border>
  </borders>
  <cellStyleXfs count="1">
    <xf numFmtId="0" fontId="0" applyNumberFormat="0" applyFont="1" applyFill="0" applyBorder="0" applyAlignment="1" applyProtection="0">
      <alignment vertical="top" wrapText="1"/>
    </xf>
  </cellStyleXfs>
  <cellXfs count="1104">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4" fillId="4" borderId="1" applyNumberFormat="0" applyFont="1" applyFill="1" applyBorder="1" applyAlignment="1" applyProtection="0">
      <alignment vertical="top" wrapText="1"/>
    </xf>
    <xf numFmtId="49" fontId="4" fillId="4" borderId="1" applyNumberFormat="1" applyFont="1" applyFill="1" applyBorder="1" applyAlignment="1" applyProtection="0">
      <alignment vertical="top" wrapText="1"/>
    </xf>
    <xf numFmtId="5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0" fontId="0" borderId="3" applyNumberFormat="1" applyFont="1" applyFill="0" applyBorder="1" applyAlignment="1" applyProtection="0">
      <alignment vertical="top" wrapText="1"/>
    </xf>
    <xf numFmtId="60" fontId="0" borderId="4" applyNumberFormat="1" applyFont="1" applyFill="0" applyBorder="1" applyAlignment="1" applyProtection="0">
      <alignment vertical="top" wrapText="1"/>
    </xf>
    <xf numFmtId="59" fontId="0" fillId="6" borderId="4" applyNumberFormat="1" applyFont="1" applyFill="1" applyBorder="1" applyAlignment="1" applyProtection="0">
      <alignment vertical="top" wrapText="1"/>
    </xf>
    <xf numFmtId="60" fontId="0" fillId="6" borderId="4" applyNumberFormat="1" applyFont="1" applyFill="1" applyBorder="1" applyAlignment="1" applyProtection="0">
      <alignment vertical="top" wrapText="1"/>
    </xf>
    <xf numFmtId="49" fontId="0" borderId="4" applyNumberFormat="1" applyFont="1" applyFill="0" applyBorder="1" applyAlignment="1" applyProtection="0">
      <alignment vertical="top" wrapText="1"/>
    </xf>
    <xf numFmtId="59" fontId="0" fillId="7" borderId="4" applyNumberFormat="1" applyFont="1" applyFill="1" applyBorder="1" applyAlignment="1" applyProtection="0">
      <alignment horizontal="left" vertical="top" wrapText="1" readingOrder="1"/>
    </xf>
    <xf numFmtId="49" fontId="4" fillId="5" borderId="5" applyNumberFormat="1" applyFont="1" applyFill="1" applyBorder="1" applyAlignment="1" applyProtection="0">
      <alignment vertical="top" wrapText="1"/>
    </xf>
    <xf numFmtId="0" fontId="0" borderId="6" applyNumberFormat="1" applyFont="1" applyFill="0" applyBorder="1" applyAlignment="1" applyProtection="0">
      <alignment vertical="top" wrapText="1"/>
    </xf>
    <xf numFmtId="60" fontId="0" borderId="7" applyNumberFormat="1" applyFont="1" applyFill="0" applyBorder="1" applyAlignment="1" applyProtection="0">
      <alignment vertical="top" wrapText="1"/>
    </xf>
    <xf numFmtId="49" fontId="0" fillId="6" borderId="7" applyNumberFormat="1" applyFont="1" applyFill="1" applyBorder="1" applyAlignment="1" applyProtection="0">
      <alignment vertical="top" wrapText="1"/>
    </xf>
    <xf numFmtId="61" fontId="0" borderId="7" applyNumberFormat="1" applyFont="1" applyFill="0" applyBorder="1" applyAlignment="1" applyProtection="0">
      <alignment vertical="top" wrapText="1"/>
    </xf>
    <xf numFmtId="60" fontId="0" fillId="6" borderId="7"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49" fontId="0" fillId="7" borderId="7" applyNumberFormat="1" applyFont="1" applyFill="1" applyBorder="1" applyAlignment="1" applyProtection="0">
      <alignment vertical="top" wrapText="1"/>
    </xf>
    <xf numFmtId="59" fontId="0" fillId="6" borderId="7" applyNumberFormat="1" applyFont="1" applyFill="1" applyBorder="1" applyAlignment="1" applyProtection="0">
      <alignment vertical="top" wrapText="1"/>
    </xf>
    <xf numFmtId="59" fontId="0" borderId="7" applyNumberFormat="1" applyFont="1" applyFill="0" applyBorder="1" applyAlignment="1" applyProtection="0">
      <alignment vertical="top" wrapText="1"/>
    </xf>
    <xf numFmtId="59" fontId="0" fillId="7" borderId="7" applyNumberFormat="1" applyFont="1" applyFill="1" applyBorder="1" applyAlignment="1" applyProtection="0">
      <alignment vertical="top" wrapText="1"/>
    </xf>
    <xf numFmtId="0" fontId="4"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59" fontId="0" borderId="7" applyNumberFormat="1" applyFont="1" applyFill="0" applyBorder="1" applyAlignment="1" applyProtection="0">
      <alignment horizontal="left" vertical="top" wrapText="1" readingOrder="1"/>
    </xf>
    <xf numFmtId="59" fontId="0" fillId="6" borderId="7" applyNumberFormat="1" applyFont="1" applyFill="1" applyBorder="1" applyAlignment="1" applyProtection="0">
      <alignment horizontal="left" vertical="top" wrapText="1" readingOrder="1"/>
    </xf>
    <xf numFmtId="0" fontId="0" borderId="7" applyNumberFormat="0" applyFont="1" applyFill="0" applyBorder="1" applyAlignment="1" applyProtection="0">
      <alignment vertical="top" wrapText="1"/>
    </xf>
    <xf numFmtId="59" fontId="0" fillId="8" borderId="7" applyNumberFormat="1" applyFont="1" applyFill="1" applyBorder="1" applyAlignment="1" applyProtection="0">
      <alignment vertical="top" wrapText="1"/>
    </xf>
    <xf numFmtId="59" fontId="0" fillId="9" borderId="7" applyNumberFormat="1" applyFont="1" applyFill="1" applyBorder="1" applyAlignment="1" applyProtection="0">
      <alignment horizontal="left" vertical="top" wrapText="1" readingOrder="1"/>
    </xf>
    <xf numFmtId="59" fontId="0" fillId="9" borderId="7" applyNumberFormat="1" applyFont="1" applyFill="1" applyBorder="1" applyAlignment="1" applyProtection="0">
      <alignment vertical="top" wrapText="1"/>
    </xf>
    <xf numFmtId="59" fontId="0" fillId="10" borderId="8" applyNumberFormat="1" applyFont="1" applyFill="1" applyBorder="1" applyAlignment="1" applyProtection="0">
      <alignment vertical="top" wrapText="1"/>
    </xf>
    <xf numFmtId="62" fontId="4" fillId="9" borderId="7" applyNumberFormat="1" applyFont="1" applyFill="1" applyBorder="1" applyAlignment="1" applyProtection="0">
      <alignment vertical="top" wrapText="1"/>
    </xf>
    <xf numFmtId="59" fontId="0" borderId="9" applyNumberFormat="1" applyFont="1" applyFill="0" applyBorder="1" applyAlignment="1" applyProtection="0">
      <alignment vertical="top" wrapText="1"/>
    </xf>
    <xf numFmtId="60" fontId="0" fillId="9" borderId="7" applyNumberFormat="1" applyFont="1" applyFill="1" applyBorder="1" applyAlignment="1" applyProtection="0">
      <alignment vertical="top" wrapText="1"/>
    </xf>
    <xf numFmtId="59" fontId="4" fillId="5" borderId="5" applyNumberFormat="1" applyFont="1" applyFill="1" applyBorder="1" applyAlignment="1" applyProtection="0">
      <alignment vertical="top" wrapText="1"/>
    </xf>
    <xf numFmtId="49" fontId="4" fillId="5" borderId="10" applyNumberFormat="1" applyFont="1" applyFill="1" applyBorder="1" applyAlignment="1" applyProtection="0">
      <alignment vertical="top" wrapText="1"/>
    </xf>
    <xf numFmtId="0" fontId="0" borderId="11" applyNumberFormat="1" applyFont="1" applyFill="0" applyBorder="1" applyAlignment="1" applyProtection="0">
      <alignment vertical="top" wrapText="1"/>
    </xf>
    <xf numFmtId="60" fontId="0" borderId="1" applyNumberFormat="1" applyFont="1" applyFill="0" applyBorder="1" applyAlignment="1" applyProtection="0">
      <alignment vertical="top" wrapText="1"/>
    </xf>
    <xf numFmtId="59" fontId="0" borderId="1" applyNumberFormat="1" applyFont="1" applyFill="0" applyBorder="1" applyAlignment="1" applyProtection="0">
      <alignment vertical="top" wrapText="1"/>
    </xf>
    <xf numFmtId="49" fontId="4" borderId="4" applyNumberFormat="1" applyFont="1" applyFill="0" applyBorder="1" applyAlignment="1" applyProtection="0">
      <alignment vertical="top" wrapText="1"/>
    </xf>
    <xf numFmtId="0" fontId="4" borderId="4" applyNumberFormat="0" applyFont="1" applyFill="0" applyBorder="1" applyAlignment="1" applyProtection="0">
      <alignment vertical="top" wrapText="1"/>
    </xf>
    <xf numFmtId="63" fontId="0" borderId="4" applyNumberFormat="1" applyFont="1" applyFill="0" applyBorder="1" applyAlignment="1" applyProtection="0">
      <alignment vertical="top" wrapText="1"/>
    </xf>
    <xf numFmtId="59" fontId="0" borderId="4" applyNumberFormat="1" applyFont="1" applyFill="0" applyBorder="1" applyAlignment="1" applyProtection="0">
      <alignment vertical="top" wrapText="1"/>
    </xf>
    <xf numFmtId="64" fontId="0" borderId="4" applyNumberFormat="1" applyFont="1" applyFill="0" applyBorder="1" applyAlignment="1" applyProtection="0">
      <alignment vertical="top" wrapText="1"/>
    </xf>
    <xf numFmtId="49" fontId="4" borderId="7" applyNumberFormat="1" applyFont="1" applyFill="0" applyBorder="1" applyAlignment="1" applyProtection="0">
      <alignment vertical="top" wrapText="1"/>
    </xf>
    <xf numFmtId="0" fontId="4" borderId="7" applyNumberFormat="0" applyFont="1" applyFill="0" applyBorder="1" applyAlignment="1" applyProtection="0">
      <alignment vertical="top" wrapText="1"/>
    </xf>
    <xf numFmtId="63" fontId="0" borderId="7" applyNumberFormat="1" applyFont="1" applyFill="0" applyBorder="1" applyAlignment="1" applyProtection="0">
      <alignment vertical="top" wrapText="1"/>
    </xf>
    <xf numFmtId="59" fontId="0" fillId="11" borderId="7" applyNumberFormat="1" applyFont="1" applyFill="1" applyBorder="1" applyAlignment="1" applyProtection="0">
      <alignment horizontal="left" vertical="top" wrapText="1" readingOrder="1"/>
    </xf>
    <xf numFmtId="64" fontId="0" borderId="7" applyNumberFormat="1" applyFont="1" applyFill="0" applyBorder="1" applyAlignment="1" applyProtection="0">
      <alignment vertical="top" wrapText="1"/>
    </xf>
    <xf numFmtId="59" fontId="0" fillId="12" borderId="7" applyNumberFormat="1" applyFont="1" applyFill="1" applyBorder="1" applyAlignment="1" applyProtection="0">
      <alignment horizontal="left" vertical="top" wrapText="1" readingOrder="1"/>
    </xf>
    <xf numFmtId="49" fontId="4" borderId="7" applyNumberFormat="1" applyFont="1" applyFill="0" applyBorder="1" applyAlignment="1" applyProtection="0">
      <alignment horizontal="right" vertical="top" wrapText="1"/>
    </xf>
    <xf numFmtId="65" fontId="0" borderId="7" applyNumberFormat="1" applyFont="1" applyFill="0" applyBorder="1" applyAlignment="1" applyProtection="0">
      <alignment horizontal="left" vertical="top" wrapText="1"/>
    </xf>
    <xf numFmtId="0" fontId="0" applyNumberFormat="1" applyFont="1" applyFill="0" applyBorder="0" applyAlignment="1" applyProtection="0">
      <alignment vertical="top" wrapText="1"/>
    </xf>
    <xf numFmtId="59" fontId="0" borderId="4" applyNumberFormat="1" applyFont="1" applyFill="0" applyBorder="1" applyAlignment="1" applyProtection="0">
      <alignment horizontal="left" vertical="top" wrapText="1" readingOrder="1"/>
    </xf>
    <xf numFmtId="66"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64" fontId="4" fillId="4" borderId="1" applyNumberFormat="1" applyFont="1" applyFill="1" applyBorder="1" applyAlignment="1" applyProtection="0">
      <alignment vertical="top" wrapText="1"/>
    </xf>
    <xf numFmtId="59" fontId="6" fillId="4" borderId="1" applyNumberFormat="1" applyFont="1" applyFill="1" applyBorder="1" applyAlignment="1" applyProtection="0">
      <alignment vertical="top" wrapText="1"/>
    </xf>
    <xf numFmtId="0" fontId="0" borderId="4" applyNumberFormat="1" applyFont="1" applyFill="0" applyBorder="1" applyAlignment="1" applyProtection="0">
      <alignment vertical="top" wrapText="1"/>
    </xf>
    <xf numFmtId="66" fontId="0" borderId="4" applyNumberFormat="1" applyFont="1" applyFill="0" applyBorder="1" applyAlignment="1" applyProtection="0">
      <alignment horizontal="left" vertical="top" wrapText="1" readingOrder="1"/>
    </xf>
    <xf numFmtId="59" fontId="7" borderId="4" applyNumberFormat="1" applyFont="1" applyFill="0" applyBorder="1" applyAlignment="1" applyProtection="0">
      <alignment vertical="top" wrapText="1"/>
    </xf>
    <xf numFmtId="67" fontId="0" borderId="4"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66" fontId="0" borderId="7" applyNumberFormat="1" applyFont="1" applyFill="0" applyBorder="1" applyAlignment="1" applyProtection="0">
      <alignment horizontal="left" vertical="top" wrapText="1" readingOrder="1"/>
    </xf>
    <xf numFmtId="59" fontId="7" borderId="7" applyNumberFormat="1" applyFont="1" applyFill="0" applyBorder="1" applyAlignment="1" applyProtection="0">
      <alignment vertical="top" wrapText="1"/>
    </xf>
    <xf numFmtId="67" fontId="0" borderId="7" applyNumberFormat="1" applyFont="1" applyFill="0" applyBorder="1" applyAlignment="1" applyProtection="0">
      <alignment vertical="top" wrapText="1"/>
    </xf>
    <xf numFmtId="59" fontId="8" borderId="7" applyNumberFormat="1" applyFont="1" applyFill="0" applyBorder="1" applyAlignment="1" applyProtection="0">
      <alignment vertical="top" wrapText="1"/>
    </xf>
    <xf numFmtId="0" fontId="0" borderId="1" applyNumberFormat="0" applyFont="1" applyFill="0" applyBorder="1" applyAlignment="1" applyProtection="0">
      <alignment vertical="top" wrapText="1"/>
    </xf>
    <xf numFmtId="0" fontId="0" borderId="1" applyNumberFormat="1" applyFont="1" applyFill="0" applyBorder="1" applyAlignment="1" applyProtection="0">
      <alignment vertical="top" wrapText="1"/>
    </xf>
    <xf numFmtId="59" fontId="0" borderId="1" applyNumberFormat="1" applyFont="1" applyFill="0" applyBorder="1" applyAlignment="1" applyProtection="0">
      <alignment horizontal="left" vertical="top" wrapText="1" readingOrder="1"/>
    </xf>
    <xf numFmtId="66" fontId="0" borderId="1" applyNumberFormat="1" applyFont="1" applyFill="0" applyBorder="1" applyAlignment="1" applyProtection="0">
      <alignment vertical="top" wrapText="1"/>
    </xf>
    <xf numFmtId="59" fontId="7" borderId="1" applyNumberFormat="1" applyFont="1" applyFill="0" applyBorder="1" applyAlignment="1" applyProtection="0">
      <alignment vertical="top" wrapText="1"/>
    </xf>
    <xf numFmtId="67" fontId="0" borderId="1" applyNumberFormat="1" applyFont="1" applyFill="0" applyBorder="1" applyAlignment="1" applyProtection="0">
      <alignment vertical="top" wrapText="1"/>
    </xf>
    <xf numFmtId="59" fontId="4"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59" fontId="0" borderId="3"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59" fontId="0" borderId="6" applyNumberFormat="1" applyFont="1" applyFill="0" applyBorder="1" applyAlignment="1" applyProtection="0">
      <alignment vertical="top" wrapText="1"/>
    </xf>
    <xf numFmtId="0" fontId="4" fillId="5" borderId="10" applyNumberFormat="0" applyFont="1" applyFill="1" applyBorder="1" applyAlignment="1" applyProtection="0">
      <alignment vertical="top" wrapText="1"/>
    </xf>
    <xf numFmtId="0" fontId="0" borderId="11" applyNumberFormat="0" applyFont="1" applyFill="0" applyBorder="1" applyAlignment="1" applyProtection="0">
      <alignment vertical="top" wrapText="1"/>
    </xf>
    <xf numFmtId="49" fontId="4" borderId="4" applyNumberFormat="1" applyFont="1" applyFill="0" applyBorder="1" applyAlignment="1" applyProtection="0">
      <alignment horizontal="right" vertical="top" wrapText="1"/>
    </xf>
    <xf numFmtId="0" fontId="4" borderId="4" applyNumberFormat="0" applyFont="1" applyFill="0" applyBorder="1" applyAlignment="1" applyProtection="0">
      <alignment horizontal="right" vertical="top" wrapText="1"/>
    </xf>
    <xf numFmtId="59" fontId="4"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59" fontId="0" borderId="3" applyNumberFormat="1" applyFont="1" applyFill="0" applyBorder="1" applyAlignment="1" applyProtection="0">
      <alignment horizontal="left" vertical="top" wrapText="1" readingOrder="1"/>
    </xf>
    <xf numFmtId="59" fontId="0" borderId="6" applyNumberFormat="1" applyFont="1" applyFill="0" applyBorder="1" applyAlignment="1" applyProtection="0">
      <alignment horizontal="left" vertical="top" wrapText="1" readingOrder="1"/>
    </xf>
    <xf numFmtId="0" fontId="4" borderId="7" applyNumberFormat="0" applyFont="1" applyFill="0" applyBorder="1" applyAlignment="1" applyProtection="0">
      <alignment horizontal="right" vertical="top" wrapText="1"/>
    </xf>
    <xf numFmtId="68" fontId="0" borderId="6" applyNumberFormat="1" applyFont="1" applyFill="0" applyBorder="1" applyAlignment="1" applyProtection="0">
      <alignment vertical="top" wrapText="1"/>
    </xf>
    <xf numFmtId="64" fontId="0" fillId="13" borderId="7" applyNumberFormat="1" applyFont="1" applyFill="1" applyBorder="1" applyAlignment="1" applyProtection="0">
      <alignment vertical="top" wrapText="1"/>
    </xf>
    <xf numFmtId="49" fontId="4" fillId="13" borderId="7" applyNumberFormat="1" applyFont="1" applyFill="1" applyBorder="1" applyAlignment="1" applyProtection="0">
      <alignment horizontal="right" vertical="top" wrapText="1"/>
    </xf>
    <xf numFmtId="59" fontId="0" fillId="13" borderId="7" applyNumberFormat="1" applyFont="1" applyFill="1" applyBorder="1" applyAlignment="1" applyProtection="0">
      <alignment vertical="top" wrapText="1"/>
    </xf>
    <xf numFmtId="0" fontId="0" borderId="7" applyNumberFormat="1" applyFont="1" applyFill="0" applyBorder="1" applyAlignment="1" applyProtection="0">
      <alignment horizontal="left" vertical="top" wrapText="1"/>
    </xf>
    <xf numFmtId="0" fontId="0" borderId="7" applyNumberFormat="0" applyFont="1" applyFill="0" applyBorder="1" applyAlignment="1" applyProtection="0">
      <alignment horizontal="right" vertical="top" wrapText="1"/>
    </xf>
    <xf numFmtId="0" fontId="0" borderId="7" applyNumberFormat="0" applyFont="1" applyFill="0" applyBorder="1" applyAlignment="1" applyProtection="0">
      <alignment horizontal="left" vertical="top" wrapText="1"/>
    </xf>
    <xf numFmtId="49" fontId="4" fillId="5" borderId="5" applyNumberFormat="1" applyFont="1" applyFill="1" applyBorder="1" applyAlignment="1" applyProtection="0">
      <alignment horizontal="left" vertical="top" wrapText="1"/>
    </xf>
    <xf numFmtId="49" fontId="4" fillId="5" borderId="5" applyNumberFormat="1" applyFont="1" applyFill="1" applyBorder="1" applyAlignment="1" applyProtection="0">
      <alignment horizontal="right" vertical="top" wrapText="1"/>
    </xf>
    <xf numFmtId="69" fontId="0" borderId="7" applyNumberFormat="1" applyFont="1" applyFill="0" applyBorder="1" applyAlignment="1" applyProtection="0">
      <alignment vertical="top" wrapText="1"/>
    </xf>
    <xf numFmtId="59" fontId="0" fillId="14" borderId="6" applyNumberFormat="1" applyFont="1" applyFill="1" applyBorder="1" applyAlignment="1" applyProtection="0">
      <alignment horizontal="left" vertical="top" wrapText="1" readingOrder="1"/>
    </xf>
    <xf numFmtId="9" fontId="0" borderId="7" applyNumberFormat="1" applyFont="1" applyFill="0" applyBorder="1" applyAlignment="1" applyProtection="0">
      <alignment horizontal="left" vertical="top" wrapText="1"/>
    </xf>
    <xf numFmtId="59" fontId="0" fillId="15" borderId="6" applyNumberFormat="1" applyFont="1" applyFill="1" applyBorder="1" applyAlignment="1" applyProtection="0">
      <alignment vertical="top" wrapText="1"/>
    </xf>
    <xf numFmtId="70" fontId="0" borderId="7" applyNumberFormat="1" applyFont="1" applyFill="0" applyBorder="1" applyAlignment="1" applyProtection="0">
      <alignment vertical="top" wrapText="1"/>
    </xf>
    <xf numFmtId="59" fontId="0" fillId="16" borderId="6" applyNumberFormat="1" applyFont="1" applyFill="1" applyBorder="1" applyAlignment="1" applyProtection="0">
      <alignment vertical="top" wrapText="1"/>
    </xf>
    <xf numFmtId="59" fontId="0" fillId="17" borderId="6"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4" fillId="4" borderId="1" applyNumberFormat="1" applyFont="1" applyFill="1" applyBorder="1" applyAlignment="1" applyProtection="0">
      <alignment horizontal="right" vertical="top" wrapText="1"/>
    </xf>
    <xf numFmtId="0" fontId="4" fillId="4" borderId="1" applyNumberFormat="1" applyFont="1" applyFill="1" applyBorder="1" applyAlignment="1" applyProtection="0">
      <alignment horizontal="justify" vertical="top" wrapText="1"/>
    </xf>
    <xf numFmtId="65" fontId="4" fillId="5" borderId="2" applyNumberFormat="1" applyFont="1" applyFill="1" applyBorder="1" applyAlignment="1" applyProtection="0">
      <alignment vertical="top" wrapText="1"/>
    </xf>
    <xf numFmtId="65" fontId="4" fillId="5" borderId="5" applyNumberFormat="1" applyFont="1" applyFill="1" applyBorder="1" applyAlignment="1" applyProtection="0">
      <alignment vertical="top" wrapText="1"/>
    </xf>
    <xf numFmtId="59" fontId="4" fillId="18" borderId="5" applyNumberFormat="1" applyFont="1" applyFill="1" applyBorder="1" applyAlignment="1" applyProtection="0">
      <alignment vertical="top" wrapText="1"/>
    </xf>
    <xf numFmtId="59" fontId="0" fillId="19" borderId="7" applyNumberFormat="1" applyFont="1" applyFill="1" applyBorder="1" applyAlignment="1" applyProtection="0">
      <alignment vertical="top" wrapText="1"/>
    </xf>
    <xf numFmtId="59" fontId="0" fillId="20" borderId="7" applyNumberFormat="1" applyFont="1" applyFill="1" applyBorder="1" applyAlignment="1" applyProtection="0">
      <alignment vertical="top" wrapText="1"/>
    </xf>
    <xf numFmtId="59" fontId="0" fillId="21" borderId="7" applyNumberFormat="1" applyFont="1" applyFill="1" applyBorder="1" applyAlignment="1" applyProtection="0">
      <alignment vertical="top" wrapText="1"/>
    </xf>
    <xf numFmtId="59" fontId="0" fillId="22"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4" fontId="0" borderId="4" applyNumberFormat="1" applyFont="1" applyFill="0" applyBorder="1" applyAlignment="1" applyProtection="0">
      <alignment vertical="top" wrapText="1"/>
    </xf>
    <xf numFmtId="9" fontId="0" borderId="4" applyNumberFormat="1" applyFont="1" applyFill="0" applyBorder="1" applyAlignment="1" applyProtection="0">
      <alignment vertical="top" wrapText="1"/>
    </xf>
    <xf numFmtId="4" fontId="0" borderId="7" applyNumberFormat="1" applyFont="1" applyFill="0" applyBorder="1" applyAlignment="1" applyProtection="0">
      <alignment vertical="top" wrapText="1"/>
    </xf>
    <xf numFmtId="9" fontId="0" borderId="7" applyNumberFormat="1" applyFont="1" applyFill="0" applyBorder="1" applyAlignment="1" applyProtection="0">
      <alignment vertical="top" wrapText="1"/>
    </xf>
    <xf numFmtId="65" fontId="0" borderId="7" applyNumberFormat="1" applyFont="1" applyFill="0" applyBorder="1" applyAlignment="1" applyProtection="0">
      <alignment vertical="top" wrapText="1"/>
    </xf>
    <xf numFmtId="71" fontId="0" borderId="7" applyNumberFormat="1" applyFont="1" applyFill="0" applyBorder="1" applyAlignment="1" applyProtection="0">
      <alignment vertical="top" wrapText="1"/>
    </xf>
    <xf numFmtId="9" fontId="0" borderId="1" applyNumberFormat="1" applyFont="1" applyFill="0" applyBorder="1" applyAlignment="1" applyProtection="0">
      <alignment vertical="top" wrapText="1"/>
    </xf>
    <xf numFmtId="0" fontId="0" applyNumberFormat="1" applyFont="1" applyFill="0" applyBorder="0" applyAlignment="1" applyProtection="0">
      <alignment vertical="top" wrapText="1"/>
    </xf>
    <xf numFmtId="72"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73" fontId="4" fillId="5" borderId="2" applyNumberFormat="1" applyFont="1" applyFill="1" applyBorder="1" applyAlignment="1" applyProtection="0">
      <alignment vertical="top" wrapText="1"/>
    </xf>
    <xf numFmtId="59" fontId="0" fillId="23" borderId="3" applyNumberFormat="1" applyFont="1" applyFill="1" applyBorder="1" applyAlignment="1" applyProtection="0">
      <alignment vertical="top" wrapText="1"/>
    </xf>
    <xf numFmtId="66" fontId="0" borderId="4" applyNumberFormat="1" applyFont="1" applyFill="0" applyBorder="1" applyAlignment="1" applyProtection="0">
      <alignment vertical="top" wrapText="1"/>
    </xf>
    <xf numFmtId="73" fontId="4" fillId="5" borderId="5" applyNumberFormat="1" applyFont="1" applyFill="1" applyBorder="1" applyAlignment="1" applyProtection="0">
      <alignment vertical="top" wrapText="1"/>
    </xf>
    <xf numFmtId="59" fontId="0" fillId="23" borderId="6" applyNumberFormat="1" applyFont="1" applyFill="1" applyBorder="1" applyAlignment="1" applyProtection="0">
      <alignment vertical="top" wrapText="1"/>
    </xf>
    <xf numFmtId="59" fontId="0" fillId="24" borderId="7" applyNumberFormat="1" applyFont="1" applyFill="1" applyBorder="1" applyAlignment="1" applyProtection="0">
      <alignment vertical="top" wrapText="1"/>
    </xf>
    <xf numFmtId="66" fontId="0" fillId="24" borderId="7" applyNumberFormat="1" applyFont="1" applyFill="1" applyBorder="1" applyAlignment="1" applyProtection="0">
      <alignment vertical="top" wrapText="1"/>
    </xf>
    <xf numFmtId="0" fontId="0" borderId="7" applyNumberFormat="0" applyFont="1" applyFill="0" applyBorder="1" applyAlignment="1" applyProtection="0">
      <alignment horizontal="left" vertical="top" wrapText="1" readingOrder="1"/>
    </xf>
    <xf numFmtId="59" fontId="0" fillId="23" borderId="11" applyNumberFormat="1" applyFont="1" applyFill="1" applyBorder="1" applyAlignment="1" applyProtection="0">
      <alignment vertical="top" wrapText="1"/>
    </xf>
    <xf numFmtId="59" fontId="4" fillId="25" borderId="4" applyNumberFormat="1" applyFont="1" applyFill="1" applyBorder="1" applyAlignment="1" applyProtection="0">
      <alignment vertical="top" wrapText="1"/>
    </xf>
    <xf numFmtId="66" fontId="4"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71" fontId="4" fillId="4" borderId="1" applyNumberFormat="1" applyFont="1" applyFill="1" applyBorder="1" applyAlignment="1" applyProtection="0">
      <alignment vertical="top" wrapText="1"/>
    </xf>
    <xf numFmtId="49" fontId="9" borderId="7" applyNumberFormat="1" applyFont="1" applyFill="0" applyBorder="1" applyAlignment="1" applyProtection="0">
      <alignment vertical="center" wrapText="1" readingOrder="1"/>
    </xf>
    <xf numFmtId="0" fontId="0" borderId="7" applyNumberFormat="0" applyFont="1" applyFill="0" applyBorder="1" applyAlignment="1" applyProtection="0">
      <alignment vertical="center" wrapText="1"/>
    </xf>
    <xf numFmtId="71" fontId="9" borderId="7" applyNumberFormat="1" applyFont="1" applyFill="0" applyBorder="1" applyAlignment="1" applyProtection="0">
      <alignment vertical="center" wrapText="1" readingOrder="1"/>
    </xf>
    <xf numFmtId="74" fontId="9" borderId="7" applyNumberFormat="1" applyFont="1" applyFill="0" applyBorder="1" applyAlignment="1" applyProtection="0">
      <alignment vertical="center" wrapText="1" readingOrder="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9" borderId="7" applyNumberFormat="0" applyFont="1" applyFill="0" applyBorder="1" applyAlignment="1" applyProtection="0">
      <alignment vertical="center" wrapText="1" readingOrder="1"/>
    </xf>
    <xf numFmtId="0" fontId="0" applyNumberFormat="1" applyFont="1" applyFill="0" applyBorder="0" applyAlignment="1" applyProtection="0">
      <alignment vertical="top" wrapText="1"/>
    </xf>
    <xf numFmtId="0" fontId="9" borderId="4" applyNumberFormat="0" applyFont="1" applyFill="0" applyBorder="1" applyAlignment="1" applyProtection="0">
      <alignment vertical="center" wrapText="1" readingOrder="1"/>
    </xf>
    <xf numFmtId="0" fontId="0" borderId="4" applyNumberFormat="0" applyFont="1" applyFill="0" applyBorder="1" applyAlignment="1" applyProtection="0">
      <alignment vertical="center" wrapText="1"/>
    </xf>
    <xf numFmtId="0" fontId="9" fillId="26" borderId="4" applyNumberFormat="0" applyFont="1" applyFill="1" applyBorder="1" applyAlignment="1" applyProtection="0">
      <alignment vertical="center" wrapText="1" readingOrder="1"/>
    </xf>
    <xf numFmtId="0" fontId="0" applyNumberFormat="1" applyFont="1" applyFill="0" applyBorder="0" applyAlignment="1" applyProtection="0">
      <alignment vertical="top" wrapText="1"/>
    </xf>
    <xf numFmtId="49" fontId="9" borderId="4" applyNumberFormat="1" applyFont="1" applyFill="0" applyBorder="1" applyAlignment="1" applyProtection="0">
      <alignment vertical="center" wrapText="1" readingOrder="1"/>
    </xf>
    <xf numFmtId="71" fontId="9" borderId="4" applyNumberFormat="1" applyFont="1" applyFill="0" applyBorder="1" applyAlignment="1" applyProtection="0">
      <alignment vertical="center" wrapText="1" readingOrder="1"/>
    </xf>
    <xf numFmtId="0" fontId="0" applyNumberFormat="1" applyFont="1" applyFill="0" applyBorder="0" applyAlignment="1" applyProtection="0">
      <alignment vertical="top" wrapText="1"/>
    </xf>
    <xf numFmtId="0" fontId="9" fillId="26" borderId="7" applyNumberFormat="0" applyFont="1" applyFill="1" applyBorder="1" applyAlignment="1" applyProtection="0">
      <alignment vertical="center" wrapText="1" readingOrder="1"/>
    </xf>
    <xf numFmtId="0" fontId="0" applyNumberFormat="1" applyFont="1" applyFill="0" applyBorder="0" applyAlignment="1" applyProtection="0">
      <alignment vertical="top" wrapText="1"/>
    </xf>
    <xf numFmtId="59" fontId="0" fillId="27" borderId="6" applyNumberFormat="1" applyFont="1" applyFill="1" applyBorder="1" applyAlignment="1" applyProtection="0">
      <alignment vertical="top" wrapText="1"/>
    </xf>
    <xf numFmtId="66" fontId="0" fillId="27" borderId="7" applyNumberFormat="1" applyFont="1" applyFill="1" applyBorder="1" applyAlignment="1" applyProtection="0">
      <alignment vertical="top" wrapText="1"/>
    </xf>
    <xf numFmtId="59" fontId="4" fillId="28" borderId="6" applyNumberFormat="1" applyFont="1" applyFill="1" applyBorder="1" applyAlignment="1" applyProtection="0">
      <alignment horizontal="left" vertical="top" wrapText="1" readingOrder="1"/>
    </xf>
    <xf numFmtId="3" fontId="0" borderId="7" applyNumberFormat="1" applyFont="1" applyFill="0" applyBorder="1" applyAlignment="1" applyProtection="0">
      <alignment vertical="top" wrapText="1"/>
    </xf>
    <xf numFmtId="59" fontId="4" fillId="28" borderId="6" applyNumberFormat="1" applyFont="1" applyFill="1" applyBorder="1" applyAlignment="1" applyProtection="0">
      <alignment vertical="top" wrapText="1"/>
    </xf>
    <xf numFmtId="59" fontId="11" borderId="7" applyNumberFormat="1" applyFont="1" applyFill="0" applyBorder="1" applyAlignment="1" applyProtection="0">
      <alignment vertical="top" wrapText="1"/>
    </xf>
    <xf numFmtId="59" fontId="4" borderId="6" applyNumberFormat="1" applyFont="1" applyFill="0" applyBorder="1" applyAlignment="1" applyProtection="0">
      <alignment horizontal="left" vertical="top" wrapText="1" readingOrder="1"/>
    </xf>
    <xf numFmtId="66" fontId="4"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59" fontId="0" fillId="28" borderId="6" applyNumberFormat="1" applyFont="1" applyFill="1" applyBorder="1" applyAlignment="1" applyProtection="0">
      <alignment horizontal="left" vertical="top" wrapText="1" readingOrder="1"/>
    </xf>
    <xf numFmtId="59" fontId="0" borderId="11" applyNumberFormat="1" applyFont="1" applyFill="0" applyBorder="1" applyAlignment="1" applyProtection="0">
      <alignment horizontal="left" vertical="top" wrapText="1" readingOrder="1"/>
    </xf>
    <xf numFmtId="59" fontId="0" fillId="28" borderId="7" applyNumberFormat="1" applyFont="1" applyFill="1" applyBorder="1" applyAlignment="1" applyProtection="0">
      <alignment vertical="top" wrapText="1"/>
    </xf>
    <xf numFmtId="59" fontId="0" fillId="28" borderId="7" applyNumberFormat="1" applyFont="1" applyFill="1" applyBorder="1" applyAlignment="1" applyProtection="0">
      <alignment horizontal="left" vertical="top" wrapText="1" readingOrder="1"/>
    </xf>
    <xf numFmtId="59" fontId="4" fillId="29"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75" fontId="4" fillId="5" borderId="2" applyNumberFormat="1" applyFont="1" applyFill="1" applyBorder="1" applyAlignment="1" applyProtection="0">
      <alignment horizontal="left" vertical="top" wrapText="1"/>
    </xf>
    <xf numFmtId="59" fontId="0" fillId="5" borderId="3" applyNumberFormat="1" applyFont="1" applyFill="1" applyBorder="1" applyAlignment="1" applyProtection="0">
      <alignment horizontal="left" vertical="top" wrapText="1" readingOrder="1"/>
    </xf>
    <xf numFmtId="59" fontId="0" fillId="5" borderId="4" applyNumberFormat="1" applyFont="1" applyFill="1" applyBorder="1" applyAlignment="1" applyProtection="0">
      <alignment horizontal="left" vertical="top" wrapText="1" readingOrder="1"/>
    </xf>
    <xf numFmtId="59" fontId="0" fillId="5" borderId="4" applyNumberFormat="1" applyFont="1" applyFill="1" applyBorder="1" applyAlignment="1" applyProtection="0">
      <alignment vertical="top" wrapText="1"/>
    </xf>
    <xf numFmtId="59" fontId="0" fillId="30" borderId="4" applyNumberFormat="1" applyFont="1" applyFill="1" applyBorder="1" applyAlignment="1" applyProtection="0">
      <alignment horizontal="left" vertical="top" wrapText="1" readingOrder="1"/>
    </xf>
    <xf numFmtId="63" fontId="0" fillId="30" borderId="4" applyNumberFormat="1" applyFont="1" applyFill="1" applyBorder="1" applyAlignment="1" applyProtection="0">
      <alignment vertical="top" wrapText="1"/>
    </xf>
    <xf numFmtId="59" fontId="0" fillId="23" borderId="4" applyNumberFormat="1" applyFont="1" applyFill="1" applyBorder="1" applyAlignment="1" applyProtection="0">
      <alignment vertical="top" wrapText="1"/>
    </xf>
    <xf numFmtId="59" fontId="0" fillId="23" borderId="4" applyNumberFormat="1" applyFont="1" applyFill="1" applyBorder="1" applyAlignment="1" applyProtection="0">
      <alignment horizontal="left" vertical="top" wrapText="1" readingOrder="1"/>
    </xf>
    <xf numFmtId="59" fontId="0" fillId="31" borderId="4" applyNumberFormat="1" applyFont="1" applyFill="1" applyBorder="1" applyAlignment="1" applyProtection="0">
      <alignment vertical="top" wrapText="1"/>
    </xf>
    <xf numFmtId="75" fontId="4" fillId="5" borderId="5" applyNumberFormat="1" applyFont="1" applyFill="1" applyBorder="1" applyAlignment="1" applyProtection="0">
      <alignment horizontal="left" vertical="top" wrapText="1"/>
    </xf>
    <xf numFmtId="59" fontId="0" fillId="5" borderId="6" applyNumberFormat="1" applyFont="1" applyFill="1" applyBorder="1" applyAlignment="1" applyProtection="0">
      <alignment horizontal="left" vertical="top" wrapText="1" readingOrder="1"/>
    </xf>
    <xf numFmtId="59" fontId="0" fillId="5" borderId="7" applyNumberFormat="1" applyFont="1" applyFill="1" applyBorder="1" applyAlignment="1" applyProtection="0">
      <alignment horizontal="left" vertical="top" wrapText="1" readingOrder="1"/>
    </xf>
    <xf numFmtId="59" fontId="0" fillId="5" borderId="7" applyNumberFormat="1" applyFont="1" applyFill="1" applyBorder="1" applyAlignment="1" applyProtection="0">
      <alignment vertical="top" wrapText="1"/>
    </xf>
    <xf numFmtId="59" fontId="0" fillId="30" borderId="7" applyNumberFormat="1" applyFont="1" applyFill="1" applyBorder="1" applyAlignment="1" applyProtection="0">
      <alignment horizontal="left" vertical="top" wrapText="1" readingOrder="1"/>
    </xf>
    <xf numFmtId="63" fontId="0" fillId="30" borderId="7" applyNumberFormat="1" applyFont="1" applyFill="1" applyBorder="1" applyAlignment="1" applyProtection="0">
      <alignment vertical="top" wrapText="1"/>
    </xf>
    <xf numFmtId="59" fontId="0" fillId="23" borderId="7" applyNumberFormat="1" applyFont="1" applyFill="1" applyBorder="1" applyAlignment="1" applyProtection="0">
      <alignment vertical="top" wrapText="1"/>
    </xf>
    <xf numFmtId="59" fontId="0" fillId="31" borderId="7" applyNumberFormat="1" applyFont="1" applyFill="1" applyBorder="1" applyAlignment="1" applyProtection="0">
      <alignment horizontal="left" vertical="top" wrapText="1" readingOrder="1"/>
    </xf>
    <xf numFmtId="59" fontId="0" fillId="31" borderId="7" applyNumberFormat="1" applyFont="1" applyFill="1" applyBorder="1" applyAlignment="1" applyProtection="0">
      <alignment vertical="top" wrapText="1"/>
    </xf>
    <xf numFmtId="59" fontId="12" fillId="5" borderId="7" applyNumberFormat="1" applyFont="1" applyFill="1" applyBorder="1" applyAlignment="1" applyProtection="0">
      <alignment vertical="top" wrapText="1" readingOrder="1"/>
    </xf>
    <xf numFmtId="75" fontId="4" fillId="5" borderId="10" applyNumberFormat="1" applyFont="1" applyFill="1" applyBorder="1" applyAlignment="1" applyProtection="0">
      <alignment horizontal="left" vertical="top" wrapText="1"/>
    </xf>
    <xf numFmtId="59" fontId="0" fillId="5" borderId="11" applyNumberFormat="1" applyFont="1" applyFill="1" applyBorder="1" applyAlignment="1" applyProtection="0">
      <alignment horizontal="left" vertical="top" wrapText="1" readingOrder="1"/>
    </xf>
    <xf numFmtId="59" fontId="0" fillId="5" borderId="1" applyNumberFormat="1" applyFont="1" applyFill="1" applyBorder="1" applyAlignment="1" applyProtection="0">
      <alignment horizontal="left" vertical="top" wrapText="1" readingOrder="1"/>
    </xf>
    <xf numFmtId="59" fontId="0" fillId="5" borderId="1" applyNumberFormat="1" applyFont="1" applyFill="1" applyBorder="1" applyAlignment="1" applyProtection="0">
      <alignment vertical="top" wrapText="1"/>
    </xf>
    <xf numFmtId="59" fontId="0" fillId="30" borderId="1" applyNumberFormat="1" applyFont="1" applyFill="1" applyBorder="1" applyAlignment="1" applyProtection="0">
      <alignment horizontal="left" vertical="top" wrapText="1" readingOrder="1"/>
    </xf>
    <xf numFmtId="63" fontId="0" fillId="30" borderId="1" applyNumberFormat="1" applyFont="1" applyFill="1" applyBorder="1" applyAlignment="1" applyProtection="0">
      <alignment vertical="top" wrapText="1"/>
    </xf>
    <xf numFmtId="59" fontId="0" fillId="23" borderId="1" applyNumberFormat="1" applyFont="1" applyFill="1" applyBorder="1" applyAlignment="1" applyProtection="0">
      <alignment vertical="top" wrapText="1"/>
    </xf>
    <xf numFmtId="59" fontId="0" fillId="31" borderId="1" applyNumberFormat="1" applyFont="1" applyFill="1" applyBorder="1" applyAlignment="1" applyProtection="0">
      <alignment vertical="top" wrapText="1"/>
    </xf>
    <xf numFmtId="59" fontId="13" borderId="4" applyNumberFormat="1" applyFont="1" applyFill="0" applyBorder="1" applyAlignment="1" applyProtection="0">
      <alignment vertical="top" wrapText="1"/>
    </xf>
    <xf numFmtId="59" fontId="14" borderId="4" applyNumberFormat="1" applyFont="1" applyFill="0" applyBorder="1" applyAlignment="1" applyProtection="0">
      <alignment vertical="top" wrapText="1"/>
    </xf>
    <xf numFmtId="63" fontId="4" borderId="4" applyNumberFormat="1" applyFont="1" applyFill="0" applyBorder="1" applyAlignment="1" applyProtection="0">
      <alignment vertical="top" wrapText="1"/>
    </xf>
    <xf numFmtId="0" fontId="4" fillId="31" borderId="4" applyNumberFormat="0" applyFont="1" applyFill="1" applyBorder="1" applyAlignment="1" applyProtection="0">
      <alignment vertical="top" wrapText="1"/>
    </xf>
    <xf numFmtId="0" fontId="0" applyNumberFormat="1" applyFont="1" applyFill="0" applyBorder="0" applyAlignment="1" applyProtection="0">
      <alignment vertical="top" wrapText="1"/>
    </xf>
    <xf numFmtId="3" fontId="0" fillId="32" borderId="7" applyNumberFormat="1" applyFont="1" applyFill="1" applyBorder="1" applyAlignment="1" applyProtection="0">
      <alignment vertical="top" wrapText="1"/>
    </xf>
    <xf numFmtId="0" fontId="0" fillId="32" borderId="7" applyNumberFormat="0" applyFont="1" applyFill="1" applyBorder="1" applyAlignment="1" applyProtection="0">
      <alignment vertical="top" wrapText="1"/>
    </xf>
    <xf numFmtId="3" fontId="0" fillId="33" borderId="7" applyNumberFormat="1" applyFont="1" applyFill="1" applyBorder="1" applyAlignment="1" applyProtection="0">
      <alignment vertical="top" wrapText="1"/>
    </xf>
    <xf numFmtId="0" fontId="0" fillId="33" borderId="7"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fillId="32"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4" fillId="4" borderId="7" applyNumberFormat="0" applyFont="1" applyFill="1" applyBorder="1" applyAlignment="1" applyProtection="0">
      <alignment vertical="top" wrapText="1"/>
    </xf>
    <xf numFmtId="49" fontId="4" fillId="4" borderId="7" applyNumberFormat="1" applyFont="1" applyFill="1" applyBorder="1" applyAlignment="1" applyProtection="0">
      <alignment vertical="top" wrapText="1"/>
    </xf>
    <xf numFmtId="0" fontId="4" fillId="4" borderId="7" applyNumberFormat="1" applyFont="1" applyFill="1" applyBorder="1" applyAlignment="1" applyProtection="0">
      <alignment vertical="top" wrapText="1"/>
    </xf>
    <xf numFmtId="0" fontId="4" fillId="4" borderId="1" applyNumberFormat="1" applyFont="1" applyFill="1" applyBorder="1" applyAlignment="1" applyProtection="0">
      <alignment vertical="top" wrapText="1"/>
    </xf>
    <xf numFmtId="60" fontId="4" fillId="4" borderId="1" applyNumberFormat="1" applyFont="1" applyFill="1" applyBorder="1" applyAlignment="1" applyProtection="0">
      <alignment vertical="top" wrapText="1"/>
    </xf>
    <xf numFmtId="76" fontId="4" fillId="4" borderId="1" applyNumberFormat="1" applyFont="1" applyFill="1" applyBorder="1" applyAlignment="1" applyProtection="0">
      <alignment vertical="top" wrapText="1"/>
    </xf>
    <xf numFmtId="49" fontId="4" fillId="5" borderId="4" applyNumberFormat="1" applyFont="1" applyFill="1" applyBorder="1" applyAlignment="1" applyProtection="0">
      <alignment vertical="top" wrapText="1"/>
    </xf>
    <xf numFmtId="0" fontId="4" fillId="5" borderId="2" applyNumberFormat="0" applyFont="1" applyFill="1" applyBorder="1" applyAlignment="1" applyProtection="0">
      <alignment vertical="top" wrapText="1"/>
    </xf>
    <xf numFmtId="59" fontId="15" borderId="3" applyNumberFormat="1" applyFont="1" applyFill="0" applyBorder="1" applyAlignment="1" applyProtection="0">
      <alignment vertical="top" wrapText="1"/>
    </xf>
    <xf numFmtId="63" fontId="15" borderId="4" applyNumberFormat="1" applyFont="1" applyFill="0" applyBorder="1" applyAlignment="1" applyProtection="0">
      <alignment vertical="top" wrapText="1"/>
    </xf>
    <xf numFmtId="3" fontId="16" borderId="4" applyNumberFormat="1" applyFont="1" applyFill="0" applyBorder="1" applyAlignment="1" applyProtection="0">
      <alignment vertical="top" wrapText="1"/>
    </xf>
    <xf numFmtId="3" fontId="15" fillId="34" borderId="4" applyNumberFormat="1" applyFont="1" applyFill="1" applyBorder="1" applyAlignment="1" applyProtection="0">
      <alignment vertical="top" wrapText="1"/>
    </xf>
    <xf numFmtId="63" fontId="15" fillId="34" borderId="4" applyNumberFormat="1" applyFont="1" applyFill="1" applyBorder="1" applyAlignment="1" applyProtection="0">
      <alignment vertical="top" wrapText="1"/>
    </xf>
    <xf numFmtId="59" fontId="15" fillId="34" borderId="4" applyNumberFormat="1" applyFont="1" applyFill="1" applyBorder="1" applyAlignment="1" applyProtection="0">
      <alignment vertical="top" wrapText="1"/>
    </xf>
    <xf numFmtId="3" fontId="15" fillId="35" borderId="4" applyNumberFormat="1" applyFont="1" applyFill="1" applyBorder="1" applyAlignment="1" applyProtection="0">
      <alignment vertical="top" wrapText="1"/>
    </xf>
    <xf numFmtId="63" fontId="15" fillId="35" borderId="4" applyNumberFormat="1" applyFont="1" applyFill="1" applyBorder="1" applyAlignment="1" applyProtection="0">
      <alignment vertical="top" wrapText="1"/>
    </xf>
    <xf numFmtId="59" fontId="15" fillId="35" borderId="4" applyNumberFormat="1" applyFont="1" applyFill="1" applyBorder="1" applyAlignment="1" applyProtection="0">
      <alignment vertical="top" wrapText="1"/>
    </xf>
    <xf numFmtId="59" fontId="15" borderId="4" applyNumberFormat="1" applyFont="1" applyFill="0" applyBorder="1" applyAlignment="1" applyProtection="0">
      <alignment vertical="top" wrapText="1"/>
    </xf>
    <xf numFmtId="59" fontId="15" fillId="5" borderId="4" applyNumberFormat="1" applyFont="1" applyFill="1" applyBorder="1" applyAlignment="1" applyProtection="0">
      <alignment vertical="top" wrapText="1"/>
    </xf>
    <xf numFmtId="0" fontId="15" borderId="4" applyNumberFormat="1" applyFont="1" applyFill="0" applyBorder="1" applyAlignment="1" applyProtection="0">
      <alignment vertical="top" wrapText="1"/>
    </xf>
    <xf numFmtId="49" fontId="4" fillId="5" borderId="7" applyNumberFormat="1" applyFont="1" applyFill="1" applyBorder="1" applyAlignment="1" applyProtection="0">
      <alignment vertical="top" wrapText="1"/>
    </xf>
    <xf numFmtId="59" fontId="15" borderId="6" applyNumberFormat="1" applyFont="1" applyFill="0" applyBorder="1" applyAlignment="1" applyProtection="0">
      <alignment vertical="top" wrapText="1"/>
    </xf>
    <xf numFmtId="63" fontId="15" borderId="7" applyNumberFormat="1" applyFont="1" applyFill="0" applyBorder="1" applyAlignment="1" applyProtection="0">
      <alignment vertical="top" wrapText="1"/>
    </xf>
    <xf numFmtId="3" fontId="16" borderId="7" applyNumberFormat="1" applyFont="1" applyFill="0" applyBorder="1" applyAlignment="1" applyProtection="0">
      <alignment vertical="top" wrapText="1"/>
    </xf>
    <xf numFmtId="3" fontId="15" fillId="34" borderId="7" applyNumberFormat="1" applyFont="1" applyFill="1" applyBorder="1" applyAlignment="1" applyProtection="0">
      <alignment vertical="top" wrapText="1"/>
    </xf>
    <xf numFmtId="63" fontId="15" fillId="34" borderId="7" applyNumberFormat="1" applyFont="1" applyFill="1" applyBorder="1" applyAlignment="1" applyProtection="0">
      <alignment vertical="top" wrapText="1"/>
    </xf>
    <xf numFmtId="59" fontId="15" fillId="34" borderId="7" applyNumberFormat="1" applyFont="1" applyFill="1" applyBorder="1" applyAlignment="1" applyProtection="0">
      <alignment vertical="top" wrapText="1"/>
    </xf>
    <xf numFmtId="3" fontId="15" fillId="35" borderId="7" applyNumberFormat="1" applyFont="1" applyFill="1" applyBorder="1" applyAlignment="1" applyProtection="0">
      <alignment vertical="top" wrapText="1"/>
    </xf>
    <xf numFmtId="63" fontId="15" fillId="35" borderId="7" applyNumberFormat="1" applyFont="1" applyFill="1" applyBorder="1" applyAlignment="1" applyProtection="0">
      <alignment vertical="top" wrapText="1"/>
    </xf>
    <xf numFmtId="59" fontId="15" fillId="35" borderId="7" applyNumberFormat="1" applyFont="1" applyFill="1" applyBorder="1" applyAlignment="1" applyProtection="0">
      <alignment vertical="top" wrapText="1"/>
    </xf>
    <xf numFmtId="59" fontId="15" borderId="7" applyNumberFormat="1" applyFont="1" applyFill="0" applyBorder="1" applyAlignment="1" applyProtection="0">
      <alignment vertical="top" wrapText="1"/>
    </xf>
    <xf numFmtId="59" fontId="15" fillId="5" borderId="7" applyNumberFormat="1" applyFont="1" applyFill="1" applyBorder="1" applyAlignment="1" applyProtection="0">
      <alignment vertical="top" wrapText="1"/>
    </xf>
    <xf numFmtId="0" fontId="15" borderId="7" applyNumberFormat="1" applyFont="1" applyFill="0" applyBorder="1" applyAlignment="1" applyProtection="0">
      <alignment vertical="top" wrapText="1"/>
    </xf>
    <xf numFmtId="0" fontId="4" fillId="5" borderId="7" applyNumberFormat="0" applyFont="1" applyFill="1" applyBorder="1" applyAlignment="1" applyProtection="0">
      <alignment vertical="top" wrapText="1"/>
    </xf>
    <xf numFmtId="0" fontId="15" fillId="5" borderId="7" applyNumberFormat="1" applyFont="1" applyFill="1" applyBorder="1" applyAlignment="1" applyProtection="0">
      <alignment vertical="top" wrapText="1"/>
    </xf>
    <xf numFmtId="49" fontId="4" fillId="5" borderId="1" applyNumberFormat="1" applyFont="1" applyFill="1" applyBorder="1" applyAlignment="1" applyProtection="0">
      <alignment vertical="top" wrapText="1"/>
    </xf>
    <xf numFmtId="59" fontId="15" borderId="11" applyNumberFormat="1" applyFont="1" applyFill="0" applyBorder="1" applyAlignment="1" applyProtection="0">
      <alignment vertical="top" wrapText="1"/>
    </xf>
    <xf numFmtId="63" fontId="15" borderId="1" applyNumberFormat="1" applyFont="1" applyFill="0" applyBorder="1" applyAlignment="1" applyProtection="0">
      <alignment vertical="top" wrapText="1"/>
    </xf>
    <xf numFmtId="3" fontId="16" borderId="1" applyNumberFormat="1" applyFont="1" applyFill="0" applyBorder="1" applyAlignment="1" applyProtection="0">
      <alignment vertical="top" wrapText="1"/>
    </xf>
    <xf numFmtId="3" fontId="15" fillId="34" borderId="1" applyNumberFormat="1" applyFont="1" applyFill="1" applyBorder="1" applyAlignment="1" applyProtection="0">
      <alignment vertical="top" wrapText="1"/>
    </xf>
    <xf numFmtId="63" fontId="15" fillId="34" borderId="1" applyNumberFormat="1" applyFont="1" applyFill="1" applyBorder="1" applyAlignment="1" applyProtection="0">
      <alignment vertical="top" wrapText="1"/>
    </xf>
    <xf numFmtId="59" fontId="15" fillId="34" borderId="1" applyNumberFormat="1" applyFont="1" applyFill="1" applyBorder="1" applyAlignment="1" applyProtection="0">
      <alignment vertical="top" wrapText="1"/>
    </xf>
    <xf numFmtId="3" fontId="15" fillId="35" borderId="1" applyNumberFormat="1" applyFont="1" applyFill="1" applyBorder="1" applyAlignment="1" applyProtection="0">
      <alignment vertical="top" wrapText="1"/>
    </xf>
    <xf numFmtId="63" fontId="15" fillId="35" borderId="1" applyNumberFormat="1" applyFont="1" applyFill="1" applyBorder="1" applyAlignment="1" applyProtection="0">
      <alignment vertical="top" wrapText="1"/>
    </xf>
    <xf numFmtId="59" fontId="15" fillId="35" borderId="1" applyNumberFormat="1" applyFont="1" applyFill="1" applyBorder="1" applyAlignment="1" applyProtection="0">
      <alignment vertical="top" wrapText="1"/>
    </xf>
    <xf numFmtId="59" fontId="15" borderId="1" applyNumberFormat="1" applyFont="1" applyFill="0" applyBorder="1" applyAlignment="1" applyProtection="0">
      <alignment vertical="top" wrapText="1"/>
    </xf>
    <xf numFmtId="59" fontId="15" fillId="5" borderId="1" applyNumberFormat="1" applyFont="1" applyFill="1" applyBorder="1" applyAlignment="1" applyProtection="0">
      <alignment vertical="top" wrapText="1"/>
    </xf>
    <xf numFmtId="0" fontId="15" borderId="1" applyNumberFormat="1" applyFont="1" applyFill="0" applyBorder="1" applyAlignment="1" applyProtection="0">
      <alignment vertical="top" wrapText="1"/>
    </xf>
    <xf numFmtId="9" fontId="4" borderId="4" applyNumberFormat="1" applyFont="1" applyFill="0" applyBorder="1" applyAlignment="1" applyProtection="0">
      <alignment vertical="top" wrapText="1"/>
    </xf>
    <xf numFmtId="59" fontId="4" fillId="34" borderId="4" applyNumberFormat="1" applyFont="1" applyFill="1" applyBorder="1" applyAlignment="1" applyProtection="0">
      <alignment vertical="top" wrapText="1"/>
    </xf>
    <xf numFmtId="59" fontId="4" fillId="35" borderId="4" applyNumberFormat="1" applyFont="1" applyFill="1" applyBorder="1" applyAlignment="1" applyProtection="0">
      <alignment vertical="top" wrapText="1"/>
    </xf>
    <xf numFmtId="9" fontId="4" fillId="35" borderId="4" applyNumberFormat="1" applyFont="1" applyFill="1" applyBorder="1" applyAlignment="1" applyProtection="0">
      <alignment vertical="top" wrapText="1"/>
    </xf>
    <xf numFmtId="59" fontId="0" fillId="34" borderId="4" applyNumberFormat="1" applyFont="1" applyFill="1" applyBorder="1" applyAlignment="1" applyProtection="0">
      <alignment vertical="top" wrapText="1"/>
    </xf>
    <xf numFmtId="64" fontId="4"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fillId="5" borderId="4" applyNumberFormat="0" applyFont="1" applyFill="1" applyBorder="1" applyAlignment="1" applyProtection="0">
      <alignment vertical="top" wrapText="1"/>
    </xf>
    <xf numFmtId="59" fontId="0" fillId="36" borderId="3" applyNumberFormat="1" applyFont="1" applyFill="1" applyBorder="1" applyAlignment="1" applyProtection="0">
      <alignment vertical="top" wrapText="1"/>
    </xf>
    <xf numFmtId="67" fontId="0" fillId="36" borderId="4" applyNumberFormat="1" applyFont="1" applyFill="1" applyBorder="1" applyAlignment="1" applyProtection="0">
      <alignment vertical="top" wrapText="1"/>
    </xf>
    <xf numFmtId="59" fontId="17" borderId="7" applyNumberFormat="1" applyFont="1" applyFill="0" applyBorder="1" applyAlignment="1" applyProtection="0">
      <alignment vertical="top" wrapText="1"/>
    </xf>
    <xf numFmtId="59" fontId="0" fillId="36" borderId="6" applyNumberFormat="1" applyFont="1" applyFill="1" applyBorder="1" applyAlignment="1" applyProtection="0">
      <alignment vertical="top" wrapText="1"/>
    </xf>
    <xf numFmtId="59" fontId="4" borderId="6" applyNumberFormat="1" applyFont="1" applyFill="0" applyBorder="1" applyAlignment="1" applyProtection="0">
      <alignment vertical="top" wrapText="1"/>
    </xf>
    <xf numFmtId="59" fontId="4" fillId="37" borderId="6" applyNumberFormat="1" applyFont="1" applyFill="1" applyBorder="1" applyAlignment="1" applyProtection="0">
      <alignment vertical="top" wrapText="1"/>
    </xf>
    <xf numFmtId="49" fontId="18" fillId="5" borderId="5" applyNumberFormat="1" applyFont="1" applyFill="1" applyBorder="1" applyAlignment="1" applyProtection="0">
      <alignment vertical="top" wrapText="1"/>
    </xf>
    <xf numFmtId="59" fontId="18" fillId="37" borderId="6" applyNumberFormat="1" applyFont="1" applyFill="1" applyBorder="1" applyAlignment="1" applyProtection="0">
      <alignment vertical="top" wrapText="1"/>
    </xf>
    <xf numFmtId="77" fontId="4" fillId="5" borderId="7" applyNumberFormat="1" applyFont="1" applyFill="1" applyBorder="1" applyAlignment="1" applyProtection="0">
      <alignment vertical="top" wrapText="1"/>
    </xf>
    <xf numFmtId="59" fontId="0" fillId="38" borderId="7" applyNumberFormat="1" applyFont="1" applyFill="1" applyBorder="1" applyAlignment="1" applyProtection="0">
      <alignment vertical="top" wrapText="1"/>
    </xf>
    <xf numFmtId="67" fontId="0" fillId="36"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75" fontId="4" borderId="7" applyNumberFormat="1" applyFont="1" applyFill="0" applyBorder="1" applyAlignment="1" applyProtection="0">
      <alignment horizontal="left" vertical="top" wrapText="1"/>
    </xf>
    <xf numFmtId="78" fontId="4" borderId="7" applyNumberFormat="1" applyFont="1" applyFill="0" applyBorder="1" applyAlignment="1" applyProtection="0">
      <alignment horizontal="left" vertical="top" wrapText="1"/>
    </xf>
    <xf numFmtId="49" fontId="4" borderId="7" applyNumberFormat="1" applyFont="1" applyFill="0" applyBorder="1" applyAlignment="1" applyProtection="0">
      <alignment horizontal="left" vertical="top" wrapText="1"/>
    </xf>
    <xf numFmtId="3" fontId="15" borderId="7" applyNumberFormat="1" applyFont="1" applyFill="0" applyBorder="1" applyAlignment="1" applyProtection="0">
      <alignment vertical="top" wrapText="1"/>
    </xf>
    <xf numFmtId="79" fontId="15" borderId="7" applyNumberFormat="1" applyFont="1" applyFill="0" applyBorder="1" applyAlignment="1" applyProtection="0">
      <alignment vertical="top" wrapText="1"/>
    </xf>
    <xf numFmtId="49" fontId="9" borderId="7" applyNumberFormat="1" applyFont="1" applyFill="0" applyBorder="1" applyAlignment="1" applyProtection="0">
      <alignment vertical="center" wrapText="1"/>
    </xf>
    <xf numFmtId="71" fontId="9" borderId="7" applyNumberFormat="1" applyFont="1" applyFill="0" applyBorder="1" applyAlignment="1" applyProtection="0">
      <alignment vertical="center" wrapText="1"/>
    </xf>
    <xf numFmtId="0" fontId="0" applyNumberFormat="1" applyFont="1" applyFill="0" applyBorder="0" applyAlignment="1" applyProtection="0">
      <alignment vertical="top" wrapText="1"/>
    </xf>
    <xf numFmtId="0" fontId="4" borderId="7" applyNumberFormat="0" applyFont="1" applyFill="0" applyBorder="1" applyAlignment="1" applyProtection="0">
      <alignment horizontal="left" vertical="top" wrapText="1"/>
    </xf>
    <xf numFmtId="59" fontId="4" borderId="7" applyNumberFormat="1" applyFont="1" applyFill="0" applyBorder="1" applyAlignment="1" applyProtection="0">
      <alignment horizontal="left" vertical="top" wrapText="1"/>
    </xf>
    <xf numFmtId="49" fontId="15" borderId="7" applyNumberFormat="1" applyFont="1" applyFill="0" applyBorder="1" applyAlignment="1" applyProtection="0">
      <alignment vertical="top" wrapText="1"/>
    </xf>
    <xf numFmtId="67" fontId="15" borderId="7" applyNumberFormat="1" applyFont="1" applyFill="0" applyBorder="1" applyAlignment="1" applyProtection="0">
      <alignment vertical="top" wrapText="1"/>
    </xf>
    <xf numFmtId="0" fontId="4" borderId="7" applyNumberFormat="1" applyFont="1" applyFill="0" applyBorder="1" applyAlignment="1" applyProtection="0">
      <alignment horizontal="left" vertical="top" wrapText="1"/>
    </xf>
    <xf numFmtId="0" fontId="15" borderId="7" applyNumberFormat="0" applyFont="1" applyFill="0" applyBorder="1" applyAlignment="1" applyProtection="0">
      <alignment vertical="top" wrapText="1"/>
    </xf>
    <xf numFmtId="60" fontId="15"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fillId="5" borderId="2" applyNumberFormat="1" applyFont="1" applyFill="1" applyBorder="1" applyAlignment="1" applyProtection="0">
      <alignment horizontal="left" vertical="top" wrapText="1"/>
    </xf>
    <xf numFmtId="59" fontId="0" fillId="5" borderId="3" applyNumberFormat="1" applyFont="1" applyFill="1" applyBorder="1" applyAlignment="1" applyProtection="0">
      <alignment vertical="top" wrapText="1"/>
    </xf>
    <xf numFmtId="64" fontId="0" fillId="23" borderId="4" applyNumberFormat="1" applyFont="1" applyFill="1" applyBorder="1" applyAlignment="1" applyProtection="0">
      <alignment vertical="top" wrapText="1"/>
    </xf>
    <xf numFmtId="59" fontId="0" fillId="30" borderId="4" applyNumberFormat="1" applyFont="1" applyFill="1" applyBorder="1" applyAlignment="1" applyProtection="0">
      <alignment vertical="top" wrapText="1"/>
    </xf>
    <xf numFmtId="63" fontId="0" fillId="23" borderId="4" applyNumberFormat="1" applyFont="1" applyFill="1" applyBorder="1" applyAlignment="1" applyProtection="0">
      <alignment vertical="top" wrapText="1"/>
    </xf>
    <xf numFmtId="80" fontId="0" fillId="23" borderId="4" applyNumberFormat="1" applyFont="1" applyFill="1" applyBorder="1" applyAlignment="1" applyProtection="0">
      <alignment horizontal="right" vertical="top" wrapText="1" readingOrder="1"/>
    </xf>
    <xf numFmtId="3" fontId="0" fillId="23" borderId="4" applyNumberFormat="1" applyFont="1" applyFill="1" applyBorder="1" applyAlignment="1" applyProtection="0">
      <alignment horizontal="right" vertical="top" wrapText="1" readingOrder="1"/>
    </xf>
    <xf numFmtId="59" fontId="0" fillId="30" borderId="4" applyNumberFormat="1" applyFont="1" applyFill="1" applyBorder="1" applyAlignment="1" applyProtection="0">
      <alignment horizontal="right" vertical="top" wrapText="1" readingOrder="1"/>
    </xf>
    <xf numFmtId="59" fontId="0" fillId="23" borderId="4" applyNumberFormat="1" applyFont="1" applyFill="1" applyBorder="1" applyAlignment="1" applyProtection="0">
      <alignment horizontal="right" vertical="top" wrapText="1" readingOrder="1"/>
    </xf>
    <xf numFmtId="64" fontId="0" fillId="39" borderId="4" applyNumberFormat="1" applyFont="1" applyFill="1" applyBorder="1" applyAlignment="1" applyProtection="0">
      <alignment vertical="top" wrapText="1"/>
    </xf>
    <xf numFmtId="0" fontId="4" fillId="5" borderId="5" applyNumberFormat="1" applyFont="1" applyFill="1" applyBorder="1" applyAlignment="1" applyProtection="0">
      <alignment horizontal="left" vertical="top" wrapText="1"/>
    </xf>
    <xf numFmtId="59" fontId="0" fillId="5" borderId="6" applyNumberFormat="1" applyFont="1" applyFill="1" applyBorder="1" applyAlignment="1" applyProtection="0">
      <alignment vertical="top" wrapText="1"/>
    </xf>
    <xf numFmtId="64" fontId="0" fillId="23" borderId="7" applyNumberFormat="1" applyFont="1" applyFill="1" applyBorder="1" applyAlignment="1" applyProtection="0">
      <alignment vertical="top" wrapText="1"/>
    </xf>
    <xf numFmtId="59" fontId="0" fillId="30" borderId="7" applyNumberFormat="1" applyFont="1" applyFill="1" applyBorder="1" applyAlignment="1" applyProtection="0">
      <alignment vertical="top" wrapText="1"/>
    </xf>
    <xf numFmtId="63" fontId="0" fillId="23" borderId="7" applyNumberFormat="1" applyFont="1" applyFill="1" applyBorder="1" applyAlignment="1" applyProtection="0">
      <alignment vertical="top" wrapText="1"/>
    </xf>
    <xf numFmtId="59" fontId="0" fillId="23" borderId="7" applyNumberFormat="1" applyFont="1" applyFill="1" applyBorder="1" applyAlignment="1" applyProtection="0">
      <alignment horizontal="left" vertical="top" wrapText="1" readingOrder="1"/>
    </xf>
    <xf numFmtId="80" fontId="0" fillId="23" borderId="7" applyNumberFormat="1" applyFont="1" applyFill="1" applyBorder="1" applyAlignment="1" applyProtection="0">
      <alignment horizontal="right" vertical="top" wrapText="1" readingOrder="1"/>
    </xf>
    <xf numFmtId="3" fontId="0" fillId="23" borderId="7" applyNumberFormat="1" applyFont="1" applyFill="1" applyBorder="1" applyAlignment="1" applyProtection="0">
      <alignment horizontal="right" vertical="top" wrapText="1" readingOrder="1"/>
    </xf>
    <xf numFmtId="59" fontId="0" fillId="30" borderId="7" applyNumberFormat="1" applyFont="1" applyFill="1" applyBorder="1" applyAlignment="1" applyProtection="0">
      <alignment horizontal="right" vertical="top" wrapText="1" readingOrder="1"/>
    </xf>
    <xf numFmtId="59" fontId="0" fillId="23" borderId="7" applyNumberFormat="1" applyFont="1" applyFill="1" applyBorder="1" applyAlignment="1" applyProtection="0">
      <alignment horizontal="right" vertical="top" wrapText="1" readingOrder="1"/>
    </xf>
    <xf numFmtId="64" fontId="0" fillId="39" borderId="7" applyNumberFormat="1" applyFont="1" applyFill="1" applyBorder="1" applyAlignment="1" applyProtection="0">
      <alignment vertical="top" wrapText="1"/>
    </xf>
    <xf numFmtId="64" fontId="0" fillId="23" borderId="7" applyNumberFormat="1" applyFont="1" applyFill="1" applyBorder="1" applyAlignment="1" applyProtection="0">
      <alignment horizontal="left" vertical="top" wrapText="1" readingOrder="1"/>
    </xf>
    <xf numFmtId="0" fontId="4" fillId="5" borderId="10" applyNumberFormat="1" applyFont="1" applyFill="1" applyBorder="1" applyAlignment="1" applyProtection="0">
      <alignment horizontal="left" vertical="top" wrapText="1"/>
    </xf>
    <xf numFmtId="59" fontId="0" fillId="5" borderId="11" applyNumberFormat="1" applyFont="1" applyFill="1" applyBorder="1" applyAlignment="1" applyProtection="0">
      <alignment vertical="top" wrapText="1"/>
    </xf>
    <xf numFmtId="64" fontId="0" fillId="23" borderId="1" applyNumberFormat="1" applyFont="1" applyFill="1" applyBorder="1" applyAlignment="1" applyProtection="0">
      <alignment vertical="top" wrapText="1"/>
    </xf>
    <xf numFmtId="59" fontId="0" fillId="30" borderId="1" applyNumberFormat="1" applyFont="1" applyFill="1" applyBorder="1" applyAlignment="1" applyProtection="0">
      <alignment vertical="top" wrapText="1"/>
    </xf>
    <xf numFmtId="63" fontId="0" fillId="23" borderId="1" applyNumberFormat="1" applyFont="1" applyFill="1" applyBorder="1" applyAlignment="1" applyProtection="0">
      <alignment vertical="top" wrapText="1"/>
    </xf>
    <xf numFmtId="59" fontId="0" fillId="23" borderId="1" applyNumberFormat="1" applyFont="1" applyFill="1" applyBorder="1" applyAlignment="1" applyProtection="0">
      <alignment horizontal="left" vertical="top" wrapText="1" readingOrder="1"/>
    </xf>
    <xf numFmtId="64" fontId="0" fillId="23" borderId="1" applyNumberFormat="1" applyFont="1" applyFill="1" applyBorder="1" applyAlignment="1" applyProtection="0">
      <alignment horizontal="left" vertical="top" wrapText="1" readingOrder="1"/>
    </xf>
    <xf numFmtId="80" fontId="0" fillId="23" borderId="1" applyNumberFormat="1" applyFont="1" applyFill="1" applyBorder="1" applyAlignment="1" applyProtection="0">
      <alignment horizontal="right" vertical="top" wrapText="1" readingOrder="1"/>
    </xf>
    <xf numFmtId="3" fontId="0" fillId="23" borderId="1" applyNumberFormat="1" applyFont="1" applyFill="1" applyBorder="1" applyAlignment="1" applyProtection="0">
      <alignment horizontal="right" vertical="top" wrapText="1" readingOrder="1"/>
    </xf>
    <xf numFmtId="59" fontId="0" fillId="30" borderId="1" applyNumberFormat="1" applyFont="1" applyFill="1" applyBorder="1" applyAlignment="1" applyProtection="0">
      <alignment horizontal="right" vertical="top" wrapText="1" readingOrder="1"/>
    </xf>
    <xf numFmtId="59" fontId="0" fillId="23" borderId="1" applyNumberFormat="1" applyFont="1" applyFill="1" applyBorder="1" applyAlignment="1" applyProtection="0">
      <alignment horizontal="right" vertical="top" wrapText="1" readingOrder="1"/>
    </xf>
    <xf numFmtId="64" fontId="0" fillId="39" borderId="1" applyNumberFormat="1" applyFont="1" applyFill="1" applyBorder="1" applyAlignment="1" applyProtection="0">
      <alignment vertical="top" wrapText="1"/>
    </xf>
    <xf numFmtId="64" fontId="4"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borderId="1" applyNumberFormat="0" applyFont="1" applyFill="0" applyBorder="1" applyAlignment="1" applyProtection="0">
      <alignment vertical="top" wrapText="1"/>
    </xf>
    <xf numFmtId="49" fontId="4" borderId="1" applyNumberFormat="1" applyFont="1" applyFill="0" applyBorder="1" applyAlignment="1" applyProtection="0">
      <alignment vertical="top" wrapText="1"/>
    </xf>
    <xf numFmtId="64" fontId="15" fillId="40" borderId="4" applyNumberFormat="1" applyFont="1" applyFill="1" applyBorder="1" applyAlignment="1" applyProtection="0">
      <alignment vertical="top" wrapText="1"/>
    </xf>
    <xf numFmtId="83" fontId="15" borderId="4" applyNumberFormat="1" applyFont="1" applyFill="0" applyBorder="1" applyAlignment="1" applyProtection="0">
      <alignment vertical="top" wrapText="1"/>
    </xf>
    <xf numFmtId="64" fontId="15" fillId="40" borderId="7" applyNumberFormat="1" applyFont="1" applyFill="1" applyBorder="1" applyAlignment="1" applyProtection="0">
      <alignment vertical="top" wrapText="1"/>
    </xf>
    <xf numFmtId="83" fontId="15" borderId="7" applyNumberFormat="1" applyFont="1" applyFill="0" applyBorder="1" applyAlignment="1" applyProtection="0">
      <alignment vertical="top" wrapText="1"/>
    </xf>
    <xf numFmtId="64" fontId="15" borderId="7" applyNumberFormat="1" applyFont="1" applyFill="0" applyBorder="1" applyAlignment="1" applyProtection="0">
      <alignment vertical="top" wrapText="1"/>
    </xf>
    <xf numFmtId="83" fontId="21" borderId="7" applyNumberFormat="1" applyFont="1" applyFill="0" applyBorder="1" applyAlignment="1" applyProtection="0">
      <alignment vertical="top" wrapText="1"/>
    </xf>
    <xf numFmtId="59" fontId="21" borderId="7" applyNumberFormat="1" applyFont="1" applyFill="0" applyBorder="1" applyAlignment="1" applyProtection="0">
      <alignment vertical="top" wrapText="1"/>
    </xf>
    <xf numFmtId="64" fontId="15" borderId="7" applyNumberFormat="1" applyFont="1" applyFill="0" applyBorder="1" applyAlignment="1" applyProtection="0">
      <alignment horizontal="left" vertical="top" wrapText="1" readingOrder="1"/>
    </xf>
    <xf numFmtId="0" fontId="0" applyNumberFormat="1" applyFont="1" applyFill="0" applyBorder="0" applyAlignment="1" applyProtection="0">
      <alignment vertical="top" wrapText="1"/>
    </xf>
    <xf numFmtId="84" fontId="4" fillId="5" borderId="12" applyNumberFormat="1" applyFont="1" applyFill="1" applyBorder="1" applyAlignment="1" applyProtection="0">
      <alignment horizontal="right" vertical="top" wrapText="1"/>
    </xf>
    <xf numFmtId="59" fontId="0" borderId="13" applyNumberFormat="1" applyFont="1" applyFill="0" applyBorder="1" applyAlignment="1" applyProtection="0">
      <alignment vertical="top" wrapText="1"/>
    </xf>
    <xf numFmtId="59" fontId="0" borderId="14" applyNumberFormat="1" applyFont="1" applyFill="0" applyBorder="1" applyAlignment="1" applyProtection="0">
      <alignment vertical="top" wrapText="1"/>
    </xf>
    <xf numFmtId="85" fontId="15" borderId="14" applyNumberFormat="1" applyFont="1" applyFill="0" applyBorder="1" applyAlignment="1" applyProtection="0">
      <alignment horizontal="left" vertical="top" wrapText="1"/>
    </xf>
    <xf numFmtId="0" fontId="0" borderId="14" applyNumberFormat="0" applyFont="1" applyFill="0" applyBorder="1" applyAlignment="1" applyProtection="0">
      <alignment vertical="top" wrapText="1"/>
    </xf>
    <xf numFmtId="3" fontId="0" borderId="13" applyNumberFormat="1" applyFont="1" applyFill="0" applyBorder="1" applyAlignment="1" applyProtection="0">
      <alignment vertical="top" wrapText="1"/>
    </xf>
    <xf numFmtId="85" fontId="0" borderId="14" applyNumberFormat="1" applyFont="1" applyFill="0" applyBorder="1" applyAlignment="1" applyProtection="0">
      <alignment horizontal="left" vertical="top" wrapText="1"/>
    </xf>
    <xf numFmtId="0" fontId="0" borderId="14" applyNumberFormat="1" applyFont="1" applyFill="0" applyBorder="1" applyAlignment="1" applyProtection="0">
      <alignment vertical="top" wrapText="1"/>
    </xf>
    <xf numFmtId="0" fontId="0" borderId="13" applyNumberFormat="0" applyFont="1" applyFill="0" applyBorder="1" applyAlignment="1" applyProtection="0">
      <alignment vertical="top" wrapText="1"/>
    </xf>
    <xf numFmtId="49" fontId="0" borderId="14" applyNumberFormat="1" applyFont="1" applyFill="0" applyBorder="1" applyAlignment="1" applyProtection="0">
      <alignment vertical="top" wrapText="1"/>
    </xf>
    <xf numFmtId="84" fontId="4" fillId="5" borderId="2" applyNumberFormat="1" applyFont="1" applyFill="1" applyBorder="1" applyAlignment="1" applyProtection="0">
      <alignment horizontal="right" vertical="top" wrapText="1"/>
    </xf>
    <xf numFmtId="84" fontId="4" fillId="5" borderId="5" applyNumberFormat="1" applyFont="1" applyFill="1" applyBorder="1" applyAlignment="1" applyProtection="0">
      <alignment horizontal="right" vertical="top" wrapText="1"/>
    </xf>
    <xf numFmtId="0" fontId="0" applyNumberFormat="1" applyFont="1" applyFill="0" applyBorder="0" applyAlignment="1" applyProtection="0">
      <alignment vertical="top" wrapText="1"/>
    </xf>
    <xf numFmtId="65" fontId="15" borderId="7" applyNumberFormat="1" applyFont="1" applyFill="0" applyBorder="1" applyAlignment="1" applyProtection="0">
      <alignment vertical="top" wrapText="1"/>
    </xf>
    <xf numFmtId="65" fontId="22" borderId="7" applyNumberFormat="1" applyFont="1" applyFill="0" applyBorder="1" applyAlignment="1" applyProtection="0">
      <alignment vertical="top" wrapText="1"/>
    </xf>
    <xf numFmtId="59" fontId="15" borderId="6" applyNumberFormat="1" applyFont="1" applyFill="0" applyBorder="1" applyAlignment="1" applyProtection="0">
      <alignment horizontal="left" vertical="top" wrapText="1" readingOrder="1"/>
    </xf>
    <xf numFmtId="59" fontId="15" borderId="7" applyNumberFormat="1" applyFont="1" applyFill="0" applyBorder="1" applyAlignment="1" applyProtection="0">
      <alignment horizontal="left" vertical="top" wrapText="1" readingOrder="1"/>
    </xf>
    <xf numFmtId="59" fontId="23" fillId="41" borderId="4" applyNumberFormat="1" applyFont="1" applyFill="1" applyBorder="1" applyAlignment="1" applyProtection="0">
      <alignment vertical="top" wrapText="1"/>
    </xf>
    <xf numFmtId="59" fontId="24" borderId="4" applyNumberFormat="1" applyFont="1" applyFill="0" applyBorder="1" applyAlignment="1" applyProtection="0">
      <alignment vertical="top" wrapText="1"/>
    </xf>
    <xf numFmtId="64" fontId="23" fillId="41" borderId="4" applyNumberFormat="1" applyFont="1" applyFill="1" applyBorder="1" applyAlignment="1" applyProtection="0">
      <alignment vertical="top" wrapText="1"/>
    </xf>
    <xf numFmtId="2" fontId="25" fillId="41" borderId="4" applyNumberFormat="1" applyFont="1" applyFill="1" applyBorder="1" applyAlignment="1" applyProtection="0">
      <alignment vertical="top" wrapText="1"/>
    </xf>
    <xf numFmtId="0" fontId="24" borderId="4" applyNumberFormat="0" applyFont="1" applyFill="0" applyBorder="1" applyAlignment="1" applyProtection="0">
      <alignment vertical="top" wrapText="1"/>
    </xf>
    <xf numFmtId="59" fontId="23" borderId="7" applyNumberFormat="1" applyFont="1" applyFill="0" applyBorder="1" applyAlignment="1" applyProtection="0">
      <alignment vertical="top" wrapText="1"/>
    </xf>
    <xf numFmtId="59" fontId="24" borderId="7" applyNumberFormat="1" applyFont="1" applyFill="0" applyBorder="1" applyAlignment="1" applyProtection="0">
      <alignment vertical="top" wrapText="1"/>
    </xf>
    <xf numFmtId="64" fontId="23" borderId="7" applyNumberFormat="1" applyFont="1" applyFill="0" applyBorder="1" applyAlignment="1" applyProtection="0">
      <alignment vertical="top" wrapText="1"/>
    </xf>
    <xf numFmtId="2" fontId="25" borderId="7" applyNumberFormat="1" applyFont="1" applyFill="0" applyBorder="1" applyAlignment="1" applyProtection="0">
      <alignment vertical="top" wrapText="1"/>
    </xf>
    <xf numFmtId="0" fontId="24" borderId="7" applyNumberFormat="0" applyFont="1" applyFill="0" applyBorder="1" applyAlignment="1" applyProtection="0">
      <alignment vertical="top" wrapText="1"/>
    </xf>
    <xf numFmtId="59" fontId="24" fillId="29" borderId="7" applyNumberFormat="1" applyFont="1" applyFill="1" applyBorder="1" applyAlignment="1" applyProtection="0">
      <alignment vertical="top" wrapText="1"/>
    </xf>
    <xf numFmtId="0" fontId="4" fillId="29" borderId="7" applyNumberFormat="0" applyFont="1" applyFill="1" applyBorder="1" applyAlignment="1" applyProtection="0">
      <alignment vertical="top" wrapText="1"/>
    </xf>
    <xf numFmtId="64" fontId="24" fillId="29" borderId="7" applyNumberFormat="1" applyFont="1" applyFill="1" applyBorder="1" applyAlignment="1" applyProtection="0">
      <alignment vertical="top" wrapText="1"/>
    </xf>
    <xf numFmtId="2" fontId="24" fillId="29"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86" fontId="15" borderId="6" applyNumberFormat="1" applyFont="1" applyFill="0" applyBorder="1" applyAlignment="1" applyProtection="0">
      <alignment horizontal="right" vertical="top" wrapText="1" readingOrder="1"/>
    </xf>
    <xf numFmtId="64" fontId="26" borderId="6" applyNumberFormat="1" applyFont="1" applyFill="0" applyBorder="1" applyAlignment="1" applyProtection="0">
      <alignment vertical="top" wrapText="1"/>
    </xf>
    <xf numFmtId="70" fontId="26" borderId="6" applyNumberFormat="1" applyFont="1" applyFill="0" applyBorder="1" applyAlignment="1" applyProtection="0">
      <alignment horizontal="left" vertical="top" wrapText="1" readingOrder="1"/>
    </xf>
    <xf numFmtId="49" fontId="4" fillId="5" borderId="10" applyNumberFormat="1" applyFont="1" applyFill="1" applyBorder="1" applyAlignment="1" applyProtection="0">
      <alignment horizontal="right" vertical="top" wrapText="1" readingOrder="1"/>
    </xf>
    <xf numFmtId="59" fontId="15" borderId="11" applyNumberFormat="1" applyFont="1" applyFill="0" applyBorder="1" applyAlignment="1" applyProtection="0">
      <alignment horizontal="left" vertical="top" wrapText="1" readingOrder="1"/>
    </xf>
    <xf numFmtId="0" fontId="0" applyNumberFormat="1" applyFont="1" applyFill="0" applyBorder="0" applyAlignment="1" applyProtection="0">
      <alignment vertical="top" wrapText="1"/>
    </xf>
    <xf numFmtId="86" fontId="15" borderId="7" applyNumberFormat="1" applyFont="1" applyFill="0" applyBorder="1" applyAlignment="1" applyProtection="0">
      <alignment horizontal="right" vertical="top" wrapText="1" readingOrder="1"/>
    </xf>
    <xf numFmtId="64" fontId="15" borderId="7" applyNumberFormat="1" applyFont="1" applyFill="0" applyBorder="1" applyAlignment="1" applyProtection="0">
      <alignment horizontal="right" vertical="top" wrapText="1" readingOrder="1"/>
    </xf>
    <xf numFmtId="59" fontId="15" borderId="6" applyNumberFormat="1" applyFont="1" applyFill="0" applyBorder="1" applyAlignment="1" applyProtection="0">
      <alignment horizontal="right" vertical="top" wrapText="1" readingOrder="1"/>
    </xf>
    <xf numFmtId="0" fontId="0" applyNumberFormat="1" applyFont="1" applyFill="0" applyBorder="0" applyAlignment="1" applyProtection="0">
      <alignment vertical="top" wrapText="1"/>
    </xf>
    <xf numFmtId="87" fontId="0" borderId="3" applyNumberFormat="1" applyFont="1" applyFill="0" applyBorder="1" applyAlignment="1" applyProtection="0">
      <alignment vertical="top" wrapText="1"/>
    </xf>
    <xf numFmtId="87" fontId="0" borderId="6" applyNumberFormat="1" applyFont="1" applyFill="0" applyBorder="1" applyAlignment="1" applyProtection="0">
      <alignment vertical="top" wrapText="1"/>
    </xf>
    <xf numFmtId="88" fontId="0" borderId="6" applyNumberFormat="1" applyFont="1" applyFill="0" applyBorder="1" applyAlignment="1" applyProtection="0">
      <alignment vertical="top" wrapText="1"/>
    </xf>
    <xf numFmtId="89" fontId="0" borderId="7" applyNumberFormat="1" applyFont="1" applyFill="0" applyBorder="1" applyAlignment="1" applyProtection="0">
      <alignment vertical="top" wrapText="1"/>
    </xf>
    <xf numFmtId="89" fontId="0" borderId="7" applyNumberFormat="1" applyFont="1" applyFill="0" applyBorder="1" applyAlignment="1" applyProtection="0">
      <alignment horizontal="left" vertical="top" wrapText="1" readingOrder="1"/>
    </xf>
    <xf numFmtId="64" fontId="0" borderId="7" applyNumberFormat="1" applyFont="1" applyFill="0" applyBorder="1" applyAlignment="1" applyProtection="0">
      <alignment horizontal="left" vertical="top" wrapText="1" readingOrder="1"/>
    </xf>
    <xf numFmtId="64" fontId="0" borderId="1" applyNumberFormat="1" applyFont="1" applyFill="0" applyBorder="1" applyAlignment="1" applyProtection="0">
      <alignment vertical="top" wrapText="1"/>
    </xf>
    <xf numFmtId="89" fontId="4"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2" fontId="4" fillId="4" borderId="1" applyNumberFormat="1" applyFont="1" applyFill="1" applyBorder="1" applyAlignment="1" applyProtection="0">
      <alignment horizontal="left" vertical="top" wrapText="1"/>
    </xf>
    <xf numFmtId="75" fontId="4" fillId="5" borderId="12" applyNumberFormat="1" applyFont="1" applyFill="1" applyBorder="1" applyAlignment="1" applyProtection="0">
      <alignment horizontal="left" vertical="top" wrapText="1"/>
    </xf>
    <xf numFmtId="59" fontId="0" borderId="13" applyNumberFormat="1" applyFont="1" applyFill="0" applyBorder="1" applyAlignment="1" applyProtection="0">
      <alignment horizontal="left" vertical="top" wrapText="1" readingOrder="1"/>
    </xf>
    <xf numFmtId="59" fontId="0" borderId="14" applyNumberFormat="1" applyFont="1" applyFill="0" applyBorder="1" applyAlignment="1" applyProtection="0">
      <alignment horizontal="left" vertical="top" wrapText="1" readingOrder="1"/>
    </xf>
    <xf numFmtId="80" fontId="0" borderId="14" applyNumberFormat="1" applyFont="1" applyFill="0" applyBorder="1" applyAlignment="1" applyProtection="0">
      <alignment horizontal="left" vertical="top" wrapText="1" readingOrder="1"/>
    </xf>
    <xf numFmtId="59" fontId="27" fillId="5" borderId="14" applyNumberFormat="1" applyFont="1" applyFill="1" applyBorder="1" applyAlignment="1" applyProtection="0">
      <alignment horizontal="right" vertical="top" wrapText="1" readingOrder="1"/>
    </xf>
    <xf numFmtId="59" fontId="15" borderId="14" applyNumberFormat="1" applyFont="1" applyFill="0" applyBorder="1" applyAlignment="1" applyProtection="0">
      <alignment vertical="top" wrapText="1"/>
    </xf>
    <xf numFmtId="64" fontId="15" borderId="14" applyNumberFormat="1" applyFont="1" applyFill="0" applyBorder="1" applyAlignment="1" applyProtection="0">
      <alignment vertical="top" wrapText="1"/>
    </xf>
    <xf numFmtId="59" fontId="15" borderId="13" applyNumberFormat="1" applyFont="1" applyFill="0" applyBorder="1" applyAlignment="1" applyProtection="0">
      <alignment horizontal="left" vertical="top" wrapText="1" readingOrder="1"/>
    </xf>
    <xf numFmtId="59" fontId="15" borderId="14" applyNumberFormat="1" applyFont="1" applyFill="0" applyBorder="1" applyAlignment="1" applyProtection="0">
      <alignment horizontal="left" vertical="top" wrapText="1" readingOrder="1"/>
    </xf>
    <xf numFmtId="59" fontId="21" fillId="5" borderId="14" applyNumberFormat="1" applyFont="1" applyFill="1" applyBorder="1" applyAlignment="1" applyProtection="0">
      <alignment horizontal="right" vertical="top" wrapText="1" readingOrder="1"/>
    </xf>
    <xf numFmtId="80" fontId="15" borderId="14" applyNumberFormat="1" applyFont="1" applyFill="0" applyBorder="1" applyAlignment="1" applyProtection="0">
      <alignment horizontal="left" vertical="top" wrapText="1" readingOrder="1"/>
    </xf>
    <xf numFmtId="59" fontId="15" borderId="3" applyNumberFormat="1" applyFont="1" applyFill="0" applyBorder="1" applyAlignment="1" applyProtection="0">
      <alignment horizontal="left" vertical="top" wrapText="1" readingOrder="1"/>
    </xf>
    <xf numFmtId="80" fontId="15" borderId="4" applyNumberFormat="1" applyFont="1" applyFill="0" applyBorder="1" applyAlignment="1" applyProtection="0">
      <alignment horizontal="left" vertical="top" wrapText="1" readingOrder="1"/>
    </xf>
    <xf numFmtId="59" fontId="21" fillId="5" borderId="4" applyNumberFormat="1" applyFont="1" applyFill="1" applyBorder="1" applyAlignment="1" applyProtection="0">
      <alignment horizontal="right" vertical="top" wrapText="1" readingOrder="1"/>
    </xf>
    <xf numFmtId="59" fontId="15" borderId="4" applyNumberFormat="1" applyFont="1" applyFill="0" applyBorder="1" applyAlignment="1" applyProtection="0">
      <alignment horizontal="left" vertical="top" wrapText="1" readingOrder="1"/>
    </xf>
    <xf numFmtId="64" fontId="15" borderId="4" applyNumberFormat="1" applyFont="1" applyFill="0" applyBorder="1" applyAlignment="1" applyProtection="0">
      <alignment vertical="top" wrapText="1"/>
    </xf>
    <xf numFmtId="80" fontId="0" borderId="4" applyNumberFormat="1" applyFont="1" applyFill="0" applyBorder="1" applyAlignment="1" applyProtection="0">
      <alignment horizontal="left" vertical="top" wrapText="1" readingOrder="1"/>
    </xf>
    <xf numFmtId="80" fontId="15" borderId="7" applyNumberFormat="1" applyFont="1" applyFill="0" applyBorder="1" applyAlignment="1" applyProtection="0">
      <alignment horizontal="left" vertical="top" wrapText="1" readingOrder="1"/>
    </xf>
    <xf numFmtId="59" fontId="21" fillId="5" borderId="7" applyNumberFormat="1" applyFont="1" applyFill="1" applyBorder="1" applyAlignment="1" applyProtection="0">
      <alignment horizontal="right" vertical="top" wrapText="1" readingOrder="1"/>
    </xf>
    <xf numFmtId="80" fontId="0" borderId="7" applyNumberFormat="1" applyFont="1" applyFill="0" applyBorder="1" applyAlignment="1" applyProtection="0">
      <alignment horizontal="left" vertical="top" wrapText="1" readingOrder="1"/>
    </xf>
    <xf numFmtId="80" fontId="15" borderId="1" applyNumberFormat="1" applyFont="1" applyFill="0" applyBorder="1" applyAlignment="1" applyProtection="0">
      <alignment horizontal="left" vertical="top" wrapText="1" readingOrder="1"/>
    </xf>
    <xf numFmtId="59" fontId="21" fillId="5" borderId="1" applyNumberFormat="1" applyFont="1" applyFill="1" applyBorder="1" applyAlignment="1" applyProtection="0">
      <alignment horizontal="right" vertical="top" wrapText="1" readingOrder="1"/>
    </xf>
    <xf numFmtId="59" fontId="15" borderId="1" applyNumberFormat="1" applyFont="1" applyFill="0" applyBorder="1" applyAlignment="1" applyProtection="0">
      <alignment horizontal="left" vertical="top" wrapText="1" readingOrder="1"/>
    </xf>
    <xf numFmtId="64" fontId="15" borderId="1" applyNumberFormat="1" applyFont="1" applyFill="0" applyBorder="1" applyAlignment="1" applyProtection="0">
      <alignment vertical="top" wrapText="1"/>
    </xf>
    <xf numFmtId="80" fontId="0" borderId="1" applyNumberFormat="1" applyFont="1" applyFill="0" applyBorder="1" applyAlignment="1" applyProtection="0">
      <alignment horizontal="left" vertical="top" wrapText="1" readingOrder="1"/>
    </xf>
    <xf numFmtId="59" fontId="24" fillId="5" borderId="4" applyNumberFormat="1" applyFont="1" applyFill="1" applyBorder="1" applyAlignment="1" applyProtection="0">
      <alignment vertical="top" wrapText="1"/>
    </xf>
    <xf numFmtId="59" fontId="24" borderId="7" applyNumberFormat="1" applyFont="1" applyFill="0" applyBorder="1" applyAlignment="1" applyProtection="0">
      <alignment horizontal="left" vertical="top" wrapText="1" readingOrder="1"/>
    </xf>
    <xf numFmtId="0" fontId="24" fillId="5" borderId="7" applyNumberFormat="0" applyFont="1" applyFill="1" applyBorder="1" applyAlignment="1" applyProtection="0">
      <alignment vertical="top" wrapText="1"/>
    </xf>
    <xf numFmtId="49" fontId="24" borderId="7" applyNumberFormat="1" applyFont="1" applyFill="0" applyBorder="1" applyAlignment="1" applyProtection="0">
      <alignment horizontal="left" vertical="top" wrapText="1" readingOrder="1"/>
    </xf>
    <xf numFmtId="59" fontId="4" borderId="7" applyNumberFormat="1" applyFont="1" applyFill="0" applyBorder="1" applyAlignment="1" applyProtection="0">
      <alignment horizontal="left" vertical="top" wrapText="1" readingOrder="1"/>
    </xf>
    <xf numFmtId="60" fontId="24" fillId="5" borderId="7" applyNumberFormat="1" applyFont="1" applyFill="1" applyBorder="1" applyAlignment="1" applyProtection="0">
      <alignment horizontal="left" vertical="top" wrapText="1" readingOrder="1"/>
    </xf>
    <xf numFmtId="60" fontId="24" borderId="7" applyNumberFormat="1" applyFont="1" applyFill="0" applyBorder="1" applyAlignment="1" applyProtection="0">
      <alignment horizontal="right" vertical="top" wrapText="1" readingOrder="1"/>
    </xf>
    <xf numFmtId="60" fontId="4" borderId="7" applyNumberFormat="1" applyFont="1" applyFill="0" applyBorder="1" applyAlignment="1" applyProtection="0">
      <alignment horizontal="right" vertical="top" wrapText="1" readingOrder="1"/>
    </xf>
    <xf numFmtId="0" fontId="0" applyNumberFormat="1" applyFont="1" applyFill="0" applyBorder="0" applyAlignment="1" applyProtection="0">
      <alignment vertical="top" wrapText="1"/>
    </xf>
    <xf numFmtId="2" fontId="4" fillId="4" borderId="7" applyNumberFormat="1" applyFont="1" applyFill="1" applyBorder="1" applyAlignment="1" applyProtection="0">
      <alignment vertical="top" wrapText="1"/>
    </xf>
    <xf numFmtId="49" fontId="4" fillId="4" borderId="7" applyNumberFormat="1" applyFont="1" applyFill="1" applyBorder="1" applyAlignment="1" applyProtection="0">
      <alignment horizontal="right" vertical="top" wrapText="1"/>
    </xf>
    <xf numFmtId="59" fontId="4" fillId="4" borderId="7" applyNumberFormat="1" applyFont="1" applyFill="1" applyBorder="1" applyAlignment="1" applyProtection="0">
      <alignment vertical="top" wrapText="1"/>
    </xf>
    <xf numFmtId="2" fontId="4" fillId="4" borderId="1" applyNumberFormat="1" applyFont="1" applyFill="1" applyBorder="1" applyAlignment="1" applyProtection="0">
      <alignment vertical="top" wrapText="1"/>
    </xf>
    <xf numFmtId="3" fontId="15" fillId="42" borderId="1" applyNumberFormat="1" applyFont="1" applyFill="1" applyBorder="1" applyAlignment="1" applyProtection="0">
      <alignment horizontal="right" vertical="top" wrapText="1" readingOrder="1"/>
    </xf>
    <xf numFmtId="59" fontId="0" fillId="43" borderId="14" applyNumberFormat="1" applyFont="1" applyFill="1" applyBorder="1" applyAlignment="1" applyProtection="0">
      <alignment horizontal="left" vertical="top" wrapText="1" readingOrder="1"/>
    </xf>
    <xf numFmtId="59" fontId="15" fillId="43" borderId="14" applyNumberFormat="1" applyFont="1" applyFill="1" applyBorder="1" applyAlignment="1" applyProtection="0">
      <alignment horizontal="left" vertical="top" wrapText="1" readingOrder="1"/>
    </xf>
    <xf numFmtId="59" fontId="15" fillId="43" borderId="4" applyNumberFormat="1" applyFont="1" applyFill="1" applyBorder="1" applyAlignment="1" applyProtection="0">
      <alignment horizontal="left" vertical="top" wrapText="1" readingOrder="1"/>
    </xf>
    <xf numFmtId="59" fontId="15" fillId="43" borderId="7" applyNumberFormat="1" applyFont="1" applyFill="1" applyBorder="1" applyAlignment="1" applyProtection="0">
      <alignment horizontal="left" vertical="top" wrapText="1" readingOrder="1"/>
    </xf>
    <xf numFmtId="59" fontId="15" fillId="30" borderId="7" applyNumberFormat="1" applyFont="1" applyFill="1" applyBorder="1" applyAlignment="1" applyProtection="0">
      <alignment horizontal="left" vertical="top" wrapText="1" readingOrder="1"/>
    </xf>
    <xf numFmtId="59" fontId="15" fillId="43" borderId="1" applyNumberFormat="1" applyFont="1" applyFill="1" applyBorder="1" applyAlignment="1" applyProtection="0">
      <alignment horizontal="left" vertical="top" wrapText="1" readingOrder="1"/>
    </xf>
    <xf numFmtId="59" fontId="15" fillId="43" borderId="4" applyNumberFormat="1" applyFont="1" applyFill="1" applyBorder="1" applyAlignment="1" applyProtection="0">
      <alignment vertical="top" wrapText="1"/>
    </xf>
    <xf numFmtId="59" fontId="24" fillId="43" borderId="7" applyNumberFormat="1" applyFont="1" applyFill="1" applyBorder="1" applyAlignment="1" applyProtection="0">
      <alignment horizontal="left" vertical="top" wrapText="1" readingOrder="1"/>
    </xf>
    <xf numFmtId="3" fontId="28" borderId="7" applyNumberFormat="1" applyFont="1" applyFill="0" applyBorder="1" applyAlignment="1" applyProtection="0">
      <alignment vertical="top" wrapText="1"/>
    </xf>
    <xf numFmtId="3" fontId="24" borderId="7" applyNumberFormat="1" applyFont="1" applyFill="0" applyBorder="1" applyAlignment="1" applyProtection="0">
      <alignment horizontal="left" vertical="top" wrapText="1" readingOrder="1"/>
    </xf>
    <xf numFmtId="49" fontId="24" borderId="7" applyNumberFormat="1" applyFont="1" applyFill="0" applyBorder="1" applyAlignment="1" applyProtection="0">
      <alignment horizontal="right" vertical="top" wrapText="1"/>
    </xf>
    <xf numFmtId="60" fontId="24" fillId="43" borderId="7" applyNumberFormat="1" applyFont="1" applyFill="1" applyBorder="1" applyAlignment="1" applyProtection="0">
      <alignment horizontal="right" vertical="top" wrapText="1" readingOrder="1"/>
    </xf>
    <xf numFmtId="4" fontId="24" borderId="7" applyNumberFormat="1" applyFont="1" applyFill="0" applyBorder="1" applyAlignment="1" applyProtection="0">
      <alignment horizontal="right" vertical="top" wrapText="1" readingOrder="1"/>
    </xf>
    <xf numFmtId="0" fontId="0" applyNumberFormat="1" applyFont="1" applyFill="0" applyBorder="0" applyAlignment="1" applyProtection="0">
      <alignment vertical="top" wrapText="1"/>
    </xf>
    <xf numFmtId="63" fontId="4" fillId="4" borderId="1" applyNumberFormat="1" applyFont="1" applyFill="1" applyBorder="1" applyAlignment="1" applyProtection="0">
      <alignment vertical="top" wrapText="1"/>
    </xf>
    <xf numFmtId="0" fontId="4" fillId="4" borderId="1" applyNumberFormat="0" applyFont="1" applyFill="1" applyBorder="1" applyAlignment="1" applyProtection="0">
      <alignment vertical="top"/>
    </xf>
    <xf numFmtId="49" fontId="4" fillId="4" borderId="1" applyNumberFormat="1" applyFont="1" applyFill="1" applyBorder="1" applyAlignment="1" applyProtection="0">
      <alignment vertical="top"/>
    </xf>
    <xf numFmtId="0" fontId="0" fillId="43" borderId="14" applyNumberFormat="0" applyFont="1" applyFill="1" applyBorder="1" applyAlignment="1" applyProtection="0">
      <alignment vertical="top" wrapText="1"/>
    </xf>
    <xf numFmtId="0" fontId="0" fillId="43" borderId="4" applyNumberFormat="0" applyFont="1" applyFill="1" applyBorder="1" applyAlignment="1" applyProtection="0">
      <alignment vertical="top" wrapText="1"/>
    </xf>
    <xf numFmtId="0" fontId="0" fillId="43" borderId="7" applyNumberFormat="0" applyFont="1" applyFill="1" applyBorder="1" applyAlignment="1" applyProtection="0">
      <alignment vertical="top" wrapText="1"/>
    </xf>
    <xf numFmtId="59" fontId="0" borderId="11" applyNumberFormat="1" applyFont="1" applyFill="0" applyBorder="1" applyAlignment="1" applyProtection="0">
      <alignment vertical="top" wrapText="1"/>
    </xf>
    <xf numFmtId="0" fontId="0" fillId="43" borderId="1" applyNumberFormat="0" applyFont="1" applyFill="1" applyBorder="1" applyAlignment="1" applyProtection="0">
      <alignment vertical="top" wrapText="1"/>
    </xf>
    <xf numFmtId="59" fontId="4" fillId="43" borderId="4" applyNumberFormat="1" applyFont="1" applyFill="1" applyBorder="1" applyAlignment="1" applyProtection="0">
      <alignment vertical="top" wrapText="1"/>
    </xf>
    <xf numFmtId="59" fontId="4" fillId="43" borderId="7" applyNumberFormat="1" applyFont="1" applyFill="1" applyBorder="1" applyAlignment="1" applyProtection="0">
      <alignment horizontal="left" vertical="top" wrapText="1" readingOrder="1"/>
    </xf>
    <xf numFmtId="0" fontId="0" applyNumberFormat="1" applyFont="1" applyFill="0" applyBorder="0" applyAlignment="1" applyProtection="0">
      <alignment vertical="top" wrapText="1"/>
    </xf>
    <xf numFmtId="0" fontId="0" borderId="14" applyNumberFormat="0" applyFont="1" applyFill="0" applyBorder="1" applyAlignment="1" applyProtection="0">
      <alignment horizontal="left" vertical="top" wrapText="1" readingOrder="1"/>
    </xf>
    <xf numFmtId="59" fontId="0" fillId="43" borderId="4" applyNumberFormat="1" applyFont="1" applyFill="1" applyBorder="1" applyAlignment="1" applyProtection="0">
      <alignment horizontal="left" vertical="top" wrapText="1" readingOrder="1"/>
    </xf>
    <xf numFmtId="59" fontId="0" fillId="43" borderId="7" applyNumberFormat="1" applyFont="1" applyFill="1" applyBorder="1" applyAlignment="1" applyProtection="0">
      <alignment horizontal="left" vertical="top" wrapText="1" readingOrder="1"/>
    </xf>
    <xf numFmtId="59" fontId="0" fillId="43" borderId="1" applyNumberFormat="1" applyFont="1" applyFill="1" applyBorder="1" applyAlignment="1" applyProtection="0">
      <alignment horizontal="left" vertical="top" wrapText="1" readingOrder="1"/>
    </xf>
    <xf numFmtId="59" fontId="0" fillId="43" borderId="4" applyNumberFormat="1" applyFont="1" applyFill="1" applyBorder="1" applyAlignment="1" applyProtection="0">
      <alignment vertical="top" wrapText="1"/>
    </xf>
    <xf numFmtId="0" fontId="4" borderId="7" applyNumberFormat="0" applyFont="1" applyFill="0" applyBorder="1" applyAlignment="1" applyProtection="0">
      <alignment horizontal="left" vertical="top" wrapText="1" readingOrder="1"/>
    </xf>
    <xf numFmtId="60" fontId="4" fillId="43" borderId="7" applyNumberFormat="1" applyFont="1" applyFill="1" applyBorder="1" applyAlignment="1" applyProtection="0">
      <alignment horizontal="right" vertical="top" wrapText="1" readingOrder="1"/>
    </xf>
    <xf numFmtId="0" fontId="0" applyNumberFormat="1" applyFont="1" applyFill="0" applyBorder="0" applyAlignment="1" applyProtection="0">
      <alignment vertical="top" wrapText="1"/>
    </xf>
    <xf numFmtId="9" fontId="4" fillId="4" borderId="1" applyNumberFormat="1" applyFont="1" applyFill="1" applyBorder="1" applyAlignment="1" applyProtection="0">
      <alignment horizontal="left" vertical="top" wrapText="1"/>
    </xf>
    <xf numFmtId="0" fontId="0" applyNumberFormat="1" applyFont="1" applyFill="0" applyBorder="0" applyAlignment="1" applyProtection="0">
      <alignment vertical="top" wrapText="1"/>
    </xf>
    <xf numFmtId="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horizontal="right" vertical="top" wrapText="1"/>
    </xf>
    <xf numFmtId="59" fontId="0" fillId="44" borderId="6" applyNumberFormat="1" applyFont="1" applyFill="1" applyBorder="1" applyAlignment="1" applyProtection="0">
      <alignment vertical="top" wrapText="1"/>
    </xf>
    <xf numFmtId="0" fontId="4" fillId="5" borderId="5" applyNumberFormat="0" applyFont="1" applyFill="1" applyBorder="1" applyAlignment="1" applyProtection="0">
      <alignment horizontal="right" vertical="top" wrapText="1"/>
    </xf>
    <xf numFmtId="90" fontId="0" borderId="7" applyNumberFormat="1" applyFont="1" applyFill="0" applyBorder="1" applyAlignment="1" applyProtection="0">
      <alignment horizontal="right" vertical="top" wrapText="1"/>
    </xf>
    <xf numFmtId="0" fontId="0" applyNumberFormat="1" applyFont="1" applyFill="0" applyBorder="0" applyAlignment="1" applyProtection="0">
      <alignment vertical="top" wrapText="1"/>
    </xf>
    <xf numFmtId="9" fontId="4" fillId="5" borderId="4" applyNumberFormat="1" applyFont="1" applyFill="1" applyBorder="1" applyAlignment="1" applyProtection="0">
      <alignment vertical="top" wrapText="1"/>
    </xf>
    <xf numFmtId="9" fontId="4" fillId="5" borderId="2" applyNumberFormat="1" applyFont="1" applyFill="1" applyBorder="1" applyAlignment="1" applyProtection="0">
      <alignment vertical="top" wrapText="1"/>
    </xf>
    <xf numFmtId="0" fontId="0" fillId="23" borderId="4" applyNumberFormat="1" applyFont="1" applyFill="1" applyBorder="1" applyAlignment="1" applyProtection="0">
      <alignment vertical="top" wrapText="1"/>
    </xf>
    <xf numFmtId="91" fontId="0" borderId="4" applyNumberFormat="1" applyFont="1" applyFill="0" applyBorder="1" applyAlignment="1" applyProtection="0">
      <alignment vertical="top" wrapText="1"/>
    </xf>
    <xf numFmtId="80" fontId="0" borderId="4" applyNumberFormat="1" applyFont="1" applyFill="0" applyBorder="1" applyAlignment="1" applyProtection="0">
      <alignment vertical="top" wrapText="1"/>
    </xf>
    <xf numFmtId="92" fontId="0" borderId="4" applyNumberFormat="1" applyFont="1" applyFill="0" applyBorder="1" applyAlignment="1" applyProtection="0">
      <alignment vertical="top" wrapText="1"/>
    </xf>
    <xf numFmtId="9" fontId="4" fillId="5" borderId="7" applyNumberFormat="1" applyFont="1" applyFill="1" applyBorder="1" applyAlignment="1" applyProtection="0">
      <alignment vertical="top" wrapText="1"/>
    </xf>
    <xf numFmtId="9" fontId="4" fillId="5" borderId="5" applyNumberFormat="1" applyFont="1" applyFill="1" applyBorder="1" applyAlignment="1" applyProtection="0">
      <alignment vertical="top" wrapText="1"/>
    </xf>
    <xf numFmtId="0" fontId="0" fillId="23" borderId="7" applyNumberFormat="1" applyFont="1" applyFill="1" applyBorder="1" applyAlignment="1" applyProtection="0">
      <alignment vertical="top" wrapText="1"/>
    </xf>
    <xf numFmtId="91" fontId="0" borderId="7" applyNumberFormat="1" applyFont="1" applyFill="0" applyBorder="1" applyAlignment="1" applyProtection="0">
      <alignment vertical="top" wrapText="1"/>
    </xf>
    <xf numFmtId="0" fontId="0" fillId="23" borderId="7" applyNumberFormat="0" applyFont="1" applyFill="1" applyBorder="1" applyAlignment="1" applyProtection="0">
      <alignment vertical="top" wrapText="1"/>
    </xf>
    <xf numFmtId="80" fontId="0" borderId="7" applyNumberFormat="1" applyFont="1" applyFill="0" applyBorder="1" applyAlignment="1" applyProtection="0">
      <alignment vertical="top" wrapText="1"/>
    </xf>
    <xf numFmtId="92" fontId="0" borderId="7" applyNumberFormat="1" applyFont="1" applyFill="0" applyBorder="1" applyAlignment="1" applyProtection="0">
      <alignment vertical="top" wrapText="1"/>
    </xf>
    <xf numFmtId="9" fontId="4" fillId="5" borderId="1" applyNumberFormat="1" applyFont="1" applyFill="1" applyBorder="1" applyAlignment="1" applyProtection="0">
      <alignment vertical="top" wrapText="1"/>
    </xf>
    <xf numFmtId="9" fontId="4" fillId="5" borderId="10" applyNumberFormat="1" applyFont="1" applyFill="1" applyBorder="1" applyAlignment="1" applyProtection="0">
      <alignment vertical="top" wrapText="1"/>
    </xf>
    <xf numFmtId="0" fontId="0" fillId="23" borderId="1" applyNumberFormat="0" applyFont="1" applyFill="1" applyBorder="1" applyAlignment="1" applyProtection="0">
      <alignment vertical="top" wrapText="1"/>
    </xf>
    <xf numFmtId="80" fontId="4"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80" fontId="0" fillId="23" borderId="13" applyNumberFormat="1" applyFont="1" applyFill="1" applyBorder="1" applyAlignment="1" applyProtection="0">
      <alignment horizontal="right" vertical="top" wrapText="1" readingOrder="1"/>
    </xf>
    <xf numFmtId="82" fontId="0" fillId="30" borderId="14" applyNumberFormat="1" applyFont="1" applyFill="1" applyBorder="1" applyAlignment="1" applyProtection="0">
      <alignment horizontal="right" vertical="top" wrapText="1" readingOrder="1"/>
    </xf>
    <xf numFmtId="59" fontId="0" fillId="23" borderId="14" applyNumberFormat="1" applyFont="1" applyFill="1" applyBorder="1" applyAlignment="1" applyProtection="0">
      <alignment horizontal="left" vertical="top" wrapText="1" readingOrder="1"/>
    </xf>
    <xf numFmtId="64" fontId="15" fillId="23" borderId="14" applyNumberFormat="1" applyFont="1" applyFill="1" applyBorder="1" applyAlignment="1" applyProtection="0">
      <alignment horizontal="left" vertical="top" wrapText="1" readingOrder="1"/>
    </xf>
    <xf numFmtId="59" fontId="0" fillId="30" borderId="14" applyNumberFormat="1" applyFont="1" applyFill="1" applyBorder="1" applyAlignment="1" applyProtection="0">
      <alignment horizontal="left" vertical="top" wrapText="1" readingOrder="1"/>
    </xf>
    <xf numFmtId="59" fontId="15" fillId="23" borderId="14" applyNumberFormat="1" applyFont="1" applyFill="1" applyBorder="1" applyAlignment="1" applyProtection="0">
      <alignment horizontal="left" vertical="top" wrapText="1" readingOrder="1"/>
    </xf>
    <xf numFmtId="80" fontId="15" fillId="23" borderId="13" applyNumberFormat="1" applyFont="1" applyFill="1" applyBorder="1" applyAlignment="1" applyProtection="0">
      <alignment horizontal="right" vertical="top" wrapText="1" readingOrder="1"/>
    </xf>
    <xf numFmtId="82" fontId="15" fillId="30" borderId="14" applyNumberFormat="1" applyFont="1" applyFill="1" applyBorder="1" applyAlignment="1" applyProtection="0">
      <alignment horizontal="right" vertical="top" wrapText="1" readingOrder="1"/>
    </xf>
    <xf numFmtId="59" fontId="15" fillId="30" borderId="14" applyNumberFormat="1" applyFont="1" applyFill="1" applyBorder="1" applyAlignment="1" applyProtection="0">
      <alignment horizontal="left" vertical="top" wrapText="1" readingOrder="1"/>
    </xf>
    <xf numFmtId="80" fontId="15" fillId="23" borderId="3" applyNumberFormat="1" applyFont="1" applyFill="1" applyBorder="1" applyAlignment="1" applyProtection="0">
      <alignment horizontal="right" vertical="top" wrapText="1" readingOrder="1"/>
    </xf>
    <xf numFmtId="82" fontId="15" fillId="30" borderId="4" applyNumberFormat="1" applyFont="1" applyFill="1" applyBorder="1" applyAlignment="1" applyProtection="0">
      <alignment horizontal="right" vertical="top" wrapText="1" readingOrder="1"/>
    </xf>
    <xf numFmtId="59" fontId="15" fillId="23" borderId="4" applyNumberFormat="1" applyFont="1" applyFill="1" applyBorder="1" applyAlignment="1" applyProtection="0">
      <alignment horizontal="left" vertical="top" wrapText="1" readingOrder="1"/>
    </xf>
    <xf numFmtId="64" fontId="15" fillId="23" borderId="4" applyNumberFormat="1" applyFont="1" applyFill="1" applyBorder="1" applyAlignment="1" applyProtection="0">
      <alignment horizontal="left" vertical="top" wrapText="1" readingOrder="1"/>
    </xf>
    <xf numFmtId="59" fontId="15" fillId="30" borderId="4" applyNumberFormat="1" applyFont="1" applyFill="1" applyBorder="1" applyAlignment="1" applyProtection="0">
      <alignment horizontal="left" vertical="top" wrapText="1" readingOrder="1"/>
    </xf>
    <xf numFmtId="80" fontId="15" fillId="23" borderId="6" applyNumberFormat="1" applyFont="1" applyFill="1" applyBorder="1" applyAlignment="1" applyProtection="0">
      <alignment horizontal="right" vertical="top" wrapText="1" readingOrder="1"/>
    </xf>
    <xf numFmtId="82" fontId="15" fillId="30" borderId="7" applyNumberFormat="1" applyFont="1" applyFill="1" applyBorder="1" applyAlignment="1" applyProtection="0">
      <alignment horizontal="right" vertical="top" wrapText="1" readingOrder="1"/>
    </xf>
    <xf numFmtId="59" fontId="15" fillId="23" borderId="7" applyNumberFormat="1" applyFont="1" applyFill="1" applyBorder="1" applyAlignment="1" applyProtection="0">
      <alignment horizontal="left" vertical="top" wrapText="1" readingOrder="1"/>
    </xf>
    <xf numFmtId="64" fontId="15" fillId="23" borderId="7" applyNumberFormat="1" applyFont="1" applyFill="1" applyBorder="1" applyAlignment="1" applyProtection="0">
      <alignment horizontal="left" vertical="top" wrapText="1" readingOrder="1"/>
    </xf>
    <xf numFmtId="0" fontId="0" applyNumberFormat="1" applyFont="1" applyFill="0" applyBorder="0" applyAlignment="1" applyProtection="0">
      <alignment vertical="top" wrapText="1"/>
    </xf>
    <xf numFmtId="59" fontId="0" fillId="23" borderId="13" applyNumberFormat="1" applyFont="1" applyFill="1" applyBorder="1" applyAlignment="1" applyProtection="0">
      <alignment horizontal="left" vertical="top" wrapText="1" readingOrder="1"/>
    </xf>
    <xf numFmtId="59" fontId="0" fillId="23" borderId="3" applyNumberFormat="1" applyFont="1" applyFill="1" applyBorder="1" applyAlignment="1" applyProtection="0">
      <alignment horizontal="left" vertical="top" wrapText="1" readingOrder="1"/>
    </xf>
    <xf numFmtId="59" fontId="0" fillId="23" borderId="6" applyNumberFormat="1" applyFont="1" applyFill="1" applyBorder="1" applyAlignment="1" applyProtection="0">
      <alignment horizontal="left" vertical="top" wrapText="1" readingOrder="1"/>
    </xf>
    <xf numFmtId="0" fontId="0" applyNumberFormat="1" applyFont="1" applyFill="0" applyBorder="0" applyAlignment="1" applyProtection="0">
      <alignment vertical="top" wrapText="1"/>
    </xf>
    <xf numFmtId="49" fontId="0" fillId="23" borderId="13" applyNumberFormat="1" applyFont="1" applyFill="1" applyBorder="1" applyAlignment="1" applyProtection="0">
      <alignment horizontal="left" vertical="top" wrapText="1" readingOrder="1"/>
    </xf>
    <xf numFmtId="0" fontId="0" applyNumberFormat="1" applyFont="1" applyFill="0" applyBorder="0" applyAlignment="1" applyProtection="0">
      <alignment vertical="top" wrapText="1"/>
    </xf>
    <xf numFmtId="0" fontId="4" fillId="5" borderId="2" applyNumberFormat="0" applyFont="1" applyFill="1" applyBorder="1" applyAlignment="1" applyProtection="0">
      <alignment horizontal="right" vertical="top" wrapText="1"/>
    </xf>
    <xf numFmtId="0" fontId="0" borderId="3" applyNumberFormat="0" applyFont="1" applyFill="0" applyBorder="1" applyAlignment="1" applyProtection="0">
      <alignment vertical="top" wrapText="1"/>
    </xf>
    <xf numFmtId="9" fontId="15" borderId="4" applyNumberFormat="1" applyFont="1" applyFill="0" applyBorder="1" applyAlignment="1" applyProtection="0">
      <alignment horizontal="left" vertical="top" wrapText="1"/>
    </xf>
    <xf numFmtId="85" fontId="15" borderId="4" applyNumberFormat="1" applyFont="1" applyFill="0" applyBorder="1" applyAlignment="1" applyProtection="0">
      <alignment horizontal="left" vertical="top" wrapText="1"/>
    </xf>
    <xf numFmtId="9" fontId="15" borderId="7" applyNumberFormat="1" applyFont="1" applyFill="0" applyBorder="1" applyAlignment="1" applyProtection="0">
      <alignment horizontal="left" vertical="top" wrapText="1"/>
    </xf>
    <xf numFmtId="85" fontId="15" borderId="7" applyNumberFormat="1" applyFont="1" applyFill="0" applyBorder="1" applyAlignment="1" applyProtection="0">
      <alignment horizontal="left" vertical="top" wrapText="1"/>
    </xf>
    <xf numFmtId="59" fontId="0" borderId="7" applyNumberFormat="1" applyFont="1" applyFill="0" applyBorder="1" applyAlignment="1" applyProtection="0">
      <alignment horizontal="left" vertical="top" wrapText="1"/>
    </xf>
    <xf numFmtId="85" fontId="0" borderId="7" applyNumberFormat="1" applyFont="1" applyFill="0" applyBorder="1" applyAlignment="1" applyProtection="0">
      <alignment horizontal="left" vertical="top" wrapText="1"/>
    </xf>
    <xf numFmtId="49" fontId="4" fillId="5" borderId="10" applyNumberFormat="1" applyFont="1" applyFill="1" applyBorder="1" applyAlignment="1" applyProtection="0">
      <alignment horizontal="right" vertical="top" wrapText="1"/>
    </xf>
    <xf numFmtId="9" fontId="0" borderId="1" applyNumberFormat="1" applyFont="1" applyFill="0" applyBorder="1" applyAlignment="1" applyProtection="0">
      <alignment horizontal="left" vertical="top" wrapText="1"/>
    </xf>
    <xf numFmtId="85" fontId="0" borderId="1" applyNumberFormat="1" applyFont="1" applyFill="0" applyBorder="1" applyAlignment="1" applyProtection="0">
      <alignment horizontal="left" vertical="top" wrapText="1"/>
    </xf>
    <xf numFmtId="0" fontId="4"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75" fontId="4" fillId="5" borderId="14" applyNumberFormat="1" applyFont="1" applyFill="1" applyBorder="1" applyAlignment="1" applyProtection="0">
      <alignment horizontal="left" vertical="top" wrapText="1"/>
    </xf>
    <xf numFmtId="60" fontId="0" fillId="23" borderId="14" applyNumberFormat="1" applyFont="1" applyFill="1" applyBorder="1" applyAlignment="1" applyProtection="0">
      <alignment horizontal="right" vertical="top" wrapText="1" readingOrder="1"/>
    </xf>
    <xf numFmtId="60" fontId="0" fillId="23" borderId="14" applyNumberFormat="1" applyFont="1" applyFill="1" applyBorder="1" applyAlignment="1" applyProtection="0">
      <alignment horizontal="left" vertical="top" wrapText="1" readingOrder="1"/>
    </xf>
    <xf numFmtId="59" fontId="0" fillId="31" borderId="14" applyNumberFormat="1" applyFont="1" applyFill="1" applyBorder="1" applyAlignment="1" applyProtection="0">
      <alignment horizontal="left" vertical="top" wrapText="1" readingOrder="1"/>
    </xf>
    <xf numFmtId="0" fontId="0" fillId="23" borderId="14" applyNumberFormat="0" applyFont="1" applyFill="1" applyBorder="1" applyAlignment="1" applyProtection="0">
      <alignment horizontal="right" vertical="top" wrapText="1" readingOrder="1"/>
    </xf>
    <xf numFmtId="0" fontId="0" fillId="23" borderId="14" applyNumberFormat="0" applyFont="1" applyFill="1" applyBorder="1" applyAlignment="1" applyProtection="0">
      <alignment horizontal="left" vertical="top" wrapText="1" readingOrder="1"/>
    </xf>
    <xf numFmtId="63" fontId="0" fillId="23" borderId="14" applyNumberFormat="1" applyFont="1" applyFill="1" applyBorder="1" applyAlignment="1" applyProtection="0">
      <alignment horizontal="right" vertical="top" wrapText="1" readingOrder="1"/>
    </xf>
    <xf numFmtId="10" fontId="0" fillId="23" borderId="14" applyNumberFormat="1" applyFont="1" applyFill="1" applyBorder="1" applyAlignment="1" applyProtection="0">
      <alignment horizontal="left" vertical="top" wrapText="1" readingOrder="1"/>
    </xf>
    <xf numFmtId="80" fontId="0" fillId="23" borderId="14" applyNumberFormat="1" applyFont="1" applyFill="1" applyBorder="1" applyAlignment="1" applyProtection="0">
      <alignment horizontal="left" vertical="top" wrapText="1" readingOrder="1"/>
    </xf>
    <xf numFmtId="75" fontId="4" fillId="5" borderId="4" applyNumberFormat="1" applyFont="1" applyFill="1" applyBorder="1" applyAlignment="1" applyProtection="0">
      <alignment horizontal="left" vertical="top" wrapText="1"/>
    </xf>
    <xf numFmtId="60" fontId="0" fillId="23" borderId="4" applyNumberFormat="1" applyFont="1" applyFill="1" applyBorder="1" applyAlignment="1" applyProtection="0">
      <alignment horizontal="right" vertical="top" wrapText="1" readingOrder="1"/>
    </xf>
    <xf numFmtId="60" fontId="0" fillId="23" borderId="4" applyNumberFormat="1" applyFont="1" applyFill="1" applyBorder="1" applyAlignment="1" applyProtection="0">
      <alignment horizontal="left" vertical="top" wrapText="1" readingOrder="1"/>
    </xf>
    <xf numFmtId="80" fontId="0" fillId="23" borderId="4" applyNumberFormat="1" applyFont="1" applyFill="1" applyBorder="1" applyAlignment="1" applyProtection="0">
      <alignment horizontal="left" vertical="top" wrapText="1" readingOrder="1"/>
    </xf>
    <xf numFmtId="59" fontId="0" fillId="31" borderId="4" applyNumberFormat="1" applyFont="1" applyFill="1" applyBorder="1" applyAlignment="1" applyProtection="0">
      <alignment horizontal="left" vertical="top" wrapText="1" readingOrder="1"/>
    </xf>
    <xf numFmtId="75" fontId="4" fillId="5" borderId="7" applyNumberFormat="1" applyFont="1" applyFill="1" applyBorder="1" applyAlignment="1" applyProtection="0">
      <alignment horizontal="left" vertical="top" wrapText="1"/>
    </xf>
    <xf numFmtId="60" fontId="0" fillId="23" borderId="7" applyNumberFormat="1" applyFont="1" applyFill="1" applyBorder="1" applyAlignment="1" applyProtection="0">
      <alignment horizontal="right" vertical="top" wrapText="1" readingOrder="1"/>
    </xf>
    <xf numFmtId="60" fontId="0" fillId="23" borderId="7" applyNumberFormat="1" applyFont="1" applyFill="1" applyBorder="1" applyAlignment="1" applyProtection="0">
      <alignment horizontal="left" vertical="top" wrapText="1" readingOrder="1"/>
    </xf>
    <xf numFmtId="80" fontId="0" fillId="23" borderId="7" applyNumberFormat="1" applyFont="1" applyFill="1" applyBorder="1" applyAlignment="1" applyProtection="0">
      <alignment horizontal="left" vertical="top" wrapText="1" readingOrder="1"/>
    </xf>
    <xf numFmtId="0" fontId="0" applyNumberFormat="1" applyFont="1" applyFill="0" applyBorder="0" applyAlignment="1" applyProtection="0">
      <alignment vertical="top" wrapText="1"/>
    </xf>
    <xf numFmtId="88" fontId="0" borderId="4" applyNumberFormat="1" applyFont="1" applyFill="0" applyBorder="1" applyAlignment="1" applyProtection="0">
      <alignment vertical="top" wrapText="1"/>
    </xf>
    <xf numFmtId="86" fontId="0" borderId="4" applyNumberFormat="1" applyFont="1" applyFill="0" applyBorder="1" applyAlignment="1" applyProtection="0">
      <alignment vertical="top" wrapText="1"/>
    </xf>
    <xf numFmtId="86" fontId="0" borderId="7" applyNumberFormat="1" applyFont="1" applyFill="0" applyBorder="1" applyAlignment="1" applyProtection="0">
      <alignment vertical="top" wrapText="1"/>
    </xf>
    <xf numFmtId="88" fontId="0" borderId="7" applyNumberFormat="1" applyFont="1" applyFill="0" applyBorder="1" applyAlignment="1" applyProtection="0">
      <alignment vertical="top" wrapText="1"/>
    </xf>
    <xf numFmtId="94" fontId="0" borderId="7" applyNumberFormat="1" applyFont="1" applyFill="0" applyBorder="1" applyAlignment="1" applyProtection="0">
      <alignment vertical="top" wrapText="1"/>
    </xf>
    <xf numFmtId="63" fontId="0" borderId="7" applyNumberFormat="1" applyFont="1" applyFill="0" applyBorder="1" applyAlignment="1" applyProtection="0">
      <alignment horizontal="left" vertical="top" wrapText="1"/>
    </xf>
    <xf numFmtId="10" fontId="4" borderId="7" applyNumberFormat="1" applyFont="1" applyFill="0" applyBorder="1" applyAlignment="1" applyProtection="0">
      <alignment horizontal="left" vertical="top" wrapText="1"/>
    </xf>
    <xf numFmtId="86" fontId="4" borderId="7" applyNumberFormat="1" applyFont="1" applyFill="0" applyBorder="1" applyAlignment="1" applyProtection="0">
      <alignment vertical="top" wrapText="1"/>
    </xf>
    <xf numFmtId="10" fontId="4" borderId="7" applyNumberFormat="1" applyFont="1" applyFill="0" applyBorder="1" applyAlignment="1" applyProtection="0">
      <alignment horizontal="right" vertical="top" wrapText="1"/>
    </xf>
    <xf numFmtId="80" fontId="0" borderId="7" applyNumberFormat="1" applyFont="1" applyFill="0" applyBorder="1" applyAlignment="1" applyProtection="0">
      <alignment horizontal="left" vertical="top" wrapText="1"/>
    </xf>
    <xf numFmtId="49" fontId="0" borderId="7" applyNumberFormat="1" applyFont="1" applyFill="0" applyBorder="1" applyAlignment="1" applyProtection="0">
      <alignment horizontal="right" vertical="top" wrapText="1"/>
    </xf>
    <xf numFmtId="63" fontId="0" borderId="1" applyNumberFormat="1" applyFont="1" applyFill="0" applyBorder="1" applyAlignment="1" applyProtection="0">
      <alignment horizontal="left" vertical="top" wrapText="1"/>
    </xf>
    <xf numFmtId="86" fontId="0" borderId="1" applyNumberFormat="1" applyFont="1" applyFill="0" applyBorder="1" applyAlignment="1" applyProtection="0">
      <alignment vertical="top" wrapText="1"/>
    </xf>
    <xf numFmtId="10" fontId="4" borderId="1" applyNumberFormat="1" applyFont="1" applyFill="0" applyBorder="1" applyAlignment="1" applyProtection="0">
      <alignment horizontal="left" vertical="top" wrapText="1"/>
    </xf>
    <xf numFmtId="49" fontId="0" borderId="1" applyNumberFormat="1" applyFont="1" applyFill="0" applyBorder="1" applyAlignment="1" applyProtection="0">
      <alignment horizontal="right" vertical="top" wrapText="1"/>
    </xf>
    <xf numFmtId="86" fontId="4" borderId="4" applyNumberFormat="1" applyFont="1" applyFill="0" applyBorder="1" applyAlignment="1" applyProtection="0">
      <alignment vertical="top" wrapText="1"/>
    </xf>
    <xf numFmtId="65" fontId="4" borderId="4" applyNumberFormat="1" applyFont="1" applyFill="0" applyBorder="1" applyAlignment="1" applyProtection="0">
      <alignment horizontal="left" vertical="top" wrapText="1"/>
    </xf>
    <xf numFmtId="86" fontId="4" borderId="7" applyNumberFormat="1" applyFont="1" applyFill="0" applyBorder="1" applyAlignment="1" applyProtection="0">
      <alignment horizontal="right" vertical="top" wrapText="1"/>
    </xf>
    <xf numFmtId="65" fontId="4" borderId="7" applyNumberFormat="1" applyFont="1" applyFill="0" applyBorder="1" applyAlignment="1" applyProtection="0">
      <alignment vertical="top" wrapText="1"/>
    </xf>
    <xf numFmtId="65" fontId="4" borderId="7" applyNumberFormat="1" applyFont="1" applyFill="0" applyBorder="1" applyAlignment="1" applyProtection="0">
      <alignment horizontal="right" vertical="top" wrapText="1"/>
    </xf>
    <xf numFmtId="0" fontId="0" applyNumberFormat="1" applyFont="1" applyFill="0" applyBorder="0" applyAlignment="1" applyProtection="0">
      <alignment vertical="top" wrapText="1"/>
    </xf>
    <xf numFmtId="0" fontId="4" fillId="4" borderId="1" applyNumberFormat="0" applyFont="1" applyFill="1" applyBorder="1" applyAlignment="1" applyProtection="0">
      <alignment horizontal="right" vertical="top" wrapText="1"/>
    </xf>
    <xf numFmtId="95" fontId="0" borderId="3" applyNumberFormat="1" applyFont="1" applyFill="0" applyBorder="1" applyAlignment="1" applyProtection="0">
      <alignment vertical="top" wrapText="1"/>
    </xf>
    <xf numFmtId="3" fontId="0" borderId="6" applyNumberFormat="1" applyFont="1" applyFill="0" applyBorder="1" applyAlignment="1" applyProtection="0">
      <alignment vertical="top" wrapText="1"/>
    </xf>
    <xf numFmtId="86" fontId="0" borderId="6" applyNumberFormat="1" applyFont="1" applyFill="0" applyBorder="1" applyAlignment="1" applyProtection="0">
      <alignment vertical="top" wrapText="1"/>
    </xf>
    <xf numFmtId="4" fontId="0" borderId="6" applyNumberFormat="1" applyFont="1" applyFill="0" applyBorder="1" applyAlignment="1" applyProtection="0">
      <alignment vertical="top" wrapText="1"/>
    </xf>
    <xf numFmtId="96" fontId="0" borderId="6" applyNumberFormat="1" applyFont="1" applyFill="0" applyBorder="1" applyAlignment="1" applyProtection="0">
      <alignment vertical="top" wrapText="1"/>
    </xf>
    <xf numFmtId="96" fontId="0" borderId="7" applyNumberFormat="1" applyFont="1" applyFill="0" applyBorder="1" applyAlignment="1" applyProtection="0">
      <alignment vertical="top" wrapText="1"/>
    </xf>
    <xf numFmtId="4" fontId="4" borderId="4" applyNumberFormat="1" applyFont="1" applyFill="0" applyBorder="1" applyAlignment="1" applyProtection="0">
      <alignment vertical="top" wrapText="1"/>
    </xf>
    <xf numFmtId="9" fontId="4" borderId="7" applyNumberFormat="1" applyFont="1" applyFill="0" applyBorder="1" applyAlignment="1" applyProtection="0">
      <alignment vertical="top" wrapText="1"/>
    </xf>
    <xf numFmtId="3" fontId="4"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0" borderId="7" applyNumberFormat="1" applyFont="1" applyFill="0" applyBorder="1" applyAlignment="1" applyProtection="0">
      <alignment vertical="top"/>
    </xf>
    <xf numFmtId="0" fontId="0" applyNumberFormat="1" applyFont="1" applyFill="0" applyBorder="0" applyAlignment="1" applyProtection="0">
      <alignment vertical="top" wrapText="1"/>
    </xf>
    <xf numFmtId="97" fontId="0" borderId="4" applyNumberFormat="1" applyFont="1" applyFill="0" applyBorder="1" applyAlignment="1" applyProtection="0">
      <alignment vertical="top" wrapText="1"/>
    </xf>
    <xf numFmtId="72" fontId="15" borderId="4" applyNumberFormat="1" applyFont="1" applyFill="0" applyBorder="1" applyAlignment="1" applyProtection="0">
      <alignment vertical="top" wrapText="1"/>
    </xf>
    <xf numFmtId="61" fontId="15" borderId="4" applyNumberFormat="1" applyFont="1" applyFill="0" applyBorder="1" applyAlignment="1" applyProtection="0">
      <alignment vertical="top" wrapText="1"/>
    </xf>
    <xf numFmtId="96" fontId="15" borderId="4" applyNumberFormat="1" applyFont="1" applyFill="0" applyBorder="1" applyAlignment="1" applyProtection="0">
      <alignment vertical="top" wrapText="1"/>
    </xf>
    <xf numFmtId="69" fontId="15" borderId="4" applyNumberFormat="1" applyFont="1" applyFill="0" applyBorder="1" applyAlignment="1" applyProtection="0">
      <alignment vertical="top" wrapText="1"/>
    </xf>
    <xf numFmtId="97" fontId="0" borderId="7" applyNumberFormat="1" applyFont="1" applyFill="0" applyBorder="1" applyAlignment="1" applyProtection="0">
      <alignment vertical="top" wrapText="1"/>
    </xf>
    <xf numFmtId="72" fontId="15" borderId="7" applyNumberFormat="1" applyFont="1" applyFill="0" applyBorder="1" applyAlignment="1" applyProtection="0">
      <alignment vertical="top" wrapText="1"/>
    </xf>
    <xf numFmtId="61" fontId="15" borderId="7" applyNumberFormat="1" applyFont="1" applyFill="0" applyBorder="1" applyAlignment="1" applyProtection="0">
      <alignment vertical="top" wrapText="1"/>
    </xf>
    <xf numFmtId="96" fontId="15" borderId="7" applyNumberFormat="1" applyFont="1" applyFill="0" applyBorder="1" applyAlignment="1" applyProtection="0">
      <alignment vertical="top" wrapText="1"/>
    </xf>
    <xf numFmtId="69" fontId="15"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3" fontId="0" borderId="4" applyNumberFormat="1" applyFont="1" applyFill="0" applyBorder="1" applyAlignment="1" applyProtection="0">
      <alignment vertical="top" wrapText="1"/>
    </xf>
    <xf numFmtId="79" fontId="0" borderId="7" applyNumberFormat="1" applyFont="1" applyFill="0" applyBorder="1" applyAlignment="1" applyProtection="0">
      <alignment vertical="top" wrapText="1"/>
    </xf>
    <xf numFmtId="49"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61"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67"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0" borderId="6" applyNumberFormat="1" applyFont="1" applyFill="0" applyBorder="1" applyAlignment="1" applyProtection="0">
      <alignment horizontal="right" vertical="top" wrapText="1"/>
    </xf>
    <xf numFmtId="0" fontId="0" borderId="6" applyNumberFormat="1" applyFont="1" applyFill="0" applyBorder="1" applyAlignment="1" applyProtection="0">
      <alignment horizontal="right" vertical="top" wrapText="1"/>
    </xf>
    <xf numFmtId="0" fontId="0" borderId="7" applyNumberFormat="1" applyFont="1" applyFill="0" applyBorder="1" applyAlignment="1" applyProtection="0">
      <alignment horizontal="right" vertical="top" wrapText="1"/>
    </xf>
    <xf numFmtId="59" fontId="0" borderId="6" applyNumberFormat="1" applyFont="1" applyFill="0" applyBorder="1" applyAlignment="1" applyProtection="0">
      <alignment horizontal="right" vertical="top" wrapText="1"/>
    </xf>
    <xf numFmtId="0" fontId="0" borderId="6" applyNumberFormat="0" applyFont="1" applyFill="0" applyBorder="1" applyAlignment="1" applyProtection="0">
      <alignment horizontal="right" vertical="top" wrapText="1"/>
    </xf>
    <xf numFmtId="0" fontId="0" applyNumberFormat="1" applyFont="1" applyFill="0" applyBorder="0" applyAlignment="1" applyProtection="0">
      <alignment vertical="top" wrapText="1"/>
    </xf>
    <xf numFmtId="83" fontId="4" fillId="5" borderId="5"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86" fontId="24" fillId="5" borderId="2" applyNumberFormat="1" applyFont="1" applyFill="1" applyBorder="1" applyAlignment="1" applyProtection="0">
      <alignment vertical="top" wrapText="1"/>
    </xf>
    <xf numFmtId="86" fontId="24" fillId="5" borderId="5" applyNumberFormat="1" applyFont="1" applyFill="1" applyBorder="1" applyAlignment="1" applyProtection="0">
      <alignment vertical="top" wrapText="1"/>
    </xf>
    <xf numFmtId="61" fontId="24" fillId="45" borderId="5" applyNumberFormat="1" applyFont="1" applyFill="1" applyBorder="1" applyAlignment="1" applyProtection="0">
      <alignment vertical="top" wrapText="1"/>
    </xf>
    <xf numFmtId="86" fontId="24" fillId="45" borderId="5" applyNumberFormat="1" applyFont="1" applyFill="1" applyBorder="1" applyAlignment="1" applyProtection="0">
      <alignment vertical="top" wrapText="1"/>
    </xf>
    <xf numFmtId="86" fontId="24" fillId="46" borderId="5" applyNumberFormat="1" applyFont="1" applyFill="1" applyBorder="1" applyAlignment="1" applyProtection="0">
      <alignment vertical="top" wrapText="1"/>
    </xf>
    <xf numFmtId="59" fontId="35" fillId="30" borderId="7" applyNumberFormat="1" applyFont="1" applyFill="1" applyBorder="1" applyAlignment="1" applyProtection="0">
      <alignment vertical="top" wrapText="1"/>
    </xf>
    <xf numFmtId="0" fontId="0" fillId="30" borderId="7" applyNumberFormat="0" applyFont="1" applyFill="1" applyBorder="1" applyAlignment="1" applyProtection="0">
      <alignment vertical="top" wrapText="1"/>
    </xf>
    <xf numFmtId="59" fontId="0" fillId="47" borderId="7" applyNumberFormat="1" applyFont="1" applyFill="1" applyBorder="1" applyAlignment="1" applyProtection="0">
      <alignment vertical="top" wrapText="1"/>
    </xf>
    <xf numFmtId="49" fontId="0" fillId="48" borderId="7" applyNumberFormat="1" applyFont="1" applyFill="1" applyBorder="1" applyAlignment="1" applyProtection="0">
      <alignment vertical="top" wrapText="1"/>
    </xf>
    <xf numFmtId="86" fontId="24" fillId="48" borderId="5" applyNumberFormat="1" applyFont="1" applyFill="1" applyBorder="1" applyAlignment="1" applyProtection="0">
      <alignment vertical="top" wrapText="1"/>
    </xf>
    <xf numFmtId="49" fontId="0" fillId="49"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59" fontId="4" fillId="50" borderId="4" applyNumberFormat="1" applyFont="1" applyFill="1" applyBorder="1" applyAlignment="1" applyProtection="0">
      <alignment vertical="top" wrapText="1"/>
    </xf>
    <xf numFmtId="59" fontId="4" fillId="51" borderId="4" applyNumberFormat="1" applyFont="1" applyFill="1" applyBorder="1" applyAlignment="1" applyProtection="0">
      <alignment vertical="top" wrapText="1"/>
    </xf>
    <xf numFmtId="59" fontId="4" fillId="50" borderId="7" applyNumberFormat="1" applyFont="1" applyFill="1" applyBorder="1" applyAlignment="1" applyProtection="0">
      <alignment vertical="top" wrapText="1"/>
    </xf>
    <xf numFmtId="59" fontId="4" fillId="51"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96" fontId="15" fillId="5" borderId="2" applyNumberFormat="1" applyFont="1" applyFill="1" applyBorder="1" applyAlignment="1" applyProtection="0">
      <alignment vertical="top" wrapText="1"/>
    </xf>
    <xf numFmtId="72" fontId="15" borderId="3" applyNumberFormat="1" applyFont="1" applyFill="0" applyBorder="1" applyAlignment="1" applyProtection="0">
      <alignment vertical="top" wrapText="1"/>
    </xf>
    <xf numFmtId="96" fontId="24" fillId="5" borderId="5" applyNumberFormat="1" applyFont="1" applyFill="1" applyBorder="1" applyAlignment="1" applyProtection="0">
      <alignment vertical="top" wrapText="1"/>
    </xf>
    <xf numFmtId="72" fontId="15" borderId="6" applyNumberFormat="1" applyFont="1" applyFill="0" applyBorder="1" applyAlignment="1" applyProtection="0">
      <alignment vertical="top" wrapText="1"/>
    </xf>
    <xf numFmtId="0" fontId="15" borderId="6"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36" borderId="3" applyNumberFormat="1" applyFont="1" applyFill="0" applyBorder="1" applyAlignment="1" applyProtection="0">
      <alignment vertical="top" wrapText="1"/>
    </xf>
    <xf numFmtId="63" fontId="36" borderId="4" applyNumberFormat="1" applyFont="1" applyFill="0" applyBorder="1" applyAlignment="1" applyProtection="0">
      <alignment vertical="top" wrapText="1"/>
    </xf>
    <xf numFmtId="59" fontId="36" borderId="6" applyNumberFormat="1" applyFont="1" applyFill="0" applyBorder="1" applyAlignment="1" applyProtection="0">
      <alignment vertical="top" wrapText="1"/>
    </xf>
    <xf numFmtId="80" fontId="37" borderId="7" applyNumberFormat="1" applyFont="1" applyFill="0" applyBorder="1" applyAlignment="1" applyProtection="0">
      <alignment vertical="top" wrapText="1"/>
    </xf>
    <xf numFmtId="0" fontId="36" borderId="6" applyNumberFormat="0" applyFont="1" applyFill="0" applyBorder="1" applyAlignment="1" applyProtection="0">
      <alignment vertical="top" wrapText="1"/>
    </xf>
    <xf numFmtId="59" fontId="38" borderId="6" applyNumberFormat="1" applyFont="1" applyFill="0" applyBorder="1" applyAlignment="1" applyProtection="0">
      <alignment vertical="top" wrapText="1"/>
    </xf>
    <xf numFmtId="59" fontId="4" borderId="11" applyNumberFormat="1" applyFont="1" applyFill="0" applyBorder="1" applyAlignment="1" applyProtection="0">
      <alignment vertical="top" wrapText="1"/>
    </xf>
    <xf numFmtId="63" fontId="0" borderId="1"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fillId="5" borderId="4" applyNumberFormat="1" applyFont="1" applyFill="1" applyBorder="1" applyAlignment="1" applyProtection="0">
      <alignment vertical="top" wrapText="1"/>
    </xf>
    <xf numFmtId="78" fontId="4" fillId="5" borderId="2" applyNumberFormat="1" applyFont="1" applyFill="1" applyBorder="1" applyAlignment="1" applyProtection="0">
      <alignment vertical="top" wrapText="1"/>
    </xf>
    <xf numFmtId="3" fontId="15" borderId="4" applyNumberFormat="1" applyFont="1" applyFill="0" applyBorder="1" applyAlignment="1" applyProtection="0">
      <alignment vertical="top" wrapText="1"/>
    </xf>
    <xf numFmtId="78" fontId="4" fillId="5" borderId="5" applyNumberFormat="1" applyFont="1" applyFill="1" applyBorder="1" applyAlignment="1" applyProtection="0">
      <alignment vertical="top" wrapText="1"/>
    </xf>
    <xf numFmtId="0" fontId="4" fillId="5"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98" fontId="4" fillId="4" borderId="7" applyNumberFormat="1" applyFont="1" applyFill="1" applyBorder="1" applyAlignment="1" applyProtection="0">
      <alignment vertical="top" wrapText="1"/>
    </xf>
    <xf numFmtId="0" fontId="4" fillId="4" borderId="7" applyNumberFormat="0" applyFont="1" applyFill="1" applyBorder="1" applyAlignment="1" applyProtection="0">
      <alignment horizontal="right" vertical="top" wrapText="1"/>
    </xf>
    <xf numFmtId="98" fontId="4" fillId="4" borderId="1" applyNumberFormat="1" applyFont="1" applyFill="1" applyBorder="1" applyAlignment="1" applyProtection="0">
      <alignment vertical="top" wrapText="1"/>
    </xf>
    <xf numFmtId="99" fontId="15" borderId="3" applyNumberFormat="1" applyFont="1" applyFill="0" applyBorder="1" applyAlignment="1" applyProtection="0">
      <alignment vertical="top" wrapText="1"/>
    </xf>
    <xf numFmtId="80" fontId="15" borderId="4" applyNumberFormat="1" applyFont="1" applyFill="0" applyBorder="1" applyAlignment="1" applyProtection="0">
      <alignment vertical="top" wrapText="1"/>
    </xf>
    <xf numFmtId="67" fontId="15" borderId="4" applyNumberFormat="1" applyFont="1" applyFill="0" applyBorder="1" applyAlignment="1" applyProtection="0">
      <alignment vertical="top" wrapText="1"/>
    </xf>
    <xf numFmtId="60" fontId="15" borderId="4" applyNumberFormat="1" applyFont="1" applyFill="0" applyBorder="1" applyAlignment="1" applyProtection="0">
      <alignment vertical="top" wrapText="1"/>
    </xf>
    <xf numFmtId="96" fontId="24" borderId="4" applyNumberFormat="1" applyFont="1" applyFill="0" applyBorder="1" applyAlignment="1" applyProtection="0">
      <alignment vertical="top" wrapText="1"/>
    </xf>
    <xf numFmtId="65" fontId="24" borderId="4" applyNumberFormat="1" applyFont="1" applyFill="0" applyBorder="1" applyAlignment="1" applyProtection="0">
      <alignment vertical="top" wrapText="1"/>
    </xf>
    <xf numFmtId="59" fontId="39" borderId="4" applyNumberFormat="1" applyFont="1" applyFill="0" applyBorder="1" applyAlignment="1" applyProtection="0">
      <alignment vertical="top" wrapText="1"/>
    </xf>
    <xf numFmtId="61" fontId="24" borderId="4" applyNumberFormat="1" applyFont="1" applyFill="0" applyBorder="1" applyAlignment="1" applyProtection="0">
      <alignment vertical="top" wrapText="1"/>
    </xf>
    <xf numFmtId="96" fontId="15" fillId="52" borderId="4" applyNumberFormat="1" applyFont="1" applyFill="1" applyBorder="1" applyAlignment="1" applyProtection="0">
      <alignment vertical="top" wrapText="1"/>
    </xf>
    <xf numFmtId="59" fontId="15" fillId="53" borderId="4" applyNumberFormat="1" applyFont="1" applyFill="1" applyBorder="1" applyAlignment="1" applyProtection="0">
      <alignment vertical="top" wrapText="1"/>
    </xf>
    <xf numFmtId="59" fontId="39" fillId="53" borderId="4" applyNumberFormat="1" applyFont="1" applyFill="1" applyBorder="1" applyAlignment="1" applyProtection="0">
      <alignment vertical="top" wrapText="1"/>
    </xf>
    <xf numFmtId="59" fontId="15" fillId="54" borderId="4" applyNumberFormat="1" applyFont="1" applyFill="1" applyBorder="1" applyAlignment="1" applyProtection="0">
      <alignment vertical="top" wrapText="1"/>
    </xf>
    <xf numFmtId="59" fontId="39" fillId="54" borderId="4" applyNumberFormat="1" applyFont="1" applyFill="1" applyBorder="1" applyAlignment="1" applyProtection="0">
      <alignment vertical="top" wrapText="1"/>
    </xf>
    <xf numFmtId="59" fontId="15" fillId="55" borderId="4" applyNumberFormat="1" applyFont="1" applyFill="1" applyBorder="1" applyAlignment="1" applyProtection="0">
      <alignment vertical="top" wrapText="1"/>
    </xf>
    <xf numFmtId="59" fontId="39" fillId="55" borderId="4" applyNumberFormat="1" applyFont="1" applyFill="1" applyBorder="1" applyAlignment="1" applyProtection="0">
      <alignment vertical="top" wrapText="1"/>
    </xf>
    <xf numFmtId="0" fontId="24" fillId="5" borderId="5" applyNumberFormat="0" applyFont="1" applyFill="1" applyBorder="1" applyAlignment="1" applyProtection="0">
      <alignment vertical="top" wrapText="1"/>
    </xf>
    <xf numFmtId="99" fontId="15" borderId="6" applyNumberFormat="1" applyFont="1" applyFill="0" applyBorder="1" applyAlignment="1" applyProtection="0">
      <alignment vertical="top" wrapText="1"/>
    </xf>
    <xf numFmtId="80" fontId="15" borderId="7" applyNumberFormat="1" applyFont="1" applyFill="0" applyBorder="1" applyAlignment="1" applyProtection="0">
      <alignment vertical="top" wrapText="1"/>
    </xf>
    <xf numFmtId="96" fontId="24" borderId="7" applyNumberFormat="1" applyFont="1" applyFill="0" applyBorder="1" applyAlignment="1" applyProtection="0">
      <alignment vertical="top" wrapText="1"/>
    </xf>
    <xf numFmtId="65" fontId="24" borderId="7" applyNumberFormat="1" applyFont="1" applyFill="0" applyBorder="1" applyAlignment="1" applyProtection="0">
      <alignment vertical="top" wrapText="1"/>
    </xf>
    <xf numFmtId="59" fontId="39" borderId="7" applyNumberFormat="1" applyFont="1" applyFill="0" applyBorder="1" applyAlignment="1" applyProtection="0">
      <alignment vertical="top" wrapText="1"/>
    </xf>
    <xf numFmtId="80" fontId="39" borderId="7" applyNumberFormat="1" applyFont="1" applyFill="0" applyBorder="1" applyAlignment="1" applyProtection="0">
      <alignment vertical="top" wrapText="1"/>
    </xf>
    <xf numFmtId="61" fontId="24" borderId="7" applyNumberFormat="1" applyFont="1" applyFill="0" applyBorder="1" applyAlignment="1" applyProtection="0">
      <alignment vertical="top" wrapText="1"/>
    </xf>
    <xf numFmtId="96" fontId="15" fillId="52" borderId="7" applyNumberFormat="1" applyFont="1" applyFill="1" applyBorder="1" applyAlignment="1" applyProtection="0">
      <alignment vertical="top" wrapText="1"/>
    </xf>
    <xf numFmtId="59" fontId="15" fillId="53" borderId="7" applyNumberFormat="1" applyFont="1" applyFill="1" applyBorder="1" applyAlignment="1" applyProtection="0">
      <alignment vertical="top" wrapText="1"/>
    </xf>
    <xf numFmtId="59" fontId="39" fillId="53" borderId="7" applyNumberFormat="1" applyFont="1" applyFill="1" applyBorder="1" applyAlignment="1" applyProtection="0">
      <alignment vertical="top" wrapText="1"/>
    </xf>
    <xf numFmtId="59" fontId="15" fillId="54" borderId="7" applyNumberFormat="1" applyFont="1" applyFill="1" applyBorder="1" applyAlignment="1" applyProtection="0">
      <alignment vertical="top" wrapText="1"/>
    </xf>
    <xf numFmtId="59" fontId="39" fillId="54" borderId="7" applyNumberFormat="1" applyFont="1" applyFill="1" applyBorder="1" applyAlignment="1" applyProtection="0">
      <alignment vertical="top" wrapText="1"/>
    </xf>
    <xf numFmtId="59" fontId="15" fillId="55" borderId="7" applyNumberFormat="1" applyFont="1" applyFill="1" applyBorder="1" applyAlignment="1" applyProtection="0">
      <alignment vertical="top" wrapText="1"/>
    </xf>
    <xf numFmtId="59" fontId="39" fillId="55" borderId="7" applyNumberFormat="1" applyFont="1" applyFill="1" applyBorder="1" applyAlignment="1" applyProtection="0">
      <alignment vertical="top" wrapText="1"/>
    </xf>
    <xf numFmtId="0" fontId="40" fillId="5" borderId="5" applyNumberFormat="1" applyFont="1" applyFill="1" applyBorder="1" applyAlignment="1" applyProtection="0">
      <alignment vertical="top" wrapText="1"/>
    </xf>
    <xf numFmtId="100" fontId="15" borderId="7" applyNumberFormat="1" applyFont="1" applyFill="0" applyBorder="1" applyAlignment="1" applyProtection="0">
      <alignment vertical="top" wrapText="1"/>
    </xf>
    <xf numFmtId="61" fontId="39" borderId="7" applyNumberFormat="1" applyFont="1" applyFill="0" applyBorder="1" applyAlignment="1" applyProtection="0">
      <alignment vertical="top" wrapText="1"/>
    </xf>
    <xf numFmtId="96" fontId="15" fillId="53" borderId="7" applyNumberFormat="1" applyFont="1" applyFill="1" applyBorder="1" applyAlignment="1" applyProtection="0">
      <alignment vertical="top" wrapText="1"/>
    </xf>
    <xf numFmtId="96" fontId="39" fillId="53" borderId="7" applyNumberFormat="1" applyFont="1" applyFill="1" applyBorder="1" applyAlignment="1" applyProtection="0">
      <alignment vertical="top" wrapText="1"/>
    </xf>
    <xf numFmtId="61" fontId="39" fillId="54" borderId="7" applyNumberFormat="1" applyFont="1" applyFill="1" applyBorder="1" applyAlignment="1" applyProtection="0">
      <alignment vertical="top" wrapText="1"/>
    </xf>
    <xf numFmtId="61" fontId="39" fillId="55" borderId="7" applyNumberFormat="1" applyFont="1" applyFill="1" applyBorder="1" applyAlignment="1" applyProtection="0">
      <alignment vertical="top" wrapText="1"/>
    </xf>
    <xf numFmtId="59" fontId="15" fillId="52" borderId="7" applyNumberFormat="1" applyFont="1" applyFill="1" applyBorder="1" applyAlignment="1" applyProtection="0">
      <alignment vertical="top" wrapText="1"/>
    </xf>
    <xf numFmtId="96" fontId="39" fillId="55" borderId="7" applyNumberFormat="1" applyFont="1" applyFill="1" applyBorder="1" applyAlignment="1" applyProtection="0">
      <alignment vertical="top" wrapText="1"/>
    </xf>
    <xf numFmtId="101" fontId="15" borderId="7" applyNumberFormat="1" applyFont="1" applyFill="0" applyBorder="1" applyAlignment="1" applyProtection="0">
      <alignment vertical="top" wrapText="1"/>
    </xf>
    <xf numFmtId="102" fontId="39" borderId="7" applyNumberFormat="1" applyFont="1" applyFill="0" applyBorder="1" applyAlignment="1" applyProtection="0">
      <alignment vertical="top" wrapText="1"/>
    </xf>
    <xf numFmtId="49" fontId="40" fillId="5" borderId="5" applyNumberFormat="1" applyFont="1" applyFill="1" applyBorder="1" applyAlignment="1" applyProtection="0">
      <alignment vertical="top" wrapText="1"/>
    </xf>
    <xf numFmtId="96" fontId="41" borderId="7" applyNumberFormat="1" applyFont="1" applyFill="0" applyBorder="1" applyAlignment="1" applyProtection="0">
      <alignment vertical="top" wrapText="1"/>
    </xf>
    <xf numFmtId="59" fontId="41" borderId="7" applyNumberFormat="1" applyFont="1" applyFill="0" applyBorder="1" applyAlignment="1" applyProtection="0">
      <alignment vertical="top" wrapText="1"/>
    </xf>
    <xf numFmtId="99" fontId="15" fillId="26" borderId="6" applyNumberFormat="1" applyFont="1" applyFill="1" applyBorder="1" applyAlignment="1" applyProtection="0">
      <alignment vertical="top" wrapText="1"/>
    </xf>
    <xf numFmtId="59" fontId="15" fillId="26" borderId="7" applyNumberFormat="1" applyFont="1" applyFill="1" applyBorder="1" applyAlignment="1" applyProtection="0">
      <alignment vertical="top" wrapText="1"/>
    </xf>
    <xf numFmtId="96" fontId="15" fillId="26" borderId="7" applyNumberFormat="1" applyFont="1" applyFill="1" applyBorder="1" applyAlignment="1" applyProtection="0">
      <alignment vertical="top" wrapText="1"/>
    </xf>
    <xf numFmtId="80" fontId="15" fillId="26" borderId="7" applyNumberFormat="1" applyFont="1" applyFill="1" applyBorder="1" applyAlignment="1" applyProtection="0">
      <alignment vertical="top" wrapText="1"/>
    </xf>
    <xf numFmtId="67" fontId="15" fillId="26" borderId="7" applyNumberFormat="1" applyFont="1" applyFill="1" applyBorder="1" applyAlignment="1" applyProtection="0">
      <alignment vertical="top" wrapText="1"/>
    </xf>
    <xf numFmtId="60" fontId="15" fillId="26" borderId="7" applyNumberFormat="1" applyFont="1" applyFill="1" applyBorder="1" applyAlignment="1" applyProtection="0">
      <alignment vertical="top" wrapText="1"/>
    </xf>
    <xf numFmtId="96" fontId="24" fillId="26" borderId="7" applyNumberFormat="1" applyFont="1" applyFill="1" applyBorder="1" applyAlignment="1" applyProtection="0">
      <alignment vertical="top" wrapText="1"/>
    </xf>
    <xf numFmtId="65" fontId="24" fillId="26" borderId="7" applyNumberFormat="1" applyFont="1" applyFill="1" applyBorder="1" applyAlignment="1" applyProtection="0">
      <alignment vertical="top" wrapText="1"/>
    </xf>
    <xf numFmtId="59" fontId="39" fillId="26" borderId="7" applyNumberFormat="1" applyFont="1" applyFill="1" applyBorder="1" applyAlignment="1" applyProtection="0">
      <alignment vertical="top" wrapText="1"/>
    </xf>
    <xf numFmtId="80" fontId="39" fillId="26" borderId="7" applyNumberFormat="1" applyFont="1" applyFill="1" applyBorder="1" applyAlignment="1" applyProtection="0">
      <alignment vertical="top" wrapText="1"/>
    </xf>
    <xf numFmtId="61" fontId="24" fillId="26" borderId="7" applyNumberFormat="1" applyFont="1" applyFill="1" applyBorder="1" applyAlignment="1" applyProtection="0">
      <alignment vertical="top" wrapText="1"/>
    </xf>
    <xf numFmtId="61" fontId="15" fillId="26" borderId="7" applyNumberFormat="1" applyFont="1" applyFill="1" applyBorder="1" applyAlignment="1" applyProtection="0">
      <alignment vertical="top" wrapText="1"/>
    </xf>
    <xf numFmtId="100" fontId="15" fillId="26" borderId="7" applyNumberFormat="1" applyFont="1" applyFill="1" applyBorder="1" applyAlignment="1" applyProtection="0">
      <alignment vertical="top" wrapText="1"/>
    </xf>
    <xf numFmtId="96" fontId="15" fillId="56" borderId="7" applyNumberFormat="1" applyFont="1" applyFill="1" applyBorder="1" applyAlignment="1" applyProtection="0">
      <alignment vertical="top" wrapText="1"/>
    </xf>
    <xf numFmtId="59" fontId="15" fillId="56" borderId="7" applyNumberFormat="1" applyFont="1" applyFill="1" applyBorder="1" applyAlignment="1" applyProtection="0">
      <alignment vertical="top" wrapText="1"/>
    </xf>
    <xf numFmtId="61" fontId="39" fillId="26" borderId="7" applyNumberFormat="1" applyFont="1" applyFill="1" applyBorder="1" applyAlignment="1" applyProtection="0">
      <alignment vertical="top" wrapText="1"/>
    </xf>
    <xf numFmtId="59" fontId="39" fillId="57" borderId="7" applyNumberFormat="1" applyFont="1" applyFill="1" applyBorder="1" applyAlignment="1" applyProtection="0">
      <alignment vertical="top" wrapText="1"/>
    </xf>
    <xf numFmtId="96" fontId="15" fillId="57" borderId="7" applyNumberFormat="1" applyFont="1" applyFill="1" applyBorder="1" applyAlignment="1" applyProtection="0">
      <alignment vertical="top" wrapText="1"/>
    </xf>
    <xf numFmtId="96" fontId="39" fillId="57" borderId="7" applyNumberFormat="1" applyFont="1" applyFill="1" applyBorder="1" applyAlignment="1" applyProtection="0">
      <alignment vertical="top" wrapText="1"/>
    </xf>
    <xf numFmtId="59" fontId="15" fillId="58" borderId="7" applyNumberFormat="1" applyFont="1" applyFill="1" applyBorder="1" applyAlignment="1" applyProtection="0">
      <alignment vertical="top" wrapText="1"/>
    </xf>
    <xf numFmtId="61" fontId="39" fillId="58" borderId="7" applyNumberFormat="1" applyFont="1" applyFill="1" applyBorder="1" applyAlignment="1" applyProtection="0">
      <alignment vertical="top" wrapText="1"/>
    </xf>
    <xf numFmtId="59" fontId="39" fillId="58" borderId="7" applyNumberFormat="1" applyFont="1" applyFill="1" applyBorder="1" applyAlignment="1" applyProtection="0">
      <alignment vertical="top" wrapText="1"/>
    </xf>
    <xf numFmtId="59" fontId="15" fillId="59" borderId="7" applyNumberFormat="1" applyFont="1" applyFill="1" applyBorder="1" applyAlignment="1" applyProtection="0">
      <alignment vertical="top" wrapText="1"/>
    </xf>
    <xf numFmtId="96" fontId="39" fillId="59" borderId="7" applyNumberFormat="1" applyFont="1" applyFill="1" applyBorder="1" applyAlignment="1" applyProtection="0">
      <alignment vertical="top" wrapText="1"/>
    </xf>
    <xf numFmtId="102" fontId="39" fillId="26" borderId="7" applyNumberFormat="1" applyFont="1" applyFill="1" applyBorder="1" applyAlignment="1" applyProtection="0">
      <alignment vertical="top" wrapText="1"/>
    </xf>
    <xf numFmtId="101" fontId="15" fillId="26" borderId="7" applyNumberFormat="1" applyFont="1" applyFill="1" applyBorder="1" applyAlignment="1" applyProtection="0">
      <alignment vertical="top" wrapText="1"/>
    </xf>
    <xf numFmtId="96" fontId="41" fillId="26" borderId="7" applyNumberFormat="1" applyFont="1" applyFill="1" applyBorder="1" applyAlignment="1" applyProtection="0">
      <alignment vertical="top" wrapText="1"/>
    </xf>
    <xf numFmtId="59" fontId="41" fillId="26" borderId="7" applyNumberFormat="1" applyFont="1" applyFill="1" applyBorder="1" applyAlignment="1" applyProtection="0">
      <alignment vertical="top" wrapText="1"/>
    </xf>
    <xf numFmtId="67" fontId="16" borderId="7" applyNumberFormat="1" applyFont="1" applyFill="0" applyBorder="1" applyAlignment="1" applyProtection="0">
      <alignment vertical="top" wrapText="1"/>
    </xf>
    <xf numFmtId="80" fontId="42" borderId="7" applyNumberFormat="1" applyFont="1" applyFill="0" applyBorder="1" applyAlignment="1" applyProtection="0">
      <alignment vertical="top" wrapText="1"/>
    </xf>
    <xf numFmtId="80" fontId="43" borderId="7" applyNumberFormat="1" applyFont="1" applyFill="0" applyBorder="1" applyAlignment="1" applyProtection="0">
      <alignment vertical="top" wrapText="1"/>
    </xf>
    <xf numFmtId="0" fontId="40" fillId="5" borderId="10" applyNumberFormat="1" applyFont="1" applyFill="1" applyBorder="1" applyAlignment="1" applyProtection="0">
      <alignment vertical="top" wrapText="1"/>
    </xf>
    <xf numFmtId="99" fontId="15" borderId="11" applyNumberFormat="1" applyFont="1" applyFill="0" applyBorder="1" applyAlignment="1" applyProtection="0">
      <alignment vertical="top" wrapText="1"/>
    </xf>
    <xf numFmtId="96" fontId="15" borderId="1" applyNumberFormat="1" applyFont="1" applyFill="0" applyBorder="1" applyAlignment="1" applyProtection="0">
      <alignment vertical="top" wrapText="1"/>
    </xf>
    <xf numFmtId="80" fontId="15" borderId="1" applyNumberFormat="1" applyFont="1" applyFill="0" applyBorder="1" applyAlignment="1" applyProtection="0">
      <alignment vertical="top" wrapText="1"/>
    </xf>
    <xf numFmtId="67" fontId="16" borderId="1" applyNumberFormat="1" applyFont="1" applyFill="0" applyBorder="1" applyAlignment="1" applyProtection="0">
      <alignment vertical="top" wrapText="1"/>
    </xf>
    <xf numFmtId="80" fontId="42" borderId="1" applyNumberFormat="1" applyFont="1" applyFill="0" applyBorder="1" applyAlignment="1" applyProtection="0">
      <alignment vertical="top" wrapText="1"/>
    </xf>
    <xf numFmtId="80" fontId="43" borderId="1" applyNumberFormat="1" applyFont="1" applyFill="0" applyBorder="1" applyAlignment="1" applyProtection="0">
      <alignment vertical="top" wrapText="1"/>
    </xf>
    <xf numFmtId="60" fontId="15" borderId="1" applyNumberFormat="1" applyFont="1" applyFill="0" applyBorder="1" applyAlignment="1" applyProtection="0">
      <alignment vertical="top" wrapText="1"/>
    </xf>
    <xf numFmtId="96" fontId="24" borderId="1" applyNumberFormat="1" applyFont="1" applyFill="0" applyBorder="1" applyAlignment="1" applyProtection="0">
      <alignment vertical="top" wrapText="1"/>
    </xf>
    <xf numFmtId="65" fontId="24" borderId="1" applyNumberFormat="1" applyFont="1" applyFill="0" applyBorder="1" applyAlignment="1" applyProtection="0">
      <alignment vertical="top" wrapText="1"/>
    </xf>
    <xf numFmtId="59" fontId="39" borderId="1" applyNumberFormat="1" applyFont="1" applyFill="0" applyBorder="1" applyAlignment="1" applyProtection="0">
      <alignment vertical="top" wrapText="1"/>
    </xf>
    <xf numFmtId="80" fontId="39" borderId="1" applyNumberFormat="1" applyFont="1" applyFill="0" applyBorder="1" applyAlignment="1" applyProtection="0">
      <alignment vertical="top" wrapText="1"/>
    </xf>
    <xf numFmtId="61" fontId="24" borderId="1" applyNumberFormat="1" applyFont="1" applyFill="0" applyBorder="1" applyAlignment="1" applyProtection="0">
      <alignment vertical="top" wrapText="1"/>
    </xf>
    <xf numFmtId="61" fontId="15" borderId="1" applyNumberFormat="1" applyFont="1" applyFill="0" applyBorder="1" applyAlignment="1" applyProtection="0">
      <alignment vertical="top" wrapText="1"/>
    </xf>
    <xf numFmtId="100" fontId="15" borderId="1" applyNumberFormat="1" applyFont="1" applyFill="0" applyBorder="1" applyAlignment="1" applyProtection="0">
      <alignment vertical="top" wrapText="1"/>
    </xf>
    <xf numFmtId="96" fontId="15" fillId="52" borderId="1" applyNumberFormat="1" applyFont="1" applyFill="1" applyBorder="1" applyAlignment="1" applyProtection="0">
      <alignment vertical="top" wrapText="1"/>
    </xf>
    <xf numFmtId="59" fontId="15" fillId="52" borderId="1" applyNumberFormat="1" applyFont="1" applyFill="1" applyBorder="1" applyAlignment="1" applyProtection="0">
      <alignment vertical="top" wrapText="1"/>
    </xf>
    <xf numFmtId="61" fontId="39" borderId="1" applyNumberFormat="1" applyFont="1" applyFill="0" applyBorder="1" applyAlignment="1" applyProtection="0">
      <alignment vertical="top" wrapText="1"/>
    </xf>
    <xf numFmtId="59" fontId="39" fillId="53" borderId="1" applyNumberFormat="1" applyFont="1" applyFill="1" applyBorder="1" applyAlignment="1" applyProtection="0">
      <alignment vertical="top" wrapText="1"/>
    </xf>
    <xf numFmtId="96" fontId="15" fillId="53" borderId="1" applyNumberFormat="1" applyFont="1" applyFill="1" applyBorder="1" applyAlignment="1" applyProtection="0">
      <alignment vertical="top" wrapText="1"/>
    </xf>
    <xf numFmtId="96" fontId="39" fillId="53" borderId="1" applyNumberFormat="1" applyFont="1" applyFill="1" applyBorder="1" applyAlignment="1" applyProtection="0">
      <alignment vertical="top" wrapText="1"/>
    </xf>
    <xf numFmtId="59" fontId="15" fillId="54" borderId="1" applyNumberFormat="1" applyFont="1" applyFill="1" applyBorder="1" applyAlignment="1" applyProtection="0">
      <alignment vertical="top" wrapText="1"/>
    </xf>
    <xf numFmtId="61" fontId="39" fillId="54" borderId="1" applyNumberFormat="1" applyFont="1" applyFill="1" applyBorder="1" applyAlignment="1" applyProtection="0">
      <alignment vertical="top" wrapText="1"/>
    </xf>
    <xf numFmtId="59" fontId="39" fillId="54" borderId="1" applyNumberFormat="1" applyFont="1" applyFill="1" applyBorder="1" applyAlignment="1" applyProtection="0">
      <alignment vertical="top" wrapText="1"/>
    </xf>
    <xf numFmtId="59" fontId="15" fillId="55" borderId="1" applyNumberFormat="1" applyFont="1" applyFill="1" applyBorder="1" applyAlignment="1" applyProtection="0">
      <alignment vertical="top" wrapText="1"/>
    </xf>
    <xf numFmtId="96" fontId="39" fillId="55" borderId="1" applyNumberFormat="1" applyFont="1" applyFill="1" applyBorder="1" applyAlignment="1" applyProtection="0">
      <alignment vertical="top" wrapText="1"/>
    </xf>
    <xf numFmtId="102" fontId="39" borderId="1" applyNumberFormat="1" applyFont="1" applyFill="0" applyBorder="1" applyAlignment="1" applyProtection="0">
      <alignment vertical="top" wrapText="1"/>
    </xf>
    <xf numFmtId="101" fontId="15" borderId="1" applyNumberFormat="1" applyFont="1" applyFill="0" applyBorder="1" applyAlignment="1" applyProtection="0">
      <alignment vertical="top" wrapText="1"/>
    </xf>
    <xf numFmtId="0" fontId="40" fillId="5" borderId="12" applyNumberFormat="1" applyFont="1" applyFill="1" applyBorder="1" applyAlignment="1" applyProtection="0">
      <alignment vertical="top" wrapText="1"/>
    </xf>
    <xf numFmtId="99" fontId="15" fillId="26" borderId="13" applyNumberFormat="1" applyFont="1" applyFill="1" applyBorder="1" applyAlignment="1" applyProtection="0">
      <alignment vertical="top" wrapText="1"/>
    </xf>
    <xf numFmtId="59" fontId="15" fillId="26" borderId="14" applyNumberFormat="1" applyFont="1" applyFill="1" applyBorder="1" applyAlignment="1" applyProtection="0">
      <alignment vertical="top" wrapText="1"/>
    </xf>
    <xf numFmtId="96" fontId="15" fillId="26" borderId="14" applyNumberFormat="1" applyFont="1" applyFill="1" applyBorder="1" applyAlignment="1" applyProtection="0">
      <alignment vertical="top" wrapText="1"/>
    </xf>
    <xf numFmtId="80" fontId="16" fillId="26" borderId="14" applyNumberFormat="1" applyFont="1" applyFill="1" applyBorder="1" applyAlignment="1" applyProtection="0">
      <alignment vertical="top" wrapText="1"/>
    </xf>
    <xf numFmtId="67" fontId="16" fillId="26" borderId="14" applyNumberFormat="1" applyFont="1" applyFill="1" applyBorder="1" applyAlignment="1" applyProtection="0">
      <alignment vertical="top" wrapText="1"/>
    </xf>
    <xf numFmtId="80" fontId="43" fillId="26" borderId="14" applyNumberFormat="1" applyFont="1" applyFill="1" applyBorder="1" applyAlignment="1" applyProtection="0">
      <alignment vertical="top" wrapText="1"/>
    </xf>
    <xf numFmtId="60" fontId="15" fillId="26" borderId="14" applyNumberFormat="1" applyFont="1" applyFill="1" applyBorder="1" applyAlignment="1" applyProtection="0">
      <alignment vertical="top" wrapText="1"/>
    </xf>
    <xf numFmtId="96" fontId="24" fillId="26" borderId="14" applyNumberFormat="1" applyFont="1" applyFill="1" applyBorder="1" applyAlignment="1" applyProtection="0">
      <alignment vertical="top" wrapText="1"/>
    </xf>
    <xf numFmtId="65" fontId="24" fillId="26" borderId="14" applyNumberFormat="1" applyFont="1" applyFill="1" applyBorder="1" applyAlignment="1" applyProtection="0">
      <alignment vertical="top" wrapText="1"/>
    </xf>
    <xf numFmtId="59" fontId="39" fillId="26" borderId="14" applyNumberFormat="1" applyFont="1" applyFill="1" applyBorder="1" applyAlignment="1" applyProtection="0">
      <alignment vertical="top" wrapText="1"/>
    </xf>
    <xf numFmtId="80" fontId="39" fillId="26" borderId="14" applyNumberFormat="1" applyFont="1" applyFill="1" applyBorder="1" applyAlignment="1" applyProtection="0">
      <alignment vertical="top" wrapText="1"/>
    </xf>
    <xf numFmtId="61" fontId="24" fillId="26" borderId="14" applyNumberFormat="1" applyFont="1" applyFill="1" applyBorder="1" applyAlignment="1" applyProtection="0">
      <alignment vertical="top" wrapText="1"/>
    </xf>
    <xf numFmtId="61" fontId="15" fillId="26" borderId="14" applyNumberFormat="1" applyFont="1" applyFill="1" applyBorder="1" applyAlignment="1" applyProtection="0">
      <alignment vertical="top" wrapText="1"/>
    </xf>
    <xf numFmtId="100" fontId="15" fillId="26" borderId="14" applyNumberFormat="1" applyFont="1" applyFill="1" applyBorder="1" applyAlignment="1" applyProtection="0">
      <alignment vertical="top" wrapText="1"/>
    </xf>
    <xf numFmtId="96" fontId="15" fillId="56" borderId="14" applyNumberFormat="1" applyFont="1" applyFill="1" applyBorder="1" applyAlignment="1" applyProtection="0">
      <alignment vertical="top" wrapText="1"/>
    </xf>
    <xf numFmtId="59" fontId="15" fillId="56" borderId="14" applyNumberFormat="1" applyFont="1" applyFill="1" applyBorder="1" applyAlignment="1" applyProtection="0">
      <alignment vertical="top" wrapText="1"/>
    </xf>
    <xf numFmtId="61" fontId="39" fillId="26" borderId="14" applyNumberFormat="1" applyFont="1" applyFill="1" applyBorder="1" applyAlignment="1" applyProtection="0">
      <alignment vertical="top" wrapText="1"/>
    </xf>
    <xf numFmtId="59" fontId="39" fillId="57" borderId="14" applyNumberFormat="1" applyFont="1" applyFill="1" applyBorder="1" applyAlignment="1" applyProtection="0">
      <alignment vertical="top" wrapText="1"/>
    </xf>
    <xf numFmtId="96" fontId="15" fillId="57" borderId="14" applyNumberFormat="1" applyFont="1" applyFill="1" applyBorder="1" applyAlignment="1" applyProtection="0">
      <alignment vertical="top" wrapText="1"/>
    </xf>
    <xf numFmtId="96" fontId="39" fillId="57" borderId="14" applyNumberFormat="1" applyFont="1" applyFill="1" applyBorder="1" applyAlignment="1" applyProtection="0">
      <alignment vertical="top" wrapText="1"/>
    </xf>
    <xf numFmtId="59" fontId="15" fillId="58" borderId="14" applyNumberFormat="1" applyFont="1" applyFill="1" applyBorder="1" applyAlignment="1" applyProtection="0">
      <alignment vertical="top" wrapText="1"/>
    </xf>
    <xf numFmtId="61" fontId="39" fillId="58" borderId="14" applyNumberFormat="1" applyFont="1" applyFill="1" applyBorder="1" applyAlignment="1" applyProtection="0">
      <alignment vertical="top" wrapText="1"/>
    </xf>
    <xf numFmtId="59" fontId="39" fillId="58" borderId="14" applyNumberFormat="1" applyFont="1" applyFill="1" applyBorder="1" applyAlignment="1" applyProtection="0">
      <alignment vertical="top" wrapText="1"/>
    </xf>
    <xf numFmtId="59" fontId="15" fillId="59" borderId="14" applyNumberFormat="1" applyFont="1" applyFill="1" applyBorder="1" applyAlignment="1" applyProtection="0">
      <alignment vertical="top" wrapText="1"/>
    </xf>
    <xf numFmtId="61" fontId="39" fillId="59" borderId="14" applyNumberFormat="1" applyFont="1" applyFill="1" applyBorder="1" applyAlignment="1" applyProtection="0">
      <alignment vertical="top" wrapText="1"/>
    </xf>
    <xf numFmtId="102" fontId="39" fillId="26" borderId="14" applyNumberFormat="1" applyFont="1" applyFill="1" applyBorder="1" applyAlignment="1" applyProtection="0">
      <alignment vertical="top" wrapText="1"/>
    </xf>
    <xf numFmtId="101" fontId="15" fillId="26" borderId="14" applyNumberFormat="1" applyFont="1" applyFill="1" applyBorder="1" applyAlignment="1" applyProtection="0">
      <alignment vertical="top" wrapText="1"/>
    </xf>
    <xf numFmtId="99" fontId="15" borderId="13" applyNumberFormat="1" applyFont="1" applyFill="0" applyBorder="1" applyAlignment="1" applyProtection="0">
      <alignment vertical="top" wrapText="1"/>
    </xf>
    <xf numFmtId="96" fontId="15" borderId="14" applyNumberFormat="1" applyFont="1" applyFill="0" applyBorder="1" applyAlignment="1" applyProtection="0">
      <alignment vertical="top" wrapText="1"/>
    </xf>
    <xf numFmtId="80" fontId="16" borderId="14" applyNumberFormat="1" applyFont="1" applyFill="0" applyBorder="1" applyAlignment="1" applyProtection="0">
      <alignment vertical="top" wrapText="1"/>
    </xf>
    <xf numFmtId="67" fontId="16" borderId="14" applyNumberFormat="1" applyFont="1" applyFill="0" applyBorder="1" applyAlignment="1" applyProtection="0">
      <alignment vertical="top" wrapText="1"/>
    </xf>
    <xf numFmtId="80" fontId="43" borderId="14" applyNumberFormat="1" applyFont="1" applyFill="0" applyBorder="1" applyAlignment="1" applyProtection="0">
      <alignment vertical="top" wrapText="1"/>
    </xf>
    <xf numFmtId="60" fontId="15" borderId="14" applyNumberFormat="1" applyFont="1" applyFill="0" applyBorder="1" applyAlignment="1" applyProtection="0">
      <alignment vertical="top" wrapText="1"/>
    </xf>
    <xf numFmtId="96" fontId="24" borderId="14" applyNumberFormat="1" applyFont="1" applyFill="0" applyBorder="1" applyAlignment="1" applyProtection="0">
      <alignment vertical="top" wrapText="1"/>
    </xf>
    <xf numFmtId="65" fontId="24" borderId="14" applyNumberFormat="1" applyFont="1" applyFill="0" applyBorder="1" applyAlignment="1" applyProtection="0">
      <alignment vertical="top" wrapText="1"/>
    </xf>
    <xf numFmtId="59" fontId="39" borderId="14" applyNumberFormat="1" applyFont="1" applyFill="0" applyBorder="1" applyAlignment="1" applyProtection="0">
      <alignment vertical="top" wrapText="1"/>
    </xf>
    <xf numFmtId="80" fontId="39" borderId="14" applyNumberFormat="1" applyFont="1" applyFill="0" applyBorder="1" applyAlignment="1" applyProtection="0">
      <alignment vertical="top" wrapText="1"/>
    </xf>
    <xf numFmtId="61" fontId="24" borderId="14" applyNumberFormat="1" applyFont="1" applyFill="0" applyBorder="1" applyAlignment="1" applyProtection="0">
      <alignment vertical="top" wrapText="1"/>
    </xf>
    <xf numFmtId="61" fontId="15" borderId="14" applyNumberFormat="1" applyFont="1" applyFill="0" applyBorder="1" applyAlignment="1" applyProtection="0">
      <alignment vertical="top" wrapText="1"/>
    </xf>
    <xf numFmtId="100" fontId="15" borderId="14" applyNumberFormat="1" applyFont="1" applyFill="0" applyBorder="1" applyAlignment="1" applyProtection="0">
      <alignment vertical="top" wrapText="1"/>
    </xf>
    <xf numFmtId="96" fontId="15" fillId="52" borderId="14" applyNumberFormat="1" applyFont="1" applyFill="1" applyBorder="1" applyAlignment="1" applyProtection="0">
      <alignment vertical="top" wrapText="1"/>
    </xf>
    <xf numFmtId="59" fontId="15" fillId="52" borderId="14" applyNumberFormat="1" applyFont="1" applyFill="1" applyBorder="1" applyAlignment="1" applyProtection="0">
      <alignment vertical="top" wrapText="1"/>
    </xf>
    <xf numFmtId="61" fontId="39" borderId="14" applyNumberFormat="1" applyFont="1" applyFill="0" applyBorder="1" applyAlignment="1" applyProtection="0">
      <alignment vertical="top" wrapText="1"/>
    </xf>
    <xf numFmtId="59" fontId="39" fillId="53" borderId="14" applyNumberFormat="1" applyFont="1" applyFill="1" applyBorder="1" applyAlignment="1" applyProtection="0">
      <alignment vertical="top" wrapText="1"/>
    </xf>
    <xf numFmtId="96" fontId="15" fillId="53" borderId="14" applyNumberFormat="1" applyFont="1" applyFill="1" applyBorder="1" applyAlignment="1" applyProtection="0">
      <alignment vertical="top" wrapText="1"/>
    </xf>
    <xf numFmtId="96" fontId="39" fillId="53" borderId="14" applyNumberFormat="1" applyFont="1" applyFill="1" applyBorder="1" applyAlignment="1" applyProtection="0">
      <alignment vertical="top" wrapText="1"/>
    </xf>
    <xf numFmtId="59" fontId="15" fillId="54" borderId="14" applyNumberFormat="1" applyFont="1" applyFill="1" applyBorder="1" applyAlignment="1" applyProtection="0">
      <alignment vertical="top" wrapText="1"/>
    </xf>
    <xf numFmtId="61" fontId="39" fillId="54" borderId="14" applyNumberFormat="1" applyFont="1" applyFill="1" applyBorder="1" applyAlignment="1" applyProtection="0">
      <alignment vertical="top" wrapText="1"/>
    </xf>
    <xf numFmtId="59" fontId="39" fillId="54" borderId="14" applyNumberFormat="1" applyFont="1" applyFill="1" applyBorder="1" applyAlignment="1" applyProtection="0">
      <alignment vertical="top" wrapText="1"/>
    </xf>
    <xf numFmtId="59" fontId="15" fillId="55" borderId="14" applyNumberFormat="1" applyFont="1" applyFill="1" applyBorder="1" applyAlignment="1" applyProtection="0">
      <alignment vertical="top" wrapText="1"/>
    </xf>
    <xf numFmtId="61" fontId="39" fillId="55" borderId="14" applyNumberFormat="1" applyFont="1" applyFill="1" applyBorder="1" applyAlignment="1" applyProtection="0">
      <alignment vertical="top" wrapText="1"/>
    </xf>
    <xf numFmtId="102" fontId="39" borderId="14" applyNumberFormat="1" applyFont="1" applyFill="0" applyBorder="1" applyAlignment="1" applyProtection="0">
      <alignment vertical="top" wrapText="1"/>
    </xf>
    <xf numFmtId="101" fontId="15" borderId="14" applyNumberFormat="1" applyFont="1" applyFill="0" applyBorder="1" applyAlignment="1" applyProtection="0">
      <alignment vertical="top" wrapText="1"/>
    </xf>
    <xf numFmtId="59" fontId="15" fillId="5" borderId="14" applyNumberFormat="1" applyFont="1" applyFill="1" applyBorder="1" applyAlignment="1" applyProtection="0">
      <alignment vertical="top" wrapText="1"/>
    </xf>
    <xf numFmtId="86" fontId="24" borderId="4" applyNumberFormat="1" applyFont="1" applyFill="0" applyBorder="1" applyAlignment="1" applyProtection="0">
      <alignment vertical="top" wrapText="1"/>
    </xf>
    <xf numFmtId="98" fontId="24" borderId="4" applyNumberFormat="1" applyFont="1" applyFill="0" applyBorder="1" applyAlignment="1" applyProtection="0">
      <alignment vertical="top" wrapText="1"/>
    </xf>
    <xf numFmtId="0" fontId="24" borderId="4" applyNumberFormat="0" applyFont="1" applyFill="0" applyBorder="1" applyAlignment="1" applyProtection="0">
      <alignment horizontal="left" vertical="top" wrapText="1"/>
    </xf>
    <xf numFmtId="59" fontId="44" borderId="4" applyNumberFormat="1" applyFont="1" applyFill="0" applyBorder="1" applyAlignment="1" applyProtection="0">
      <alignment vertical="top" wrapText="1"/>
    </xf>
    <xf numFmtId="61" fontId="44" borderId="4" applyNumberFormat="1" applyFont="1" applyFill="0" applyBorder="1" applyAlignment="1" applyProtection="0">
      <alignment vertical="top" wrapText="1"/>
    </xf>
    <xf numFmtId="86" fontId="24" borderId="7" applyNumberFormat="1" applyFont="1" applyFill="0" applyBorder="1" applyAlignment="1" applyProtection="0">
      <alignment vertical="top" wrapText="1"/>
    </xf>
    <xf numFmtId="61" fontId="24" fillId="36" borderId="7" applyNumberFormat="1" applyFont="1" applyFill="1" applyBorder="1" applyAlignment="1" applyProtection="0">
      <alignment vertical="top" wrapText="1"/>
    </xf>
    <xf numFmtId="98" fontId="4" borderId="7" applyNumberFormat="1" applyFont="1" applyFill="0" applyBorder="1" applyAlignment="1" applyProtection="0">
      <alignment vertical="top" wrapText="1"/>
    </xf>
    <xf numFmtId="61" fontId="4" borderId="7" applyNumberFormat="1" applyFont="1" applyFill="0" applyBorder="1" applyAlignment="1" applyProtection="0">
      <alignment vertical="top" wrapText="1"/>
    </xf>
    <xf numFmtId="96" fontId="24" borderId="7" applyNumberFormat="1" applyFont="1" applyFill="0" applyBorder="1" applyAlignment="1" applyProtection="0">
      <alignment horizontal="left" vertical="top" wrapText="1"/>
    </xf>
    <xf numFmtId="49" fontId="24" borderId="7" applyNumberFormat="1" applyFont="1" applyFill="0" applyBorder="1" applyAlignment="1" applyProtection="0">
      <alignment vertical="top" wrapText="1"/>
    </xf>
    <xf numFmtId="97" fontId="4" borderId="7" applyNumberFormat="1" applyFont="1" applyFill="0" applyBorder="1" applyAlignment="1" applyProtection="0">
      <alignment vertical="top" wrapText="1"/>
    </xf>
    <xf numFmtId="0" fontId="24" borderId="7" applyNumberFormat="1" applyFont="1" applyFill="0" applyBorder="1" applyAlignment="1" applyProtection="0">
      <alignment vertical="bottom" wrapText="1"/>
    </xf>
    <xf numFmtId="0" fontId="24"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61" fontId="39" fillId="59" borderId="7" applyNumberFormat="1" applyFont="1" applyFill="1" applyBorder="1" applyAlignment="1" applyProtection="0">
      <alignment vertical="top" wrapText="1"/>
    </xf>
    <xf numFmtId="67" fontId="45" borderId="7" applyNumberFormat="1" applyFont="1" applyFill="0" applyBorder="1" applyAlignment="1" applyProtection="0">
      <alignment vertical="top" wrapText="1"/>
    </xf>
    <xf numFmtId="80" fontId="45" borderId="7" applyNumberFormat="1" applyFont="1" applyFill="0" applyBorder="1" applyAlignment="1" applyProtection="0">
      <alignment vertical="top" wrapText="1"/>
    </xf>
    <xf numFmtId="80" fontId="16" borderId="7" applyNumberFormat="1" applyFont="1" applyFill="0" applyBorder="1" applyAlignment="1" applyProtection="0">
      <alignment vertical="top" wrapText="1"/>
    </xf>
    <xf numFmtId="67" fontId="16" fillId="26" borderId="7" applyNumberFormat="1" applyFont="1" applyFill="1" applyBorder="1" applyAlignment="1" applyProtection="0">
      <alignment vertical="top" wrapText="1"/>
    </xf>
    <xf numFmtId="80" fontId="16" fillId="26" borderId="7" applyNumberFormat="1" applyFont="1" applyFill="1" applyBorder="1" applyAlignment="1" applyProtection="0">
      <alignment vertical="top" wrapText="1"/>
    </xf>
    <xf numFmtId="80" fontId="16" borderId="1" applyNumberFormat="1" applyFont="1" applyFill="0" applyBorder="1" applyAlignment="1" applyProtection="0">
      <alignment vertical="top" wrapText="1"/>
    </xf>
    <xf numFmtId="61" fontId="39" fillId="55" borderId="1" applyNumberFormat="1" applyFont="1" applyFill="1" applyBorder="1" applyAlignment="1" applyProtection="0">
      <alignment vertical="top" wrapText="1"/>
    </xf>
    <xf numFmtId="96" fontId="4"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67" fontId="0" borderId="3" applyNumberFormat="1" applyFont="1" applyFill="0" applyBorder="1" applyAlignment="1" applyProtection="0">
      <alignment horizontal="left" vertical="top" wrapText="1" readingOrder="1"/>
    </xf>
    <xf numFmtId="67" fontId="0" borderId="6" applyNumberFormat="1" applyFont="1" applyFill="0" applyBorder="1" applyAlignment="1" applyProtection="0">
      <alignment horizontal="left" vertical="top" wrapText="1" readingOrder="1"/>
    </xf>
    <xf numFmtId="67" fontId="47" borderId="6" applyNumberFormat="1" applyFont="1" applyFill="0" applyBorder="1" applyAlignment="1" applyProtection="0">
      <alignment vertical="top" wrapText="1"/>
    </xf>
    <xf numFmtId="67" fontId="0" fillId="5" borderId="6" applyNumberFormat="1" applyFont="1" applyFill="1" applyBorder="1" applyAlignment="1" applyProtection="0">
      <alignment horizontal="left" vertical="top" wrapText="1" readingOrder="1"/>
    </xf>
    <xf numFmtId="0" fontId="0" applyNumberFormat="1" applyFont="1" applyFill="0" applyBorder="0" applyAlignment="1" applyProtection="0">
      <alignment vertical="top" wrapText="1"/>
    </xf>
    <xf numFmtId="59" fontId="15" fillId="23" borderId="13" applyNumberFormat="1" applyFont="1" applyFill="1" applyBorder="1" applyAlignment="1" applyProtection="0">
      <alignment horizontal="left" vertical="top" wrapText="1" readingOrder="1"/>
    </xf>
    <xf numFmtId="59" fontId="15" fillId="23" borderId="3" applyNumberFormat="1" applyFont="1" applyFill="1" applyBorder="1" applyAlignment="1" applyProtection="0">
      <alignment horizontal="left" vertical="top" wrapText="1" readingOrder="1"/>
    </xf>
    <xf numFmtId="59" fontId="15" fillId="23" borderId="6" applyNumberFormat="1" applyFont="1" applyFill="1" applyBorder="1" applyAlignment="1" applyProtection="0">
      <alignment horizontal="left" vertical="top" wrapText="1" readingOrder="1"/>
    </xf>
    <xf numFmtId="75" fontId="4" fillId="45" borderId="5" applyNumberFormat="1" applyFont="1" applyFill="1" applyBorder="1" applyAlignment="1" applyProtection="0">
      <alignment horizontal="lef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72" fontId="0" borderId="6" applyNumberFormat="1" applyFont="1" applyFill="0" applyBorder="1" applyAlignment="1" applyProtection="0">
      <alignment vertical="top" wrapText="1"/>
    </xf>
    <xf numFmtId="65"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3" fontId="4" fillId="4" borderId="1" applyNumberFormat="1" applyFont="1" applyFill="1" applyBorder="1" applyAlignment="1" applyProtection="0">
      <alignment horizontal="left" vertical="top" wrapText="1" readingOrder="1"/>
    </xf>
    <xf numFmtId="100" fontId="0" borderId="4" applyNumberFormat="1" applyFont="1" applyFill="0" applyBorder="1" applyAlignment="1" applyProtection="0">
      <alignment horizontal="right" vertical="top" wrapText="1" readingOrder="1"/>
    </xf>
    <xf numFmtId="100" fontId="0" borderId="7" applyNumberFormat="1" applyFont="1" applyFill="0" applyBorder="1" applyAlignment="1" applyProtection="0">
      <alignment horizontal="right" vertical="top" wrapText="1"/>
    </xf>
    <xf numFmtId="100" fontId="0" borderId="6" applyNumberFormat="1" applyFont="1" applyFill="0" applyBorder="1" applyAlignment="1" applyProtection="0">
      <alignment horizontal="right" vertical="top" wrapText="1" readingOrder="1"/>
    </xf>
    <xf numFmtId="100" fontId="0" borderId="7" applyNumberFormat="1" applyFont="1" applyFill="0" applyBorder="1" applyAlignment="1" applyProtection="0">
      <alignment horizontal="right" vertical="top" wrapText="1" readingOrder="1"/>
    </xf>
    <xf numFmtId="101" fontId="0" borderId="7" applyNumberFormat="1" applyFont="1" applyFill="0" applyBorder="1" applyAlignment="1" applyProtection="0">
      <alignment horizontal="right" vertical="top" wrapText="1" readingOrder="1"/>
    </xf>
    <xf numFmtId="63" fontId="4" borderId="7" applyNumberFormat="1" applyFont="1" applyFill="0" applyBorder="1" applyAlignment="1" applyProtection="0">
      <alignment horizontal="left" vertical="top" wrapText="1" readingOrder="1"/>
    </xf>
    <xf numFmtId="100" fontId="0" borderId="7" applyNumberFormat="1" applyFont="1" applyFill="0" applyBorder="1" applyAlignment="1" applyProtection="0">
      <alignment vertical="top" wrapText="1"/>
    </xf>
    <xf numFmtId="103" fontId="0" borderId="7" applyNumberFormat="1" applyFont="1" applyFill="0" applyBorder="1" applyAlignment="1" applyProtection="0">
      <alignment vertical="top" wrapText="1"/>
    </xf>
    <xf numFmtId="103" fontId="0" borderId="7" applyNumberFormat="1" applyFont="1" applyFill="0" applyBorder="1" applyAlignment="1" applyProtection="0">
      <alignment horizontal="left" vertical="top" wrapText="1" readingOrder="1"/>
    </xf>
    <xf numFmtId="59" fontId="0" borderId="7" applyNumberFormat="1" applyFont="1" applyFill="0" applyBorder="1" applyAlignment="1" applyProtection="0">
      <alignment horizontal="right" vertical="top" wrapText="1" readingOrder="1"/>
    </xf>
    <xf numFmtId="100" fontId="0" borderId="1" applyNumberFormat="1" applyFont="1" applyFill="0" applyBorder="1" applyAlignment="1" applyProtection="0">
      <alignment vertical="top" wrapText="1"/>
    </xf>
    <xf numFmtId="63" fontId="4" borderId="1" applyNumberFormat="1" applyFont="1" applyFill="0" applyBorder="1" applyAlignment="1" applyProtection="0">
      <alignment horizontal="left" vertical="top" wrapText="1" readingOrder="1"/>
    </xf>
    <xf numFmtId="103" fontId="0" borderId="1" applyNumberFormat="1" applyFont="1" applyFill="0" applyBorder="1" applyAlignment="1" applyProtection="0">
      <alignment horizontal="left" vertical="top" wrapText="1" readingOrder="1"/>
    </xf>
    <xf numFmtId="103" fontId="0" borderId="4" applyNumberFormat="1" applyFont="1" applyFill="0" applyBorder="1" applyAlignment="1" applyProtection="0">
      <alignment vertical="top" wrapText="1"/>
    </xf>
    <xf numFmtId="63" fontId="4" borderId="4" applyNumberFormat="1" applyFont="1" applyFill="0" applyBorder="1" applyAlignment="1" applyProtection="0">
      <alignment horizontal="left" vertical="top" wrapText="1" readingOrder="1"/>
    </xf>
    <xf numFmtId="59" fontId="0" borderId="4" applyNumberFormat="1" applyFont="1" applyFill="0" applyBorder="1" applyAlignment="1" applyProtection="0">
      <alignment horizontal="right" vertical="top" wrapText="1" readingOrder="1"/>
    </xf>
    <xf numFmtId="0" fontId="0" applyNumberFormat="1" applyFont="1" applyFill="0" applyBorder="0" applyAlignment="1" applyProtection="0">
      <alignment vertical="top" wrapText="1"/>
    </xf>
    <xf numFmtId="3" fontId="4" fillId="4" borderId="1" applyNumberFormat="1" applyFont="1" applyFill="1" applyBorder="1" applyAlignment="1" applyProtection="0">
      <alignment horizontal="left" vertical="top" wrapText="1"/>
    </xf>
    <xf numFmtId="104" fontId="0" borderId="4" applyNumberFormat="1" applyFont="1" applyFill="0" applyBorder="1" applyAlignment="1" applyProtection="0">
      <alignment vertical="top" wrapText="1"/>
    </xf>
    <xf numFmtId="3" fontId="0" borderId="6" applyNumberFormat="1" applyFont="1" applyFill="0" applyBorder="1" applyAlignment="1" applyProtection="0">
      <alignment horizontal="left" vertical="top" wrapText="1" readingOrder="1"/>
    </xf>
    <xf numFmtId="104" fontId="0" borderId="7" applyNumberFormat="1" applyFont="1" applyFill="0" applyBorder="1" applyAlignment="1" applyProtection="0">
      <alignment vertical="top" wrapText="1"/>
    </xf>
    <xf numFmtId="104" fontId="0" borderId="7" applyNumberFormat="1" applyFont="1" applyFill="0" applyBorder="1" applyAlignment="1" applyProtection="0">
      <alignment horizontal="right" vertical="top" wrapText="1" readingOrder="1"/>
    </xf>
    <xf numFmtId="101" fontId="0" borderId="7" applyNumberFormat="1" applyFont="1" applyFill="0" applyBorder="1" applyAlignment="1" applyProtection="0">
      <alignment vertical="top" wrapText="1"/>
    </xf>
    <xf numFmtId="3" fontId="0" borderId="7" applyNumberFormat="1" applyFont="1" applyFill="0" applyBorder="1" applyAlignment="1" applyProtection="0">
      <alignment horizontal="right" vertical="top" wrapText="1" readingOrder="1"/>
    </xf>
    <xf numFmtId="104" fontId="0" borderId="1" applyNumberFormat="1" applyFont="1" applyFill="0" applyBorder="1" applyAlignment="1" applyProtection="0">
      <alignment horizontal="right" vertical="top" wrapText="1" readingOrder="1"/>
    </xf>
    <xf numFmtId="0" fontId="4" borderId="1" applyNumberFormat="0" applyFont="1" applyFill="0" applyBorder="1" applyAlignment="1" applyProtection="0">
      <alignment horizontal="left" vertical="top" wrapText="1" readingOrder="1"/>
    </xf>
    <xf numFmtId="59" fontId="0" borderId="1" applyNumberFormat="1" applyFont="1" applyFill="0" applyBorder="1" applyAlignment="1" applyProtection="0">
      <alignment horizontal="right" vertical="top" wrapText="1" readingOrder="1"/>
    </xf>
    <xf numFmtId="0" fontId="0" applyNumberFormat="1" applyFont="1" applyFill="0" applyBorder="0" applyAlignment="1" applyProtection="0">
      <alignment vertical="top" wrapText="1"/>
    </xf>
    <xf numFmtId="0" fontId="0" borderId="3" applyNumberFormat="0" applyFont="1" applyFill="0" applyBorder="1" applyAlignment="1" applyProtection="0">
      <alignment horizontal="right" vertical="top" wrapText="1"/>
    </xf>
    <xf numFmtId="0" fontId="0" borderId="4" applyNumberFormat="0" applyFont="1" applyFill="0" applyBorder="1" applyAlignment="1" applyProtection="0">
      <alignment horizontal="right" vertical="top" wrapText="1"/>
    </xf>
    <xf numFmtId="0" fontId="0" applyNumberFormat="1" applyFont="1" applyFill="0" applyBorder="0" applyAlignment="1" applyProtection="0">
      <alignment vertical="top" wrapText="1"/>
    </xf>
    <xf numFmtId="77" fontId="0" borderId="3" applyNumberFormat="1" applyFont="1" applyFill="0" applyBorder="1" applyAlignment="1" applyProtection="0">
      <alignment horizontal="right" vertical="top" wrapText="1"/>
    </xf>
    <xf numFmtId="49" fontId="0" borderId="4" applyNumberFormat="1" applyFont="1" applyFill="0" applyBorder="1" applyAlignment="1" applyProtection="0">
      <alignment horizontal="righ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borderId="3" applyNumberFormat="1" applyFont="1" applyFill="0" applyBorder="1" applyAlignment="1" applyProtection="0">
      <alignment horizontal="left" vertical="top" wrapText="1"/>
    </xf>
    <xf numFmtId="0" fontId="0" borderId="4" applyNumberFormat="1" applyFont="1" applyFill="0" applyBorder="1" applyAlignment="1" applyProtection="0">
      <alignment horizontal="left" vertical="top" wrapText="1"/>
    </xf>
    <xf numFmtId="0" fontId="0" borderId="6" applyNumberFormat="1" applyFont="1" applyFill="0" applyBorder="1" applyAlignment="1" applyProtection="0">
      <alignment horizontal="lef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fillId="60" borderId="7" applyNumberFormat="0" applyFont="1" applyFill="1" applyBorder="1" applyAlignment="1" applyProtection="0">
      <alignment horizontal="center" vertical="center" wrapText="1"/>
    </xf>
    <xf numFmtId="0" fontId="0" fillId="61" borderId="7" applyNumberFormat="0" applyFont="1" applyFill="1" applyBorder="1" applyAlignment="1" applyProtection="0">
      <alignment horizontal="center" vertical="center" wrapText="1"/>
    </xf>
    <xf numFmtId="49" fontId="0" fillId="62" borderId="7" applyNumberFormat="1" applyFont="1" applyFill="1" applyBorder="1" applyAlignment="1" applyProtection="0">
      <alignment horizontal="center" vertical="center" wrapText="1"/>
    </xf>
    <xf numFmtId="49" fontId="0" fillId="63" borderId="7" applyNumberFormat="1" applyFont="1" applyFill="1" applyBorder="1" applyAlignment="1" applyProtection="0">
      <alignment horizontal="center" vertical="center" wrapText="1"/>
    </xf>
    <xf numFmtId="49" fontId="0" fillId="64" borderId="7" applyNumberFormat="1" applyFont="1" applyFill="1" applyBorder="1" applyAlignment="1" applyProtection="0">
      <alignment horizontal="center" vertical="center" wrapText="1"/>
    </xf>
    <xf numFmtId="0" fontId="0" applyNumberFormat="1" applyFont="1" applyFill="0" applyBorder="0" applyAlignment="1" applyProtection="0">
      <alignment vertical="top" wrapText="1"/>
    </xf>
    <xf numFmtId="0" fontId="0" borderId="11" applyNumberFormat="1" applyFont="1" applyFill="0" applyBorder="1" applyAlignment="1" applyProtection="0">
      <alignment horizontal="center" vertical="top" wrapText="1"/>
    </xf>
    <xf numFmtId="0" fontId="0" borderId="1" applyNumberFormat="1" applyFont="1" applyFill="0" applyBorder="1" applyAlignment="1" applyProtection="0">
      <alignment horizontal="center" vertical="top" wrapText="1"/>
    </xf>
    <xf numFmtId="0" fontId="0" borderId="1" applyNumberFormat="0" applyFont="1" applyFill="0" applyBorder="1" applyAlignment="1" applyProtection="0">
      <alignment horizontal="center" vertical="top" wrapText="1"/>
    </xf>
    <xf numFmtId="0" fontId="4" borderId="4" applyNumberFormat="0" applyFont="1" applyFill="0" applyBorder="1" applyAlignment="1" applyProtection="0">
      <alignment horizontal="center" vertical="top" wrapText="1"/>
    </xf>
    <xf numFmtId="0" fontId="4" borderId="4" applyNumberFormat="1" applyFont="1" applyFill="0" applyBorder="1" applyAlignment="1" applyProtection="0">
      <alignment horizontal="center" vertical="top" wrapText="1"/>
    </xf>
    <xf numFmtId="0" fontId="0" applyNumberFormat="1" applyFont="1" applyFill="0" applyBorder="0" applyAlignment="1" applyProtection="0">
      <alignment vertical="top" wrapText="1"/>
    </xf>
    <xf numFmtId="0" fontId="0" applyNumberFormat="0" applyFont="1" applyFill="0" applyBorder="0" applyAlignment="1" applyProtection="0">
      <alignment horizontal="center" vertical="center"/>
    </xf>
    <xf numFmtId="49" fontId="4" fillId="4" borderId="7" applyNumberFormat="1" applyFont="1" applyFill="1" applyBorder="1" applyAlignment="1" applyProtection="0">
      <alignment horizontal="center" vertical="top" wrapText="1"/>
    </xf>
    <xf numFmtId="0" fontId="4" fillId="4" borderId="7" applyNumberFormat="0" applyFont="1" applyFill="1" applyBorder="1" applyAlignment="1" applyProtection="0">
      <alignment horizontal="center" vertical="top" wrapText="1"/>
    </xf>
    <xf numFmtId="49" fontId="4" fillId="4" borderId="1" applyNumberFormat="1" applyFont="1" applyFill="1" applyBorder="1" applyAlignment="1" applyProtection="0">
      <alignment horizontal="center" vertical="top" wrapText="1"/>
    </xf>
    <xf numFmtId="0" fontId="4" fillId="4" borderId="1" applyNumberFormat="0" applyFont="1" applyFill="1" applyBorder="1" applyAlignment="1" applyProtection="0">
      <alignment horizontal="center" vertical="top" wrapText="1"/>
    </xf>
    <xf numFmtId="77" fontId="4" fillId="5" borderId="2" applyNumberFormat="1" applyFont="1" applyFill="1" applyBorder="1" applyAlignment="1" applyProtection="0">
      <alignment vertical="top" wrapText="1"/>
    </xf>
    <xf numFmtId="0" fontId="0" borderId="3" applyNumberFormat="0" applyFont="1" applyFill="0" applyBorder="1" applyAlignment="1" applyProtection="0">
      <alignment horizontal="center" vertical="center" wrapText="1"/>
    </xf>
    <xf numFmtId="0" fontId="0" borderId="4" applyNumberFormat="0" applyFont="1" applyFill="0" applyBorder="1" applyAlignment="1" applyProtection="0">
      <alignment horizontal="center" vertical="center" wrapText="1"/>
    </xf>
    <xf numFmtId="77" fontId="48" fillId="65" borderId="4" applyNumberFormat="1" applyFont="1" applyFill="1" applyBorder="1" applyAlignment="1" applyProtection="0">
      <alignment horizontal="center" vertical="center" wrapText="1"/>
    </xf>
    <xf numFmtId="0" fontId="48" fillId="65" borderId="4" applyNumberFormat="0" applyFont="1" applyFill="1" applyBorder="1" applyAlignment="1" applyProtection="0">
      <alignment horizontal="center" vertical="center" wrapText="1"/>
    </xf>
    <xf numFmtId="77" fontId="4" fillId="5" borderId="5" applyNumberFormat="1" applyFont="1" applyFill="1" applyBorder="1" applyAlignment="1" applyProtection="0">
      <alignment vertical="top" wrapText="1"/>
    </xf>
    <xf numFmtId="0" fontId="0" borderId="6" applyNumberFormat="0" applyFont="1" applyFill="0" applyBorder="1" applyAlignment="1" applyProtection="0">
      <alignment horizontal="center" vertical="center" wrapText="1"/>
    </xf>
    <xf numFmtId="0" fontId="0" borderId="7" applyNumberFormat="0" applyFont="1" applyFill="0" applyBorder="1" applyAlignment="1" applyProtection="0">
      <alignment horizontal="center" vertical="center" wrapText="1"/>
    </xf>
    <xf numFmtId="77" fontId="48" fillId="65" borderId="7" applyNumberFormat="1" applyFont="1" applyFill="1" applyBorder="1" applyAlignment="1" applyProtection="0">
      <alignment horizontal="center" vertical="center" wrapText="1"/>
    </xf>
    <xf numFmtId="0" fontId="48" fillId="65" borderId="7" applyNumberFormat="0" applyFont="1" applyFill="1" applyBorder="1" applyAlignment="1" applyProtection="0">
      <alignment horizontal="center" vertical="center" wrapText="1"/>
    </xf>
    <xf numFmtId="0" fontId="0" fillId="62" borderId="7" applyNumberFormat="0" applyFont="1" applyFill="1" applyBorder="1" applyAlignment="1" applyProtection="0">
      <alignment horizontal="center" vertical="center" wrapText="1"/>
    </xf>
    <xf numFmtId="0" fontId="0" fillId="66" borderId="7" applyNumberFormat="1" applyFont="1" applyFill="1" applyBorder="1" applyAlignment="1" applyProtection="0">
      <alignment horizontal="center" vertical="center" wrapText="1"/>
    </xf>
    <xf numFmtId="0" fontId="0" applyNumberFormat="1" applyFont="1" applyFill="0" applyBorder="0" applyAlignment="1" applyProtection="0">
      <alignment vertical="top" wrapText="1"/>
    </xf>
    <xf numFmtId="1"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105" fontId="0" borderId="3" applyNumberFormat="1" applyFont="1" applyFill="0" applyBorder="1" applyAlignment="1" applyProtection="0">
      <alignment horizontal="left" vertical="top" wrapText="1"/>
    </xf>
    <xf numFmtId="69" fontId="0" borderId="4" applyNumberFormat="1" applyFont="1" applyFill="0" applyBorder="1" applyAlignment="1" applyProtection="0">
      <alignment vertical="top" wrapText="1"/>
    </xf>
    <xf numFmtId="105" fontId="0" borderId="6" applyNumberFormat="1" applyFont="1" applyFill="0" applyBorder="1" applyAlignment="1" applyProtection="0">
      <alignment horizontal="left" vertical="top" wrapText="1"/>
    </xf>
    <xf numFmtId="0" fontId="0" applyNumberFormat="1" applyFont="1" applyFill="0" applyBorder="0" applyAlignment="1" applyProtection="0">
      <alignment vertical="top" wrapText="1"/>
    </xf>
    <xf numFmtId="69" fontId="0" borderId="1" applyNumberFormat="1" applyFont="1" applyFill="0" applyBorder="1" applyAlignment="1" applyProtection="0">
      <alignment vertical="top" wrapText="1"/>
    </xf>
    <xf numFmtId="69" fontId="4" borderId="4" applyNumberFormat="1" applyFont="1" applyFill="0" applyBorder="1" applyAlignment="1" applyProtection="0">
      <alignment vertical="top" wrapText="1"/>
    </xf>
    <xf numFmtId="1" fontId="4" borderId="4" applyNumberFormat="1" applyFont="1" applyFill="0" applyBorder="1" applyAlignment="1" applyProtection="0">
      <alignment vertical="top" wrapText="1"/>
    </xf>
    <xf numFmtId="1" fontId="49" borderId="7" applyNumberFormat="1" applyFont="1" applyFill="0" applyBorder="1" applyAlignment="1" applyProtection="0">
      <alignment vertical="top" wrapText="1"/>
    </xf>
    <xf numFmtId="9" fontId="4" borderId="7" applyNumberFormat="1" applyFont="1" applyFill="0" applyBorder="1" applyAlignment="1" applyProtection="0">
      <alignment horizontal="right" vertical="top" wrapText="1"/>
    </xf>
    <xf numFmtId="1" fontId="4"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1" fontId="4" fillId="4" borderId="1" applyNumberFormat="1" applyFont="1" applyFill="1" applyBorder="1" applyAlignment="1" applyProtection="0">
      <alignment vertical="top" wrapText="1"/>
    </xf>
    <xf numFmtId="1" fontId="50" borderId="4" applyNumberFormat="1" applyFont="1" applyFill="0" applyBorder="1" applyAlignment="1" applyProtection="0">
      <alignment vertical="top" wrapText="1"/>
    </xf>
    <xf numFmtId="1" fontId="0" borderId="4" applyNumberFormat="1" applyFont="1" applyFill="0" applyBorder="1" applyAlignment="1" applyProtection="0">
      <alignment vertical="top" wrapText="1"/>
    </xf>
    <xf numFmtId="1" fontId="50" borderId="7" applyNumberFormat="1" applyFont="1" applyFill="0" applyBorder="1" applyAlignment="1" applyProtection="0">
      <alignment vertical="top" wrapText="1"/>
    </xf>
    <xf numFmtId="1" fontId="51" borderId="7" applyNumberFormat="1" applyFont="1" applyFill="0" applyBorder="1" applyAlignment="1" applyProtection="0">
      <alignment vertical="top" wrapText="1"/>
    </xf>
    <xf numFmtId="1" fontId="50" borderId="1" applyNumberFormat="1" applyFont="1" applyFill="0" applyBorder="1" applyAlignment="1" applyProtection="0">
      <alignment vertical="top" wrapText="1"/>
    </xf>
    <xf numFmtId="1" fontId="0" borderId="1" applyNumberFormat="1" applyFont="1" applyFill="0" applyBorder="1" applyAlignment="1" applyProtection="0">
      <alignment vertical="top" wrapText="1"/>
    </xf>
    <xf numFmtId="1" fontId="4" fillId="67" borderId="7" applyNumberFormat="1" applyFont="1" applyFill="1" applyBorder="1" applyAlignment="1" applyProtection="0">
      <alignment vertical="top" wrapText="1"/>
    </xf>
    <xf numFmtId="9" fontId="52" borderId="7" applyNumberFormat="1" applyFont="1" applyFill="0" applyBorder="1" applyAlignment="1" applyProtection="0">
      <alignment vertical="top" wrapText="1"/>
    </xf>
    <xf numFmtId="1" fontId="53" borderId="7" applyNumberFormat="1" applyFont="1" applyFill="0" applyBorder="1" applyAlignment="1" applyProtection="0">
      <alignment vertical="top" wrapText="1"/>
    </xf>
    <xf numFmtId="9" fontId="4" fillId="67"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77" fontId="4" fillId="5" borderId="12" applyNumberFormat="1" applyFont="1" applyFill="1" applyBorder="1" applyAlignment="1" applyProtection="0">
      <alignment vertical="top" wrapText="1"/>
    </xf>
    <xf numFmtId="0" fontId="0" borderId="13" applyNumberFormat="1" applyFont="1" applyFill="0" applyBorder="1" applyAlignment="1" applyProtection="0">
      <alignment vertical="top" wrapText="1"/>
    </xf>
    <xf numFmtId="69" fontId="54" borderId="14" applyNumberFormat="1" applyFont="1" applyFill="0" applyBorder="1" applyAlignment="1" applyProtection="0">
      <alignment vertical="top" wrapText="1"/>
    </xf>
    <xf numFmtId="77" fontId="4" fillId="68" borderId="12" applyNumberFormat="1" applyFont="1" applyFill="1" applyBorder="1" applyAlignment="1" applyProtection="0">
      <alignment vertical="top" wrapText="1"/>
    </xf>
    <xf numFmtId="0" fontId="54" borderId="14" applyNumberFormat="0" applyFont="1" applyFill="0" applyBorder="1" applyAlignment="1" applyProtection="0">
      <alignment vertical="top" wrapText="1"/>
    </xf>
    <xf numFmtId="69" fontId="0" borderId="14" applyNumberFormat="1" applyFont="1" applyFill="0" applyBorder="1" applyAlignment="1" applyProtection="0">
      <alignment vertical="top" wrapText="1"/>
    </xf>
    <xf numFmtId="69" fontId="55" borderId="14" applyNumberFormat="1" applyFont="1" applyFill="0" applyBorder="1" applyAlignment="1" applyProtection="0">
      <alignment vertical="top" wrapText="1"/>
    </xf>
    <xf numFmtId="1" fontId="54" borderId="14" applyNumberFormat="1" applyFont="1" applyFill="0" applyBorder="1" applyAlignment="1" applyProtection="0">
      <alignment vertical="top" wrapText="1"/>
    </xf>
    <xf numFmtId="1" fontId="55" borderId="14" applyNumberFormat="1" applyFont="1" applyFill="0" applyBorder="1" applyAlignment="1" applyProtection="0">
      <alignment vertical="top" wrapText="1"/>
    </xf>
    <xf numFmtId="0" fontId="55" borderId="14" applyNumberFormat="0" applyFont="1" applyFill="0" applyBorder="1" applyAlignment="1" applyProtection="0">
      <alignment vertical="top" wrapText="1"/>
    </xf>
    <xf numFmtId="49" fontId="54" borderId="14" applyNumberFormat="1" applyFont="1" applyFill="0" applyBorder="1" applyAlignment="1" applyProtection="0">
      <alignment vertical="top" wrapText="1"/>
    </xf>
    <xf numFmtId="49" fontId="55" borderId="14" applyNumberFormat="1" applyFont="1" applyFill="0" applyBorder="1" applyAlignment="1" applyProtection="0">
      <alignment vertical="top" wrapText="1"/>
    </xf>
    <xf numFmtId="69" fontId="54" borderId="4" applyNumberFormat="1" applyFont="1" applyFill="0" applyBorder="1" applyAlignment="1" applyProtection="0">
      <alignment vertical="top" wrapText="1"/>
    </xf>
    <xf numFmtId="0" fontId="54" borderId="4" applyNumberFormat="0" applyFont="1" applyFill="0" applyBorder="1" applyAlignment="1" applyProtection="0">
      <alignment vertical="top" wrapText="1"/>
    </xf>
    <xf numFmtId="0" fontId="55" borderId="4" applyNumberFormat="0" applyFont="1" applyFill="0" applyBorder="1" applyAlignment="1" applyProtection="0">
      <alignment vertical="top" wrapText="1"/>
    </xf>
    <xf numFmtId="69" fontId="54" borderId="7" applyNumberFormat="1" applyFont="1" applyFill="0" applyBorder="1" applyAlignment="1" applyProtection="0">
      <alignment vertical="top" wrapText="1"/>
    </xf>
    <xf numFmtId="0" fontId="54" borderId="7" applyNumberFormat="0" applyFont="1" applyFill="0" applyBorder="1" applyAlignment="1" applyProtection="0">
      <alignment vertical="top" wrapText="1"/>
    </xf>
    <xf numFmtId="0" fontId="55"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78" fontId="4" fillId="5" borderId="12" applyNumberFormat="1" applyFont="1" applyFill="1" applyBorder="1" applyAlignment="1" applyProtection="0">
      <alignment vertical="top" wrapText="1"/>
    </xf>
    <xf numFmtId="69" fontId="0" borderId="13" applyNumberFormat="1" applyFont="1" applyFill="0" applyBorder="1" applyAlignment="1" applyProtection="0">
      <alignment vertical="top" wrapText="1"/>
    </xf>
    <xf numFmtId="69" fontId="0" borderId="3" applyNumberFormat="1" applyFont="1" applyFill="0" applyBorder="1" applyAlignment="1" applyProtection="0">
      <alignment vertical="top" wrapText="1"/>
    </xf>
    <xf numFmtId="49" fontId="56" borderId="4" applyNumberFormat="1" applyFont="1" applyFill="0" applyBorder="1" applyAlignment="1" applyProtection="0">
      <alignment vertical="top" wrapText="1"/>
    </xf>
    <xf numFmtId="69" fontId="0" borderId="6" applyNumberFormat="1" applyFont="1" applyFill="0" applyBorder="1" applyAlignment="1" applyProtection="0">
      <alignment vertical="top" wrapText="1"/>
    </xf>
    <xf numFmtId="49" fontId="56" borderId="7" applyNumberFormat="1" applyFont="1" applyFill="0" applyBorder="1" applyAlignment="1" applyProtection="0">
      <alignment vertical="top" wrapText="1"/>
    </xf>
    <xf numFmtId="0" fontId="56" borderId="7" applyNumberFormat="0" applyFont="1" applyFill="0" applyBorder="1" applyAlignment="1" applyProtection="0">
      <alignment vertical="top" wrapText="1"/>
    </xf>
    <xf numFmtId="78" fontId="4" fillId="5" borderId="10" applyNumberFormat="1" applyFont="1" applyFill="1" applyBorder="1" applyAlignment="1" applyProtection="0">
      <alignment vertical="top" wrapText="1"/>
    </xf>
    <xf numFmtId="69" fontId="0" borderId="11" applyNumberFormat="1" applyFont="1" applyFill="0" applyBorder="1" applyAlignment="1" applyProtection="0">
      <alignment vertical="top" wrapText="1"/>
    </xf>
    <xf numFmtId="0" fontId="56" borderId="1" applyNumberFormat="0" applyFont="1" applyFill="0" applyBorder="1" applyAlignment="1" applyProtection="0">
      <alignment vertical="top" wrapText="1"/>
    </xf>
    <xf numFmtId="69" fontId="54" borderId="1" applyNumberFormat="1" applyFont="1" applyFill="0" applyBorder="1" applyAlignment="1" applyProtection="0">
      <alignment vertical="top" wrapText="1"/>
    </xf>
    <xf numFmtId="0" fontId="4"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65" fontId="0" borderId="4" applyNumberFormat="1" applyFont="1" applyFill="0" applyBorder="1" applyAlignment="1" applyProtection="0">
      <alignment vertical="top" wrapText="1"/>
    </xf>
    <xf numFmtId="2" fontId="0" borderId="7" applyNumberFormat="1" applyFont="1" applyFill="0" applyBorder="1" applyAlignment="1" applyProtection="0">
      <alignment vertical="top" wrapText="1"/>
    </xf>
    <xf numFmtId="9" fontId="0" fillId="69" borderId="7" applyNumberFormat="1" applyFont="1" applyFill="1" applyBorder="1" applyAlignment="1" applyProtection="0">
      <alignment vertical="top" wrapText="1"/>
    </xf>
    <xf numFmtId="69" fontId="0" fillId="69" borderId="7" applyNumberFormat="1" applyFont="1" applyFill="1" applyBorder="1" applyAlignment="1" applyProtection="0">
      <alignment vertical="top" wrapText="1"/>
    </xf>
    <xf numFmtId="69" fontId="4" fillId="69" borderId="7" applyNumberFormat="1" applyFont="1" applyFill="1" applyBorder="1" applyAlignment="1" applyProtection="0">
      <alignment vertical="top" wrapText="1"/>
    </xf>
    <xf numFmtId="65" fontId="0" fillId="69"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4" fillId="5" borderId="2" applyNumberFormat="1" applyFont="1" applyFill="1" applyBorder="1" applyAlignment="1" applyProtection="0">
      <alignment horizontal="center" vertical="top" wrapText="1"/>
    </xf>
    <xf numFmtId="77" fontId="57" borderId="3" applyNumberFormat="1" applyFont="1" applyFill="0" applyBorder="1" applyAlignment="1" applyProtection="0">
      <alignment vertical="top" wrapText="1"/>
    </xf>
    <xf numFmtId="77" fontId="0" borderId="4" applyNumberFormat="1" applyFont="1" applyFill="0" applyBorder="1" applyAlignment="1" applyProtection="0">
      <alignment vertical="top" wrapText="1"/>
    </xf>
    <xf numFmtId="49" fontId="4" fillId="5" borderId="5" applyNumberFormat="1" applyFont="1" applyFill="1" applyBorder="1" applyAlignment="1" applyProtection="0">
      <alignment horizontal="center" vertical="top" wrapText="1"/>
    </xf>
    <xf numFmtId="77" fontId="57" borderId="6" applyNumberFormat="1" applyFont="1" applyFill="0" applyBorder="1" applyAlignment="1" applyProtection="0">
      <alignment vertical="top" wrapText="1"/>
    </xf>
    <xf numFmtId="77" fontId="0" borderId="7" applyNumberFormat="1" applyFont="1" applyFill="0" applyBorder="1" applyAlignment="1" applyProtection="0">
      <alignment vertical="top" wrapText="1"/>
    </xf>
    <xf numFmtId="49" fontId="4" fillId="5" borderId="10" applyNumberFormat="1" applyFont="1" applyFill="1" applyBorder="1" applyAlignment="1" applyProtection="0">
      <alignment horizontal="center" vertical="top" wrapText="1"/>
    </xf>
    <xf numFmtId="77" fontId="57" borderId="11" applyNumberFormat="1" applyFont="1" applyFill="0" applyBorder="1" applyAlignment="1" applyProtection="0">
      <alignment vertical="top" wrapText="1"/>
    </xf>
    <xf numFmtId="77" fontId="0" borderId="1" applyNumberFormat="1" applyFont="1" applyFill="0" applyBorder="1" applyAlignment="1" applyProtection="0">
      <alignment vertical="top" wrapText="1"/>
    </xf>
    <xf numFmtId="77" fontId="4" borderId="4" applyNumberFormat="1" applyFont="1" applyFill="0" applyBorder="1" applyAlignment="1" applyProtection="0">
      <alignment vertical="top" wrapText="1"/>
    </xf>
    <xf numFmtId="0" fontId="4" fillId="70" borderId="4" applyNumberFormat="0" applyFont="1" applyFill="1" applyBorder="1" applyAlignment="1" applyProtection="0">
      <alignment vertical="top" wrapText="1"/>
    </xf>
    <xf numFmtId="106" fontId="4"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77" fontId="4" fillId="5" borderId="4" applyNumberFormat="1" applyFont="1" applyFill="1" applyBorder="1" applyAlignment="1" applyProtection="0">
      <alignment vertical="top" wrapText="1"/>
    </xf>
    <xf numFmtId="0" fontId="0" fillId="71" borderId="4" applyNumberFormat="0" applyFont="1" applyFill="1" applyBorder="1" applyAlignment="1" applyProtection="0">
      <alignment vertical="top" wrapText="1"/>
    </xf>
    <xf numFmtId="0" fontId="0" fillId="70" borderId="4" applyNumberFormat="0" applyFont="1" applyFill="1" applyBorder="1" applyAlignment="1" applyProtection="0">
      <alignment vertical="top" wrapText="1"/>
    </xf>
    <xf numFmtId="0" fontId="4" fillId="5" borderId="5" applyNumberFormat="1" applyFont="1" applyFill="1" applyBorder="1" applyAlignment="1" applyProtection="0">
      <alignment vertical="top" wrapText="1"/>
    </xf>
    <xf numFmtId="0" fontId="0" fillId="70" borderId="6" applyNumberFormat="0" applyFont="1" applyFill="1" applyBorder="1" applyAlignment="1" applyProtection="0">
      <alignment vertical="top" wrapText="1"/>
    </xf>
    <xf numFmtId="0" fontId="0" fillId="70" borderId="7" applyNumberFormat="0" applyFont="1" applyFill="1" applyBorder="1" applyAlignment="1" applyProtection="0">
      <alignment vertical="top" wrapText="1"/>
    </xf>
    <xf numFmtId="0" fontId="0" fillId="72" borderId="7" applyNumberFormat="0" applyFont="1" applyFill="1" applyBorder="1" applyAlignment="1" applyProtection="0">
      <alignment vertical="top" wrapText="1"/>
    </xf>
    <xf numFmtId="0" fontId="0" fillId="72" borderId="6" applyNumberFormat="0" applyFont="1" applyFill="1" applyBorder="1" applyAlignment="1" applyProtection="0">
      <alignment vertical="top" wrapText="1"/>
    </xf>
    <xf numFmtId="0" fontId="0" fillId="73" borderId="7"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fillId="71" borderId="4" applyNumberFormat="0" applyFont="1" applyFill="1" applyBorder="1" applyAlignment="1" applyProtection="0">
      <alignment horizontal="center" vertical="center" wrapText="1"/>
    </xf>
    <xf numFmtId="0" fontId="0" fillId="70" borderId="6" applyNumberFormat="0" applyFont="1" applyFill="1" applyBorder="1" applyAlignment="1" applyProtection="0">
      <alignment horizontal="center" vertical="center" wrapText="1"/>
    </xf>
    <xf numFmtId="0" fontId="0" fillId="70" borderId="7" applyNumberFormat="0" applyFont="1" applyFill="1" applyBorder="1" applyAlignment="1" applyProtection="0">
      <alignment horizontal="center" vertical="center" wrapText="1"/>
    </xf>
    <xf numFmtId="49" fontId="0" fillId="70" borderId="7" applyNumberFormat="1" applyFont="1" applyFill="1" applyBorder="1" applyAlignment="1" applyProtection="0">
      <alignment horizontal="center" vertical="center" wrapText="1"/>
    </xf>
    <xf numFmtId="49" fontId="0" fillId="72" borderId="6" applyNumberFormat="1" applyFont="1" applyFill="1" applyBorder="1" applyAlignment="1" applyProtection="0">
      <alignment horizontal="center" vertical="top" wrapText="1"/>
    </xf>
    <xf numFmtId="0" fontId="0" fillId="72" borderId="7" applyNumberFormat="0" applyFont="1" applyFill="1" applyBorder="1" applyAlignment="1" applyProtection="0">
      <alignment horizontal="center" vertical="top" wrapText="1"/>
    </xf>
    <xf numFmtId="49" fontId="0" fillId="72" borderId="7" applyNumberFormat="1" applyFont="1" applyFill="1" applyBorder="1" applyAlignment="1" applyProtection="0">
      <alignment horizontal="center" vertical="top" wrapText="1"/>
    </xf>
    <xf numFmtId="0" fontId="0" fillId="72" borderId="6" applyNumberFormat="0" applyFont="1" applyFill="1" applyBorder="1" applyAlignment="1" applyProtection="0">
      <alignment horizontal="center" vertical="top" wrapText="1"/>
    </xf>
    <xf numFmtId="49" fontId="0" fillId="72" borderId="7" applyNumberFormat="1" applyFont="1" applyFill="1" applyBorder="1" applyAlignment="1" applyProtection="0">
      <alignment horizontal="center"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107"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0" borderId="3" applyNumberFormat="1" applyFont="1" applyFill="0" applyBorder="1" applyAlignment="1" applyProtection="0">
      <alignment vertical="top" wrapText="1"/>
    </xf>
    <xf numFmtId="108" fontId="0" borderId="4" applyNumberFormat="1" applyFont="1" applyFill="0" applyBorder="1" applyAlignment="1" applyProtection="0">
      <alignment vertical="top" wrapText="1"/>
    </xf>
    <xf numFmtId="105" fontId="0" borderId="4" applyNumberFormat="1" applyFont="1" applyFill="0" applyBorder="1" applyAlignment="1" applyProtection="0">
      <alignment horizontal="right" vertical="top" wrapText="1"/>
    </xf>
    <xf numFmtId="105" fontId="0" borderId="4" applyNumberFormat="1" applyFont="1" applyFill="0" applyBorder="1" applyAlignment="1" applyProtection="0">
      <alignment vertical="top" wrapText="1"/>
    </xf>
    <xf numFmtId="109" fontId="0" borderId="4" applyNumberFormat="1" applyFont="1" applyFill="0" applyBorder="1" applyAlignment="1" applyProtection="0">
      <alignment vertical="top" wrapText="1"/>
    </xf>
    <xf numFmtId="108" fontId="0" borderId="7" applyNumberFormat="1" applyFont="1" applyFill="0" applyBorder="1" applyAlignment="1" applyProtection="0">
      <alignment vertical="top" wrapText="1"/>
    </xf>
    <xf numFmtId="105" fontId="0" borderId="7" applyNumberFormat="1" applyFont="1" applyFill="0" applyBorder="1" applyAlignment="1" applyProtection="0">
      <alignment horizontal="right" vertical="top" wrapText="1"/>
    </xf>
    <xf numFmtId="110" fontId="0" borderId="7" applyNumberFormat="1" applyFont="1" applyFill="0" applyBorder="1" applyAlignment="1" applyProtection="0">
      <alignment vertical="top" wrapText="1"/>
    </xf>
    <xf numFmtId="105" fontId="0" borderId="7" applyNumberFormat="1" applyFont="1" applyFill="0" applyBorder="1" applyAlignment="1" applyProtection="0">
      <alignment vertical="top" wrapText="1"/>
    </xf>
    <xf numFmtId="109" fontId="0" borderId="7" applyNumberFormat="1" applyFont="1" applyFill="0" applyBorder="1" applyAlignment="1" applyProtection="0">
      <alignment vertical="top" wrapText="1"/>
    </xf>
    <xf numFmtId="0" fontId="4" fillId="5" borderId="5" applyNumberFormat="1" applyFont="1" applyFill="1" applyBorder="1" applyAlignment="1" applyProtection="0">
      <alignment horizontal="right" vertical="top" wrapText="1"/>
    </xf>
    <xf numFmtId="0" fontId="4" fillId="5" borderId="10" applyNumberFormat="0" applyFont="1" applyFill="1" applyBorder="1" applyAlignment="1" applyProtection="0">
      <alignment horizontal="right" vertical="top" wrapText="1"/>
    </xf>
    <xf numFmtId="105" fontId="0" borderId="1" applyNumberFormat="1" applyFont="1" applyFill="0" applyBorder="1" applyAlignment="1" applyProtection="0">
      <alignment horizontal="right" vertical="top" wrapText="1"/>
    </xf>
    <xf numFmtId="105" fontId="4"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borderId="4" applyNumberFormat="0" applyFont="1" applyFill="0" applyBorder="1" applyAlignment="1" applyProtection="0">
      <alignment horizontal="center" vertical="top" wrapText="1"/>
    </xf>
    <xf numFmtId="0" fontId="0" borderId="7" applyNumberFormat="0" applyFont="1" applyFill="0" applyBorder="1" applyAlignment="1" applyProtection="0">
      <alignment horizontal="center" vertical="top" wrapText="1"/>
    </xf>
    <xf numFmtId="77" fontId="4" fillId="74" borderId="7" applyNumberFormat="1" applyFont="1" applyFill="1" applyBorder="1" applyAlignment="1" applyProtection="0">
      <alignment vertical="top" wrapText="1"/>
    </xf>
    <xf numFmtId="0" fontId="4" fillId="74" borderId="5" applyNumberFormat="1" applyFont="1" applyFill="1" applyBorder="1" applyAlignment="1" applyProtection="0">
      <alignment vertical="top" wrapText="1"/>
    </xf>
    <xf numFmtId="0" fontId="0" fillId="71" borderId="7" applyNumberFormat="0" applyFont="1" applyFill="1" applyBorder="1" applyAlignment="1" applyProtection="0">
      <alignment horizontal="center" vertical="center" wrapText="1"/>
    </xf>
    <xf numFmtId="0" fontId="0" fillId="71" borderId="6" applyNumberFormat="0" applyFont="1" applyFill="1" applyBorder="1" applyAlignment="1" applyProtection="0">
      <alignment horizontal="center" vertical="center" wrapText="1"/>
    </xf>
    <xf numFmtId="49" fontId="0" borderId="7" applyNumberFormat="1" applyFont="1" applyFill="0" applyBorder="1" applyAlignment="1" applyProtection="0">
      <alignment horizontal="center" vertical="top" wrapText="1"/>
    </xf>
    <xf numFmtId="0" fontId="0" borderId="6" applyNumberFormat="0" applyFont="1" applyFill="0" applyBorder="1" applyAlignment="1" applyProtection="0">
      <alignment horizontal="center"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2" fontId="0"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0" fillId="5" borderId="5" applyNumberFormat="1" applyFont="1" applyFill="1" applyBorder="1" applyAlignment="1" applyProtection="0">
      <alignment vertical="top" wrapText="1"/>
    </xf>
    <xf numFmtId="0" fontId="0" fillId="75" borderId="7" applyNumberFormat="1" applyFont="1" applyFill="1" applyBorder="1" applyAlignment="1" applyProtection="0">
      <alignment vertical="top" wrapText="1"/>
    </xf>
    <xf numFmtId="0" fontId="0" fillId="5" borderId="5" applyNumberFormat="0" applyFont="1" applyFill="1" applyBorder="1" applyAlignment="1" applyProtection="0">
      <alignment vertical="top" wrapText="1"/>
    </xf>
    <xf numFmtId="0" fontId="0" fillId="75" borderId="7" applyNumberFormat="0" applyFont="1" applyFill="1" applyBorder="1" applyAlignment="1" applyProtection="0">
      <alignment vertical="top" wrapText="1"/>
    </xf>
    <xf numFmtId="107"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0" borderId="3" applyNumberFormat="1" applyFont="1" applyFill="0" applyBorder="1" applyAlignment="1" applyProtection="0">
      <alignment horizontal="righ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4" fillId="5" borderId="2" applyNumberFormat="1" applyFont="1" applyFill="1" applyBorder="1" applyAlignment="1" applyProtection="0">
      <alignment vertical="top" wrapText="1"/>
    </xf>
    <xf numFmtId="59" fontId="0" fillId="76" borderId="4"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3" fontId="4" fillId="5" borderId="2" applyNumberFormat="1" applyFont="1" applyFill="1" applyBorder="1" applyAlignment="1" applyProtection="0">
      <alignment vertical="top" wrapText="1"/>
    </xf>
    <xf numFmtId="3" fontId="4" fillId="5" borderId="5" applyNumberFormat="1" applyFont="1" applyFill="1" applyBorder="1" applyAlignment="1" applyProtection="0">
      <alignment vertical="top" wrapText="1"/>
    </xf>
    <xf numFmtId="0" fontId="0" applyNumberFormat="1" applyFont="1" applyFill="0" applyBorder="0" applyAlignment="1" applyProtection="0">
      <alignment vertical="top" wrapText="1"/>
    </xf>
    <xf numFmtId="3" fontId="4"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fillId="77" borderId="6" applyNumberFormat="0" applyFont="1" applyFill="1" applyBorder="1" applyAlignment="1" applyProtection="0">
      <alignment vertical="top" wrapText="1"/>
    </xf>
    <xf numFmtId="0" fontId="0" fillId="77" borderId="7" applyNumberFormat="0" applyFont="1" applyFill="1" applyBorder="1" applyAlignment="1" applyProtection="0">
      <alignment vertical="top" wrapText="1"/>
    </xf>
    <xf numFmtId="2" fontId="0" fillId="77" borderId="7" applyNumberFormat="1" applyFont="1" applyFill="1" applyBorder="1" applyAlignment="1" applyProtection="0">
      <alignment vertical="top" wrapText="1"/>
    </xf>
    <xf numFmtId="59" fontId="0" fillId="77" borderId="7" applyNumberFormat="1" applyFont="1" applyFill="1" applyBorder="1" applyAlignment="1" applyProtection="0">
      <alignment vertical="top" wrapText="1"/>
    </xf>
    <xf numFmtId="111" fontId="4" fillId="5" borderId="5" applyNumberFormat="1" applyFont="1" applyFill="1" applyBorder="1" applyAlignment="1" applyProtection="0">
      <alignment vertical="top" wrapText="1"/>
    </xf>
    <xf numFmtId="111" fontId="4" fillId="5" borderId="10" applyNumberFormat="1" applyFont="1" applyFill="1" applyBorder="1" applyAlignment="1" applyProtection="0">
      <alignment vertical="top" wrapText="1"/>
    </xf>
    <xf numFmtId="3" fontId="0" borderId="11" applyNumberFormat="1" applyFont="1" applyFill="0" applyBorder="1" applyAlignment="1" applyProtection="0">
      <alignment vertical="top" wrapText="1"/>
    </xf>
    <xf numFmtId="2" fontId="0" borderId="1" applyNumberFormat="1" applyFont="1" applyFill="0" applyBorder="1" applyAlignment="1" applyProtection="0">
      <alignment vertical="top" wrapText="1"/>
    </xf>
    <xf numFmtId="3" fontId="0" borderId="1" applyNumberFormat="1" applyFont="1" applyFill="0" applyBorder="1" applyAlignment="1" applyProtection="0">
      <alignment vertical="top" wrapText="1"/>
    </xf>
    <xf numFmtId="2" fontId="4"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112" fontId="0" borderId="6" applyNumberFormat="1" applyFont="1" applyFill="0" applyBorder="1" applyAlignment="1" applyProtection="0">
      <alignment vertical="top" wrapText="1"/>
    </xf>
    <xf numFmtId="112" fontId="0" borderId="7" applyNumberFormat="1" applyFont="1" applyFill="0" applyBorder="1" applyAlignment="1" applyProtection="0">
      <alignment vertical="top" wrapText="1"/>
    </xf>
  </cellXfs>
  <cellStyles count="1">
    <cellStyle name="Normal" xfId="0" builtinId="0"/>
  </cellStyles>
  <dxfs count="31">
    <dxf>
      <font>
        <b val="1"/>
        <color rgb="ffffffff"/>
      </font>
    </dxf>
    <dxf>
      <font>
        <b val="1"/>
        <color rgb="ffffffff"/>
      </font>
      <fill>
        <patternFill patternType="solid">
          <fgColor indexed="22"/>
          <bgColor indexed="23"/>
        </patternFill>
      </fill>
    </dxf>
    <dxf>
      <font>
        <color rgb="ff000000"/>
      </font>
      <fill>
        <patternFill patternType="solid">
          <fgColor indexed="22"/>
          <bgColor indexed="29"/>
        </patternFill>
      </fill>
    </dxf>
    <dxf>
      <font>
        <color rgb="ff000000"/>
      </font>
      <fill>
        <patternFill patternType="solid">
          <fgColor indexed="22"/>
          <bgColor indexed="31"/>
        </patternFill>
      </fill>
    </dxf>
    <dxf>
      <font>
        <color rgb="ff000000"/>
      </font>
      <fill>
        <patternFill patternType="solid">
          <fgColor indexed="22"/>
          <bgColor indexed="32"/>
        </patternFill>
      </fill>
    </dxf>
    <dxf>
      <font>
        <b val="1"/>
        <color rgb="ffffffff"/>
      </font>
    </dxf>
    <dxf>
      <font>
        <b val="1"/>
        <color rgb="ff000000"/>
      </font>
    </dxf>
    <dxf>
      <font>
        <color rgb="ff000000"/>
      </font>
      <fill>
        <patternFill patternType="solid">
          <fgColor indexed="22"/>
          <bgColor indexed="48"/>
        </patternFill>
      </fill>
    </dxf>
    <dxf>
      <font>
        <b val="1"/>
        <color rgb="ffffffff"/>
      </font>
    </dxf>
    <dxf>
      <font>
        <b val="1"/>
        <color rgb="ffffffff"/>
      </font>
    </dxf>
    <dxf>
      <font>
        <b val="1"/>
        <color rgb="ffffffff"/>
      </font>
    </dxf>
    <dxf>
      <font>
        <color rgb="ffffffff"/>
      </font>
    </dxf>
    <dxf>
      <font>
        <color rgb="ff000000"/>
      </font>
      <fill>
        <patternFill patternType="solid">
          <fgColor indexed="22"/>
          <bgColor rgb="6aafe489"/>
        </patternFill>
      </fill>
    </dxf>
    <dxf>
      <font>
        <color rgb="ff000000"/>
      </font>
      <fill>
        <patternFill patternType="solid">
          <fgColor indexed="22"/>
          <bgColor rgb="2fff9781"/>
        </patternFill>
      </fill>
    </dxf>
    <dxf>
      <font>
        <color rgb="ff000000"/>
      </font>
      <fill>
        <patternFill patternType="solid">
          <fgColor indexed="22"/>
          <bgColor rgb="6aafe489"/>
        </patternFill>
      </fill>
    </dxf>
    <dxf>
      <font>
        <color rgb="ff000000"/>
      </font>
      <fill>
        <patternFill patternType="solid">
          <fgColor indexed="22"/>
          <bgColor rgb="2fff9781"/>
        </patternFill>
      </fill>
    </dxf>
    <dxf>
      <font>
        <color rgb="ffffffff"/>
      </font>
    </dxf>
    <dxf>
      <font>
        <color rgb="ff000000"/>
      </font>
      <fill>
        <patternFill patternType="solid">
          <fgColor indexed="22"/>
          <bgColor rgb="6aafe489"/>
        </patternFill>
      </fill>
    </dxf>
    <dxf>
      <font>
        <color rgb="ff000000"/>
      </font>
      <fill>
        <patternFill patternType="solid">
          <fgColor indexed="22"/>
          <bgColor rgb="2fff9781"/>
        </patternFill>
      </fill>
    </dxf>
    <dxf>
      <font>
        <color rgb="ffffffff"/>
      </font>
    </dxf>
    <dxf>
      <font>
        <b val="1"/>
        <color rgb="ffffffff"/>
      </font>
    </dxf>
    <dxf>
      <font>
        <color rgb="ff000000"/>
      </font>
      <fill>
        <patternFill patternType="solid">
          <fgColor indexed="22"/>
          <bgColor rgb="6aafe489"/>
        </patternFill>
      </fill>
    </dxf>
    <dxf>
      <font>
        <color rgb="ff000000"/>
      </font>
      <fill>
        <patternFill patternType="solid">
          <fgColor indexed="22"/>
          <bgColor rgb="2fff9781"/>
        </patternFill>
      </fill>
    </dxf>
    <dxf>
      <font>
        <color rgb="ff000000"/>
      </font>
      <fill>
        <patternFill patternType="solid">
          <fgColor indexed="22"/>
          <bgColor rgb="2fff9781"/>
        </patternFill>
      </fill>
    </dxf>
    <dxf>
      <font>
        <b val="1"/>
        <color rgb="ffffffff"/>
      </font>
    </dxf>
    <dxf>
      <font>
        <b val="1"/>
        <color rgb="00000000"/>
      </font>
      <fill>
        <patternFill patternType="solid">
          <fgColor indexed="22"/>
          <bgColor indexed="59"/>
        </patternFill>
      </fill>
    </dxf>
    <dxf>
      <font>
        <b val="1"/>
        <color rgb="00000000"/>
      </font>
    </dxf>
    <dxf>
      <font>
        <color rgb="ffffffff"/>
      </font>
    </dxf>
    <dxf>
      <font>
        <color rgb="ffffffff"/>
      </font>
    </dxf>
    <dxf>
      <font>
        <color rgb="ff000000"/>
      </font>
      <fill>
        <patternFill patternType="solid">
          <fgColor indexed="22"/>
          <bgColor rgb="e598efea"/>
        </patternFill>
      </fill>
    </dxf>
    <dxf>
      <font>
        <b val="1"/>
        <color rgb="ffffffff"/>
      </font>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fffff"/>
      <rgbColor rgb="ffafedb8"/>
      <rgbColor rgb="ffb0edb8"/>
      <rgbColor rgb="ffff8668"/>
      <rgbColor rgb="ffbfbfbf"/>
      <rgbColor rgb="ffeceeee"/>
      <rgbColor rgb="00000000"/>
      <rgbColor rgb="00ffffff"/>
      <rgbColor rgb="ffdfedff"/>
      <rgbColor rgb="ffb0d2ff"/>
      <rgbColor rgb="ff272727"/>
      <rgbColor rgb="ff959595"/>
      <rgbColor rgb="ffc1c1c1"/>
      <rgbColor rgb="356fbf40"/>
      <rgbColor rgb="fff0f0f0"/>
      <rgbColor rgb="e5afe489"/>
      <rgbColor rgb="e5ff9781"/>
      <rgbColor rgb="ffe0ecfa"/>
      <rgbColor rgb="ff99c0ef"/>
      <rgbColor rgb="ffb2f1ff"/>
      <rgbColor rgb="ffcdd7eb"/>
      <rgbColor rgb="ffcde9bd"/>
      <rgbColor rgb="fff0f8ec"/>
      <rgbColor rgb="ffaddb92"/>
      <rgbColor rgb="ffb7df9f"/>
      <rgbColor rgb="ffeff1f1"/>
      <rgbColor rgb="ffe1f3fe"/>
      <rgbColor rgb="fffedbd0"/>
      <rgbColor rgb="ffefefef"/>
      <rgbColor rgb="fffef2eb"/>
      <rgbColor rgb="fffee5d7"/>
      <rgbColor rgb="41000000"/>
      <rgbColor rgb="ffff762a"/>
      <rgbColor rgb="ffb9ffa4"/>
      <rgbColor rgb="ffdde7e0"/>
      <rgbColor rgb="ffcbcdcd"/>
      <rgbColor rgb="33000000"/>
      <rgbColor rgb="ffc3c3c3"/>
      <rgbColor rgb="fff2f9ed"/>
      <rgbColor rgb="ffdbefcf"/>
      <rgbColor rgb="ffc9c9c9"/>
      <rgbColor rgb="ffefeef0"/>
      <rgbColor rgb="fff7e6e4"/>
      <rgbColor rgb="ffe6f4ff"/>
      <rgbColor rgb="ff9e9e9e"/>
      <rgbColor rgb="fff3d8d6"/>
      <rgbColor rgb="fff1f8fc"/>
      <rgbColor rgb="3200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 Id="rId28" Type="http://schemas.openxmlformats.org/officeDocument/2006/relationships/worksheet" Target="worksheets/sheet24.xml"/><Relationship Id="rId29" Type="http://schemas.openxmlformats.org/officeDocument/2006/relationships/worksheet" Target="worksheets/sheet25.xml"/><Relationship Id="rId30" Type="http://schemas.openxmlformats.org/officeDocument/2006/relationships/worksheet" Target="worksheets/sheet26.xml"/><Relationship Id="rId31" Type="http://schemas.openxmlformats.org/officeDocument/2006/relationships/worksheet" Target="worksheets/sheet27.xml"/><Relationship Id="rId32" Type="http://schemas.openxmlformats.org/officeDocument/2006/relationships/worksheet" Target="worksheets/sheet28.xml"/><Relationship Id="rId33" Type="http://schemas.openxmlformats.org/officeDocument/2006/relationships/worksheet" Target="worksheets/sheet29.xml"/><Relationship Id="rId34" Type="http://schemas.openxmlformats.org/officeDocument/2006/relationships/worksheet" Target="worksheets/sheet30.xml"/><Relationship Id="rId35" Type="http://schemas.openxmlformats.org/officeDocument/2006/relationships/worksheet" Target="worksheets/sheet31.xml"/><Relationship Id="rId36" Type="http://schemas.openxmlformats.org/officeDocument/2006/relationships/worksheet" Target="worksheets/sheet32.xml"/><Relationship Id="rId37" Type="http://schemas.openxmlformats.org/officeDocument/2006/relationships/worksheet" Target="worksheets/sheet33.xml"/><Relationship Id="rId38" Type="http://schemas.openxmlformats.org/officeDocument/2006/relationships/worksheet" Target="worksheets/sheet34.xml"/><Relationship Id="rId39" Type="http://schemas.openxmlformats.org/officeDocument/2006/relationships/worksheet" Target="worksheets/sheet35.xml"/><Relationship Id="rId40" Type="http://schemas.openxmlformats.org/officeDocument/2006/relationships/worksheet" Target="worksheets/sheet36.xml"/><Relationship Id="rId41" Type="http://schemas.openxmlformats.org/officeDocument/2006/relationships/worksheet" Target="worksheets/sheet37.xml"/><Relationship Id="rId42" Type="http://schemas.openxmlformats.org/officeDocument/2006/relationships/worksheet" Target="worksheets/sheet38.xml"/><Relationship Id="rId43" Type="http://schemas.openxmlformats.org/officeDocument/2006/relationships/worksheet" Target="worksheets/sheet39.xml"/><Relationship Id="rId44" Type="http://schemas.openxmlformats.org/officeDocument/2006/relationships/worksheet" Target="worksheets/sheet40.xml"/><Relationship Id="rId45" Type="http://schemas.openxmlformats.org/officeDocument/2006/relationships/worksheet" Target="worksheets/sheet41.xml"/><Relationship Id="rId46" Type="http://schemas.openxmlformats.org/officeDocument/2006/relationships/worksheet" Target="worksheets/sheet42.xml"/><Relationship Id="rId47" Type="http://schemas.openxmlformats.org/officeDocument/2006/relationships/worksheet" Target="worksheets/sheet43.xml"/><Relationship Id="rId48" Type="http://schemas.openxmlformats.org/officeDocument/2006/relationships/worksheet" Target="worksheets/sheet44.xml"/><Relationship Id="rId49" Type="http://schemas.openxmlformats.org/officeDocument/2006/relationships/worksheet" Target="worksheets/sheet45.xml"/><Relationship Id="rId50" Type="http://schemas.openxmlformats.org/officeDocument/2006/relationships/worksheet" Target="worksheets/sheet46.xml"/><Relationship Id="rId51" Type="http://schemas.openxmlformats.org/officeDocument/2006/relationships/worksheet" Target="worksheets/sheet47.xml"/><Relationship Id="rId52" Type="http://schemas.openxmlformats.org/officeDocument/2006/relationships/worksheet" Target="worksheets/sheet48.xml"/><Relationship Id="rId53" Type="http://schemas.openxmlformats.org/officeDocument/2006/relationships/worksheet" Target="worksheets/sheet49.xml"/><Relationship Id="rId54" Type="http://schemas.openxmlformats.org/officeDocument/2006/relationships/worksheet" Target="worksheets/sheet50.xml"/><Relationship Id="rId55" Type="http://schemas.openxmlformats.org/officeDocument/2006/relationships/worksheet" Target="worksheets/sheet51.xml"/><Relationship Id="rId56" Type="http://schemas.openxmlformats.org/officeDocument/2006/relationships/worksheet" Target="worksheets/sheet52.xml"/><Relationship Id="rId57" Type="http://schemas.openxmlformats.org/officeDocument/2006/relationships/worksheet" Target="worksheets/sheet53.xml"/><Relationship Id="rId58" Type="http://schemas.openxmlformats.org/officeDocument/2006/relationships/worksheet" Target="worksheets/sheet54.xml"/><Relationship Id="rId59" Type="http://schemas.openxmlformats.org/officeDocument/2006/relationships/worksheet" Target="worksheets/sheet55.xml"/><Relationship Id="rId60" Type="http://schemas.openxmlformats.org/officeDocument/2006/relationships/worksheet" Target="worksheets/sheet56.xml"/><Relationship Id="rId61" Type="http://schemas.openxmlformats.org/officeDocument/2006/relationships/worksheet" Target="worksheets/sheet57.xml"/><Relationship Id="rId62" Type="http://schemas.openxmlformats.org/officeDocument/2006/relationships/worksheet" Target="worksheets/sheet58.xml"/><Relationship Id="rId63" Type="http://schemas.openxmlformats.org/officeDocument/2006/relationships/worksheet" Target="worksheets/sheet59.xml"/><Relationship Id="rId64" Type="http://schemas.openxmlformats.org/officeDocument/2006/relationships/worksheet" Target="worksheets/sheet60.xml"/><Relationship Id="rId65" Type="http://schemas.openxmlformats.org/officeDocument/2006/relationships/worksheet" Target="worksheets/sheet61.xml"/><Relationship Id="rId66" Type="http://schemas.openxmlformats.org/officeDocument/2006/relationships/worksheet" Target="worksheets/sheet62.xml"/><Relationship Id="rId67" Type="http://schemas.openxmlformats.org/officeDocument/2006/relationships/worksheet" Target="worksheets/sheet63.xml"/><Relationship Id="rId68" Type="http://schemas.openxmlformats.org/officeDocument/2006/relationships/worksheet" Target="worksheets/sheet64.xml"/><Relationship Id="rId69" Type="http://schemas.openxmlformats.org/officeDocument/2006/relationships/worksheet" Target="worksheets/sheet65.xml"/><Relationship Id="rId70" Type="http://schemas.openxmlformats.org/officeDocument/2006/relationships/worksheet" Target="worksheets/sheet66.xml"/><Relationship Id="rId71" Type="http://schemas.openxmlformats.org/officeDocument/2006/relationships/worksheet" Target="worksheets/sheet67.xml"/><Relationship Id="rId72" Type="http://schemas.openxmlformats.org/officeDocument/2006/relationships/worksheet" Target="worksheets/sheet68.xml"/><Relationship Id="rId73" Type="http://schemas.openxmlformats.org/officeDocument/2006/relationships/worksheet" Target="worksheets/sheet69.xml"/><Relationship Id="rId74" Type="http://schemas.openxmlformats.org/officeDocument/2006/relationships/worksheet" Target="worksheets/sheet70.xml"/><Relationship Id="rId75" Type="http://schemas.openxmlformats.org/officeDocument/2006/relationships/worksheet" Target="worksheets/sheet71.xml"/><Relationship Id="rId76" Type="http://schemas.openxmlformats.org/officeDocument/2006/relationships/worksheet" Target="worksheets/sheet72.xml"/><Relationship Id="rId77" Type="http://schemas.openxmlformats.org/officeDocument/2006/relationships/worksheet" Target="worksheets/sheet73.xml"/><Relationship Id="rId78" Type="http://schemas.openxmlformats.org/officeDocument/2006/relationships/worksheet" Target="worksheets/sheet74.xml"/><Relationship Id="rId79" Type="http://schemas.openxmlformats.org/officeDocument/2006/relationships/worksheet" Target="worksheets/sheet75.xml"/><Relationship Id="rId80" Type="http://schemas.openxmlformats.org/officeDocument/2006/relationships/worksheet" Target="worksheets/sheet76.xml"/><Relationship Id="rId81" Type="http://schemas.openxmlformats.org/officeDocument/2006/relationships/worksheet" Target="worksheets/sheet77.xml"/><Relationship Id="rId82" Type="http://schemas.openxmlformats.org/officeDocument/2006/relationships/worksheet" Target="worksheets/sheet78.xml"/><Relationship Id="rId83" Type="http://schemas.openxmlformats.org/officeDocument/2006/relationships/worksheet" Target="worksheets/sheet79.xml"/><Relationship Id="rId84" Type="http://schemas.openxmlformats.org/officeDocument/2006/relationships/worksheet" Target="worksheets/sheet80.xml"/><Relationship Id="rId85" Type="http://schemas.openxmlformats.org/officeDocument/2006/relationships/worksheet" Target="worksheets/sheet81.xml"/><Relationship Id="rId86" Type="http://schemas.openxmlformats.org/officeDocument/2006/relationships/worksheet" Target="worksheets/sheet82.xml"/><Relationship Id="rId87" Type="http://schemas.openxmlformats.org/officeDocument/2006/relationships/worksheet" Target="worksheets/sheet83.xml"/><Relationship Id="rId88" Type="http://schemas.openxmlformats.org/officeDocument/2006/relationships/worksheet" Target="worksheets/sheet84.xml"/><Relationship Id="rId89" Type="http://schemas.openxmlformats.org/officeDocument/2006/relationships/worksheet" Target="worksheets/sheet85.xml"/><Relationship Id="rId90" Type="http://schemas.openxmlformats.org/officeDocument/2006/relationships/worksheet" Target="worksheets/sheet86.xml"/><Relationship Id="rId91" Type="http://schemas.openxmlformats.org/officeDocument/2006/relationships/worksheet" Target="worksheets/sheet87.xml"/><Relationship Id="rId92" Type="http://schemas.openxmlformats.org/officeDocument/2006/relationships/worksheet" Target="worksheets/sheet88.xml"/><Relationship Id="rId93" Type="http://schemas.openxmlformats.org/officeDocument/2006/relationships/worksheet" Target="worksheets/sheet89.xml"/><Relationship Id="rId94" Type="http://schemas.openxmlformats.org/officeDocument/2006/relationships/worksheet" Target="worksheets/sheet90.xml"/><Relationship Id="rId95" Type="http://schemas.openxmlformats.org/officeDocument/2006/relationships/worksheet" Target="worksheets/sheet91.xml"/><Relationship Id="rId96" Type="http://schemas.openxmlformats.org/officeDocument/2006/relationships/worksheet" Target="worksheets/sheet92.xml"/><Relationship Id="rId97" Type="http://schemas.openxmlformats.org/officeDocument/2006/relationships/worksheet" Target="worksheets/sheet93.xml"/><Relationship Id="rId98" Type="http://schemas.openxmlformats.org/officeDocument/2006/relationships/worksheet" Target="worksheets/sheet94.xml"/><Relationship Id="rId99" Type="http://schemas.openxmlformats.org/officeDocument/2006/relationships/worksheet" Target="worksheets/sheet95.xml"/><Relationship Id="rId100" Type="http://schemas.openxmlformats.org/officeDocument/2006/relationships/worksheet" Target="worksheets/sheet96.xml"/><Relationship Id="rId101" Type="http://schemas.openxmlformats.org/officeDocument/2006/relationships/worksheet" Target="worksheets/sheet97.xml"/><Relationship Id="rId102" Type="http://schemas.openxmlformats.org/officeDocument/2006/relationships/worksheet" Target="worksheets/sheet98.xml"/><Relationship Id="rId103" Type="http://schemas.openxmlformats.org/officeDocument/2006/relationships/worksheet" Target="worksheets/sheet99.xml"/><Relationship Id="rId104" Type="http://schemas.openxmlformats.org/officeDocument/2006/relationships/worksheet" Target="worksheets/sheet100.xml"/><Relationship Id="rId105" Type="http://schemas.openxmlformats.org/officeDocument/2006/relationships/worksheet" Target="worksheets/sheet101.xml"/><Relationship Id="rId106" Type="http://schemas.openxmlformats.org/officeDocument/2006/relationships/worksheet" Target="worksheets/sheet102.xml"/><Relationship Id="rId107" Type="http://schemas.openxmlformats.org/officeDocument/2006/relationships/worksheet" Target="worksheets/sheet103.xml"/><Relationship Id="rId108" Type="http://schemas.openxmlformats.org/officeDocument/2006/relationships/worksheet" Target="worksheets/sheet104.xml"/><Relationship Id="rId109" Type="http://schemas.openxmlformats.org/officeDocument/2006/relationships/worksheet" Target="worksheets/sheet105.xml"/><Relationship Id="rId110" Type="http://schemas.openxmlformats.org/officeDocument/2006/relationships/worksheet" Target="worksheets/sheet106.xml"/><Relationship Id="rId111" Type="http://schemas.openxmlformats.org/officeDocument/2006/relationships/worksheet" Target="worksheets/sheet107.xml"/><Relationship Id="rId112" Type="http://schemas.openxmlformats.org/officeDocument/2006/relationships/worksheet" Target="worksheets/sheet108.xml"/><Relationship Id="rId113" Type="http://schemas.openxmlformats.org/officeDocument/2006/relationships/worksheet" Target="worksheets/sheet109.xml"/><Relationship Id="rId114" Type="http://schemas.openxmlformats.org/officeDocument/2006/relationships/worksheet" Target="worksheets/sheet110.xml"/><Relationship Id="rId115" Type="http://schemas.openxmlformats.org/officeDocument/2006/relationships/worksheet" Target="worksheets/sheet111.xml"/><Relationship Id="rId116" Type="http://schemas.openxmlformats.org/officeDocument/2006/relationships/worksheet" Target="worksheets/sheet112.xml"/><Relationship Id="rId117" Type="http://schemas.openxmlformats.org/officeDocument/2006/relationships/worksheet" Target="worksheets/sheet113.xml"/><Relationship Id="rId118" Type="http://schemas.openxmlformats.org/officeDocument/2006/relationships/worksheet" Target="worksheets/sheet114.xml"/><Relationship Id="rId119" Type="http://schemas.openxmlformats.org/officeDocument/2006/relationships/worksheet" Target="worksheets/sheet115.xml"/><Relationship Id="rId120" Type="http://schemas.openxmlformats.org/officeDocument/2006/relationships/worksheet" Target="worksheets/sheet116.xml"/><Relationship Id="rId121" Type="http://schemas.openxmlformats.org/officeDocument/2006/relationships/worksheet" Target="worksheets/sheet117.xml"/><Relationship Id="rId122" Type="http://schemas.openxmlformats.org/officeDocument/2006/relationships/worksheet" Target="worksheets/sheet118.xml"/><Relationship Id="rId123" Type="http://schemas.openxmlformats.org/officeDocument/2006/relationships/worksheet" Target="worksheets/sheet119.xml"/><Relationship Id="rId124" Type="http://schemas.openxmlformats.org/officeDocument/2006/relationships/worksheet" Target="worksheets/sheet120.xml"/><Relationship Id="rId125" Type="http://schemas.openxmlformats.org/officeDocument/2006/relationships/worksheet" Target="worksheets/sheet121.xml"/><Relationship Id="rId126" Type="http://schemas.openxmlformats.org/officeDocument/2006/relationships/worksheet" Target="worksheets/sheet122.xml"/><Relationship Id="rId127" Type="http://schemas.openxmlformats.org/officeDocument/2006/relationships/worksheet" Target="worksheets/sheet123.xml"/><Relationship Id="rId128" Type="http://schemas.openxmlformats.org/officeDocument/2006/relationships/worksheet" Target="worksheets/sheet124.xml"/><Relationship Id="rId129" Type="http://schemas.openxmlformats.org/officeDocument/2006/relationships/worksheet" Target="worksheets/sheet125.xml"/><Relationship Id="rId130" Type="http://schemas.openxmlformats.org/officeDocument/2006/relationships/worksheet" Target="worksheets/sheet126.xml"/><Relationship Id="rId131" Type="http://schemas.openxmlformats.org/officeDocument/2006/relationships/worksheet" Target="worksheets/sheet127.xml"/><Relationship Id="rId132" Type="http://schemas.openxmlformats.org/officeDocument/2006/relationships/worksheet" Target="worksheets/sheet128.xml"/><Relationship Id="rId133" Type="http://schemas.openxmlformats.org/officeDocument/2006/relationships/worksheet" Target="worksheets/sheet129.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15894"/>
          <c:y val="0.0833472"/>
          <c:w val="0.900159"/>
          <c:h val="0.864673"/>
        </c:manualLayout>
      </c:layout>
      <c:lineChart>
        <c:grouping val="standard"/>
        <c:varyColors val="0"/>
        <c:ser>
          <c:idx val="0"/>
          <c:order val="0"/>
          <c:tx>
            <c:strRef>
              <c:f>'flujos - Gasto mensual'!$M$2</c:f>
              <c:strCache>
                <c:ptCount val="1"/>
                <c:pt idx="0">
                  <c:v>Gasto real</c:v>
                </c:pt>
              </c:strCache>
            </c:strRef>
          </c:tx>
          <c:spPr>
            <a:solidFill>
              <a:srgbClr val="FFFFFF"/>
            </a:solidFill>
            <a:ln w="50800" cap="flat">
              <a:solidFill>
                <a:srgbClr val="666D6C">
                  <a:alpha val="50192"/>
                </a:srgbClr>
              </a:solidFill>
              <a:prstDash val="solid"/>
              <a:miter lim="400000"/>
            </a:ln>
            <a:effectLst/>
          </c:spPr>
          <c:marker>
            <c:symbol val="none"/>
            <c:size val="4"/>
            <c:spPr>
              <a:solidFill>
                <a:srgbClr val="FFFFFF"/>
              </a:solidFill>
              <a:ln w="50800" cap="flat">
                <a:solidFill>
                  <a:srgbClr val="D4E0DE">
                    <a:alpha val="50275"/>
                  </a:srgbClr>
                </a:solidFill>
                <a:prstDash val="solid"/>
                <a:miter lim="400000"/>
              </a:ln>
              <a:effectLst/>
            </c:spPr>
          </c:marke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'flujos - Gasto mensual'!$A$3:$A$117,'flujos - Gasto mensual'!$A$119</c:f>
              <c:strCache>
                <c:ptCount val="116"/>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	0</c:v>
                </c:pt>
              </c:strCache>
            </c:strRef>
          </c:cat>
          <c:val>
            <c:numRef>
              <c:f>'flujos - Gasto mensual'!$M$3:$M$118</c:f>
              <c:numCache>
                <c:ptCount val="116"/>
                <c:pt idx="0">
                  <c:v>493368.000000</c:v>
                </c:pt>
                <c:pt idx="1">
                  <c:v>658013.000000</c:v>
                </c:pt>
                <c:pt idx="2">
                  <c:v>687504.112000</c:v>
                </c:pt>
                <c:pt idx="3">
                  <c:v>909333.000000</c:v>
                </c:pt>
                <c:pt idx="4">
                  <c:v>592837.532500</c:v>
                </c:pt>
                <c:pt idx="5">
                  <c:v>546557.220000</c:v>
                </c:pt>
                <c:pt idx="6">
                  <c:v>683780.350000</c:v>
                </c:pt>
                <c:pt idx="7">
                  <c:v>622726.000000</c:v>
                </c:pt>
                <c:pt idx="8">
                  <c:v>832114.000000</c:v>
                </c:pt>
                <c:pt idx="9">
                  <c:v>432791.000000</c:v>
                </c:pt>
                <c:pt idx="10">
                  <c:v>525306.000000</c:v>
                </c:pt>
                <c:pt idx="11">
                  <c:v>538265.000000</c:v>
                </c:pt>
                <c:pt idx="12">
                  <c:v>934243.000000</c:v>
                </c:pt>
                <c:pt idx="13">
                  <c:v>589898.000000</c:v>
                </c:pt>
                <c:pt idx="14">
                  <c:v>582323.517510</c:v>
                </c:pt>
                <c:pt idx="15">
                  <c:v>451097.795050</c:v>
                </c:pt>
                <c:pt idx="16">
                  <c:v>733371.000000</c:v>
                </c:pt>
                <c:pt idx="17">
                  <c:v>895905.000000</c:v>
                </c:pt>
                <c:pt idx="18">
                  <c:v>803085.000000</c:v>
                </c:pt>
                <c:pt idx="19">
                  <c:v>598716.000000</c:v>
                </c:pt>
                <c:pt idx="20">
                  <c:v>476001.000000</c:v>
                </c:pt>
                <c:pt idx="21">
                  <c:v>982015.000000</c:v>
                </c:pt>
                <c:pt idx="22">
                  <c:v>872926.500000</c:v>
                </c:pt>
                <c:pt idx="23">
                  <c:v>1029852.000000</c:v>
                </c:pt>
                <c:pt idx="24">
                  <c:v>1050954.000000</c:v>
                </c:pt>
                <c:pt idx="25">
                  <c:v>3542249.000000</c:v>
                </c:pt>
                <c:pt idx="26">
                  <c:v>2020772.000000</c:v>
                </c:pt>
                <c:pt idx="27">
                  <c:v>2654189.000000</c:v>
                </c:pt>
                <c:pt idx="28">
                  <c:v>1855166.000000</c:v>
                </c:pt>
                <c:pt idx="29">
                  <c:v>2047068.000000</c:v>
                </c:pt>
                <c:pt idx="30">
                  <c:v>2052909.000000</c:v>
                </c:pt>
                <c:pt idx="31">
                  <c:v>2061142.000000</c:v>
                </c:pt>
                <c:pt idx="32">
                  <c:v>1483010.000000</c:v>
                </c:pt>
                <c:pt idx="33">
                  <c:v>3820790.000000</c:v>
                </c:pt>
                <c:pt idx="34">
                  <c:v>1672812.000000</c:v>
                </c:pt>
                <c:pt idx="35">
                  <c:v>1206928.000000</c:v>
                </c:pt>
                <c:pt idx="36">
                  <c:v>1557627.000000</c:v>
                </c:pt>
                <c:pt idx="37">
                  <c:v>1233945.000000</c:v>
                </c:pt>
                <c:pt idx="38">
                  <c:v>1486116.000000</c:v>
                </c:pt>
                <c:pt idx="39">
                  <c:v>2198004.000000</c:v>
                </c:pt>
                <c:pt idx="40">
                  <c:v>1504837.000000</c:v>
                </c:pt>
                <c:pt idx="41">
                  <c:v>1906984.000000</c:v>
                </c:pt>
                <c:pt idx="42">
                  <c:v>1990638.000000</c:v>
                </c:pt>
                <c:pt idx="43">
                  <c:v>1578576.000000</c:v>
                </c:pt>
                <c:pt idx="44">
                  <c:v>1525933.000000</c:v>
                </c:pt>
                <c:pt idx="45">
                  <c:v>1549535.000000</c:v>
                </c:pt>
                <c:pt idx="46">
                  <c:v>1574762.000000</c:v>
                </c:pt>
                <c:pt idx="47">
                  <c:v>1636753.000000</c:v>
                </c:pt>
                <c:pt idx="48">
                  <c:v>2428098.000000</c:v>
                </c:pt>
                <c:pt idx="49">
                  <c:v>2030434.000000</c:v>
                </c:pt>
                <c:pt idx="50">
                  <c:v>4373954.000000</c:v>
                </c:pt>
                <c:pt idx="51">
                  <c:v>2620675.000000</c:v>
                </c:pt>
                <c:pt idx="52">
                  <c:v>930817.000000</c:v>
                </c:pt>
                <c:pt idx="53">
                  <c:v>0.000000</c:v>
                </c:pt>
                <c:pt idx="54">
                  <c:v>0.000000</c:v>
                </c:pt>
                <c:pt idx="55">
                  <c:v>0.000000</c:v>
                </c:pt>
                <c:pt idx="56">
                  <c:v>0.000000</c:v>
                </c:pt>
                <c:pt idx="57">
                  <c:v>0.000000</c:v>
                </c:pt>
                <c:pt idx="58">
                  <c:v>0.000000</c:v>
                </c:pt>
                <c:pt idx="59">
                  <c:v>0.000000</c:v>
                </c:pt>
                <c:pt idx="60">
                  <c:v>0.000000</c:v>
                </c:pt>
                <c:pt idx="61">
                  <c:v>0.000000</c:v>
                </c:pt>
                <c:pt idx="62">
                  <c:v>0.000000</c:v>
                </c:pt>
                <c:pt idx="63">
                  <c:v>0.000000</c:v>
                </c:pt>
                <c:pt idx="64">
                  <c:v>0.000000</c:v>
                </c:pt>
                <c:pt idx="65">
                  <c:v>0.000000</c:v>
                </c:pt>
                <c:pt idx="66">
                  <c:v>0.000000</c:v>
                </c:pt>
                <c:pt idx="67">
                  <c:v>0.000000</c:v>
                </c:pt>
                <c:pt idx="68">
                  <c:v>0.000000</c:v>
                </c:pt>
                <c:pt idx="69">
                  <c:v>0.000000</c:v>
                </c:pt>
                <c:pt idx="70">
                  <c:v>0.000000</c:v>
                </c:pt>
                <c:pt idx="71">
                  <c:v>0.000000</c:v>
                </c:pt>
                <c:pt idx="72">
                  <c:v>0.000000</c:v>
                </c:pt>
                <c:pt idx="73">
                  <c:v>0.000000</c:v>
                </c:pt>
                <c:pt idx="74">
                  <c:v>0.000000</c:v>
                </c:pt>
                <c:pt idx="75">
                  <c:v>0.000000</c:v>
                </c:pt>
                <c:pt idx="76">
                  <c:v>0.000000</c:v>
                </c:pt>
                <c:pt idx="77">
                  <c:v>0.000000</c:v>
                </c:pt>
                <c:pt idx="78">
                  <c:v>0.000000</c:v>
                </c:pt>
                <c:pt idx="79">
                  <c:v>0.000000</c:v>
                </c:pt>
                <c:pt idx="80">
                  <c:v>0.000000</c:v>
                </c:pt>
                <c:pt idx="81">
                  <c:v>0.000000</c:v>
                </c:pt>
                <c:pt idx="82">
                  <c:v>0.000000</c:v>
                </c:pt>
                <c:pt idx="83">
                  <c:v>0.000000</c:v>
                </c:pt>
                <c:pt idx="84">
                  <c:v>1200000.000000</c:v>
                </c:pt>
                <c:pt idx="85">
                  <c:v>3011141.000000</c:v>
                </c:pt>
                <c:pt idx="86">
                  <c:v>3009576.000000</c:v>
                </c:pt>
                <c:pt idx="87">
                  <c:v>3030085.000000</c:v>
                </c:pt>
                <c:pt idx="88">
                  <c:v>3038359.000000</c:v>
                </c:pt>
                <c:pt idx="89">
                  <c:v>23025709.000000</c:v>
                </c:pt>
                <c:pt idx="90">
                  <c:v>3271042.000000</c:v>
                </c:pt>
                <c:pt idx="91">
                  <c:v>2273347.000000</c:v>
                </c:pt>
                <c:pt idx="92">
                  <c:v>8254404.000000</c:v>
                </c:pt>
                <c:pt idx="93">
                  <c:v>4960556.000000</c:v>
                </c:pt>
                <c:pt idx="94">
                  <c:v>3557580.000000</c:v>
                </c:pt>
                <c:pt idx="95">
                  <c:v>3946001.000000</c:v>
                </c:pt>
                <c:pt idx="96">
                  <c:v>4927630.000000</c:v>
                </c:pt>
                <c:pt idx="97">
                  <c:v>1023631.000000</c:v>
                </c:pt>
                <c:pt idx="98">
                  <c:v>1433404.000000</c:v>
                </c:pt>
                <c:pt idx="99">
                  <c:v>1321038.000000</c:v>
                </c:pt>
                <c:pt idx="100">
                  <c:v>1321038.000000</c:v>
                </c:pt>
                <c:pt idx="101">
                  <c:v>1367031.000000</c:v>
                </c:pt>
                <c:pt idx="102">
                  <c:v>1375279.000000</c:v>
                </c:pt>
                <c:pt idx="103">
                  <c:v>1586743.000000</c:v>
                </c:pt>
                <c:pt idx="104">
                  <c:v>1598935.000000</c:v>
                </c:pt>
                <c:pt idx="105">
                  <c:v>1563102.000000</c:v>
                </c:pt>
                <c:pt idx="106">
                  <c:v>1391804.000000</c:v>
                </c:pt>
                <c:pt idx="107">
                  <c:v>1376711.000000</c:v>
                </c:pt>
                <c:pt idx="108">
                  <c:v>1376711.000000</c:v>
                </c:pt>
                <c:pt idx="109">
                  <c:v>1376711.000000</c:v>
                </c:pt>
                <c:pt idx="110">
                  <c:v>1376711.000000</c:v>
                </c:pt>
                <c:pt idx="111">
                  <c:v>1376711.000000</c:v>
                </c:pt>
                <c:pt idx="112">
                  <c:v>1376711.000000</c:v>
                </c:pt>
                <c:pt idx="113">
                  <c:v>1376711.000000</c:v>
                </c:pt>
                <c:pt idx="114">
                  <c:v>930817.000000</c:v>
                </c:pt>
                <c:pt idx="115">
                  <c:v>930817.000000</c:v>
                </c:pt>
              </c:numCache>
            </c:numRef>
          </c:val>
          <c:smooth val="0"/>
        </c:ser>
        <c:ser>
          <c:idx val="1"/>
          <c:order val="1"/>
          <c:tx>
            <c:strRef>
              <c:f>'flujos - Gasto mensual'!$C$2</c:f>
              <c:strCache>
                <c:ptCount val="1"/>
                <c:pt idx="0">
                  <c:v>Ingreso</c:v>
                </c:pt>
              </c:strCache>
            </c:strRef>
          </c:tx>
          <c:spPr>
            <a:solidFill>
              <a:srgbClr val="70BF41">
                <a:alpha val="49821"/>
              </a:srgbClr>
            </a:solidFill>
            <a:ln w="50800" cap="flat">
              <a:noFill/>
              <a:miter lim="400000"/>
            </a:ln>
            <a:effectLst/>
          </c:spPr>
          <c:marker>
            <c:symbol val="circle"/>
            <c:size val="9"/>
            <c:spPr>
              <a:solidFill>
                <a:srgbClr val="70BF41">
                  <a:alpha val="49821"/>
                </a:srgbClr>
              </a:solidFill>
              <a:ln w="12700" cap="flat">
                <a:solidFill>
                  <a:srgbClr val="70BF41">
                    <a:alpha val="50000"/>
                  </a:srgbClr>
                </a:solidFill>
                <a:prstDash val="solid"/>
                <a:miter lim="400000"/>
              </a:ln>
              <a:effectLst/>
            </c:spPr>
          </c:marke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trendline>
            <c:spPr>
              <a:noFill/>
              <a:ln w="50800" cap="flat">
                <a:solidFill>
                  <a:srgbClr val="70BF41"/>
                </a:solidFill>
                <a:prstDash val="solid"/>
                <a:miter lim="400000"/>
              </a:ln>
              <a:effectLst>
                <a:outerShdw sx="100000" sy="100000" kx="0" ky="0" algn="tl" rotWithShape="1" blurRad="12700" dist="25400" dir="7320000">
                  <a:srgbClr val="000000">
                    <a:alpha val="25000"/>
                  </a:srgbClr>
                </a:outerShdw>
              </a:effectLst>
            </c:spPr>
            <c:trendlineType val="movingAvg"/>
            <c:period val="3"/>
            <c:forward val="0"/>
            <c:backward val="0"/>
            <c:dispRSqr val="0"/>
            <c:dispEq val="0"/>
          </c:trendline>
          <c:cat>
            <c:strRef>
              <c:f>'flujos - Gasto mensual'!$A$3:$A$117,'flujos - Gasto mensual'!$A$119</c:f>
              <c:strCache>
                <c:ptCount val="116"/>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	0</c:v>
                </c:pt>
              </c:strCache>
            </c:strRef>
          </c:cat>
          <c:val>
            <c:numRef>
              <c:f>'flujos - Gasto mensual'!$C$3:$C$118</c:f>
              <c:numCache>
                <c:ptCount val="116"/>
                <c:pt idx="0">
                  <c:v>1242048.000000</c:v>
                </c:pt>
                <c:pt idx="1">
                  <c:v>1392783.000000</c:v>
                </c:pt>
                <c:pt idx="2">
                  <c:v>1430407.000000</c:v>
                </c:pt>
                <c:pt idx="3">
                  <c:v>1475760.000000</c:v>
                </c:pt>
                <c:pt idx="4">
                  <c:v>1663586.000000</c:v>
                </c:pt>
                <c:pt idx="5">
                  <c:v>1425860.000000</c:v>
                </c:pt>
                <c:pt idx="6">
                  <c:v>1610819.000000</c:v>
                </c:pt>
                <c:pt idx="7">
                  <c:v>1470091.000000</c:v>
                </c:pt>
                <c:pt idx="8">
                  <c:v>1471612.000000</c:v>
                </c:pt>
                <c:pt idx="9">
                  <c:v>2196694.000000</c:v>
                </c:pt>
                <c:pt idx="10">
                  <c:v>2790130.000000</c:v>
                </c:pt>
                <c:pt idx="11">
                  <c:v>875062.000000</c:v>
                </c:pt>
                <c:pt idx="12">
                  <c:v>1656689.000000</c:v>
                </c:pt>
                <c:pt idx="13">
                  <c:v>1686766.000000</c:v>
                </c:pt>
                <c:pt idx="14">
                  <c:v>1665468.000000</c:v>
                </c:pt>
                <c:pt idx="15">
                  <c:v>1694404.000000</c:v>
                </c:pt>
                <c:pt idx="16">
                  <c:v>2024160.000000</c:v>
                </c:pt>
                <c:pt idx="17">
                  <c:v>2423722.000000</c:v>
                </c:pt>
                <c:pt idx="18">
                  <c:v>2423471.000000</c:v>
                </c:pt>
                <c:pt idx="19">
                  <c:v>2423745.000000</c:v>
                </c:pt>
                <c:pt idx="20">
                  <c:v>2425605.000000</c:v>
                </c:pt>
                <c:pt idx="21">
                  <c:v>2922564.000000</c:v>
                </c:pt>
                <c:pt idx="22">
                  <c:v>2430374.000000</c:v>
                </c:pt>
                <c:pt idx="23">
                  <c:v>2430374.000000</c:v>
                </c:pt>
                <c:pt idx="24">
                  <c:v>2430795.000000</c:v>
                </c:pt>
                <c:pt idx="25">
                  <c:v>2430795.000000</c:v>
                </c:pt>
                <c:pt idx="26">
                  <c:v>2991383.000000</c:v>
                </c:pt>
                <c:pt idx="27">
                  <c:v>2491557.000000</c:v>
                </c:pt>
                <c:pt idx="28">
                  <c:v>2431728.000000</c:v>
                </c:pt>
                <c:pt idx="29">
                  <c:v>2831898.000000</c:v>
                </c:pt>
                <c:pt idx="30">
                  <c:v>2431898.000000</c:v>
                </c:pt>
                <c:pt idx="31">
                  <c:v>2432584.000000</c:v>
                </c:pt>
                <c:pt idx="32">
                  <c:v>2542827.000000</c:v>
                </c:pt>
                <c:pt idx="33">
                  <c:v>8919021.000000</c:v>
                </c:pt>
                <c:pt idx="34">
                  <c:v>388237.000000</c:v>
                </c:pt>
                <c:pt idx="35">
                  <c:v>0.000000</c:v>
                </c:pt>
                <c:pt idx="36">
                  <c:v>0.000000</c:v>
                </c:pt>
                <c:pt idx="37">
                  <c:v>0.000000</c:v>
                </c:pt>
                <c:pt idx="38">
                  <c:v>2527269.000000</c:v>
                </c:pt>
                <c:pt idx="39">
                  <c:v>2427182.000000</c:v>
                </c:pt>
                <c:pt idx="40">
                  <c:v>2425801.000000</c:v>
                </c:pt>
                <c:pt idx="41">
                  <c:v>2425888.000000</c:v>
                </c:pt>
                <c:pt idx="42">
                  <c:v>2435340.000000</c:v>
                </c:pt>
                <c:pt idx="43">
                  <c:v>3157488.000000</c:v>
                </c:pt>
                <c:pt idx="44">
                  <c:v>4238300.000000</c:v>
                </c:pt>
                <c:pt idx="45">
                  <c:v>3106414.000000</c:v>
                </c:pt>
                <c:pt idx="46">
                  <c:v>3106414.000000</c:v>
                </c:pt>
                <c:pt idx="47">
                  <c:v>3426779.000000</c:v>
                </c:pt>
                <c:pt idx="48">
                  <c:v>3217065.000000</c:v>
                </c:pt>
                <c:pt idx="49">
                  <c:v>3268652.000000</c:v>
                </c:pt>
                <c:pt idx="50">
                  <c:v>2791155.000000</c:v>
                </c:pt>
                <c:pt idx="51">
                  <c:v>0.000000</c:v>
                </c:pt>
                <c:pt idx="52">
                  <c:v>0.000000</c:v>
                </c:pt>
                <c:pt idx="53">
                  <c:v>0.000000</c:v>
                </c:pt>
                <c:pt idx="54">
                  <c:v>0.000000</c:v>
                </c:pt>
                <c:pt idx="55">
                  <c:v>0.000000</c:v>
                </c:pt>
                <c:pt idx="56">
                  <c:v>0.000000</c:v>
                </c:pt>
                <c:pt idx="57">
                  <c:v>0.000000</c:v>
                </c:pt>
                <c:pt idx="58">
                  <c:v>0.000000</c:v>
                </c:pt>
                <c:pt idx="59">
                  <c:v>0.000000</c:v>
                </c:pt>
                <c:pt idx="60">
                  <c:v>0.000000</c:v>
                </c:pt>
                <c:pt idx="61">
                  <c:v>0.000000</c:v>
                </c:pt>
                <c:pt idx="62">
                  <c:v>0.000000</c:v>
                </c:pt>
                <c:pt idx="63">
                  <c:v>3503481.906200</c:v>
                </c:pt>
                <c:pt idx="64">
                  <c:v>3503982.486200</c:v>
                </c:pt>
                <c:pt idx="65">
                  <c:v>3778796.000000</c:v>
                </c:pt>
                <c:pt idx="66">
                  <c:v>3780012.000000</c:v>
                </c:pt>
                <c:pt idx="67">
                  <c:v>3783202.000000</c:v>
                </c:pt>
                <c:pt idx="68">
                  <c:v>3783294.000000</c:v>
                </c:pt>
                <c:pt idx="69">
                  <c:v>3783536.000000</c:v>
                </c:pt>
                <c:pt idx="70">
                  <c:v>3783504.000000</c:v>
                </c:pt>
                <c:pt idx="71">
                  <c:v>3782836.000000</c:v>
                </c:pt>
                <c:pt idx="72">
                  <c:v>3807533.000000</c:v>
                </c:pt>
                <c:pt idx="73">
                  <c:v>3794771.000000</c:v>
                </c:pt>
                <c:pt idx="74">
                  <c:v>3795039.000000</c:v>
                </c:pt>
                <c:pt idx="75">
                  <c:v>3914647.000000</c:v>
                </c:pt>
                <c:pt idx="76">
                  <c:v>3802365.000000</c:v>
                </c:pt>
                <c:pt idx="77">
                  <c:v>3802194.000000</c:v>
                </c:pt>
                <c:pt idx="78">
                  <c:v>3802312.000000</c:v>
                </c:pt>
                <c:pt idx="79">
                  <c:v>3794771.000000</c:v>
                </c:pt>
                <c:pt idx="80">
                  <c:v>3802369.000000</c:v>
                </c:pt>
                <c:pt idx="81">
                  <c:v>3802577.000000</c:v>
                </c:pt>
                <c:pt idx="82">
                  <c:v>3802758.000000</c:v>
                </c:pt>
                <c:pt idx="83">
                  <c:v>3802877.000000</c:v>
                </c:pt>
                <c:pt idx="84">
                  <c:v>3803028.000000</c:v>
                </c:pt>
                <c:pt idx="85">
                  <c:v>3913957.000000</c:v>
                </c:pt>
                <c:pt idx="86">
                  <c:v>3818923.000000</c:v>
                </c:pt>
                <c:pt idx="87">
                  <c:v>3819135.000000</c:v>
                </c:pt>
                <c:pt idx="88">
                  <c:v>3819227.000000</c:v>
                </c:pt>
                <c:pt idx="89">
                  <c:v>3818846.000000</c:v>
                </c:pt>
                <c:pt idx="90">
                  <c:v>3819149.000000</c:v>
                </c:pt>
                <c:pt idx="91">
                  <c:v>3824817.000000</c:v>
                </c:pt>
                <c:pt idx="92">
                  <c:v>3833081.000000</c:v>
                </c:pt>
                <c:pt idx="93">
                  <c:v>3969354.000000</c:v>
                </c:pt>
                <c:pt idx="94">
                  <c:v>3969501.000000</c:v>
                </c:pt>
                <c:pt idx="95">
                  <c:v>3969683.000000</c:v>
                </c:pt>
                <c:pt idx="96">
                  <c:v>3969758.000000</c:v>
                </c:pt>
                <c:pt idx="97">
                  <c:v>4020714.000000</c:v>
                </c:pt>
                <c:pt idx="98">
                  <c:v>3976953.000000</c:v>
                </c:pt>
                <c:pt idx="99">
                  <c:v>3977286.000000</c:v>
                </c:pt>
                <c:pt idx="100">
                  <c:v>3977198.000000</c:v>
                </c:pt>
                <c:pt idx="101">
                  <c:v>3977645.000000</c:v>
                </c:pt>
                <c:pt idx="102">
                  <c:v>3977780.000000</c:v>
                </c:pt>
                <c:pt idx="103">
                  <c:v>3977780.000000</c:v>
                </c:pt>
                <c:pt idx="104">
                  <c:v>3977780.000000</c:v>
                </c:pt>
                <c:pt idx="105">
                  <c:v>0.000000</c:v>
                </c:pt>
                <c:pt idx="106">
                  <c:v>0.000000</c:v>
                </c:pt>
                <c:pt idx="107">
                  <c:v>0.000000</c:v>
                </c:pt>
                <c:pt idx="108">
                  <c:v>0.000000</c:v>
                </c:pt>
                <c:pt idx="109">
                  <c:v>0.000000</c:v>
                </c:pt>
                <c:pt idx="110">
                  <c:v>0.000000</c:v>
                </c:pt>
                <c:pt idx="111">
                  <c:v>0.000000</c:v>
                </c:pt>
                <c:pt idx="112">
                  <c:v>0.000000</c:v>
                </c:pt>
                <c:pt idx="113">
                  <c:v>0.000000</c:v>
                </c:pt>
                <c:pt idx="114">
                  <c:v>0.000000</c:v>
                </c:pt>
                <c:pt idx="115">
                  <c:v>0.000000</c:v>
                </c:pt>
              </c:numCache>
            </c:numRef>
          </c:val>
          <c:smooth val="0"/>
        </c:ser>
        <c:marker val="1"/>
        <c:axId val="2094734552"/>
        <c:axId val="2094734553"/>
      </c:lineChart>
      <c:catAx>
        <c:axId val="2094734552"/>
        <c:scaling>
          <c:orientation val="minMax"/>
        </c:scaling>
        <c:delete val="0"/>
        <c:axPos val="b"/>
        <c:majorGridlines>
          <c:spPr>
            <a:ln w="12700" cap="flat">
              <a:solidFill>
                <a:srgbClr val="000000">
                  <a:alpha val="19670"/>
                </a:srgbClr>
              </a:solidFill>
              <a:custDash>
                <a:ds d="200000" sp="200000"/>
              </a:custDash>
              <a:miter lim="400000"/>
            </a:ln>
          </c:spPr>
        </c:majorGridlines>
        <c:numFmt formatCode="&quot;$&quot;#,##0" sourceLinked="1"/>
        <c:majorTickMark val="cross"/>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4.5e+06"/>
          <c:min val="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107647"/>
          <c:y val="0"/>
          <c:w val="0.856894"/>
          <c:h val="0.0513202"/>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384397"/>
          <c:y val="0.0833333"/>
          <c:w val="0.926208"/>
          <c:h val="0.864693"/>
        </c:manualLayout>
      </c:layout>
      <c:lineChart>
        <c:grouping val="standard"/>
        <c:varyColors val="0"/>
        <c:ser>
          <c:idx val="0"/>
          <c:order val="0"/>
          <c:tx>
            <c:v>Region 1</c:v>
          </c:tx>
          <c:spPr>
            <a:solidFill>
              <a:srgbClr val="000000">
                <a:alpha val="25745"/>
              </a:srgbClr>
            </a:solidFill>
            <a:ln w="25400" cap="flat">
              <a:noFill/>
              <a:miter lim="400000"/>
            </a:ln>
            <a:effectLst/>
          </c:spPr>
          <c:marker>
            <c:symbol val="circle"/>
            <c:size val="6"/>
            <c:spPr>
              <a:solidFill>
                <a:srgbClr val="000000">
                  <a:alpha val="25745"/>
                </a:srgbClr>
              </a:solidFill>
              <a:ln w="50800" cap="flat">
                <a:solidFill>
                  <a:srgbClr val="000000">
                    <a:alpha val="25745"/>
                  </a:srgbClr>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'flujos - Gasto mensual'!$A$3:$A$72</c:f>
              <c:strCache>
                <c:ptCount val="4"/>
                <c:pt idx="0">
                  <c:v>April</c:v>
                </c:pt>
                <c:pt idx="1">
                  <c:v>May</c:v>
                </c:pt>
                <c:pt idx="2">
                  <c:v>June</c:v>
                </c:pt>
                <c:pt idx="3">
                  <c:v>July</c:v>
                </c:pt>
              </c:strCache>
            </c:strRef>
          </c:cat>
          <c:val>
            <c:numLit>
              <c:ptCount val="4"/>
              <c:pt idx="0">
                <c:v>17.000000</c:v>
              </c:pt>
              <c:pt idx="1">
                <c:v>26.000000</c:v>
              </c:pt>
              <c:pt idx="2">
                <c:v>53.000000</c:v>
              </c:pt>
              <c:pt idx="3">
                <c:v>96.000000</c:v>
              </c:pt>
            </c:numLit>
          </c:val>
          <c:smooth val="0"/>
        </c:ser>
        <c:ser>
          <c:idx val="1"/>
          <c:order val="1"/>
          <c:tx>
            <c:v>Region 2</c:v>
          </c:tx>
          <c:spPr>
            <a:solidFill>
              <a:srgbClr val="FFFFFF"/>
            </a:solidFill>
            <a:ln w="50800" cap="flat">
              <a:solidFill>
                <a:srgbClr val="000000">
                  <a:alpha val="80360"/>
                </a:srgbClr>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'flujos - Gasto mensual'!$A$3:$A$72</c:f>
              <c:strCache>
                <c:ptCount val="4"/>
                <c:pt idx="0">
                  <c:v>April</c:v>
                </c:pt>
                <c:pt idx="1">
                  <c:v>May</c:v>
                </c:pt>
                <c:pt idx="2">
                  <c:v>June</c:v>
                </c:pt>
                <c:pt idx="3">
                  <c:v>July</c:v>
                </c:pt>
              </c:strCache>
            </c:strRef>
          </c:cat>
          <c:val>
            <c:numLit>
              <c:ptCount val="4"/>
              <c:pt idx="0">
                <c:v>55.000000</c:v>
              </c:pt>
              <c:pt idx="1">
                <c:v>43.000000</c:v>
              </c:pt>
              <c:pt idx="2">
                <c:v>70.000000</c:v>
              </c:pt>
              <c:pt idx="3">
                <c:v>58.000000</c:v>
              </c:pt>
            </c:numLit>
          </c:val>
          <c:smooth val="0"/>
        </c:ser>
        <c:marker val="1"/>
        <c:axId val="2094734552"/>
        <c:axId val="2094734553"/>
      </c:lineChart>
      <c:catAx>
        <c:axId val="2094734552"/>
        <c:scaling>
          <c:orientation val="minMax"/>
        </c:scaling>
        <c:delete val="0"/>
        <c:axPos val="b"/>
        <c:majorGridlines>
          <c:spPr>
            <a:ln w="12700" cap="flat">
              <a:solidFill>
                <a:srgbClr val="000000">
                  <a:alpha val="19670"/>
                </a:srgbClr>
              </a:solidFill>
              <a:custDash>
                <a:ds d="200000" sp="200000"/>
              </a:custDash>
              <a:miter lim="400000"/>
            </a:ln>
          </c:spPr>
        </c:majorGridlines>
        <c:numFmt formatCode="General" sourceLinked="1"/>
        <c:majorTickMark val="cross"/>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
          <c:min val="0"/>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512519"/>
          <c:y val="0"/>
          <c:w val="0.86318"/>
          <c:h val="0.051315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596673"/>
          <c:y val="0.0523602"/>
          <c:w val="0.935333"/>
          <c:h val="0.913782"/>
        </c:manualLayout>
      </c:layout>
      <c:lineChart>
        <c:grouping val="standard"/>
        <c:varyColors val="0"/>
        <c:ser>
          <c:idx val="0"/>
          <c:order val="0"/>
          <c:tx>
            <c:strRef>
              <c:f>'flujos - Gasto mensual'!$R$2</c:f>
              <c:strCache>
                <c:ptCount val="1"/>
                <c:pt idx="0">
                  <c:v>take out</c:v>
                </c:pt>
              </c:strCache>
            </c:strRef>
          </c:tx>
          <c:spPr>
            <a:solidFill>
              <a:srgbClr val="FFFFFF"/>
            </a:solidFill>
            <a:ln w="25400" cap="flat">
              <a:solidFill>
                <a:srgbClr val="78CC47"/>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mensual'!$R$3:$R$118</c:f>
              <c:numCache>
                <c:ptCount val="59"/>
                <c:pt idx="0">
                  <c:v>38820.000000</c:v>
                </c:pt>
                <c:pt idx="1">
                  <c:v>41390.000000</c:v>
                </c:pt>
                <c:pt idx="2">
                  <c:v>39790.000000</c:v>
                </c:pt>
                <c:pt idx="3">
                  <c:v>44690.000000</c:v>
                </c:pt>
                <c:pt idx="4">
                  <c:v>29410.000000</c:v>
                </c:pt>
                <c:pt idx="5">
                  <c:v>29810.000000</c:v>
                </c:pt>
                <c:pt idx="6">
                  <c:v>22470.000000</c:v>
                </c:pt>
                <c:pt idx="7">
                  <c:v>37460.000000</c:v>
                </c:pt>
                <c:pt idx="8">
                  <c:v>42550.000000</c:v>
                </c:pt>
                <c:pt idx="9">
                  <c:v>83320.000000</c:v>
                </c:pt>
                <c:pt idx="10">
                  <c:v>29950.000000</c:v>
                </c:pt>
                <c:pt idx="11">
                  <c:v>16100.000000</c:v>
                </c:pt>
                <c:pt idx="12">
                  <c:v>17780.000000</c:v>
                </c:pt>
                <c:pt idx="13">
                  <c:v>3400.000000</c:v>
                </c:pt>
                <c:pt idx="14">
                  <c:v>4830.000000</c:v>
                </c:pt>
                <c:pt idx="15">
                  <c:v>2550.000000</c:v>
                </c:pt>
                <c:pt idx="16">
                  <c:v>17110.000000</c:v>
                </c:pt>
                <c:pt idx="17">
                  <c:v>6480.000000</c:v>
                </c:pt>
                <c:pt idx="18">
                  <c:v>13330.000000</c:v>
                </c:pt>
                <c:pt idx="19">
                  <c:v>28530.000000</c:v>
                </c:pt>
                <c:pt idx="20">
                  <c:v>30378.000000</c:v>
                </c:pt>
                <c:pt idx="21">
                  <c:v>35890.000000</c:v>
                </c:pt>
                <c:pt idx="22">
                  <c:v>72787.500000</c:v>
                </c:pt>
                <c:pt idx="23">
                  <c:v>80939.000000</c:v>
                </c:pt>
                <c:pt idx="24">
                  <c:v>64789.000000</c:v>
                </c:pt>
                <c:pt idx="25">
                  <c:v>81516.000000</c:v>
                </c:pt>
                <c:pt idx="26">
                  <c:v>39540.000000</c:v>
                </c:pt>
                <c:pt idx="27">
                  <c:v>30570.000000</c:v>
                </c:pt>
                <c:pt idx="28">
                  <c:v>20300.000000</c:v>
                </c:pt>
                <c:pt idx="29">
                  <c:v>64352.000000</c:v>
                </c:pt>
                <c:pt idx="30">
                  <c:v>52612.000000</c:v>
                </c:pt>
                <c:pt idx="31">
                  <c:v>59720.000000</c:v>
                </c:pt>
                <c:pt idx="32">
                  <c:v>14490.000000</c:v>
                </c:pt>
                <c:pt idx="33">
                  <c:v>1500.000000</c:v>
                </c:pt>
                <c:pt idx="34">
                  <c:v>0.000000</c:v>
                </c:pt>
                <c:pt idx="35">
                  <c:v>0.000000</c:v>
                </c:pt>
                <c:pt idx="36">
                  <c:v>0.000000</c:v>
                </c:pt>
                <c:pt idx="37">
                  <c:v>0.000000</c:v>
                </c:pt>
                <c:pt idx="38">
                  <c:v>0.000000</c:v>
                </c:pt>
                <c:pt idx="39">
                  <c:v>0.000000</c:v>
                </c:pt>
                <c:pt idx="40">
                  <c:v>0.000000</c:v>
                </c:pt>
                <c:pt idx="41">
                  <c:v>0.000000</c:v>
                </c:pt>
                <c:pt idx="42">
                  <c:v>0.000000</c:v>
                </c:pt>
                <c:pt idx="43">
                  <c:v>11090.000000</c:v>
                </c:pt>
                <c:pt idx="44">
                  <c:v>9300.000000</c:v>
                </c:pt>
                <c:pt idx="45">
                  <c:v>0.000000</c:v>
                </c:pt>
                <c:pt idx="46">
                  <c:v>12000.000000</c:v>
                </c:pt>
                <c:pt idx="47">
                  <c:v>0.000000</c:v>
                </c:pt>
                <c:pt idx="48">
                  <c:v>0.000000</c:v>
                </c:pt>
                <c:pt idx="49">
                  <c:v>0.000000</c:v>
                </c:pt>
                <c:pt idx="50">
                  <c:v>56140.000000</c:v>
                </c:pt>
                <c:pt idx="51">
                  <c:v>0.000000</c:v>
                </c:pt>
                <c:pt idx="52">
                  <c:v>0.000000</c:v>
                </c:pt>
                <c:pt idx="87">
                  <c:v>0.000000</c:v>
                </c:pt>
                <c:pt idx="91">
                  <c:v>61575.000000</c:v>
                </c:pt>
                <c:pt idx="92">
                  <c:v>130607.000000</c:v>
                </c:pt>
                <c:pt idx="93">
                  <c:v>141033.000000</c:v>
                </c:pt>
                <c:pt idx="94">
                  <c:v>73887.000000</c:v>
                </c:pt>
                <c:pt idx="95">
                  <c:v>65724.000000</c:v>
                </c:pt>
              </c:numCache>
            </c:numRef>
          </c:val>
          <c:smooth val="0"/>
        </c:ser>
        <c:ser>
          <c:idx val="1"/>
          <c:order val="1"/>
          <c:tx>
            <c:strRef>
              <c:f>'flujos - Gasto mensual'!$V$2</c:f>
              <c:strCache>
                <c:ptCount val="1"/>
                <c:pt idx="0">
                  <c:v>Drugs</c:v>
                </c:pt>
              </c:strCache>
            </c:strRef>
          </c:tx>
          <c:spPr>
            <a:solidFill>
              <a:schemeClr val="accent1">
                <a:satOff val="11152"/>
                <a:lumOff val="9508"/>
                <a:alpha val="48456"/>
              </a:schemeClr>
            </a:solidFill>
            <a:ln w="25400" cap="flat">
              <a:solidFill>
                <a:srgbClr val="C9E4F7">
                  <a:alpha val="29276"/>
                </a:srgbClr>
              </a:solidFill>
              <a:prstDash val="solid"/>
              <a:miter lim="400000"/>
            </a:ln>
            <a:effectLst/>
          </c:spPr>
          <c:marker>
            <c:symbol val="circle"/>
            <c:size val="4"/>
            <c:spPr>
              <a:solidFill>
                <a:schemeClr val="accent1">
                  <a:satOff val="11152"/>
                  <a:lumOff val="9508"/>
                  <a:alpha val="48456"/>
                </a:schemeClr>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38100" cap="flat">
                <a:solidFill>
                  <a:schemeClr val="accent1">
                    <a:satOff val="11152"/>
                    <a:lumOff val="9508"/>
                  </a:schemeClr>
                </a:solidFill>
                <a:prstDash val="solid"/>
                <a:miter lim="400000"/>
              </a:ln>
              <a:effectLst/>
            </c:spPr>
            <c:trendlineType val="movingAvg"/>
            <c:period val="3"/>
            <c:forward val="0"/>
            <c:backward val="0"/>
            <c:dispRSqr val="0"/>
            <c:dispEq val="0"/>
          </c:trendline>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mensual'!$V$3:$V$118</c:f>
              <c:numCache>
                <c:ptCount val="62"/>
                <c:pt idx="0">
                  <c:v>106750.000000</c:v>
                </c:pt>
                <c:pt idx="1">
                  <c:v>120000.000000</c:v>
                </c:pt>
                <c:pt idx="2">
                  <c:v>90000.000000</c:v>
                </c:pt>
                <c:pt idx="3">
                  <c:v>97000.000000</c:v>
                </c:pt>
                <c:pt idx="4">
                  <c:v>120000.000000</c:v>
                </c:pt>
                <c:pt idx="5">
                  <c:v>120000.000000</c:v>
                </c:pt>
                <c:pt idx="6">
                  <c:v>140000.000000</c:v>
                </c:pt>
                <c:pt idx="7">
                  <c:v>115000.000000</c:v>
                </c:pt>
                <c:pt idx="8">
                  <c:v>80000.000000</c:v>
                </c:pt>
                <c:pt idx="9">
                  <c:v>108000.000000</c:v>
                </c:pt>
                <c:pt idx="10">
                  <c:v>153000.000000</c:v>
                </c:pt>
                <c:pt idx="11">
                  <c:v>150000.000000</c:v>
                </c:pt>
                <c:pt idx="12">
                  <c:v>140000.000000</c:v>
                </c:pt>
                <c:pt idx="13">
                  <c:v>200000.000000</c:v>
                </c:pt>
                <c:pt idx="14">
                  <c:v>200000.000000</c:v>
                </c:pt>
                <c:pt idx="15">
                  <c:v>190000.000000</c:v>
                </c:pt>
                <c:pt idx="16">
                  <c:v>150000.000000</c:v>
                </c:pt>
                <c:pt idx="17">
                  <c:v>150000.000000</c:v>
                </c:pt>
                <c:pt idx="18">
                  <c:v>150000.000000</c:v>
                </c:pt>
                <c:pt idx="19">
                  <c:v>155000.000000</c:v>
                </c:pt>
                <c:pt idx="20">
                  <c:v>175000.000000</c:v>
                </c:pt>
                <c:pt idx="21">
                  <c:v>185000.000000</c:v>
                </c:pt>
                <c:pt idx="22">
                  <c:v>150000.000000</c:v>
                </c:pt>
                <c:pt idx="23">
                  <c:v>180000.000000</c:v>
                </c:pt>
                <c:pt idx="24">
                  <c:v>180000.000000</c:v>
                </c:pt>
                <c:pt idx="25">
                  <c:v>155000.000000</c:v>
                </c:pt>
                <c:pt idx="26">
                  <c:v>300000.000000</c:v>
                </c:pt>
                <c:pt idx="27">
                  <c:v>240000.000000</c:v>
                </c:pt>
                <c:pt idx="28">
                  <c:v>228990.000000</c:v>
                </c:pt>
                <c:pt idx="29">
                  <c:v>456000.000000</c:v>
                </c:pt>
                <c:pt idx="30">
                  <c:v>248465.000000</c:v>
                </c:pt>
                <c:pt idx="31">
                  <c:v>195760.000000</c:v>
                </c:pt>
                <c:pt idx="32">
                  <c:v>119990.000000</c:v>
                </c:pt>
                <c:pt idx="33">
                  <c:v>270010.000000</c:v>
                </c:pt>
                <c:pt idx="34">
                  <c:v>382000.000000</c:v>
                </c:pt>
                <c:pt idx="35">
                  <c:v>185000.000000</c:v>
                </c:pt>
                <c:pt idx="36">
                  <c:v>46000.000000</c:v>
                </c:pt>
                <c:pt idx="37">
                  <c:v>31980.000000</c:v>
                </c:pt>
                <c:pt idx="38">
                  <c:v>302440.000000</c:v>
                </c:pt>
                <c:pt idx="39">
                  <c:v>265000.000000</c:v>
                </c:pt>
                <c:pt idx="40">
                  <c:v>53388.000000</c:v>
                </c:pt>
                <c:pt idx="41">
                  <c:v>50000.000000</c:v>
                </c:pt>
                <c:pt idx="42">
                  <c:v>123380.000000</c:v>
                </c:pt>
                <c:pt idx="43">
                  <c:v>124000.000000</c:v>
                </c:pt>
                <c:pt idx="44">
                  <c:v>242000.000000</c:v>
                </c:pt>
                <c:pt idx="45">
                  <c:v>93000.000000</c:v>
                </c:pt>
                <c:pt idx="46">
                  <c:v>0.000000</c:v>
                </c:pt>
                <c:pt idx="47">
                  <c:v>319000.000000</c:v>
                </c:pt>
                <c:pt idx="48">
                  <c:v>328000.000000</c:v>
                </c:pt>
                <c:pt idx="49">
                  <c:v>388000.000000</c:v>
                </c:pt>
                <c:pt idx="50">
                  <c:v>503000.000000</c:v>
                </c:pt>
                <c:pt idx="51">
                  <c:v>0.000000</c:v>
                </c:pt>
                <c:pt idx="52">
                  <c:v>0.000000</c:v>
                </c:pt>
                <c:pt idx="87">
                  <c:v>0.000000</c:v>
                </c:pt>
                <c:pt idx="89">
                  <c:v>200000.000000</c:v>
                </c:pt>
                <c:pt idx="90">
                  <c:v>200000.000000</c:v>
                </c:pt>
                <c:pt idx="91">
                  <c:v>200000.000000</c:v>
                </c:pt>
                <c:pt idx="92">
                  <c:v>450000.000000</c:v>
                </c:pt>
                <c:pt idx="93">
                  <c:v>200000.000000</c:v>
                </c:pt>
                <c:pt idx="94">
                  <c:v>400000.000000</c:v>
                </c:pt>
                <c:pt idx="95">
                  <c:v>200000.000000</c:v>
                </c:pt>
                <c:pt idx="96">
                  <c:v>400000.000000</c:v>
                </c:pt>
              </c:numCache>
            </c:numRef>
          </c:val>
          <c:smooth val="0"/>
        </c:ser>
        <c:ser>
          <c:idx val="2"/>
          <c:order val="2"/>
          <c:tx>
            <c:strRef>
              <c:f>'flujos - Gasto mensual'!$P$2</c:f>
              <c:strCache>
                <c:ptCount val="1"/>
                <c:pt idx="0">
                  <c:v>Supermercado</c:v>
                </c:pt>
              </c:strCache>
            </c:strRef>
          </c:tx>
          <c:spPr>
            <a:solidFill>
              <a:srgbClr val="9C8B1A">
                <a:alpha val="50000"/>
              </a:srgbClr>
            </a:solidFill>
            <a:ln w="25400" cap="flat">
              <a:solidFill>
                <a:srgbClr val="9C8B1A">
                  <a:alpha val="14150"/>
                </a:srgbClr>
              </a:solidFill>
              <a:prstDash val="solid"/>
              <a:miter lim="400000"/>
            </a:ln>
            <a:effectLst/>
          </c:spPr>
          <c:marker>
            <c:symbol val="circle"/>
            <c:size val="4"/>
            <c:spPr>
              <a:solidFill>
                <a:srgbClr val="9C8B1A">
                  <a:alpha val="50000"/>
                </a:srgbClr>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38100" cap="flat">
                <a:solidFill>
                  <a:srgbClr val="9C8B1A">
                    <a:alpha val="79719"/>
                  </a:srgbClr>
                </a:solidFill>
                <a:prstDash val="solid"/>
                <a:miter lim="400000"/>
              </a:ln>
              <a:effectLst/>
            </c:spPr>
            <c:trendlineType val="movingAvg"/>
            <c:period val="3"/>
            <c:forward val="0"/>
            <c:backward val="0"/>
            <c:dispRSqr val="0"/>
            <c:dispEq val="0"/>
          </c:trendline>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mensual'!$P$3:$P$118</c:f>
              <c:numCache>
                <c:ptCount val="60"/>
                <c:pt idx="0">
                  <c:v>125333.750000</c:v>
                </c:pt>
                <c:pt idx="1">
                  <c:v>172023.000000</c:v>
                </c:pt>
                <c:pt idx="2">
                  <c:v>101864.000000</c:v>
                </c:pt>
                <c:pt idx="3">
                  <c:v>93609.000000</c:v>
                </c:pt>
                <c:pt idx="4">
                  <c:v>133839.000000</c:v>
                </c:pt>
                <c:pt idx="5">
                  <c:v>163960.000000</c:v>
                </c:pt>
                <c:pt idx="6">
                  <c:v>193609.000000</c:v>
                </c:pt>
                <c:pt idx="7">
                  <c:v>175665.000000</c:v>
                </c:pt>
                <c:pt idx="8">
                  <c:v>181799.000000</c:v>
                </c:pt>
                <c:pt idx="9">
                  <c:v>277659.000000</c:v>
                </c:pt>
                <c:pt idx="10">
                  <c:v>181950.000000</c:v>
                </c:pt>
                <c:pt idx="11">
                  <c:v>116288.000000</c:v>
                </c:pt>
                <c:pt idx="12">
                  <c:v>172810.000000</c:v>
                </c:pt>
                <c:pt idx="13">
                  <c:v>221983.000000</c:v>
                </c:pt>
                <c:pt idx="14">
                  <c:v>155166.000000</c:v>
                </c:pt>
                <c:pt idx="15">
                  <c:v>199701.000000</c:v>
                </c:pt>
                <c:pt idx="16">
                  <c:v>184544.000000</c:v>
                </c:pt>
                <c:pt idx="17">
                  <c:v>275472.000000</c:v>
                </c:pt>
                <c:pt idx="18">
                  <c:v>214252.000000</c:v>
                </c:pt>
                <c:pt idx="19">
                  <c:v>209801.000000</c:v>
                </c:pt>
                <c:pt idx="20">
                  <c:v>269562.000000</c:v>
                </c:pt>
                <c:pt idx="21">
                  <c:v>196890.000000</c:v>
                </c:pt>
                <c:pt idx="22">
                  <c:v>131925.000000</c:v>
                </c:pt>
                <c:pt idx="23">
                  <c:v>116929.000000</c:v>
                </c:pt>
                <c:pt idx="24">
                  <c:v>254415.000000</c:v>
                </c:pt>
                <c:pt idx="25">
                  <c:v>401423.000000</c:v>
                </c:pt>
                <c:pt idx="26">
                  <c:v>360634.000000</c:v>
                </c:pt>
                <c:pt idx="27">
                  <c:v>190098.000000</c:v>
                </c:pt>
                <c:pt idx="28">
                  <c:v>392875.000000</c:v>
                </c:pt>
                <c:pt idx="29">
                  <c:v>223294.000000</c:v>
                </c:pt>
                <c:pt idx="30">
                  <c:v>277362.000000</c:v>
                </c:pt>
                <c:pt idx="31">
                  <c:v>246302.000000</c:v>
                </c:pt>
                <c:pt idx="32">
                  <c:v>86111.000000</c:v>
                </c:pt>
                <c:pt idx="33">
                  <c:v>435108.000000</c:v>
                </c:pt>
                <c:pt idx="34">
                  <c:v>247329.000000</c:v>
                </c:pt>
                <c:pt idx="35">
                  <c:v>144756.000000</c:v>
                </c:pt>
                <c:pt idx="36">
                  <c:v>206948.000000</c:v>
                </c:pt>
                <c:pt idx="37">
                  <c:v>143861.000000</c:v>
                </c:pt>
                <c:pt idx="38">
                  <c:v>225066.000000</c:v>
                </c:pt>
                <c:pt idx="39">
                  <c:v>236159.000000</c:v>
                </c:pt>
                <c:pt idx="40">
                  <c:v>275767.000000</c:v>
                </c:pt>
                <c:pt idx="41">
                  <c:v>223549.000000</c:v>
                </c:pt>
                <c:pt idx="42">
                  <c:v>231031.000000</c:v>
                </c:pt>
                <c:pt idx="43">
                  <c:v>200188.000000</c:v>
                </c:pt>
                <c:pt idx="44">
                  <c:v>201137.000000</c:v>
                </c:pt>
                <c:pt idx="45">
                  <c:v>257218.000000</c:v>
                </c:pt>
                <c:pt idx="46">
                  <c:v>215959.000000</c:v>
                </c:pt>
                <c:pt idx="47">
                  <c:v>241188.000000</c:v>
                </c:pt>
                <c:pt idx="48">
                  <c:v>401073.000000</c:v>
                </c:pt>
                <c:pt idx="49">
                  <c:v>259862.000000</c:v>
                </c:pt>
                <c:pt idx="50">
                  <c:v>202884.000000</c:v>
                </c:pt>
                <c:pt idx="51">
                  <c:v>0.000000</c:v>
                </c:pt>
                <c:pt idx="52">
                  <c:v>0.000000</c:v>
                </c:pt>
                <c:pt idx="87">
                  <c:v>0.000000</c:v>
                </c:pt>
                <c:pt idx="91">
                  <c:v>487730.000000</c:v>
                </c:pt>
                <c:pt idx="92">
                  <c:v>214252.000000</c:v>
                </c:pt>
                <c:pt idx="93">
                  <c:v>362084.000000</c:v>
                </c:pt>
                <c:pt idx="94">
                  <c:v>363950.000000</c:v>
                </c:pt>
                <c:pt idx="95">
                  <c:v>452879.000000</c:v>
                </c:pt>
                <c:pt idx="96">
                  <c:v>515069.000000</c:v>
                </c:pt>
              </c:numCache>
            </c:numRef>
          </c:val>
          <c:smooth val="0"/>
        </c:ser>
        <c:ser>
          <c:idx val="3"/>
          <c:order val="3"/>
          <c:tx>
            <c:strRef>
              <c:f>'flujos - Gasto mensual'!$T$2</c:f>
              <c:strCache>
                <c:ptCount val="1"/>
                <c:pt idx="0">
                  <c:v>Otros</c:v>
                </c:pt>
              </c:strCache>
            </c:strRef>
          </c:tx>
          <c:spPr>
            <a:solidFill>
              <a:srgbClr val="DB542D">
                <a:alpha val="49800"/>
              </a:srgbClr>
            </a:solidFill>
            <a:ln w="25400" cap="flat">
              <a:solidFill>
                <a:srgbClr val="DB542D">
                  <a:alpha val="10616"/>
                </a:srgbClr>
              </a:solidFill>
              <a:prstDash val="solid"/>
              <a:miter lim="400000"/>
            </a:ln>
            <a:effectLst/>
          </c:spPr>
          <c:marker>
            <c:symbol val="circle"/>
            <c:size val="4"/>
            <c:spPr>
              <a:solidFill>
                <a:srgbClr val="DB542D">
                  <a:alpha val="49800"/>
                </a:srgbClr>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38100" cap="flat">
                <a:solidFill>
                  <a:srgbClr val="DC542D"/>
                </a:solidFill>
                <a:prstDash val="solid"/>
                <a:miter lim="400000"/>
              </a:ln>
              <a:effectLst/>
            </c:spPr>
            <c:trendlineType val="movingAvg"/>
            <c:period val="3"/>
            <c:forward val="0"/>
            <c:backward val="0"/>
            <c:dispRSqr val="0"/>
            <c:dispEq val="0"/>
          </c:trendline>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mensual'!$T$3:$T$118</c:f>
              <c:numCache>
                <c:ptCount val="60"/>
                <c:pt idx="0">
                  <c:v>93575.000000</c:v>
                </c:pt>
                <c:pt idx="1">
                  <c:v>112520.000000</c:v>
                </c:pt>
                <c:pt idx="2">
                  <c:v>227430.000000</c:v>
                </c:pt>
                <c:pt idx="3">
                  <c:v>107710.000000</c:v>
                </c:pt>
                <c:pt idx="4">
                  <c:v>98252.000000</c:v>
                </c:pt>
                <c:pt idx="5">
                  <c:v>86650.000000</c:v>
                </c:pt>
                <c:pt idx="6">
                  <c:v>124710.000000</c:v>
                </c:pt>
                <c:pt idx="7">
                  <c:v>151250.000000</c:v>
                </c:pt>
                <c:pt idx="8">
                  <c:v>122680.000000</c:v>
                </c:pt>
                <c:pt idx="9">
                  <c:v>88880.000000</c:v>
                </c:pt>
                <c:pt idx="10">
                  <c:v>57180.000000</c:v>
                </c:pt>
                <c:pt idx="11">
                  <c:v>100800.000000</c:v>
                </c:pt>
                <c:pt idx="12">
                  <c:v>59387.000000</c:v>
                </c:pt>
                <c:pt idx="13">
                  <c:v>90928.000000</c:v>
                </c:pt>
                <c:pt idx="14">
                  <c:v>125980.000000</c:v>
                </c:pt>
                <c:pt idx="15">
                  <c:v>33230.000000</c:v>
                </c:pt>
                <c:pt idx="16">
                  <c:v>122405.000000</c:v>
                </c:pt>
                <c:pt idx="17">
                  <c:v>302449.000000</c:v>
                </c:pt>
                <c:pt idx="18">
                  <c:v>395615.000000</c:v>
                </c:pt>
                <c:pt idx="19">
                  <c:v>21400.000000</c:v>
                </c:pt>
                <c:pt idx="20">
                  <c:v>114761.000000</c:v>
                </c:pt>
                <c:pt idx="21">
                  <c:v>235969.000000</c:v>
                </c:pt>
                <c:pt idx="22">
                  <c:v>412926.500000</c:v>
                </c:pt>
                <c:pt idx="23">
                  <c:v>494540.000000</c:v>
                </c:pt>
                <c:pt idx="24">
                  <c:v>352474.000000</c:v>
                </c:pt>
                <c:pt idx="25">
                  <c:v>1788124.000000</c:v>
                </c:pt>
                <c:pt idx="26">
                  <c:v>305569.000000</c:v>
                </c:pt>
                <c:pt idx="27">
                  <c:v>1140223.000000</c:v>
                </c:pt>
                <c:pt idx="28">
                  <c:v>265746.000000</c:v>
                </c:pt>
                <c:pt idx="29">
                  <c:v>518424.000000</c:v>
                </c:pt>
                <c:pt idx="30">
                  <c:v>557394.000000</c:v>
                </c:pt>
                <c:pt idx="31">
                  <c:v>432600.000000</c:v>
                </c:pt>
                <c:pt idx="32">
                  <c:v>170416.000000</c:v>
                </c:pt>
                <c:pt idx="33">
                  <c:v>2080691.000000</c:v>
                </c:pt>
                <c:pt idx="34">
                  <c:v>92565.000000</c:v>
                </c:pt>
                <c:pt idx="35">
                  <c:v>28580.000000</c:v>
                </c:pt>
                <c:pt idx="36">
                  <c:v>371450.000000</c:v>
                </c:pt>
                <c:pt idx="37">
                  <c:v>110164.000000</c:v>
                </c:pt>
                <c:pt idx="38">
                  <c:v>417365.000000</c:v>
                </c:pt>
                <c:pt idx="39">
                  <c:v>582115.000000</c:v>
                </c:pt>
                <c:pt idx="40">
                  <c:v>208314.000000</c:v>
                </c:pt>
                <c:pt idx="41">
                  <c:v>650987.000000</c:v>
                </c:pt>
                <c:pt idx="42">
                  <c:v>582875.000000</c:v>
                </c:pt>
                <c:pt idx="43">
                  <c:v>234130.000000</c:v>
                </c:pt>
                <c:pt idx="44">
                  <c:v>44037.000000</c:v>
                </c:pt>
                <c:pt idx="45">
                  <c:v>87496.000000</c:v>
                </c:pt>
                <c:pt idx="46">
                  <c:v>313511.000000</c:v>
                </c:pt>
                <c:pt idx="47">
                  <c:v>107823.000000</c:v>
                </c:pt>
                <c:pt idx="48">
                  <c:v>762495.000000</c:v>
                </c:pt>
                <c:pt idx="49">
                  <c:v>321276.000000</c:v>
                </c:pt>
                <c:pt idx="50">
                  <c:v>1907264.000000</c:v>
                </c:pt>
                <c:pt idx="51">
                  <c:v>1800422.000000</c:v>
                </c:pt>
                <c:pt idx="52">
                  <c:v>0.000000</c:v>
                </c:pt>
                <c:pt idx="87">
                  <c:v>0.000000</c:v>
                </c:pt>
                <c:pt idx="91">
                  <c:v>-922911.000000</c:v>
                </c:pt>
                <c:pt idx="92">
                  <c:v>-10974160.000000</c:v>
                </c:pt>
                <c:pt idx="93">
                  <c:v>-23141489.400000</c:v>
                </c:pt>
                <c:pt idx="94">
                  <c:v>1350021.000000</c:v>
                </c:pt>
                <c:pt idx="95">
                  <c:v>842120.000000</c:v>
                </c:pt>
                <c:pt idx="96">
                  <c:v>1178539.000000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2e+06"/>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131262"/>
          <c:y val="0"/>
          <c:w val="0.811805"/>
          <c:h val="0.041534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52534"/>
          <c:y val="0.0523602"/>
          <c:w val="0.942466"/>
          <c:h val="0.913782"/>
        </c:manualLayout>
      </c:layout>
      <c:areaChart>
        <c:grouping val="stacked"/>
        <c:varyColors val="0"/>
        <c:ser>
          <c:idx val="0"/>
          <c:order val="0"/>
          <c:tx>
            <c:strRef>
              <c:f>'flujos - Gasto mensual'!$U$2</c:f>
              <c:strCache>
                <c:ptCount val="1"/>
                <c:pt idx="0">
                  <c:v>Cuentas</c:v>
                </c:pt>
              </c:strCache>
            </c:strRef>
          </c:tx>
          <c:spPr>
            <a:gradFill flip="none" rotWithShape="1">
              <a:gsLst>
                <a:gs pos="0">
                  <a:srgbClr val="51A7F9"/>
                </a:gs>
                <a:gs pos="100000">
                  <a:srgbClr val="0365C0"/>
                </a:gs>
              </a:gsLst>
              <a:lin ang="5400000" scaled="0"/>
            </a:gradFill>
            <a:ln w="12700" cap="flat">
              <a:noFill/>
              <a:miter lim="400000"/>
            </a:ln>
            <a:effectLst/>
          </c:spP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mensual'!$U$3:$U$118</c:f>
              <c:numCache>
                <c:ptCount val="86"/>
                <c:pt idx="0">
                  <c:v>0.000000</c:v>
                </c:pt>
                <c:pt idx="1">
                  <c:v>0.000000</c:v>
                </c:pt>
                <c:pt idx="2">
                  <c:v>0.000000</c:v>
                </c:pt>
                <c:pt idx="3">
                  <c:v>0.000000</c:v>
                </c:pt>
                <c:pt idx="4">
                  <c:v>0.000000</c:v>
                </c:pt>
                <c:pt idx="5">
                  <c:v>0.000000</c:v>
                </c:pt>
                <c:pt idx="6">
                  <c:v>0.000000</c:v>
                </c:pt>
                <c:pt idx="7">
                  <c:v>0.000000</c:v>
                </c:pt>
                <c:pt idx="8">
                  <c:v>0.000000</c:v>
                </c:pt>
                <c:pt idx="9">
                  <c:v>0.000000</c:v>
                </c:pt>
                <c:pt idx="10">
                  <c:v>0.000000</c:v>
                </c:pt>
                <c:pt idx="11">
                  <c:v>0.000000</c:v>
                </c:pt>
                <c:pt idx="12">
                  <c:v>0.000000</c:v>
                </c:pt>
                <c:pt idx="13">
                  <c:v>0.000000</c:v>
                </c:pt>
                <c:pt idx="14">
                  <c:v>0.000000</c:v>
                </c:pt>
                <c:pt idx="15">
                  <c:v>0.000000</c:v>
                </c:pt>
                <c:pt idx="16">
                  <c:v>0.000000</c:v>
                </c:pt>
                <c:pt idx="17">
                  <c:v>0.000000</c:v>
                </c:pt>
                <c:pt idx="18">
                  <c:v>0.000000</c:v>
                </c:pt>
                <c:pt idx="19">
                  <c:v>0.000000</c:v>
                </c:pt>
                <c:pt idx="20">
                  <c:v>0.000000</c:v>
                </c:pt>
                <c:pt idx="21">
                  <c:v>0.000000</c:v>
                </c:pt>
                <c:pt idx="22">
                  <c:v>0.000000</c:v>
                </c:pt>
                <c:pt idx="23">
                  <c:v>0.000000</c:v>
                </c:pt>
                <c:pt idx="24">
                  <c:v>0.000000</c:v>
                </c:pt>
                <c:pt idx="25">
                  <c:v>1000000.000000</c:v>
                </c:pt>
                <c:pt idx="26">
                  <c:v>746875.000000</c:v>
                </c:pt>
                <c:pt idx="27">
                  <c:v>843066.000000</c:v>
                </c:pt>
                <c:pt idx="28">
                  <c:v>863945.000000</c:v>
                </c:pt>
                <c:pt idx="29">
                  <c:v>851582.000000</c:v>
                </c:pt>
                <c:pt idx="30">
                  <c:v>832012.000000</c:v>
                </c:pt>
                <c:pt idx="31">
                  <c:v>843276.000000</c:v>
                </c:pt>
                <c:pt idx="32">
                  <c:v>849309.000000</c:v>
                </c:pt>
                <c:pt idx="33">
                  <c:v>813191.000000</c:v>
                </c:pt>
                <c:pt idx="34">
                  <c:v>840735.000000</c:v>
                </c:pt>
                <c:pt idx="35">
                  <c:v>839197.000000</c:v>
                </c:pt>
                <c:pt idx="36">
                  <c:v>860647.000000</c:v>
                </c:pt>
                <c:pt idx="37">
                  <c:v>846355.000000</c:v>
                </c:pt>
                <c:pt idx="38">
                  <c:v>839762.000000</c:v>
                </c:pt>
                <c:pt idx="39">
                  <c:v>917981.000000</c:v>
                </c:pt>
                <c:pt idx="40">
                  <c:v>861986.000000</c:v>
                </c:pt>
                <c:pt idx="41">
                  <c:v>882375.000000</c:v>
                </c:pt>
                <c:pt idx="42">
                  <c:v>849018.000000</c:v>
                </c:pt>
                <c:pt idx="43">
                  <c:v>871405.000000</c:v>
                </c:pt>
                <c:pt idx="44">
                  <c:v>855087.000000</c:v>
                </c:pt>
                <c:pt idx="45">
                  <c:v>869632.000000</c:v>
                </c:pt>
                <c:pt idx="46">
                  <c:v>875467.000000</c:v>
                </c:pt>
                <c:pt idx="47">
                  <c:v>821764.000000</c:v>
                </c:pt>
                <c:pt idx="48">
                  <c:v>815209.000000</c:v>
                </c:pt>
                <c:pt idx="49">
                  <c:v>861303.000000</c:v>
                </c:pt>
                <c:pt idx="50">
                  <c:v>1596301.000000</c:v>
                </c:pt>
                <c:pt idx="51">
                  <c:v>820253.000000</c:v>
                </c:pt>
                <c:pt idx="52">
                  <c:v>930817.000000</c:v>
                </c:pt>
                <c:pt idx="83">
                  <c:v>0.000000</c:v>
                </c:pt>
                <c:pt idx="84">
                  <c:v>1200000.000000</c:v>
                </c:pt>
                <c:pt idx="85">
                  <c:v>3011141.000000</c:v>
                </c:pt>
                <c:pt idx="86">
                  <c:v>3009576.000000</c:v>
                </c:pt>
                <c:pt idx="87">
                  <c:v>3030085.000000</c:v>
                </c:pt>
                <c:pt idx="88">
                  <c:v>3038359.000000</c:v>
                </c:pt>
                <c:pt idx="89">
                  <c:v>22825709.000000</c:v>
                </c:pt>
                <c:pt idx="90">
                  <c:v>3071042.000000</c:v>
                </c:pt>
                <c:pt idx="91">
                  <c:v>3071622.000000</c:v>
                </c:pt>
                <c:pt idx="92">
                  <c:v>18672815.000000</c:v>
                </c:pt>
                <c:pt idx="93">
                  <c:v>27658932.400000</c:v>
                </c:pt>
                <c:pt idx="94">
                  <c:v>1519135.000000</c:v>
                </c:pt>
                <c:pt idx="95">
                  <c:v>1696375.000000</c:v>
                </c:pt>
                <c:pt idx="96">
                  <c:v>1696375.000000</c:v>
                </c:pt>
                <c:pt idx="97">
                  <c:v>930817.000000</c:v>
                </c:pt>
                <c:pt idx="98">
                  <c:v>930817.000000</c:v>
                </c:pt>
                <c:pt idx="99">
                  <c:v>930817.000000</c:v>
                </c:pt>
                <c:pt idx="100">
                  <c:v>930817.000000</c:v>
                </c:pt>
                <c:pt idx="101">
                  <c:v>930817.000000</c:v>
                </c:pt>
                <c:pt idx="102">
                  <c:v>930817.000000</c:v>
                </c:pt>
                <c:pt idx="103">
                  <c:v>930817.000000</c:v>
                </c:pt>
                <c:pt idx="104">
                  <c:v>930817.000000</c:v>
                </c:pt>
                <c:pt idx="105">
                  <c:v>930817.000000</c:v>
                </c:pt>
                <c:pt idx="106">
                  <c:v>930817.000000</c:v>
                </c:pt>
                <c:pt idx="107">
                  <c:v>930817.000000</c:v>
                </c:pt>
                <c:pt idx="108">
                  <c:v>930817.000000</c:v>
                </c:pt>
                <c:pt idx="109">
                  <c:v>930817.000000</c:v>
                </c:pt>
                <c:pt idx="110">
                  <c:v>930817.000000</c:v>
                </c:pt>
                <c:pt idx="111">
                  <c:v>930817.000000</c:v>
                </c:pt>
                <c:pt idx="112">
                  <c:v>930817.000000</c:v>
                </c:pt>
                <c:pt idx="113">
                  <c:v>930817.000000</c:v>
                </c:pt>
                <c:pt idx="114">
                  <c:v>930817.000000</c:v>
                </c:pt>
                <c:pt idx="115">
                  <c:v>930817.000000</c:v>
                </c:pt>
              </c:numCache>
            </c:numRef>
          </c:val>
        </c:ser>
        <c:ser>
          <c:idx val="1"/>
          <c:order val="1"/>
          <c:tx>
            <c:strRef>
              <c:f>'flujos - Gasto mensual'!$W$2</c:f>
              <c:strCache>
                <c:ptCount val="1"/>
                <c:pt idx="0">
                  <c:v>Salud</c:v>
                </c:pt>
              </c:strCache>
            </c:strRef>
          </c:tx>
          <c:spPr>
            <a:gradFill flip="none" rotWithShape="1">
              <a:gsLst>
                <a:gs pos="0">
                  <a:srgbClr val="70BF41"/>
                </a:gs>
                <a:gs pos="100000">
                  <a:srgbClr val="00882B"/>
                </a:gs>
              </a:gsLst>
              <a:lin ang="5400000" scaled="0"/>
            </a:gradFill>
            <a:ln w="12700" cap="flat">
              <a:noFill/>
              <a:miter lim="400000"/>
            </a:ln>
            <a:effectLst/>
          </c:spP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mensual'!$W$3:$W$118</c:f>
              <c:numCache>
                <c:ptCount val="56"/>
                <c:pt idx="0">
                  <c:v>115902.000000</c:v>
                </c:pt>
                <c:pt idx="1">
                  <c:v>122765.000000</c:v>
                </c:pt>
                <c:pt idx="2">
                  <c:v>131804.000000</c:v>
                </c:pt>
                <c:pt idx="3">
                  <c:v>171471.000000</c:v>
                </c:pt>
                <c:pt idx="4">
                  <c:v>85916.000000</c:v>
                </c:pt>
                <c:pt idx="5">
                  <c:v>172471.000000</c:v>
                </c:pt>
                <c:pt idx="6">
                  <c:v>92461.000000</c:v>
                </c:pt>
                <c:pt idx="7">
                  <c:v>85916.000000</c:v>
                </c:pt>
                <c:pt idx="8">
                  <c:v>101638.000000</c:v>
                </c:pt>
                <c:pt idx="9">
                  <c:v>120828.000000</c:v>
                </c:pt>
                <c:pt idx="10">
                  <c:v>131020.000000</c:v>
                </c:pt>
                <c:pt idx="11">
                  <c:v>85741.000000</c:v>
                </c:pt>
                <c:pt idx="12">
                  <c:v>126587.000000</c:v>
                </c:pt>
                <c:pt idx="13">
                  <c:v>161587.000000</c:v>
                </c:pt>
                <c:pt idx="14">
                  <c:v>83519.517510</c:v>
                </c:pt>
                <c:pt idx="15">
                  <c:v>85214.795050</c:v>
                </c:pt>
                <c:pt idx="16">
                  <c:v>102215.000000</c:v>
                </c:pt>
                <c:pt idx="17">
                  <c:v>85812.000000</c:v>
                </c:pt>
                <c:pt idx="18">
                  <c:v>85710.000000</c:v>
                </c:pt>
                <c:pt idx="19">
                  <c:v>85812.000000</c:v>
                </c:pt>
                <c:pt idx="20">
                  <c:v>85751.000000</c:v>
                </c:pt>
                <c:pt idx="21">
                  <c:v>104791.000000</c:v>
                </c:pt>
                <c:pt idx="22">
                  <c:v>85812.000000</c:v>
                </c:pt>
                <c:pt idx="23">
                  <c:v>86425.000000</c:v>
                </c:pt>
                <c:pt idx="24">
                  <c:v>97417.000000</c:v>
                </c:pt>
                <c:pt idx="25">
                  <c:v>136198.000000</c:v>
                </c:pt>
                <c:pt idx="26">
                  <c:v>166124.000000</c:v>
                </c:pt>
                <c:pt idx="27">
                  <c:v>113935.000000</c:v>
                </c:pt>
                <c:pt idx="28">
                  <c:v>87367.000000</c:v>
                </c:pt>
                <c:pt idx="29">
                  <c:v>103935.000000</c:v>
                </c:pt>
                <c:pt idx="30">
                  <c:v>112500.000000</c:v>
                </c:pt>
                <c:pt idx="31">
                  <c:v>122787.000000</c:v>
                </c:pt>
                <c:pt idx="32">
                  <c:v>88129.000000</c:v>
                </c:pt>
                <c:pt idx="33">
                  <c:v>104170.000000</c:v>
                </c:pt>
                <c:pt idx="34">
                  <c:v>110183.000000</c:v>
                </c:pt>
                <c:pt idx="35">
                  <c:v>89395.000000</c:v>
                </c:pt>
                <c:pt idx="36">
                  <c:v>129582.000000</c:v>
                </c:pt>
                <c:pt idx="37">
                  <c:v>101585.000000</c:v>
                </c:pt>
                <c:pt idx="38">
                  <c:v>101483.000000</c:v>
                </c:pt>
                <c:pt idx="39">
                  <c:v>119813.000000</c:v>
                </c:pt>
                <c:pt idx="40">
                  <c:v>105382.000000</c:v>
                </c:pt>
                <c:pt idx="41">
                  <c:v>112783.000000</c:v>
                </c:pt>
                <c:pt idx="42">
                  <c:v>247448.000000</c:v>
                </c:pt>
                <c:pt idx="43">
                  <c:v>132373.000000</c:v>
                </c:pt>
                <c:pt idx="44">
                  <c:v>120472.000000</c:v>
                </c:pt>
                <c:pt idx="45">
                  <c:v>108367.000000</c:v>
                </c:pt>
                <c:pt idx="46">
                  <c:v>101790.000000</c:v>
                </c:pt>
                <c:pt idx="47">
                  <c:v>149713.000000</c:v>
                </c:pt>
                <c:pt idx="48">
                  <c:v>121321.000000</c:v>
                </c:pt>
                <c:pt idx="49">
                  <c:v>127761.000000</c:v>
                </c:pt>
                <c:pt idx="50">
                  <c:v>134721.000000</c:v>
                </c:pt>
                <c:pt idx="51">
                  <c:v>0.000000</c:v>
                </c:pt>
                <c:pt idx="52">
                  <c:v>0.000000</c:v>
                </c:pt>
                <c:pt idx="87">
                  <c:v>0.000000</c:v>
                </c:pt>
                <c:pt idx="91">
                  <c:v>16187.000000</c:v>
                </c:pt>
                <c:pt idx="95">
                  <c:v>189607.000000</c:v>
                </c:pt>
              </c:numCache>
            </c:numRef>
          </c:val>
        </c:ser>
        <c:ser>
          <c:idx val="2"/>
          <c:order val="2"/>
          <c:tx>
            <c:strRef>
              <c:f>'flujos - Gasto mensual'!$P$2</c:f>
              <c:strCache>
                <c:ptCount val="1"/>
                <c:pt idx="0">
                  <c:v>Supermercado</c:v>
                </c:pt>
              </c:strCache>
            </c:strRef>
          </c:tx>
          <c:spPr>
            <a:gradFill flip="none" rotWithShape="1">
              <a:gsLst>
                <a:gs pos="0">
                  <a:srgbClr val="FBE12B"/>
                </a:gs>
                <a:gs pos="100000">
                  <a:srgbClr val="BE9A1A"/>
                </a:gs>
              </a:gsLst>
              <a:lin ang="5400000" scaled="0"/>
            </a:gradFill>
            <a:ln w="12700" cap="flat">
              <a:noFill/>
              <a:miter lim="400000"/>
            </a:ln>
            <a:effectLst/>
          </c:spP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trendline>
            <c:spPr>
              <a:noFill/>
              <a:ln w="38100" cap="flat">
                <a:solidFill>
                  <a:srgbClr val="9C8B1A">
                    <a:alpha val="79719"/>
                  </a:srgbClr>
                </a:solidFill>
                <a:prstDash val="solid"/>
                <a:miter lim="400000"/>
              </a:ln>
              <a:effectLst/>
            </c:spPr>
            <c:trendlineType val="movingAvg"/>
            <c:period val="6"/>
            <c:forward val="0"/>
            <c:backward val="0"/>
            <c:dispRSqr val="0"/>
            <c:dispEq val="0"/>
          </c:trendline>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mensual'!$P$3:$P$118</c:f>
              <c:numCache>
                <c:ptCount val="60"/>
                <c:pt idx="0">
                  <c:v>125333.750000</c:v>
                </c:pt>
                <c:pt idx="1">
                  <c:v>172023.000000</c:v>
                </c:pt>
                <c:pt idx="2">
                  <c:v>101864.000000</c:v>
                </c:pt>
                <c:pt idx="3">
                  <c:v>93609.000000</c:v>
                </c:pt>
                <c:pt idx="4">
                  <c:v>133839.000000</c:v>
                </c:pt>
                <c:pt idx="5">
                  <c:v>163960.000000</c:v>
                </c:pt>
                <c:pt idx="6">
                  <c:v>193609.000000</c:v>
                </c:pt>
                <c:pt idx="7">
                  <c:v>175665.000000</c:v>
                </c:pt>
                <c:pt idx="8">
                  <c:v>181799.000000</c:v>
                </c:pt>
                <c:pt idx="9">
                  <c:v>277659.000000</c:v>
                </c:pt>
                <c:pt idx="10">
                  <c:v>181950.000000</c:v>
                </c:pt>
                <c:pt idx="11">
                  <c:v>116288.000000</c:v>
                </c:pt>
                <c:pt idx="12">
                  <c:v>172810.000000</c:v>
                </c:pt>
                <c:pt idx="13">
                  <c:v>221983.000000</c:v>
                </c:pt>
                <c:pt idx="14">
                  <c:v>155166.000000</c:v>
                </c:pt>
                <c:pt idx="15">
                  <c:v>199701.000000</c:v>
                </c:pt>
                <c:pt idx="16">
                  <c:v>184544.000000</c:v>
                </c:pt>
                <c:pt idx="17">
                  <c:v>275472.000000</c:v>
                </c:pt>
                <c:pt idx="18">
                  <c:v>214252.000000</c:v>
                </c:pt>
                <c:pt idx="19">
                  <c:v>209801.000000</c:v>
                </c:pt>
                <c:pt idx="20">
                  <c:v>269562.000000</c:v>
                </c:pt>
                <c:pt idx="21">
                  <c:v>196890.000000</c:v>
                </c:pt>
                <c:pt idx="22">
                  <c:v>131925.000000</c:v>
                </c:pt>
                <c:pt idx="23">
                  <c:v>116929.000000</c:v>
                </c:pt>
                <c:pt idx="24">
                  <c:v>254415.000000</c:v>
                </c:pt>
                <c:pt idx="25">
                  <c:v>401423.000000</c:v>
                </c:pt>
                <c:pt idx="26">
                  <c:v>360634.000000</c:v>
                </c:pt>
                <c:pt idx="27">
                  <c:v>190098.000000</c:v>
                </c:pt>
                <c:pt idx="28">
                  <c:v>392875.000000</c:v>
                </c:pt>
                <c:pt idx="29">
                  <c:v>223294.000000</c:v>
                </c:pt>
                <c:pt idx="30">
                  <c:v>277362.000000</c:v>
                </c:pt>
                <c:pt idx="31">
                  <c:v>246302.000000</c:v>
                </c:pt>
                <c:pt idx="32">
                  <c:v>86111.000000</c:v>
                </c:pt>
                <c:pt idx="33">
                  <c:v>435108.000000</c:v>
                </c:pt>
                <c:pt idx="34">
                  <c:v>247329.000000</c:v>
                </c:pt>
                <c:pt idx="35">
                  <c:v>144756.000000</c:v>
                </c:pt>
                <c:pt idx="36">
                  <c:v>206948.000000</c:v>
                </c:pt>
                <c:pt idx="37">
                  <c:v>143861.000000</c:v>
                </c:pt>
                <c:pt idx="38">
                  <c:v>225066.000000</c:v>
                </c:pt>
                <c:pt idx="39">
                  <c:v>236159.000000</c:v>
                </c:pt>
                <c:pt idx="40">
                  <c:v>275767.000000</c:v>
                </c:pt>
                <c:pt idx="41">
                  <c:v>223549.000000</c:v>
                </c:pt>
                <c:pt idx="42">
                  <c:v>231031.000000</c:v>
                </c:pt>
                <c:pt idx="43">
                  <c:v>200188.000000</c:v>
                </c:pt>
                <c:pt idx="44">
                  <c:v>201137.000000</c:v>
                </c:pt>
                <c:pt idx="45">
                  <c:v>257218.000000</c:v>
                </c:pt>
                <c:pt idx="46">
                  <c:v>215959.000000</c:v>
                </c:pt>
                <c:pt idx="47">
                  <c:v>241188.000000</c:v>
                </c:pt>
                <c:pt idx="48">
                  <c:v>401073.000000</c:v>
                </c:pt>
                <c:pt idx="49">
                  <c:v>259862.000000</c:v>
                </c:pt>
                <c:pt idx="50">
                  <c:v>202884.000000</c:v>
                </c:pt>
                <c:pt idx="51">
                  <c:v>0.000000</c:v>
                </c:pt>
                <c:pt idx="52">
                  <c:v>0.000000</c:v>
                </c:pt>
                <c:pt idx="87">
                  <c:v>0.000000</c:v>
                </c:pt>
                <c:pt idx="91">
                  <c:v>487730.000000</c:v>
                </c:pt>
                <c:pt idx="92">
                  <c:v>214252.000000</c:v>
                </c:pt>
                <c:pt idx="93">
                  <c:v>362084.000000</c:v>
                </c:pt>
                <c:pt idx="94">
                  <c:v>363950.000000</c:v>
                </c:pt>
                <c:pt idx="95">
                  <c:v>452879.000000</c:v>
                </c:pt>
                <c:pt idx="96">
                  <c:v>515069.000000</c:v>
                </c:pt>
              </c:numCache>
            </c:numRef>
          </c:val>
        </c:ser>
        <c:ser>
          <c:idx val="3"/>
          <c:order val="3"/>
          <c:tx>
            <c:strRef>
              <c:f>'flujos - Gasto mensual'!$X$2</c:f>
              <c:strCache>
                <c:ptCount val="1"/>
                <c:pt idx="0">
                  <c:v>Transporte</c:v>
                </c:pt>
              </c:strCache>
            </c:strRef>
          </c:tx>
          <c:spPr>
            <a:gradFill flip="none" rotWithShape="1">
              <a:gsLst>
                <a:gs pos="0">
                  <a:srgbClr val="EF951A"/>
                </a:gs>
                <a:gs pos="100000">
                  <a:srgbClr val="DE6A10"/>
                </a:gs>
              </a:gsLst>
              <a:lin ang="5400000" scaled="0"/>
            </a:gradFill>
            <a:ln w="12700" cap="flat">
              <a:noFill/>
              <a:miter lim="400000"/>
            </a:ln>
            <a:effectLst/>
          </c:spP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trendline>
            <c:spPr>
              <a:noFill/>
              <a:ln w="38100" cap="flat">
                <a:solidFill>
                  <a:srgbClr val="319B29">
                    <a:alpha val="80078"/>
                  </a:srgbClr>
                </a:solidFill>
                <a:prstDash val="solid"/>
                <a:miter lim="400000"/>
              </a:ln>
              <a:effectLst/>
            </c:spPr>
            <c:trendlineType val="movingAvg"/>
            <c:period val="3"/>
            <c:forward val="0"/>
            <c:backward val="0"/>
            <c:dispRSqr val="0"/>
            <c:dispEq val="0"/>
          </c:trendline>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mensual'!$X$3:$X$118</c:f>
              <c:numCache>
                <c:ptCount val="59"/>
                <c:pt idx="0">
                  <c:v>129891.000000</c:v>
                </c:pt>
                <c:pt idx="1">
                  <c:v>125000.000000</c:v>
                </c:pt>
                <c:pt idx="2">
                  <c:v>159761.000000</c:v>
                </c:pt>
                <c:pt idx="3">
                  <c:v>120817.000000</c:v>
                </c:pt>
                <c:pt idx="4">
                  <c:v>172793.000000</c:v>
                </c:pt>
                <c:pt idx="5">
                  <c:v>142498.000000</c:v>
                </c:pt>
                <c:pt idx="6">
                  <c:v>152373.350000</c:v>
                </c:pt>
                <c:pt idx="7">
                  <c:v>159203.000000</c:v>
                </c:pt>
                <c:pt idx="8">
                  <c:v>166188.000000</c:v>
                </c:pt>
                <c:pt idx="9">
                  <c:v>40328.000000</c:v>
                </c:pt>
                <c:pt idx="10">
                  <c:v>66779.000000</c:v>
                </c:pt>
                <c:pt idx="11">
                  <c:v>54023.000000</c:v>
                </c:pt>
                <c:pt idx="12">
                  <c:v>54141.000000</c:v>
                </c:pt>
                <c:pt idx="13">
                  <c:v>48687.000000</c:v>
                </c:pt>
                <c:pt idx="14">
                  <c:v>57502.000000</c:v>
                </c:pt>
                <c:pt idx="15">
                  <c:v>43313.000000</c:v>
                </c:pt>
                <c:pt idx="16">
                  <c:v>239652.000000</c:v>
                </c:pt>
                <c:pt idx="17">
                  <c:v>161858.000000</c:v>
                </c:pt>
                <c:pt idx="18">
                  <c:v>201606.000000</c:v>
                </c:pt>
                <c:pt idx="19">
                  <c:v>109492.000000</c:v>
                </c:pt>
                <c:pt idx="20">
                  <c:v>133352.000000</c:v>
                </c:pt>
                <c:pt idx="21">
                  <c:v>290008.000000</c:v>
                </c:pt>
                <c:pt idx="22">
                  <c:v>276717.000000</c:v>
                </c:pt>
                <c:pt idx="23">
                  <c:v>137380.000000</c:v>
                </c:pt>
                <c:pt idx="24">
                  <c:v>142047.000000</c:v>
                </c:pt>
                <c:pt idx="25">
                  <c:v>61624.000000</c:v>
                </c:pt>
                <c:pt idx="26">
                  <c:v>95099.000000</c:v>
                </c:pt>
                <c:pt idx="27">
                  <c:v>85987.000000</c:v>
                </c:pt>
                <c:pt idx="28">
                  <c:v>12953.000000</c:v>
                </c:pt>
                <c:pt idx="29">
                  <c:v>16491.000000</c:v>
                </c:pt>
                <c:pt idx="30">
                  <c:v>2000.000000</c:v>
                </c:pt>
                <c:pt idx="31">
                  <c:v>58402.000000</c:v>
                </c:pt>
                <c:pt idx="32">
                  <c:v>27503.000000</c:v>
                </c:pt>
                <c:pt idx="33">
                  <c:v>116120.000000</c:v>
                </c:pt>
                <c:pt idx="34">
                  <c:v>0.000000</c:v>
                </c:pt>
                <c:pt idx="35">
                  <c:v>0.000000</c:v>
                </c:pt>
                <c:pt idx="36">
                  <c:v>0.000000</c:v>
                </c:pt>
                <c:pt idx="37">
                  <c:v>0.000000</c:v>
                </c:pt>
                <c:pt idx="38">
                  <c:v>0.000000</c:v>
                </c:pt>
                <c:pt idx="39">
                  <c:v>90066.000000</c:v>
                </c:pt>
                <c:pt idx="40">
                  <c:v>0.000000</c:v>
                </c:pt>
                <c:pt idx="41">
                  <c:v>0.000000</c:v>
                </c:pt>
                <c:pt idx="42">
                  <c:v>34886.000000</c:v>
                </c:pt>
                <c:pt idx="43">
                  <c:v>390.000000</c:v>
                </c:pt>
                <c:pt idx="44">
                  <c:v>43900.000000</c:v>
                </c:pt>
                <c:pt idx="45">
                  <c:v>108832.000000</c:v>
                </c:pt>
                <c:pt idx="46">
                  <c:v>56035.000000</c:v>
                </c:pt>
                <c:pt idx="47">
                  <c:v>0.000000</c:v>
                </c:pt>
                <c:pt idx="48">
                  <c:v>0.000000</c:v>
                </c:pt>
                <c:pt idx="49">
                  <c:v>27232.000000</c:v>
                </c:pt>
                <c:pt idx="50">
                  <c:v>0.000000</c:v>
                </c:pt>
                <c:pt idx="51">
                  <c:v>0.000000</c:v>
                </c:pt>
                <c:pt idx="52">
                  <c:v>0.000000</c:v>
                </c:pt>
                <c:pt idx="87">
                  <c:v>0.000000</c:v>
                </c:pt>
                <c:pt idx="91">
                  <c:v>53580.000000</c:v>
                </c:pt>
                <c:pt idx="92">
                  <c:v>30000.000000</c:v>
                </c:pt>
                <c:pt idx="93">
                  <c:v>145221.000000</c:v>
                </c:pt>
                <c:pt idx="94">
                  <c:v>52863.000000</c:v>
                </c:pt>
                <c:pt idx="95">
                  <c:v>53571.000000</c:v>
                </c:pt>
              </c:numCache>
            </c:numRef>
          </c:val>
        </c:ser>
        <c:ser>
          <c:idx val="4"/>
          <c:order val="4"/>
          <c:tx>
            <c:strRef>
              <c:f>'flujos - Gasto mensual'!$Q$2</c:f>
              <c:strCache>
                <c:ptCount val="1"/>
                <c:pt idx="0">
                  <c:v>Carrete</c:v>
                </c:pt>
              </c:strCache>
            </c:strRef>
          </c:tx>
          <c:spPr>
            <a:gradFill flip="none" rotWithShape="1">
              <a:gsLst>
                <a:gs pos="0">
                  <a:srgbClr val="FB4912"/>
                </a:gs>
                <a:gs pos="100000">
                  <a:srgbClr val="C82506"/>
                </a:gs>
              </a:gsLst>
              <a:lin ang="5400000" scaled="0"/>
            </a:gradFill>
            <a:ln w="12700" cap="flat">
              <a:noFill/>
              <a:miter lim="400000"/>
            </a:ln>
            <a:effectLst/>
          </c:spP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trendline>
            <c:spPr>
              <a:noFill/>
              <a:ln w="38100" cap="flat">
                <a:solidFill>
                  <a:srgbClr val="FF4A13">
                    <a:alpha val="79765"/>
                  </a:srgbClr>
                </a:solidFill>
                <a:prstDash val="solid"/>
                <a:miter lim="400000"/>
              </a:ln>
              <a:effectLst/>
            </c:spPr>
            <c:trendlineType val="movingAvg"/>
            <c:period val="3"/>
            <c:forward val="0"/>
            <c:backward val="0"/>
            <c:dispRSqr val="0"/>
            <c:dispEq val="0"/>
          </c:trendline>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mensual'!$Q$3:$Q$118</c:f>
              <c:numCache>
                <c:ptCount val="58"/>
                <c:pt idx="0">
                  <c:v>36781.250000</c:v>
                </c:pt>
                <c:pt idx="1">
                  <c:v>35325.000000</c:v>
                </c:pt>
                <c:pt idx="2">
                  <c:v>40720.000000</c:v>
                </c:pt>
                <c:pt idx="3">
                  <c:v>47440.000000</c:v>
                </c:pt>
                <c:pt idx="4">
                  <c:v>23640.000000</c:v>
                </c:pt>
                <c:pt idx="5">
                  <c:v>0.000000</c:v>
                </c:pt>
                <c:pt idx="6">
                  <c:v>46215.000000</c:v>
                </c:pt>
                <c:pt idx="7">
                  <c:v>0.000000</c:v>
                </c:pt>
                <c:pt idx="8">
                  <c:v>69149.000000</c:v>
                </c:pt>
                <c:pt idx="9">
                  <c:v>9955.000000</c:v>
                </c:pt>
                <c:pt idx="10">
                  <c:v>0.000000</c:v>
                </c:pt>
                <c:pt idx="11">
                  <c:v>62471.000000</c:v>
                </c:pt>
                <c:pt idx="12">
                  <c:v>19077.000000</c:v>
                </c:pt>
                <c:pt idx="13">
                  <c:v>30000.000000</c:v>
                </c:pt>
                <c:pt idx="14">
                  <c:v>113683.000000</c:v>
                </c:pt>
                <c:pt idx="15">
                  <c:v>27153.000000</c:v>
                </c:pt>
                <c:pt idx="16">
                  <c:v>84598.000000</c:v>
                </c:pt>
                <c:pt idx="17">
                  <c:v>19964.000000</c:v>
                </c:pt>
                <c:pt idx="18">
                  <c:v>63190.000000</c:v>
                </c:pt>
                <c:pt idx="19">
                  <c:v>85298.000000</c:v>
                </c:pt>
                <c:pt idx="20">
                  <c:v>7000.000000</c:v>
                </c:pt>
                <c:pt idx="21">
                  <c:v>42700.000000</c:v>
                </c:pt>
                <c:pt idx="22">
                  <c:v>48881.000000</c:v>
                </c:pt>
                <c:pt idx="23">
                  <c:v>135579.000000</c:v>
                </c:pt>
                <c:pt idx="24">
                  <c:v>125000.000000</c:v>
                </c:pt>
                <c:pt idx="25">
                  <c:v>11790.000000</c:v>
                </c:pt>
                <c:pt idx="26">
                  <c:v>75004.000000</c:v>
                </c:pt>
                <c:pt idx="27">
                  <c:v>74310.000000</c:v>
                </c:pt>
                <c:pt idx="28">
                  <c:v>0.000000</c:v>
                </c:pt>
                <c:pt idx="29">
                  <c:v>0.000000</c:v>
                </c:pt>
                <c:pt idx="30">
                  <c:v>54514.000000</c:v>
                </c:pt>
                <c:pt idx="31">
                  <c:v>112762.000000</c:v>
                </c:pt>
                <c:pt idx="32">
                  <c:v>0.000000</c:v>
                </c:pt>
                <c:pt idx="33">
                  <c:v>0.000000</c:v>
                </c:pt>
                <c:pt idx="34">
                  <c:v>0.000000</c:v>
                </c:pt>
                <c:pt idx="35">
                  <c:v>0.000000</c:v>
                </c:pt>
                <c:pt idx="36">
                  <c:v>0.000000</c:v>
                </c:pt>
                <c:pt idx="37">
                  <c:v>0.000000</c:v>
                </c:pt>
                <c:pt idx="38">
                  <c:v>0.000000</c:v>
                </c:pt>
                <c:pt idx="39">
                  <c:v>23870.000000</c:v>
                </c:pt>
                <c:pt idx="40">
                  <c:v>0.000000</c:v>
                </c:pt>
                <c:pt idx="41">
                  <c:v>15290.000000</c:v>
                </c:pt>
                <c:pt idx="42">
                  <c:v>0.000000</c:v>
                </c:pt>
                <c:pt idx="43">
                  <c:v>0.000000</c:v>
                </c:pt>
                <c:pt idx="44">
                  <c:v>0.000000</c:v>
                </c:pt>
                <c:pt idx="45">
                  <c:v>22990.000000</c:v>
                </c:pt>
                <c:pt idx="46">
                  <c:v>0.000000</c:v>
                </c:pt>
                <c:pt idx="47">
                  <c:v>12265.000000</c:v>
                </c:pt>
                <c:pt idx="48">
                  <c:v>0.000000</c:v>
                </c:pt>
                <c:pt idx="49">
                  <c:v>33000.000000</c:v>
                </c:pt>
                <c:pt idx="50">
                  <c:v>36630.000000</c:v>
                </c:pt>
                <c:pt idx="51">
                  <c:v>0.000000</c:v>
                </c:pt>
                <c:pt idx="52">
                  <c:v>0.000000</c:v>
                </c:pt>
                <c:pt idx="87">
                  <c:v>0.000000</c:v>
                </c:pt>
                <c:pt idx="91">
                  <c:v>53900.000000</c:v>
                </c:pt>
                <c:pt idx="92">
                  <c:v>98590.000000</c:v>
                </c:pt>
                <c:pt idx="93">
                  <c:v>29900.000000</c:v>
                </c:pt>
                <c:pt idx="95">
                  <c:v>98850.000000</c:v>
                </c:pt>
              </c:numCache>
            </c:numRef>
          </c:val>
        </c:ser>
        <c:ser>
          <c:idx val="5"/>
          <c:order val="5"/>
          <c:tx>
            <c:strRef>
              <c:f>'flujos - Gasto mensual'!$S$2</c:f>
              <c:strCache>
                <c:ptCount val="1"/>
                <c:pt idx="0">
                  <c:v>Ropa</c:v>
                </c:pt>
              </c:strCache>
            </c:strRef>
          </c:tx>
          <c:spPr>
            <a:gradFill flip="none" rotWithShape="1">
              <a:gsLst>
                <a:gs pos="0">
                  <a:srgbClr val="885CB2"/>
                </a:gs>
                <a:gs pos="100000">
                  <a:srgbClr val="773F9B"/>
                </a:gs>
              </a:gsLst>
              <a:lin ang="5400000" scaled="0"/>
            </a:gradFill>
            <a:ln w="12700" cap="flat">
              <a:noFill/>
              <a:miter lim="400000"/>
            </a:ln>
            <a:effectLst/>
          </c:spP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mensual'!$S$3:$S$118</c:f>
              <c:numCache>
                <c:ptCount val="57"/>
                <c:pt idx="0">
                  <c:v>15516.000000</c:v>
                </c:pt>
                <c:pt idx="1">
                  <c:v>39980.000000</c:v>
                </c:pt>
                <c:pt idx="2">
                  <c:v>0.000000</c:v>
                </c:pt>
                <c:pt idx="3">
                  <c:v>0.000000</c:v>
                </c:pt>
                <c:pt idx="4">
                  <c:v>22084.000000</c:v>
                </c:pt>
                <c:pt idx="5">
                  <c:v>24980.000000</c:v>
                </c:pt>
                <c:pt idx="6">
                  <c:v>0.000000</c:v>
                </c:pt>
                <c:pt idx="7">
                  <c:v>0.000000</c:v>
                </c:pt>
                <c:pt idx="8">
                  <c:v>208142.000000</c:v>
                </c:pt>
                <c:pt idx="9">
                  <c:v>0.000000</c:v>
                </c:pt>
                <c:pt idx="10">
                  <c:v>0.000000</c:v>
                </c:pt>
                <c:pt idx="11">
                  <c:v>0.000000</c:v>
                </c:pt>
                <c:pt idx="12">
                  <c:v>0.000000</c:v>
                </c:pt>
                <c:pt idx="13">
                  <c:v>0.000000</c:v>
                </c:pt>
                <c:pt idx="14">
                  <c:v>25492.000000</c:v>
                </c:pt>
                <c:pt idx="15">
                  <c:v>0.000000</c:v>
                </c:pt>
                <c:pt idx="16">
                  <c:v>0.000000</c:v>
                </c:pt>
                <c:pt idx="17">
                  <c:v>94707.000000</c:v>
                </c:pt>
                <c:pt idx="18">
                  <c:v>0.000000</c:v>
                </c:pt>
                <c:pt idx="19">
                  <c:v>3766.000000</c:v>
                </c:pt>
                <c:pt idx="20">
                  <c:v>0.000000</c:v>
                </c:pt>
                <c:pt idx="21">
                  <c:v>0.000000</c:v>
                </c:pt>
                <c:pt idx="22">
                  <c:v>0.000000</c:v>
                </c:pt>
                <c:pt idx="23">
                  <c:v>89980.000000</c:v>
                </c:pt>
                <c:pt idx="24">
                  <c:v>0.000000</c:v>
                </c:pt>
                <c:pt idx="25">
                  <c:v>0.000000</c:v>
                </c:pt>
                <c:pt idx="26">
                  <c:v>0.000000</c:v>
                </c:pt>
                <c:pt idx="27">
                  <c:v>0.000000</c:v>
                </c:pt>
                <c:pt idx="28">
                  <c:v>29990.000000</c:v>
                </c:pt>
                <c:pt idx="29">
                  <c:v>33480.000000</c:v>
                </c:pt>
                <c:pt idx="30">
                  <c:v>0.000000</c:v>
                </c:pt>
                <c:pt idx="31">
                  <c:v>0.000000</c:v>
                </c:pt>
                <c:pt idx="32">
                  <c:v>127062.000000</c:v>
                </c:pt>
                <c:pt idx="33">
                  <c:v>0.000000</c:v>
                </c:pt>
                <c:pt idx="34">
                  <c:v>0.000000</c:v>
                </c:pt>
                <c:pt idx="35">
                  <c:v>0.000000</c:v>
                </c:pt>
                <c:pt idx="36">
                  <c:v>0.000000</c:v>
                </c:pt>
                <c:pt idx="37">
                  <c:v>0.000000</c:v>
                </c:pt>
                <c:pt idx="38">
                  <c:v>0.000000</c:v>
                </c:pt>
                <c:pt idx="39">
                  <c:v>0.000000</c:v>
                </c:pt>
                <c:pt idx="40">
                  <c:v>0.000000</c:v>
                </c:pt>
                <c:pt idx="41">
                  <c:v>22000.000000</c:v>
                </c:pt>
                <c:pt idx="42">
                  <c:v>22000.000000</c:v>
                </c:pt>
                <c:pt idx="43">
                  <c:v>5000.000000</c:v>
                </c:pt>
                <c:pt idx="44">
                  <c:v>10000.000000</c:v>
                </c:pt>
                <c:pt idx="45">
                  <c:v>12000.000000</c:v>
                </c:pt>
                <c:pt idx="46">
                  <c:v>0.000000</c:v>
                </c:pt>
                <c:pt idx="47">
                  <c:v>0.000000</c:v>
                </c:pt>
                <c:pt idx="48">
                  <c:v>0.000000</c:v>
                </c:pt>
                <c:pt idx="49">
                  <c:v>12000.000000</c:v>
                </c:pt>
                <c:pt idx="50">
                  <c:v>80900.000000</c:v>
                </c:pt>
                <c:pt idx="51">
                  <c:v>0.000000</c:v>
                </c:pt>
                <c:pt idx="52">
                  <c:v>0.000000</c:v>
                </c:pt>
                <c:pt idx="87">
                  <c:v>0.000000</c:v>
                </c:pt>
                <c:pt idx="92">
                  <c:v>16230.000000</c:v>
                </c:pt>
                <c:pt idx="93">
                  <c:v>49980.000000</c:v>
                </c:pt>
                <c:pt idx="95">
                  <c:v>119970.000000</c:v>
                </c:pt>
              </c:numCache>
            </c:numRef>
          </c:val>
        </c:ser>
        <c:ser>
          <c:idx val="6"/>
          <c:order val="6"/>
          <c:tx>
            <c:strRef>
              <c:f>'flujos - Gasto mensual'!$AA$2</c:f>
              <c:strCache>
                <c:ptCount val="1"/>
                <c:pt idx="0">
                  <c:v>Delivery</c:v>
                </c:pt>
              </c:strCache>
            </c:strRef>
          </c:tx>
          <c:spPr>
            <a:gradFill flip="none" rotWithShape="1">
              <a:gsLst>
                <a:gs pos="0">
                  <a:srgbClr val="51A7F9"/>
                </a:gs>
                <a:gs pos="100000">
                  <a:srgbClr val="0365C0"/>
                </a:gs>
              </a:gsLst>
              <a:lin ang="5400000" scaled="0"/>
            </a:gradFill>
            <a:ln w="12700" cap="flat">
              <a:noFill/>
              <a:miter lim="400000"/>
            </a:ln>
            <a:effectLst/>
          </c:spP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mensual'!$AA$3:$AA$118</c:f>
              <c:numCache>
                <c:ptCount val="29"/>
                <c:pt idx="25">
                  <c:v>80000.000000</c:v>
                </c:pt>
                <c:pt idx="26">
                  <c:v>21089.000000</c:v>
                </c:pt>
                <c:pt idx="27">
                  <c:v>35000.000000</c:v>
                </c:pt>
                <c:pt idx="28">
                  <c:v>8166.000000</c:v>
                </c:pt>
                <c:pt idx="29">
                  <c:v>0.000000</c:v>
                </c:pt>
                <c:pt idx="30">
                  <c:v>0.000000</c:v>
                </c:pt>
                <c:pt idx="31">
                  <c:v>8900.000000</c:v>
                </c:pt>
                <c:pt idx="32">
                  <c:v>0.000000</c:v>
                </c:pt>
                <c:pt idx="33">
                  <c:v>32036.000000</c:v>
                </c:pt>
                <c:pt idx="34">
                  <c:v>0.000000</c:v>
                </c:pt>
                <c:pt idx="35">
                  <c:v>0.000000</c:v>
                </c:pt>
                <c:pt idx="36">
                  <c:v>0.000000</c:v>
                </c:pt>
                <c:pt idx="37">
                  <c:v>0.000000</c:v>
                </c:pt>
                <c:pt idx="38">
                  <c:v>0.000000</c:v>
                </c:pt>
                <c:pt idx="39">
                  <c:v>0.000000</c:v>
                </c:pt>
                <c:pt idx="40">
                  <c:v>0.000000</c:v>
                </c:pt>
                <c:pt idx="41">
                  <c:v>32305.000000</c:v>
                </c:pt>
                <c:pt idx="42">
                  <c:v>0.000000</c:v>
                </c:pt>
                <c:pt idx="43">
                  <c:v>16426.000000</c:v>
                </c:pt>
                <c:pt idx="44">
                  <c:v>15795.000000</c:v>
                </c:pt>
                <c:pt idx="45">
                  <c:v>34251.000000</c:v>
                </c:pt>
                <c:pt idx="46">
                  <c:v>17550.000000</c:v>
                </c:pt>
                <c:pt idx="47">
                  <c:v>41972.000000</c:v>
                </c:pt>
                <c:pt idx="48">
                  <c:v>13413.000000</c:v>
                </c:pt>
                <c:pt idx="49">
                  <c:v>18966.000000</c:v>
                </c:pt>
                <c:pt idx="50">
                  <c:v>10213.000000</c:v>
                </c:pt>
                <c:pt idx="51">
                  <c:v>0.000000</c:v>
                </c:pt>
                <c:pt idx="52">
                  <c:v>0.000000</c:v>
                </c:pt>
                <c:pt idx="87">
                  <c:v>0.000000</c:v>
                </c:pt>
              </c:numCache>
            </c:numRef>
          </c:val>
        </c:ser>
        <c:ser>
          <c:idx val="7"/>
          <c:order val="7"/>
          <c:tx>
            <c:strRef>
              <c:f>'flujos - Gasto mensual'!$R$2</c:f>
              <c:strCache>
                <c:ptCount val="1"/>
                <c:pt idx="0">
                  <c:v>take out</c:v>
                </c:pt>
              </c:strCache>
            </c:strRef>
          </c:tx>
          <c:spPr>
            <a:gradFill flip="none" rotWithShape="1">
              <a:gsLst>
                <a:gs pos="0">
                  <a:srgbClr val="70BF41"/>
                </a:gs>
                <a:gs pos="100000">
                  <a:srgbClr val="00882B"/>
                </a:gs>
              </a:gsLst>
              <a:lin ang="5400000" scaled="0"/>
            </a:gradFill>
            <a:ln w="12700" cap="flat">
              <a:noFill/>
              <a:miter lim="400000"/>
            </a:ln>
            <a:effectLst/>
          </c:spP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trendline>
            <c:spPr>
              <a:noFill/>
              <a:ln w="25400" cap="flat">
                <a:solidFill>
                  <a:srgbClr val="8EF252"/>
                </a:solidFill>
                <a:prstDash val="solid"/>
                <a:miter lim="400000"/>
              </a:ln>
              <a:effectLst>
                <a:outerShdw sx="100000" sy="100000" kx="0" ky="0" algn="tl" rotWithShape="1" blurRad="12700" dist="25400" dir="7320000">
                  <a:srgbClr val="000000">
                    <a:alpha val="25000"/>
                  </a:srgbClr>
                </a:outerShdw>
              </a:effectLst>
            </c:spPr>
            <c:trendlineType val="movingAvg"/>
            <c:period val="3"/>
            <c:forward val="0"/>
            <c:backward val="0"/>
            <c:dispRSqr val="0"/>
            <c:dispEq val="0"/>
          </c:trendline>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mensual'!$R$3:$R$118</c:f>
              <c:numCache>
                <c:ptCount val="59"/>
                <c:pt idx="0">
                  <c:v>38820.000000</c:v>
                </c:pt>
                <c:pt idx="1">
                  <c:v>41390.000000</c:v>
                </c:pt>
                <c:pt idx="2">
                  <c:v>39790.000000</c:v>
                </c:pt>
                <c:pt idx="3">
                  <c:v>44690.000000</c:v>
                </c:pt>
                <c:pt idx="4">
                  <c:v>29410.000000</c:v>
                </c:pt>
                <c:pt idx="5">
                  <c:v>29810.000000</c:v>
                </c:pt>
                <c:pt idx="6">
                  <c:v>22470.000000</c:v>
                </c:pt>
                <c:pt idx="7">
                  <c:v>37460.000000</c:v>
                </c:pt>
                <c:pt idx="8">
                  <c:v>42550.000000</c:v>
                </c:pt>
                <c:pt idx="9">
                  <c:v>83320.000000</c:v>
                </c:pt>
                <c:pt idx="10">
                  <c:v>29950.000000</c:v>
                </c:pt>
                <c:pt idx="11">
                  <c:v>16100.000000</c:v>
                </c:pt>
                <c:pt idx="12">
                  <c:v>17780.000000</c:v>
                </c:pt>
                <c:pt idx="13">
                  <c:v>3400.000000</c:v>
                </c:pt>
                <c:pt idx="14">
                  <c:v>4830.000000</c:v>
                </c:pt>
                <c:pt idx="15">
                  <c:v>2550.000000</c:v>
                </c:pt>
                <c:pt idx="16">
                  <c:v>17110.000000</c:v>
                </c:pt>
                <c:pt idx="17">
                  <c:v>6480.000000</c:v>
                </c:pt>
                <c:pt idx="18">
                  <c:v>13330.000000</c:v>
                </c:pt>
                <c:pt idx="19">
                  <c:v>28530.000000</c:v>
                </c:pt>
                <c:pt idx="20">
                  <c:v>30378.000000</c:v>
                </c:pt>
                <c:pt idx="21">
                  <c:v>35890.000000</c:v>
                </c:pt>
                <c:pt idx="22">
                  <c:v>72787.500000</c:v>
                </c:pt>
                <c:pt idx="23">
                  <c:v>80939.000000</c:v>
                </c:pt>
                <c:pt idx="24">
                  <c:v>64789.000000</c:v>
                </c:pt>
                <c:pt idx="25">
                  <c:v>81516.000000</c:v>
                </c:pt>
                <c:pt idx="26">
                  <c:v>39540.000000</c:v>
                </c:pt>
                <c:pt idx="27">
                  <c:v>30570.000000</c:v>
                </c:pt>
                <c:pt idx="28">
                  <c:v>20300.000000</c:v>
                </c:pt>
                <c:pt idx="29">
                  <c:v>64352.000000</c:v>
                </c:pt>
                <c:pt idx="30">
                  <c:v>52612.000000</c:v>
                </c:pt>
                <c:pt idx="31">
                  <c:v>59720.000000</c:v>
                </c:pt>
                <c:pt idx="32">
                  <c:v>14490.000000</c:v>
                </c:pt>
                <c:pt idx="33">
                  <c:v>1500.000000</c:v>
                </c:pt>
                <c:pt idx="34">
                  <c:v>0.000000</c:v>
                </c:pt>
                <c:pt idx="35">
                  <c:v>0.000000</c:v>
                </c:pt>
                <c:pt idx="36">
                  <c:v>0.000000</c:v>
                </c:pt>
                <c:pt idx="37">
                  <c:v>0.000000</c:v>
                </c:pt>
                <c:pt idx="38">
                  <c:v>0.000000</c:v>
                </c:pt>
                <c:pt idx="39">
                  <c:v>0.000000</c:v>
                </c:pt>
                <c:pt idx="40">
                  <c:v>0.000000</c:v>
                </c:pt>
                <c:pt idx="41">
                  <c:v>0.000000</c:v>
                </c:pt>
                <c:pt idx="42">
                  <c:v>0.000000</c:v>
                </c:pt>
                <c:pt idx="43">
                  <c:v>11090.000000</c:v>
                </c:pt>
                <c:pt idx="44">
                  <c:v>9300.000000</c:v>
                </c:pt>
                <c:pt idx="45">
                  <c:v>0.000000</c:v>
                </c:pt>
                <c:pt idx="46">
                  <c:v>12000.000000</c:v>
                </c:pt>
                <c:pt idx="47">
                  <c:v>0.000000</c:v>
                </c:pt>
                <c:pt idx="48">
                  <c:v>0.000000</c:v>
                </c:pt>
                <c:pt idx="49">
                  <c:v>0.000000</c:v>
                </c:pt>
                <c:pt idx="50">
                  <c:v>56140.000000</c:v>
                </c:pt>
                <c:pt idx="51">
                  <c:v>0.000000</c:v>
                </c:pt>
                <c:pt idx="52">
                  <c:v>0.000000</c:v>
                </c:pt>
                <c:pt idx="87">
                  <c:v>0.000000</c:v>
                </c:pt>
                <c:pt idx="91">
                  <c:v>61575.000000</c:v>
                </c:pt>
                <c:pt idx="92">
                  <c:v>130607.000000</c:v>
                </c:pt>
                <c:pt idx="93">
                  <c:v>141033.000000</c:v>
                </c:pt>
                <c:pt idx="94">
                  <c:v>73887.000000</c:v>
                </c:pt>
                <c:pt idx="95">
                  <c:v>65724.000000</c:v>
                </c:pt>
              </c:numCache>
            </c:numRef>
          </c:val>
        </c:ser>
        <c:ser>
          <c:idx val="8"/>
          <c:order val="8"/>
          <c:tx>
            <c:strRef>
              <c:f>'flujos - Gasto mensual'!$V$2</c:f>
              <c:strCache>
                <c:ptCount val="1"/>
                <c:pt idx="0">
                  <c:v>Drugs</c:v>
                </c:pt>
              </c:strCache>
            </c:strRef>
          </c:tx>
          <c:spPr>
            <a:gradFill flip="none" rotWithShape="1">
              <a:gsLst>
                <a:gs pos="0">
                  <a:srgbClr val="00FDFF"/>
                </a:gs>
                <a:gs pos="100000">
                  <a:srgbClr val="54B8BB"/>
                </a:gs>
              </a:gsLst>
              <a:lin ang="5400000" scaled="0"/>
            </a:gradFill>
            <a:ln w="12700" cap="flat">
              <a:noFill/>
              <a:miter lim="400000"/>
            </a:ln>
            <a:effectLst/>
          </c:spP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mensual'!$V$3:$V$118</c:f>
              <c:numCache>
                <c:ptCount val="62"/>
                <c:pt idx="0">
                  <c:v>106750.000000</c:v>
                </c:pt>
                <c:pt idx="1">
                  <c:v>120000.000000</c:v>
                </c:pt>
                <c:pt idx="2">
                  <c:v>90000.000000</c:v>
                </c:pt>
                <c:pt idx="3">
                  <c:v>97000.000000</c:v>
                </c:pt>
                <c:pt idx="4">
                  <c:v>120000.000000</c:v>
                </c:pt>
                <c:pt idx="5">
                  <c:v>120000.000000</c:v>
                </c:pt>
                <c:pt idx="6">
                  <c:v>140000.000000</c:v>
                </c:pt>
                <c:pt idx="7">
                  <c:v>115000.000000</c:v>
                </c:pt>
                <c:pt idx="8">
                  <c:v>80000.000000</c:v>
                </c:pt>
                <c:pt idx="9">
                  <c:v>108000.000000</c:v>
                </c:pt>
                <c:pt idx="10">
                  <c:v>153000.000000</c:v>
                </c:pt>
                <c:pt idx="11">
                  <c:v>150000.000000</c:v>
                </c:pt>
                <c:pt idx="12">
                  <c:v>140000.000000</c:v>
                </c:pt>
                <c:pt idx="13">
                  <c:v>200000.000000</c:v>
                </c:pt>
                <c:pt idx="14">
                  <c:v>200000.000000</c:v>
                </c:pt>
                <c:pt idx="15">
                  <c:v>190000.000000</c:v>
                </c:pt>
                <c:pt idx="16">
                  <c:v>150000.000000</c:v>
                </c:pt>
                <c:pt idx="17">
                  <c:v>150000.000000</c:v>
                </c:pt>
                <c:pt idx="18">
                  <c:v>150000.000000</c:v>
                </c:pt>
                <c:pt idx="19">
                  <c:v>155000.000000</c:v>
                </c:pt>
                <c:pt idx="20">
                  <c:v>175000.000000</c:v>
                </c:pt>
                <c:pt idx="21">
                  <c:v>185000.000000</c:v>
                </c:pt>
                <c:pt idx="22">
                  <c:v>150000.000000</c:v>
                </c:pt>
                <c:pt idx="23">
                  <c:v>180000.000000</c:v>
                </c:pt>
                <c:pt idx="24">
                  <c:v>180000.000000</c:v>
                </c:pt>
                <c:pt idx="25">
                  <c:v>155000.000000</c:v>
                </c:pt>
                <c:pt idx="26">
                  <c:v>300000.000000</c:v>
                </c:pt>
                <c:pt idx="27">
                  <c:v>240000.000000</c:v>
                </c:pt>
                <c:pt idx="28">
                  <c:v>228990.000000</c:v>
                </c:pt>
                <c:pt idx="29">
                  <c:v>456000.000000</c:v>
                </c:pt>
                <c:pt idx="30">
                  <c:v>248465.000000</c:v>
                </c:pt>
                <c:pt idx="31">
                  <c:v>195760.000000</c:v>
                </c:pt>
                <c:pt idx="32">
                  <c:v>119990.000000</c:v>
                </c:pt>
                <c:pt idx="33">
                  <c:v>270010.000000</c:v>
                </c:pt>
                <c:pt idx="34">
                  <c:v>382000.000000</c:v>
                </c:pt>
                <c:pt idx="35">
                  <c:v>185000.000000</c:v>
                </c:pt>
                <c:pt idx="36">
                  <c:v>46000.000000</c:v>
                </c:pt>
                <c:pt idx="37">
                  <c:v>31980.000000</c:v>
                </c:pt>
                <c:pt idx="38">
                  <c:v>302440.000000</c:v>
                </c:pt>
                <c:pt idx="39">
                  <c:v>265000.000000</c:v>
                </c:pt>
                <c:pt idx="40">
                  <c:v>53388.000000</c:v>
                </c:pt>
                <c:pt idx="41">
                  <c:v>50000.000000</c:v>
                </c:pt>
                <c:pt idx="42">
                  <c:v>123380.000000</c:v>
                </c:pt>
                <c:pt idx="43">
                  <c:v>124000.000000</c:v>
                </c:pt>
                <c:pt idx="44">
                  <c:v>242000.000000</c:v>
                </c:pt>
                <c:pt idx="45">
                  <c:v>93000.000000</c:v>
                </c:pt>
                <c:pt idx="46">
                  <c:v>0.000000</c:v>
                </c:pt>
                <c:pt idx="47">
                  <c:v>319000.000000</c:v>
                </c:pt>
                <c:pt idx="48">
                  <c:v>328000.000000</c:v>
                </c:pt>
                <c:pt idx="49">
                  <c:v>388000.000000</c:v>
                </c:pt>
                <c:pt idx="50">
                  <c:v>503000.000000</c:v>
                </c:pt>
                <c:pt idx="51">
                  <c:v>0.000000</c:v>
                </c:pt>
                <c:pt idx="52">
                  <c:v>0.000000</c:v>
                </c:pt>
                <c:pt idx="87">
                  <c:v>0.000000</c:v>
                </c:pt>
                <c:pt idx="89">
                  <c:v>200000.000000</c:v>
                </c:pt>
                <c:pt idx="90">
                  <c:v>200000.000000</c:v>
                </c:pt>
                <c:pt idx="91">
                  <c:v>200000.000000</c:v>
                </c:pt>
                <c:pt idx="92">
                  <c:v>450000.000000</c:v>
                </c:pt>
                <c:pt idx="93">
                  <c:v>200000.000000</c:v>
                </c:pt>
                <c:pt idx="94">
                  <c:v>400000.000000</c:v>
                </c:pt>
                <c:pt idx="95">
                  <c:v>200000.000000</c:v>
                </c:pt>
                <c:pt idx="96">
                  <c:v>400000.000000</c:v>
                </c:pt>
              </c:numCache>
            </c:numRef>
          </c:val>
        </c:ser>
        <c:ser>
          <c:idx val="9"/>
          <c:order val="9"/>
          <c:tx>
            <c:strRef>
              <c:f>'flujos - Gasto mensual'!$T$2</c:f>
              <c:strCache>
                <c:ptCount val="1"/>
                <c:pt idx="0">
                  <c:v>Otros</c:v>
                </c:pt>
              </c:strCache>
            </c:strRef>
          </c:tx>
          <c:spPr>
            <a:gradFill flip="none" rotWithShape="1">
              <a:gsLst>
                <a:gs pos="0">
                  <a:srgbClr val="EF951A"/>
                </a:gs>
                <a:gs pos="100000">
                  <a:srgbClr val="DE6A10"/>
                </a:gs>
              </a:gsLst>
              <a:lin ang="5400000" scaled="0"/>
            </a:gradFill>
            <a:ln w="12700" cap="flat">
              <a:noFill/>
              <a:miter lim="400000"/>
            </a:ln>
            <a:effectLst/>
          </c:spP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'flujos - Gasto mensual'!$A$4:$A$118,'flujos - Gasto mensual'!$A$120</c:f>
              <c:strCache>
                <c:ptCount val="116"/>
                <c:pt idx="0">
                  <c:v>Jul 17</c:v>
                </c:pt>
                <c:pt idx="1">
                  <c:v>Aug 17</c:v>
                </c:pt>
                <c:pt idx="2">
                  <c:v>Sep 17</c:v>
                </c:pt>
                <c:pt idx="3">
                  <c:v>Oct 17</c:v>
                </c:pt>
                <c:pt idx="4">
                  <c:v>Nov 17</c:v>
                </c:pt>
                <c:pt idx="5">
                  <c:v>Dec 17</c:v>
                </c:pt>
                <c:pt idx="6">
                  <c:v>Jan 18</c:v>
                </c:pt>
                <c:pt idx="7">
                  <c:v>Feb 18</c:v>
                </c:pt>
                <c:pt idx="8">
                  <c:v>Mar 18</c:v>
                </c:pt>
                <c:pt idx="9">
                  <c:v>Apr 18</c:v>
                </c:pt>
                <c:pt idx="10">
                  <c:v>May 18</c:v>
                </c:pt>
                <c:pt idx="11">
                  <c:v>Jun 18</c:v>
                </c:pt>
                <c:pt idx="12">
                  <c:v>Jul 18</c:v>
                </c:pt>
                <c:pt idx="13">
                  <c:v>Aug 18</c:v>
                </c:pt>
                <c:pt idx="14">
                  <c:v>Sep 18</c:v>
                </c:pt>
                <c:pt idx="15">
                  <c:v>Oct 18</c:v>
                </c:pt>
                <c:pt idx="16">
                  <c:v>Nov 18</c:v>
                </c:pt>
                <c:pt idx="17">
                  <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strCache>
            </c:strRef>
          </c:cat>
          <c:val>
            <c:numRef>
              <c:f>'flujos - Gasto mensual'!$T$3:$T$118</c:f>
              <c:numCache>
                <c:ptCount val="60"/>
                <c:pt idx="0">
                  <c:v>93575.000000</c:v>
                </c:pt>
                <c:pt idx="1">
                  <c:v>112520.000000</c:v>
                </c:pt>
                <c:pt idx="2">
                  <c:v>227430.000000</c:v>
                </c:pt>
                <c:pt idx="3">
                  <c:v>107710.000000</c:v>
                </c:pt>
                <c:pt idx="4">
                  <c:v>98252.000000</c:v>
                </c:pt>
                <c:pt idx="5">
                  <c:v>86650.000000</c:v>
                </c:pt>
                <c:pt idx="6">
                  <c:v>124710.000000</c:v>
                </c:pt>
                <c:pt idx="7">
                  <c:v>151250.000000</c:v>
                </c:pt>
                <c:pt idx="8">
                  <c:v>122680.000000</c:v>
                </c:pt>
                <c:pt idx="9">
                  <c:v>88880.000000</c:v>
                </c:pt>
                <c:pt idx="10">
                  <c:v>57180.000000</c:v>
                </c:pt>
                <c:pt idx="11">
                  <c:v>100800.000000</c:v>
                </c:pt>
                <c:pt idx="12">
                  <c:v>59387.000000</c:v>
                </c:pt>
                <c:pt idx="13">
                  <c:v>90928.000000</c:v>
                </c:pt>
                <c:pt idx="14">
                  <c:v>125980.000000</c:v>
                </c:pt>
                <c:pt idx="15">
                  <c:v>33230.000000</c:v>
                </c:pt>
                <c:pt idx="16">
                  <c:v>122405.000000</c:v>
                </c:pt>
                <c:pt idx="17">
                  <c:v>302449.000000</c:v>
                </c:pt>
                <c:pt idx="18">
                  <c:v>395615.000000</c:v>
                </c:pt>
                <c:pt idx="19">
                  <c:v>21400.000000</c:v>
                </c:pt>
                <c:pt idx="20">
                  <c:v>114761.000000</c:v>
                </c:pt>
                <c:pt idx="21">
                  <c:v>235969.000000</c:v>
                </c:pt>
                <c:pt idx="22">
                  <c:v>412926.500000</c:v>
                </c:pt>
                <c:pt idx="23">
                  <c:v>494540.000000</c:v>
                </c:pt>
                <c:pt idx="24">
                  <c:v>352474.000000</c:v>
                </c:pt>
                <c:pt idx="25">
                  <c:v>1788124.000000</c:v>
                </c:pt>
                <c:pt idx="26">
                  <c:v>305569.000000</c:v>
                </c:pt>
                <c:pt idx="27">
                  <c:v>1140223.000000</c:v>
                </c:pt>
                <c:pt idx="28">
                  <c:v>265746.000000</c:v>
                </c:pt>
                <c:pt idx="29">
                  <c:v>518424.000000</c:v>
                </c:pt>
                <c:pt idx="30">
                  <c:v>557394.000000</c:v>
                </c:pt>
                <c:pt idx="31">
                  <c:v>432600.000000</c:v>
                </c:pt>
                <c:pt idx="32">
                  <c:v>170416.000000</c:v>
                </c:pt>
                <c:pt idx="33">
                  <c:v>2080691.000000</c:v>
                </c:pt>
                <c:pt idx="34">
                  <c:v>92565.000000</c:v>
                </c:pt>
                <c:pt idx="35">
                  <c:v>28580.000000</c:v>
                </c:pt>
                <c:pt idx="36">
                  <c:v>371450.000000</c:v>
                </c:pt>
                <c:pt idx="37">
                  <c:v>110164.000000</c:v>
                </c:pt>
                <c:pt idx="38">
                  <c:v>417365.000000</c:v>
                </c:pt>
                <c:pt idx="39">
                  <c:v>582115.000000</c:v>
                </c:pt>
                <c:pt idx="40">
                  <c:v>208314.000000</c:v>
                </c:pt>
                <c:pt idx="41">
                  <c:v>650987.000000</c:v>
                </c:pt>
                <c:pt idx="42">
                  <c:v>582875.000000</c:v>
                </c:pt>
                <c:pt idx="43">
                  <c:v>234130.000000</c:v>
                </c:pt>
                <c:pt idx="44">
                  <c:v>44037.000000</c:v>
                </c:pt>
                <c:pt idx="45">
                  <c:v>87496.000000</c:v>
                </c:pt>
                <c:pt idx="46">
                  <c:v>313511.000000</c:v>
                </c:pt>
                <c:pt idx="47">
                  <c:v>107823.000000</c:v>
                </c:pt>
                <c:pt idx="48">
                  <c:v>762495.000000</c:v>
                </c:pt>
                <c:pt idx="49">
                  <c:v>321276.000000</c:v>
                </c:pt>
                <c:pt idx="50">
                  <c:v>1907264.000000</c:v>
                </c:pt>
                <c:pt idx="51">
                  <c:v>1800422.000000</c:v>
                </c:pt>
                <c:pt idx="52">
                  <c:v>0.000000</c:v>
                </c:pt>
                <c:pt idx="87">
                  <c:v>0.000000</c:v>
                </c:pt>
                <c:pt idx="91">
                  <c:v>-922911.000000</c:v>
                </c:pt>
                <c:pt idx="92">
                  <c:v>-10974160.000000</c:v>
                </c:pt>
                <c:pt idx="93">
                  <c:v>-23141489.400000</c:v>
                </c:pt>
                <c:pt idx="94">
                  <c:v>1350021.000000</c:v>
                </c:pt>
                <c:pt idx="95">
                  <c:v>842120.000000</c:v>
                </c:pt>
                <c:pt idx="96">
                  <c:v>1178539.000000</c:v>
                </c:pt>
              </c:numCache>
            </c:numRef>
          </c:val>
        </c:ser>
        <c:axId val="2094734552"/>
        <c:axId val="2094734553"/>
      </c:area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5e+06"/>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12475"/>
          <c:y val="0"/>
          <c:w val="0.818855"/>
          <c:h val="0.041534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95287"/>
          <c:y val="0.0823454"/>
          <c:w val="0.911894"/>
          <c:h val="0.611414"/>
        </c:manualLayout>
      </c:layout>
      <c:barChart>
        <c:barDir val="col"/>
        <c:grouping val="stacked"/>
        <c:varyColors val="0"/>
        <c:ser>
          <c:idx val="0"/>
          <c:order val="0"/>
          <c:tx>
            <c:strRef>
              <c:f>'flujos - Table 3'!$I$1:$I$2</c:f>
              <c:strCache/>
            </c:strRef>
          </c:tx>
          <c:spPr>
            <a:solidFill>
              <a:srgbClr val="5F99C5"/>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'flujos - Table 3'!$B$3:$C$16</c:f>
              <c:strCache>
                <c:ptCount val="14"/>
                <c:pt idx="0">
                  <c:v>funk tribu </c:v>
                </c:pt>
                <c:pt idx="1">
                  <c:v>respaldo cama rosen</c:v>
                </c:pt>
                <c:pt idx="2">
                  <c:v>la roche mercadolibre</c:v>
                </c:pt>
                <c:pt idx="3">
                  <c:v>funda ipad </c:v>
                </c:pt>
                <c:pt idx="4">
                  <c:v>motits </c:v>
                </c:pt>
                <c:pt idx="5">
                  <c:v>permiso 1/2 </c:v>
                </c:pt>
                <c:pt idx="6">
                  <c:v>bandeja brownies </c:v>
                </c:pt>
                <c:pt idx="7">
                  <c:v>contribuciones 1/4 marzo </c:v>
                </c:pt>
                <c:pt idx="8">
                  <c:v>le creuset mercadopago 4</c:v>
                </c:pt>
                <c:pt idx="9">
                  <c:v>mercadolibe shit </c:v>
                </c:pt>
                <c:pt idx="10">
                  <c:v>macbook air </c:v>
                </c:pt>
                <c:pt idx="11">
                  <c:v>impresora sp digital</c:v>
                </c:pt>
                <c:pt idx="12">
                  <c:v>ipad </c:v>
                </c:pt>
                <c:pt idx="13">
                  <c:v>lo arcaya </c:v>
                </c:pt>
              </c:strCache>
            </c:strRef>
          </c:cat>
          <c:val>
            <c:numRef>
              <c:f>'flujos - Table 3'!$I$3:$I$16</c:f>
              <c:numCache>
                <c:ptCount val="14"/>
                <c:pt idx="0">
                  <c:v>55966.000000</c:v>
                </c:pt>
                <c:pt idx="1">
                  <c:v>150315.000000</c:v>
                </c:pt>
                <c:pt idx="2">
                  <c:v>36980.000000</c:v>
                </c:pt>
                <c:pt idx="3">
                  <c:v>74160.000000</c:v>
                </c:pt>
                <c:pt idx="4">
                  <c:v>68333.000000</c:v>
                </c:pt>
                <c:pt idx="5">
                  <c:v>9763.000000</c:v>
                </c:pt>
                <c:pt idx="6">
                  <c:v>21339.000000</c:v>
                </c:pt>
                <c:pt idx="7">
                  <c:v>0.000000</c:v>
                </c:pt>
                <c:pt idx="8">
                  <c:v>57736.000000</c:v>
                </c:pt>
                <c:pt idx="9">
                  <c:v>0.000000</c:v>
                </c:pt>
                <c:pt idx="10">
                  <c:v>677080.000000</c:v>
                </c:pt>
                <c:pt idx="11">
                  <c:v>55380.000000</c:v>
                </c:pt>
                <c:pt idx="12">
                  <c:v>164997.000000</c:v>
                </c:pt>
                <c:pt idx="13">
                  <c:v>697915.000000</c:v>
                </c:pt>
              </c:numCache>
            </c:numRef>
          </c:val>
        </c:ser>
        <c:ser>
          <c:idx val="1"/>
          <c:order val="1"/>
          <c:tx>
            <c:strRef>
              <c:f>'flujos - Table 3'!$L$1:$L$2</c:f>
              <c:strCache/>
            </c:strRef>
          </c:tx>
          <c:spPr>
            <a:solidFill>
              <a:srgbClr val="CE5248">
                <a:alpha val="86592"/>
              </a:srgbClr>
            </a:solidFill>
            <a:ln w="12700" cap="flat">
              <a:noFill/>
              <a:miter lim="400000"/>
            </a:ln>
            <a:effectLst/>
          </c:spPr>
          <c:invertIfNegative val="0"/>
          <c:dLbls>
            <c:numFmt formatCode="#,##0" sourceLinked="1"/>
            <c:txPr>
              <a:bodyPr/>
              <a:lstStyle/>
              <a:p>
                <a:pPr>
                  <a:defRPr b="0" i="0" strike="noStrike" sz="1200" u="none">
                    <a:solidFill>
                      <a:srgbClr val="000000"/>
                    </a:solidFill>
                    <a:effectLst>
                      <a:outerShdw sx="100000" sy="100000" kx="0" ky="0" algn="tl" rotWithShape="1" blurRad="63500" dist="38100" dir="5273901">
                        <a:srgbClr val="EFEFF0">
                          <a:alpha val="100000"/>
                        </a:srgbClr>
                      </a:outerShdw>
                    </a:effectLst>
                    <a:latin typeface="Helvetica"/>
                  </a:defRPr>
                </a:pPr>
              </a:p>
            </c:txPr>
            <c:dLblPos val="inEnd"/>
            <c:showLegendKey val="0"/>
            <c:showVal val="1"/>
            <c:showCatName val="0"/>
            <c:showSerName val="0"/>
            <c:showPercent val="0"/>
            <c:showBubbleSize val="0"/>
            <c:showLeaderLines val="0"/>
          </c:dLbls>
          <c:cat>
            <c:strRef>
              <c:f>'flujos - Table 3'!$B$3:$C$16</c:f>
              <c:strCache>
                <c:ptCount val="14"/>
                <c:pt idx="0">
                  <c:v>funk tribu </c:v>
                </c:pt>
                <c:pt idx="1">
                  <c:v>respaldo cama rosen</c:v>
                </c:pt>
                <c:pt idx="2">
                  <c:v>la roche mercadolibre</c:v>
                </c:pt>
                <c:pt idx="3">
                  <c:v>funda ipad </c:v>
                </c:pt>
                <c:pt idx="4">
                  <c:v>motits </c:v>
                </c:pt>
                <c:pt idx="5">
                  <c:v>permiso 1/2 </c:v>
                </c:pt>
                <c:pt idx="6">
                  <c:v>bandeja brownies </c:v>
                </c:pt>
                <c:pt idx="7">
                  <c:v>contribuciones 1/4 marzo </c:v>
                </c:pt>
                <c:pt idx="8">
                  <c:v>le creuset mercadopago 4</c:v>
                </c:pt>
                <c:pt idx="9">
                  <c:v>mercadolibe shit </c:v>
                </c:pt>
                <c:pt idx="10">
                  <c:v>macbook air </c:v>
                </c:pt>
                <c:pt idx="11">
                  <c:v>impresora sp digital</c:v>
                </c:pt>
                <c:pt idx="12">
                  <c:v>ipad </c:v>
                </c:pt>
                <c:pt idx="13">
                  <c:v>lo arcaya </c:v>
                </c:pt>
              </c:strCache>
            </c:strRef>
          </c:cat>
          <c:val>
            <c:numRef>
              <c:f>'flujos - Table 3'!$L$3:$L$16</c:f>
              <c:numCache>
                <c:ptCount val="14"/>
                <c:pt idx="0">
                  <c:v>27984.000000</c:v>
                </c:pt>
                <c:pt idx="1">
                  <c:v>13665.000000</c:v>
                </c:pt>
                <c:pt idx="2">
                  <c:v>18490.000000</c:v>
                </c:pt>
                <c:pt idx="3">
                  <c:v>14830.000000</c:v>
                </c:pt>
                <c:pt idx="4">
                  <c:v>136667.000000</c:v>
                </c:pt>
                <c:pt idx="5">
                  <c:v>19525.000000</c:v>
                </c:pt>
                <c:pt idx="6">
                  <c:v>7111.000000</c:v>
                </c:pt>
                <c:pt idx="7">
                  <c:v>92918.000000</c:v>
                </c:pt>
                <c:pt idx="8">
                  <c:v>41234.000000</c:v>
                </c:pt>
                <c:pt idx="9">
                  <c:v>74387.000000</c:v>
                </c:pt>
                <c:pt idx="10">
                  <c:v>947912.000000</c:v>
                </c:pt>
                <c:pt idx="11">
                  <c:v>77521.000000</c:v>
                </c:pt>
                <c:pt idx="12">
                  <c:v>274993.000000</c:v>
                </c:pt>
                <c:pt idx="13">
                  <c:v>2652085.000000</c:v>
                </c:pt>
              </c:numCache>
            </c:numRef>
          </c:val>
        </c:ser>
        <c:gapWidth val="9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540000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1e+06"/>
        <c:minorUnit val="500000"/>
      </c:valAx>
      <c:spPr>
        <a:noFill/>
        <a:ln w="12700" cap="flat">
          <a:noFill/>
          <a:miter lim="400000"/>
        </a:ln>
        <a:effectLst/>
      </c:spPr>
    </c:plotArea>
    <c:legend>
      <c:legendPos val="t"/>
      <c:layout>
        <c:manualLayout>
          <c:xMode val="edge"/>
          <c:yMode val="edge"/>
          <c:x val="0.0879257"/>
          <c:y val="0"/>
          <c:w val="0.862907"/>
          <c:h val="0.054343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532282"/>
          <c:y val="0.0823454"/>
          <c:w val="0.941772"/>
          <c:h val="0.611414"/>
        </c:manualLayout>
      </c:layout>
      <c:barChart>
        <c:barDir val="col"/>
        <c:grouping val="percentStacked"/>
        <c:varyColors val="0"/>
        <c:ser>
          <c:idx val="0"/>
          <c:order val="0"/>
          <c:tx>
            <c:strRef>
              <c:f>'flujos - Table 3'!$I$1:$I$2</c:f>
              <c:strCache/>
            </c:strRef>
          </c:tx>
          <c:spPr>
            <a:solidFill>
              <a:srgbClr val="5F99C5"/>
            </a:solidFill>
            <a:ln w="12700" cap="flat">
              <a:noFill/>
              <a:miter lim="400000"/>
            </a:ln>
            <a:effectLst/>
          </c:spPr>
          <c:invertIfNegative val="0"/>
          <c:dLbls>
            <c:numFmt formatCode="#,##0" sourceLinked="0"/>
            <c:txPr>
              <a:bodyPr/>
              <a:lstStyle/>
              <a:p>
                <a:pPr>
                  <a:defRPr b="0" i="0" strike="noStrike" sz="1200" u="none">
                    <a:solidFill>
                      <a:srgbClr val="000000"/>
                    </a:solidFill>
                    <a:effectLst>
                      <a:outerShdw sx="100000" sy="100000" kx="0" ky="0" algn="tl" rotWithShape="1" blurRad="63500" dist="38100" dir="5273901">
                        <a:srgbClr val="EFEFF0">
                          <a:alpha val="100000"/>
                        </a:srgbClr>
                      </a:outerShdw>
                    </a:effectLst>
                    <a:latin typeface="Helvetica"/>
                  </a:defRPr>
                </a:pPr>
              </a:p>
            </c:txPr>
            <c:dLblPos val="inEnd"/>
            <c:showLegendKey val="0"/>
            <c:showVal val="1"/>
            <c:showCatName val="0"/>
            <c:showSerName val="0"/>
            <c:showPercent val="0"/>
            <c:showBubbleSize val="0"/>
            <c:showLeaderLines val="0"/>
          </c:dLbls>
          <c:cat>
            <c:strRef>
              <c:f>'flujos - Table 3'!$B$3:$C$16</c:f>
              <c:strCache>
                <c:ptCount val="14"/>
                <c:pt idx="0">
                  <c:v>funk tribu </c:v>
                </c:pt>
                <c:pt idx="1">
                  <c:v>respaldo cama rosen</c:v>
                </c:pt>
                <c:pt idx="2">
                  <c:v>la roche mercadolibre</c:v>
                </c:pt>
                <c:pt idx="3">
                  <c:v>funda ipad </c:v>
                </c:pt>
                <c:pt idx="4">
                  <c:v>motits </c:v>
                </c:pt>
                <c:pt idx="5">
                  <c:v>permiso 1/2 </c:v>
                </c:pt>
                <c:pt idx="6">
                  <c:v>bandeja brownies </c:v>
                </c:pt>
                <c:pt idx="7">
                  <c:v>contribuciones 1/4 marzo </c:v>
                </c:pt>
                <c:pt idx="8">
                  <c:v>le creuset mercadopago 4</c:v>
                </c:pt>
                <c:pt idx="9">
                  <c:v>mercadolibe shit </c:v>
                </c:pt>
                <c:pt idx="10">
                  <c:v>macbook air </c:v>
                </c:pt>
                <c:pt idx="11">
                  <c:v>impresora sp digital</c:v>
                </c:pt>
                <c:pt idx="12">
                  <c:v>ipad </c:v>
                </c:pt>
                <c:pt idx="13">
                  <c:v>lo arcaya </c:v>
                </c:pt>
              </c:strCache>
            </c:strRef>
          </c:cat>
          <c:val>
            <c:numRef>
              <c:f>'flujos - Table 3'!$I$3:$I$16</c:f>
              <c:numCache>
                <c:ptCount val="14"/>
                <c:pt idx="0">
                  <c:v>55966.000000</c:v>
                </c:pt>
                <c:pt idx="1">
                  <c:v>150315.000000</c:v>
                </c:pt>
                <c:pt idx="2">
                  <c:v>36980.000000</c:v>
                </c:pt>
                <c:pt idx="3">
                  <c:v>74160.000000</c:v>
                </c:pt>
                <c:pt idx="4">
                  <c:v>68333.000000</c:v>
                </c:pt>
                <c:pt idx="5">
                  <c:v>9763.000000</c:v>
                </c:pt>
                <c:pt idx="6">
                  <c:v>21339.000000</c:v>
                </c:pt>
                <c:pt idx="7">
                  <c:v>0.000000</c:v>
                </c:pt>
                <c:pt idx="8">
                  <c:v>57736.000000</c:v>
                </c:pt>
                <c:pt idx="9">
                  <c:v>0.000000</c:v>
                </c:pt>
                <c:pt idx="10">
                  <c:v>677080.000000</c:v>
                </c:pt>
                <c:pt idx="11">
                  <c:v>55380.000000</c:v>
                </c:pt>
                <c:pt idx="12">
                  <c:v>164997.000000</c:v>
                </c:pt>
                <c:pt idx="13">
                  <c:v>697915.000000</c:v>
                </c:pt>
              </c:numCache>
            </c:numRef>
          </c:val>
        </c:ser>
        <c:ser>
          <c:idx val="1"/>
          <c:order val="1"/>
          <c:tx>
            <c:strRef>
              <c:f>'flujos - Table 3'!$L$1:$L$2</c:f>
              <c:strCache/>
            </c:strRef>
          </c:tx>
          <c:spPr>
            <a:solidFill>
              <a:srgbClr val="CE5248">
                <a:alpha val="86592"/>
              </a:srgbClr>
            </a:solidFill>
            <a:ln w="12700" cap="flat">
              <a:noFill/>
              <a:miter lim="400000"/>
            </a:ln>
            <a:effectLst/>
          </c:spPr>
          <c:invertIfNegative val="0"/>
          <c:dLbls>
            <c:numFmt formatCode="#,##0" sourceLinked="0"/>
            <c:txPr>
              <a:bodyPr/>
              <a:lstStyle/>
              <a:p>
                <a:pPr>
                  <a:defRPr b="0" i="0" strike="noStrike" sz="1200" u="none">
                    <a:solidFill>
                      <a:srgbClr val="000000"/>
                    </a:solidFill>
                    <a:effectLst>
                      <a:outerShdw sx="100000" sy="100000" kx="0" ky="0" algn="tl" rotWithShape="1" blurRad="63500" dist="38100" dir="5273901">
                        <a:srgbClr val="EFEFF0">
                          <a:alpha val="100000"/>
                        </a:srgbClr>
                      </a:outerShdw>
                    </a:effectLst>
                    <a:latin typeface="Helvetica"/>
                  </a:defRPr>
                </a:pPr>
              </a:p>
            </c:txPr>
            <c:dLblPos val="inEnd"/>
            <c:showLegendKey val="0"/>
            <c:showVal val="1"/>
            <c:showCatName val="0"/>
            <c:showSerName val="0"/>
            <c:showPercent val="0"/>
            <c:showBubbleSize val="0"/>
            <c:showLeaderLines val="0"/>
          </c:dLbls>
          <c:cat>
            <c:strRef>
              <c:f>'flujos - Table 3'!$B$3:$C$16</c:f>
              <c:strCache>
                <c:ptCount val="14"/>
                <c:pt idx="0">
                  <c:v>funk tribu </c:v>
                </c:pt>
                <c:pt idx="1">
                  <c:v>respaldo cama rosen</c:v>
                </c:pt>
                <c:pt idx="2">
                  <c:v>la roche mercadolibre</c:v>
                </c:pt>
                <c:pt idx="3">
                  <c:v>funda ipad </c:v>
                </c:pt>
                <c:pt idx="4">
                  <c:v>motits </c:v>
                </c:pt>
                <c:pt idx="5">
                  <c:v>permiso 1/2 </c:v>
                </c:pt>
                <c:pt idx="6">
                  <c:v>bandeja brownies </c:v>
                </c:pt>
                <c:pt idx="7">
                  <c:v>contribuciones 1/4 marzo </c:v>
                </c:pt>
                <c:pt idx="8">
                  <c:v>le creuset mercadopago 4</c:v>
                </c:pt>
                <c:pt idx="9">
                  <c:v>mercadolibe shit </c:v>
                </c:pt>
                <c:pt idx="10">
                  <c:v>macbook air </c:v>
                </c:pt>
                <c:pt idx="11">
                  <c:v>impresora sp digital</c:v>
                </c:pt>
                <c:pt idx="12">
                  <c:v>ipad </c:v>
                </c:pt>
                <c:pt idx="13">
                  <c:v>lo arcaya </c:v>
                </c:pt>
              </c:strCache>
            </c:strRef>
          </c:cat>
          <c:val>
            <c:numRef>
              <c:f>'flujos - Table 3'!$L$3:$L$16</c:f>
              <c:numCache>
                <c:ptCount val="14"/>
                <c:pt idx="0">
                  <c:v>27984.000000</c:v>
                </c:pt>
                <c:pt idx="1">
                  <c:v>13665.000000</c:v>
                </c:pt>
                <c:pt idx="2">
                  <c:v>18490.000000</c:v>
                </c:pt>
                <c:pt idx="3">
                  <c:v>14830.000000</c:v>
                </c:pt>
                <c:pt idx="4">
                  <c:v>136667.000000</c:v>
                </c:pt>
                <c:pt idx="5">
                  <c:v>19525.000000</c:v>
                </c:pt>
                <c:pt idx="6">
                  <c:v>7111.000000</c:v>
                </c:pt>
                <c:pt idx="7">
                  <c:v>92918.000000</c:v>
                </c:pt>
                <c:pt idx="8">
                  <c:v>41234.000000</c:v>
                </c:pt>
                <c:pt idx="9">
                  <c:v>74387.000000</c:v>
                </c:pt>
                <c:pt idx="10">
                  <c:v>947912.000000</c:v>
                </c:pt>
                <c:pt idx="11">
                  <c:v>77521.000000</c:v>
                </c:pt>
                <c:pt idx="12">
                  <c:v>274993.000000</c:v>
                </c:pt>
                <c:pt idx="13">
                  <c:v>2652085.000000</c:v>
                </c:pt>
              </c:numCache>
            </c:numRef>
          </c:val>
        </c:ser>
        <c:gapWidth val="90"/>
        <c:overlap val="100"/>
        <c:axId val="2094734552"/>
        <c:axId val="2094734553"/>
      </c:bar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540000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0.25"/>
        <c:minorUnit val="0.125"/>
      </c:valAx>
      <c:spPr>
        <a:noFill/>
        <a:ln w="12700" cap="flat">
          <a:noFill/>
          <a:miter lim="400000"/>
        </a:ln>
        <a:effectLst/>
      </c:spPr>
    </c:plotArea>
    <c:legend>
      <c:legendPos val="t"/>
      <c:layout>
        <c:manualLayout>
          <c:xMode val="edge"/>
          <c:yMode val="edge"/>
          <c:x val="0.0392936"/>
          <c:y val="0"/>
          <c:w val="0.943814"/>
          <c:h val="0.054343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2211"/>
          <c:y val="0.0923077"/>
          <c:w val="0.842727"/>
          <c:h val="0.842201"/>
        </c:manualLayout>
      </c:layout>
      <c:barChart>
        <c:barDir val="col"/>
        <c:grouping val="clustered"/>
        <c:varyColors val="0"/>
        <c:ser>
          <c:idx val="6"/>
          <c:order val="0"/>
          <c:tx>
            <c:strRef>
              <c:f>'anual - Table 1-1'!$K$3</c:f>
              <c:strCache/>
            </c:strRef>
          </c:tx>
          <c:spPr>
            <a:solidFill>
              <a:srgbClr val="000000">
                <a:alpha val="4572"/>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1-1'!$K$4:$K$13</c:f>
              <c:numCache>
                <c:ptCount val="0"/>
              </c:numCache>
            </c:numRef>
          </c:val>
        </c:ser>
        <c:gapWidth val="150"/>
        <c:overlap val="-20"/>
        <c:axId val="2094734552"/>
        <c:axId val="2094734553"/>
      </c:barChart>
      <c:lineChart>
        <c:grouping val="standard"/>
        <c:varyColors val="0"/>
        <c:ser>
          <c:idx val="0"/>
          <c:order val="1"/>
          <c:tx>
            <c:strRef>
              <c:f>'anual - Table 1-1'!$R$3</c:f>
              <c:strCache/>
            </c:strRef>
          </c:tx>
          <c:spPr>
            <a:solidFill>
              <a:srgbClr val="BB3811"/>
            </a:solidFill>
            <a:ln w="50800" cap="flat">
              <a:solidFill>
                <a:srgbClr val="EC4613"/>
              </a:solidFill>
              <a:prstDash val="solid"/>
              <a:miter lim="400000"/>
            </a:ln>
            <a:effectLst/>
          </c:spPr>
          <c:marker>
            <c:symbol val="circle"/>
            <c:size val="8"/>
            <c:spPr>
              <a:solidFill>
                <a:srgbClr val="BB3811"/>
              </a:solidFill>
              <a:ln w="50800" cap="flat">
                <a:noFill/>
                <a:miter lim="400000"/>
              </a:ln>
              <a:effectLst/>
            </c:spPr>
          </c:marker>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'anual - Table 1-1'!$A$4:$A$13</c:f>
              <c:strCache>
                <c:ptCount val="0"/>
              </c:strCache>
            </c:strRef>
          </c:cat>
          <c:val>
            <c:numRef>
              <c:f>'anual - Table 1-1'!$R$4:$R$13</c:f>
              <c:numCache>
                <c:ptCount val="0"/>
              </c:numCache>
            </c:numRef>
          </c:val>
          <c:smooth val="0"/>
        </c:ser>
        <c:ser>
          <c:idx val="1"/>
          <c:order val="2"/>
          <c:tx>
            <c:strRef>
              <c:f>'anual - Table 1-1'!$S$3</c:f>
              <c:strCache/>
            </c:strRef>
          </c:tx>
          <c:spPr>
            <a:solidFill>
              <a:srgbClr val="FFFFFF"/>
            </a:solidFill>
            <a:ln w="25400" cap="flat">
              <a:solidFill>
                <a:srgbClr val="2561D5">
                  <a:alpha val="89519"/>
                </a:srgbClr>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'anual - Table 1-1'!$A$4:$A$13</c:f>
              <c:strCache>
                <c:ptCount val="0"/>
              </c:strCache>
            </c:strRef>
          </c:cat>
          <c:val>
            <c:numRef>
              <c:f>'anual - Table 1-1'!$S$4:$S$13</c:f>
              <c:numCache>
                <c:ptCount val="0"/>
              </c:numCache>
            </c:numRef>
          </c:val>
          <c:smooth val="0"/>
        </c:ser>
        <c:ser>
          <c:idx val="2"/>
          <c:order val="3"/>
          <c:tx>
            <c:strRef>
              <c:f>'anual - Table 1-1'!$U$3</c:f>
              <c:strCache/>
            </c:strRef>
          </c:tx>
          <c:spPr>
            <a:solidFill>
              <a:srgbClr val="FFFFFF"/>
            </a:solidFill>
            <a:ln w="25400" cap="flat">
              <a:solidFill>
                <a:srgbClr val="51A7F9"/>
              </a:solidFill>
              <a:prstDash val="solid"/>
              <a:miter lim="400000"/>
            </a:ln>
            <a:effectLst/>
          </c:spPr>
          <c:marker>
            <c:symbol val="none"/>
            <c:size val="4"/>
            <c:spPr>
              <a:solidFill>
                <a:srgbClr val="FFFFFF"/>
              </a:solidFill>
              <a:ln w="50800" cap="flat">
                <a:solidFill>
                  <a:srgbClr val="FBE12B"/>
                </a:solidFill>
                <a:prstDash val="solid"/>
                <a:miter lim="400000"/>
              </a:ln>
              <a:effectLst/>
            </c:spPr>
          </c:marker>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'anual - Table 1-1'!$A$4:$A$13</c:f>
              <c:strCache>
                <c:ptCount val="0"/>
              </c:strCache>
            </c:strRef>
          </c:cat>
          <c:val>
            <c:numRef>
              <c:f>'anual - Table 1-1'!$U$4:$U$13</c:f>
              <c:numCache>
                <c:ptCount val="0"/>
              </c:numCache>
            </c:numRef>
          </c:val>
          <c:smooth val="0"/>
        </c:ser>
        <c:ser>
          <c:idx val="3"/>
          <c:order val="4"/>
          <c:tx>
            <c:strRef>
              <c:f>'anual - Table 1-1'!$W$3</c:f>
              <c:strCache/>
            </c:strRef>
          </c:tx>
          <c:spPr>
            <a:solidFill>
              <a:srgbClr val="FFFFFF"/>
            </a:solidFill>
            <a:ln w="25400" cap="flat">
              <a:solidFill>
                <a:srgbClr val="F4BB1C"/>
              </a:solidFill>
              <a:prstDash val="solid"/>
              <a:miter lim="400000"/>
            </a:ln>
            <a:effectLst/>
          </c:spPr>
          <c:marker>
            <c:symbol val="none"/>
            <c:size val="4"/>
            <c:spPr>
              <a:solidFill>
                <a:srgbClr val="FFFFFF"/>
              </a:solidFill>
              <a:ln w="50800" cap="flat">
                <a:solidFill>
                  <a:srgbClr val="EF951A"/>
                </a:solidFill>
                <a:prstDash val="solid"/>
                <a:miter lim="400000"/>
              </a:ln>
              <a:effectLst/>
            </c:spPr>
          </c:marker>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'anual - Table 1-1'!$A$4:$A$13</c:f>
              <c:strCache>
                <c:ptCount val="0"/>
              </c:strCache>
            </c:strRef>
          </c:cat>
          <c:val>
            <c:numRef>
              <c:f>'anual - Table 1-1'!$W$4:$W$13</c:f>
              <c:numCache>
                <c:ptCount val="0"/>
              </c:numCache>
            </c:numRef>
          </c:val>
          <c:smooth val="0"/>
        </c:ser>
        <c:ser>
          <c:idx val="4"/>
          <c:order val="5"/>
          <c:tx>
            <c:strRef>
              <c:f>'anual - Table 1-1'!$Y$3</c:f>
              <c:strCache/>
            </c:strRef>
          </c:tx>
          <c:spPr>
            <a:solidFill>
              <a:srgbClr val="FFFFFF"/>
            </a:solidFill>
            <a:ln w="25400" cap="flat">
              <a:solidFill>
                <a:srgbClr val="78CC47"/>
              </a:solidFill>
              <a:prstDash val="solid"/>
              <a:miter lim="400000"/>
            </a:ln>
            <a:effectLst/>
          </c:spPr>
          <c:marker>
            <c:symbol val="none"/>
            <c:size val="4"/>
            <c:spPr>
              <a:solidFill>
                <a:srgbClr val="FFFFFF"/>
              </a:solidFill>
              <a:ln w="50800" cap="flat">
                <a:solidFill>
                  <a:srgbClr val="FB4912"/>
                </a:solidFill>
                <a:prstDash val="solid"/>
                <a:miter lim="400000"/>
              </a:ln>
              <a:effectLst/>
            </c:spPr>
          </c:marker>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0"/>
            <c:showBubbleSize val="0"/>
            <c:showLeaderLines val="0"/>
          </c:dLbls>
          <c:cat>
            <c:strRef>
              <c:f>'anual - Table 1-1'!$A$4:$A$13</c:f>
              <c:strCache>
                <c:ptCount val="0"/>
              </c:strCache>
            </c:strRef>
          </c:cat>
          <c:val>
            <c:numRef>
              <c:f>'anual - Table 1-1'!$Y$4:$Y$13</c:f>
              <c:numCache>
                <c:ptCount val="0"/>
              </c:numCache>
            </c:numRef>
          </c:val>
          <c:smooth val="0"/>
        </c:ser>
        <c:ser>
          <c:idx val="5"/>
          <c:order val="6"/>
          <c:tx>
            <c:strRef>
              <c:f>'anual - Table 1-1'!$AA$3</c:f>
              <c:strCache/>
            </c:strRef>
          </c:tx>
          <c:spPr>
            <a:solidFill>
              <a:srgbClr val="FFFFFF"/>
            </a:solidFill>
            <a:ln w="25400" cap="flat">
              <a:solidFill>
                <a:srgbClr val="C3E5F9"/>
              </a:solidFill>
              <a:prstDash val="solid"/>
              <a:miter lim="400000"/>
            </a:ln>
            <a:effectLst/>
          </c:spPr>
          <c:marker>
            <c:symbol val="none"/>
            <c:size val="4"/>
            <c:spPr>
              <a:solidFill>
                <a:srgbClr val="FFFFFF"/>
              </a:solidFill>
              <a:ln w="50800" cap="flat">
                <a:solidFill>
                  <a:srgbClr val="885CB2">
                    <a:alpha val="48753"/>
                  </a:srgbClr>
                </a:solidFill>
                <a:prstDash val="solid"/>
                <a:miter lim="400000"/>
              </a:ln>
              <a:effectLst/>
            </c:spPr>
          </c:marke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'anual - Table 1-1'!$A$4:$A$13</c:f>
              <c:strCache>
                <c:ptCount val="0"/>
              </c:strCache>
            </c:strRef>
          </c:cat>
          <c:val>
            <c:numRef>
              <c:f>'anual - Table 1-1'!$AA$4:$AA$13</c:f>
              <c:numCache>
                <c:ptCount val="0"/>
              </c:numCache>
            </c:numRef>
          </c:val>
          <c:smooth val="0"/>
        </c:ser>
        <c:ser>
          <c:idx val="7"/>
          <c:order val="7"/>
          <c:tx>
            <c:strRef>
              <c:f>'anual - Table 1-1'!$AC$3</c:f>
              <c:strCache/>
            </c:strRef>
          </c:tx>
          <c:spPr>
            <a:solidFill>
              <a:srgbClr val="FFFFFF"/>
            </a:solidFill>
            <a:ln w="25400" cap="flat">
              <a:solidFill>
                <a:srgbClr val="CD5248"/>
              </a:solidFill>
              <a:custDash>
                <a:ds d="200000" sp="200000"/>
              </a:custDash>
              <a:miter lim="400000"/>
            </a:ln>
            <a:effectLst/>
          </c:spPr>
          <c:marker>
            <c:symbol val="none"/>
            <c:size val="4"/>
            <c:spPr>
              <a:solidFill>
                <a:srgbClr val="FFFFFF"/>
              </a:solidFill>
              <a:ln w="50800" cap="flat">
                <a:solidFill>
                  <a:srgbClr val="80C855"/>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'anual - Table 1-1'!$A$4:$A$13</c:f>
              <c:strCache>
                <c:ptCount val="0"/>
              </c:strCache>
            </c:strRef>
          </c:cat>
          <c:val>
            <c:numRef>
              <c:f>'anual - Table 1-1'!$AC$4:$AC$13</c:f>
              <c:numCache>
                <c:ptCount val="0"/>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132625"/>
          <c:y val="0"/>
          <c:w val="0.863524"/>
          <c:h val="0.107051"/>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06567"/>
          <c:y val="0.125413"/>
          <c:w val="0.888433"/>
          <c:h val="0.812583"/>
        </c:manualLayout>
      </c:layout>
      <c:barChart>
        <c:barDir val="col"/>
        <c:grouping val="clustered"/>
        <c:varyColors val="0"/>
        <c:ser>
          <c:idx val="0"/>
          <c:order val="0"/>
          <c:tx>
            <c:strRef>
              <c:f>'anual - Table 1-1'!$J$3</c:f>
              <c:strCache>
                <c:ptCount val="1"/>
                <c:pt idx="0">
                  <c:v>% crec</c:v>
                </c:pt>
              </c:strCache>
            </c:strRef>
          </c:tx>
          <c:spPr>
            <a:solidFill>
              <a:srgbClr val="000000">
                <a:alpha val="6000"/>
              </a:srgbClr>
            </a:solidFill>
            <a:ln w="12700" cap="flat">
              <a:noFill/>
              <a:miter lim="400000"/>
            </a:ln>
            <a:effectLst/>
          </c:spPr>
          <c:invertIfNegative val="0"/>
          <c:dLbls>
            <c:numFmt formatCode="#,##0.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25400" cap="flat">
                <a:solidFill>
                  <a:srgbClr val="000000">
                    <a:alpha val="80360"/>
                  </a:srgbClr>
                </a:solidFill>
                <a:prstDash val="solid"/>
                <a:miter lim="400000"/>
              </a:ln>
              <a:effectLst>
                <a:outerShdw sx="100000" sy="100000" kx="0" ky="0" algn="tl" rotWithShape="1" blurRad="12700" dist="25400" dir="7320000">
                  <a:srgbClr val="000000">
                    <a:alpha val="25000"/>
                  </a:srgbClr>
                </a:outerShdw>
              </a:effectLst>
            </c:spPr>
            <c:trendlineType val="movingAvg"/>
            <c:period val="3"/>
            <c:forward val="0"/>
            <c:backward val="0"/>
            <c:dispRSqr val="0"/>
            <c:dispEq val="0"/>
          </c:trendline>
          <c:cat>
            <c:strRef>
              <c:f>'anual - Table 1-1'!$A$4:$A$13</c:f>
              <c:strCache>
                <c:ptCount val="10"/>
                <c:pt idx="0">
                  <c:v>2017</c:v>
                </c:pt>
                <c:pt idx="1">
                  <c:v>2018</c:v>
                </c:pt>
                <c:pt idx="2">
                  <c:v>2019</c:v>
                </c:pt>
                <c:pt idx="3">
                  <c:v>2020</c:v>
                </c:pt>
                <c:pt idx="4">
                  <c:v>2021</c:v>
                </c:pt>
                <c:pt idx="5">
                  <c:v>2022</c:v>
                </c:pt>
                <c:pt idx="6">
                  <c:v>2023</c:v>
                </c:pt>
                <c:pt idx="7">
                  <c:v>2024</c:v>
                </c:pt>
                <c:pt idx="8">
                  <c:v>2025</c:v>
                </c:pt>
                <c:pt idx="9">
                  <c:v>2026</c:v>
                </c:pt>
              </c:strCache>
            </c:strRef>
          </c:cat>
          <c:val>
            <c:numRef>
              <c:f>'anual - Table 1-1'!$J$4:$J$13</c:f>
              <c:numCache>
                <c:ptCount val="10"/>
                <c:pt idx="0">
                  <c:v>1.546569</c:v>
                </c:pt>
                <c:pt idx="1">
                  <c:v>0.832466</c:v>
                </c:pt>
                <c:pt idx="2">
                  <c:v>1.157225</c:v>
                </c:pt>
                <c:pt idx="3">
                  <c:v>0.354461</c:v>
                </c:pt>
                <c:pt idx="4">
                  <c:v>0.399807</c:v>
                </c:pt>
                <c:pt idx="5">
                  <c:v>-0.288929</c:v>
                </c:pt>
                <c:pt idx="6">
                  <c:v>0.534049</c:v>
                </c:pt>
                <c:pt idx="7">
                  <c:v>1.434222</c:v>
                </c:pt>
                <c:pt idx="8">
                  <c:v>0.003597</c:v>
                </c:pt>
                <c:pt idx="9">
                  <c:v>0.242120</c:v>
                </c:pt>
              </c:numCache>
            </c:numRef>
          </c:val>
        </c:ser>
        <c:gapWidth val="300"/>
        <c:overlap val="-10"/>
        <c:axId val="2094734552"/>
        <c:axId val="2094734553"/>
      </c:barChart>
      <c:catAx>
        <c:axId val="2094734552"/>
        <c:scaling>
          <c:orientation val="minMax"/>
        </c:scaling>
        <c:delete val="0"/>
        <c:axPos val="b"/>
        <c:numFmt formatCode="#,##0.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0792291"/>
          <c:y val="0"/>
          <c:w val="0.906866"/>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48946"/>
          <c:y val="0.0854701"/>
          <c:w val="0.825507"/>
          <c:h val="0.842201"/>
        </c:manualLayout>
      </c:layout>
      <c:lineChart>
        <c:grouping val="standard"/>
        <c:varyColors val="0"/>
        <c:ser>
          <c:idx val="0"/>
          <c:order val="0"/>
          <c:tx>
            <c:strRef>
              <c:f>'anual - Table 1-1'!$B$3</c:f>
              <c:strCache>
                <c:ptCount val="1"/>
                <c:pt idx="0">
                  <c:v>Ingreso</c:v>
                </c:pt>
              </c:strCache>
            </c:strRef>
          </c:tx>
          <c:spPr>
            <a:solidFill>
              <a:srgbClr val="FFFFFF"/>
            </a:solidFill>
            <a:ln w="63500" cap="flat">
              <a:solidFill>
                <a:srgbClr val="D4DFDC">
                  <a:alpha val="50192"/>
                </a:srgbClr>
              </a:solidFill>
              <a:prstDash val="solid"/>
              <a:miter lim="400000"/>
            </a:ln>
            <a:effectLst/>
          </c:spPr>
          <c:marker>
            <c:symbol val="none"/>
            <c:size val="7"/>
            <c:spPr>
              <a:solidFill>
                <a:srgbClr val="FFFFFF"/>
              </a:solidFill>
              <a:ln w="50800" cap="flat">
                <a:solidFill>
                  <a:srgbClr val="51A7F9"/>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'anual - Table 1-1'!$A$4:$A$13</c:f>
              <c:strCache>
                <c:ptCount val="10"/>
                <c:pt idx="0">
                  <c:v>2017</c:v>
                </c:pt>
                <c:pt idx="1">
                  <c:v>2018</c:v>
                </c:pt>
                <c:pt idx="2">
                  <c:v>2019</c:v>
                </c:pt>
                <c:pt idx="3">
                  <c:v>2020</c:v>
                </c:pt>
                <c:pt idx="4">
                  <c:v>2021</c:v>
                </c:pt>
                <c:pt idx="5">
                  <c:v>2022</c:v>
                </c:pt>
                <c:pt idx="6">
                  <c:v>2023</c:v>
                </c:pt>
                <c:pt idx="7">
                  <c:v>2024</c:v>
                </c:pt>
                <c:pt idx="8">
                  <c:v>2025</c:v>
                </c:pt>
                <c:pt idx="9">
                  <c:v>2026</c:v>
                </c:pt>
              </c:strCache>
            </c:strRef>
          </c:cat>
          <c:val>
            <c:numRef>
              <c:f>'anual - Table 1-1'!$B$4:$B$13</c:f>
              <c:numCache>
                <c:ptCount val="10"/>
                <c:pt idx="0">
                  <c:v>10241263.000000</c:v>
                </c:pt>
                <c:pt idx="1">
                  <c:v>22378269.000000</c:v>
                </c:pt>
                <c:pt idx="2">
                  <c:v>30672716.000000</c:v>
                </c:pt>
                <c:pt idx="3">
                  <c:v>26524149.000000</c:v>
                </c:pt>
                <c:pt idx="4">
                  <c:v>26312267.000000</c:v>
                </c:pt>
                <c:pt idx="5">
                  <c:v>14566272.392400</c:v>
                </c:pt>
                <c:pt idx="6">
                  <c:v>45635233.000000</c:v>
                </c:pt>
                <c:pt idx="7">
                  <c:v>45817617.000000</c:v>
                </c:pt>
                <c:pt idx="8">
                  <c:v>47443770.000000</c:v>
                </c:pt>
                <c:pt idx="9">
                  <c:v>7955560.000000</c:v>
                </c:pt>
              </c:numCache>
            </c:numRef>
          </c:val>
          <c:smooth val="0"/>
        </c:ser>
        <c:ser>
          <c:idx val="1"/>
          <c:order val="1"/>
          <c:tx>
            <c:strRef>
              <c:f>'anual - Table 1-1'!$D$3</c:f>
              <c:strCache>
                <c:ptCount val="1"/>
                <c:pt idx="0">
                  <c:v>Depositado</c:v>
                </c:pt>
              </c:strCache>
            </c:strRef>
          </c:tx>
          <c:spPr>
            <a:solidFill>
              <a:srgbClr val="78CC47">
                <a:alpha val="65693"/>
              </a:srgbClr>
            </a:solidFill>
            <a:ln w="63500" cap="flat">
              <a:noFill/>
              <a:miter lim="400000"/>
            </a:ln>
            <a:effectLst/>
          </c:spPr>
          <c:marker>
            <c:symbol val="circle"/>
            <c:size val="7"/>
            <c:spPr>
              <a:solidFill>
                <a:srgbClr val="78CC47">
                  <a:alpha val="65693"/>
                </a:srgbClr>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'anual - Table 1-1'!$A$4:$A$13</c:f>
              <c:strCache>
                <c:ptCount val="10"/>
                <c:pt idx="0">
                  <c:v>2017</c:v>
                </c:pt>
                <c:pt idx="1">
                  <c:v>2018</c:v>
                </c:pt>
                <c:pt idx="2">
                  <c:v>2019</c:v>
                </c:pt>
                <c:pt idx="3">
                  <c:v>2020</c:v>
                </c:pt>
                <c:pt idx="4">
                  <c:v>2021</c:v>
                </c:pt>
                <c:pt idx="5">
                  <c:v>2022</c:v>
                </c:pt>
                <c:pt idx="6">
                  <c:v>2023</c:v>
                </c:pt>
                <c:pt idx="7">
                  <c:v>2024</c:v>
                </c:pt>
                <c:pt idx="8">
                  <c:v>2025</c:v>
                </c:pt>
                <c:pt idx="9">
                  <c:v>2026</c:v>
                </c:pt>
              </c:strCache>
            </c:strRef>
          </c:cat>
          <c:val>
            <c:numRef>
              <c:f>'anual - Table 1-1'!$D$4:$D$13</c:f>
              <c:numCache>
                <c:ptCount val="10"/>
                <c:pt idx="0">
                  <c:v>8704479.000000</c:v>
                </c:pt>
                <c:pt idx="1">
                  <c:v>12524118.850000</c:v>
                </c:pt>
                <c:pt idx="2">
                  <c:v>16744375.000000</c:v>
                </c:pt>
                <c:pt idx="3">
                  <c:v>4551200.000000</c:v>
                </c:pt>
                <c:pt idx="4">
                  <c:v>1698600.000000</c:v>
                </c:pt>
                <c:pt idx="5">
                  <c:v>-5217506.000000</c:v>
                </c:pt>
                <c:pt idx="6">
                  <c:v>10354988.000000</c:v>
                </c:pt>
                <c:pt idx="7">
                  <c:v>102353083.000000</c:v>
                </c:pt>
                <c:pt idx="8">
                  <c:v>26020478.400000</c:v>
                </c:pt>
                <c:pt idx="9">
                  <c:v>42168470.000000</c:v>
                </c:pt>
              </c:numCache>
            </c:numRef>
          </c:val>
          <c:smooth val="0"/>
        </c:ser>
        <c:ser>
          <c:idx val="2"/>
          <c:order val="2"/>
          <c:tx>
            <c:strRef>
              <c:f>'anual - Table 1-1'!$H$3</c:f>
              <c:strCache>
                <c:ptCount val="1"/>
                <c:pt idx="0">
                  <c:v>Gasto</c:v>
                </c:pt>
              </c:strCache>
            </c:strRef>
          </c:tx>
          <c:spPr>
            <a:solidFill>
              <a:srgbClr val="F97368">
                <a:alpha val="75666"/>
              </a:srgbClr>
            </a:solidFill>
            <a:ln w="63500" cap="flat">
              <a:noFill/>
              <a:miter lim="400000"/>
            </a:ln>
            <a:effectLst/>
          </c:spPr>
          <c:marker>
            <c:symbol val="circle"/>
            <c:size val="7"/>
            <c:spPr>
              <a:solidFill>
                <a:srgbClr val="F97368">
                  <a:alpha val="75666"/>
                </a:srgbClr>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'anual - Table 1-1'!$A$4:$A$13</c:f>
              <c:strCache>
                <c:ptCount val="10"/>
                <c:pt idx="0">
                  <c:v>2017</c:v>
                </c:pt>
                <c:pt idx="1">
                  <c:v>2018</c:v>
                </c:pt>
                <c:pt idx="2">
                  <c:v>2019</c:v>
                </c:pt>
                <c:pt idx="3">
                  <c:v>2020</c:v>
                </c:pt>
                <c:pt idx="4">
                  <c:v>2021</c:v>
                </c:pt>
                <c:pt idx="5">
                  <c:v>2022</c:v>
                </c:pt>
                <c:pt idx="6">
                  <c:v>2023</c:v>
                </c:pt>
                <c:pt idx="7">
                  <c:v>2024</c:v>
                </c:pt>
                <c:pt idx="8">
                  <c:v>2025</c:v>
                </c:pt>
                <c:pt idx="9">
                  <c:v>2026</c:v>
                </c:pt>
              </c:strCache>
            </c:strRef>
          </c:cat>
          <c:val>
            <c:numRef>
              <c:f>'anual - Table 1-1'!$H$4:$H$13</c:f>
              <c:numCache>
                <c:ptCount val="10"/>
                <c:pt idx="0">
                  <c:v>1536784.000000</c:v>
                </c:pt>
                <c:pt idx="1">
                  <c:v>9854150.150000</c:v>
                </c:pt>
                <c:pt idx="2">
                  <c:v>13928341.000000</c:v>
                </c:pt>
                <c:pt idx="3">
                  <c:v>21972949.000000</c:v>
                </c:pt>
                <c:pt idx="4">
                  <c:v>24613667.000000</c:v>
                </c:pt>
                <c:pt idx="5">
                  <c:v>19783778.392400</c:v>
                </c:pt>
                <c:pt idx="6">
                  <c:v>35280245.000000</c:v>
                </c:pt>
                <c:pt idx="7">
                  <c:v>-56535466.000000</c:v>
                </c:pt>
                <c:pt idx="8">
                  <c:v>21423291.600000</c:v>
                </c:pt>
                <c:pt idx="9">
                  <c:v>-34212910.000000</c:v>
                </c:pt>
              </c:numCache>
            </c:numRef>
          </c:val>
          <c:smooth val="0"/>
        </c:ser>
        <c:marker val="1"/>
        <c:axId val="2094734552"/>
        <c:axId val="2094734553"/>
      </c:lineChart>
      <c:catAx>
        <c:axId val="2094734552"/>
        <c:scaling>
          <c:orientation val="minMax"/>
        </c:scaling>
        <c:delete val="0"/>
        <c:axPos val="b"/>
        <c:majorGridlines>
          <c:spPr>
            <a:ln w="12700" cap="flat">
              <a:solidFill>
                <a:srgbClr val="000000">
                  <a:alpha val="19670"/>
                </a:srgbClr>
              </a:solidFill>
              <a:custDash>
                <a:ds d="200000" sp="200000"/>
              </a:custDash>
              <a:miter lim="400000"/>
            </a:ln>
          </c:spPr>
        </c:majorGridlines>
        <c:numFmt formatCode="&quot;$&quot;#,##0" sourceLinked="1"/>
        <c:majorTickMark val="cross"/>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149097"/>
          <c:y val="0"/>
          <c:w val="0.850903"/>
          <c:h val="0.0660256"/>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10.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83529"/>
          <c:y val="0.125206"/>
          <c:w val="0.848991"/>
          <c:h val="0.811223"/>
        </c:manualLayout>
      </c:layout>
      <c:lineChart>
        <c:grouping val="standard"/>
        <c:varyColors val="0"/>
        <c:ser>
          <c:idx val="0"/>
          <c:order val="0"/>
          <c:tx>
            <c:strRef>
              <c:f>'anual - Table 1-1'!$F$3</c:f>
              <c:strCache/>
            </c:strRef>
          </c:tx>
          <c:spPr>
            <a:solidFill>
              <a:srgbClr val="000000">
                <a:alpha val="25745"/>
              </a:srgbClr>
            </a:solidFill>
            <a:ln w="25400" cap="flat">
              <a:noFill/>
              <a:miter lim="400000"/>
            </a:ln>
            <a:effectLst/>
          </c:spPr>
          <c:marker>
            <c:symbol val="circle"/>
            <c:size val="6"/>
            <c:spPr>
              <a:solidFill>
                <a:srgbClr val="000000">
                  <a:alpha val="25745"/>
                </a:srgbClr>
              </a:solidFill>
              <a:ln w="50800" cap="flat">
                <a:solidFill>
                  <a:srgbClr val="000000">
                    <a:alpha val="25745"/>
                  </a:srgbClr>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'anual - Table 1-1'!$A$4:$A$13</c:f>
              <c:strCache>
                <c:ptCount val="10"/>
                <c:pt idx="0">
                  <c:v>2017</c:v>
                </c:pt>
                <c:pt idx="1">
                  <c:v>2018</c:v>
                </c:pt>
                <c:pt idx="2">
                  <c:v>2019</c:v>
                </c:pt>
                <c:pt idx="3">
                  <c:v>2020</c:v>
                </c:pt>
                <c:pt idx="4">
                  <c:v>2021</c:v>
                </c:pt>
                <c:pt idx="5">
                  <c:v>2022</c:v>
                </c:pt>
                <c:pt idx="6">
                  <c:v>2023</c:v>
                </c:pt>
                <c:pt idx="7">
                  <c:v>2024</c:v>
                </c:pt>
                <c:pt idx="8">
                  <c:v>2025</c:v>
                </c:pt>
                <c:pt idx="9">
                  <c:v>2026</c:v>
                </c:pt>
              </c:strCache>
            </c:strRef>
          </c:cat>
          <c:val>
            <c:numRef>
              <c:f>'anual - Table 1-1'!$F$4:$F$13</c:f>
              <c:numCache>
                <c:ptCount val="10"/>
                <c:pt idx="0">
                  <c:v>0.849942</c:v>
                </c:pt>
                <c:pt idx="1">
                  <c:v>0.559655</c:v>
                </c:pt>
                <c:pt idx="2">
                  <c:v>0.545905</c:v>
                </c:pt>
                <c:pt idx="3">
                  <c:v>0.171587</c:v>
                </c:pt>
                <c:pt idx="4">
                  <c:v>0.064555</c:v>
                </c:pt>
                <c:pt idx="5">
                  <c:v>-0.358191</c:v>
                </c:pt>
                <c:pt idx="6">
                  <c:v>0.226908</c:v>
                </c:pt>
                <c:pt idx="7">
                  <c:v>2.233924</c:v>
                </c:pt>
                <c:pt idx="8">
                  <c:v>0.548449</c:v>
                </c:pt>
                <c:pt idx="9">
                  <c:v>5.300503</c:v>
                </c:pt>
              </c:numCache>
            </c:numRef>
          </c:val>
          <c:smooth val="0"/>
        </c:ser>
        <c:ser>
          <c:idx val="1"/>
          <c:order val="1"/>
          <c:tx>
            <c:strRef>
              <c:f>'anual - Table 1-1'!$G$3</c:f>
              <c:strCache/>
            </c:strRef>
          </c:tx>
          <c:spPr>
            <a:solidFill>
              <a:srgbClr val="FFFFFF"/>
            </a:solidFill>
            <a:ln w="50800" cap="flat">
              <a:solidFill>
                <a:srgbClr val="000000">
                  <a:alpha val="80360"/>
                </a:srgbClr>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'anual - Table 1-1'!$A$4:$A$13</c:f>
              <c:strCache>
                <c:ptCount val="10"/>
                <c:pt idx="0">
                  <c:v>2017</c:v>
                </c:pt>
                <c:pt idx="1">
                  <c:v>2018</c:v>
                </c:pt>
                <c:pt idx="2">
                  <c:v>2019</c:v>
                </c:pt>
                <c:pt idx="3">
                  <c:v>2020</c:v>
                </c:pt>
                <c:pt idx="4">
                  <c:v>2021</c:v>
                </c:pt>
                <c:pt idx="5">
                  <c:v>2022</c:v>
                </c:pt>
                <c:pt idx="6">
                  <c:v>2023</c:v>
                </c:pt>
                <c:pt idx="7">
                  <c:v>2024</c:v>
                </c:pt>
                <c:pt idx="8">
                  <c:v>2025</c:v>
                </c:pt>
                <c:pt idx="9">
                  <c:v>2026</c:v>
                </c:pt>
              </c:strCache>
            </c:strRef>
          </c:cat>
          <c:val>
            <c:numRef>
              <c:f>'anual - Table 1-1'!$G$4:$G$13</c:f>
              <c:numCache>
                <c:ptCount val="10"/>
                <c:pt idx="0">
                  <c:v>0.849942</c:v>
                </c:pt>
                <c:pt idx="1">
                  <c:v>0.650794</c:v>
                </c:pt>
                <c:pt idx="2">
                  <c:v>0.599962</c:v>
                </c:pt>
                <c:pt idx="3">
                  <c:v>0.473457</c:v>
                </c:pt>
                <c:pt idx="4">
                  <c:v>0.380808</c:v>
                </c:pt>
                <c:pt idx="5">
                  <c:v>0.298445</c:v>
                </c:pt>
                <c:pt idx="6">
                  <c:v>0.279931</c:v>
                </c:pt>
                <c:pt idx="7">
                  <c:v>0.682939</c:v>
                </c:pt>
                <c:pt idx="8">
                  <c:v>0.659271</c:v>
                </c:pt>
                <c:pt idx="9">
                  <c:v>0.792306</c:v>
                </c:pt>
              </c:numCache>
            </c:numRef>
          </c:val>
          <c:smooth val="0"/>
        </c:ser>
        <c:marker val="1"/>
        <c:axId val="2094734552"/>
        <c:axId val="2094734553"/>
      </c:lineChart>
      <c:catAx>
        <c:axId val="2094734552"/>
        <c:scaling>
          <c:orientation val="minMax"/>
        </c:scaling>
        <c:delete val="0"/>
        <c:axPos val="b"/>
        <c:numFmt formatCode="#,##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
          <c:min val="0"/>
        </c:scaling>
        <c:delete val="0"/>
        <c:axPos val="l"/>
        <c:majorGridlines>
          <c:spPr>
            <a:ln w="3175" cap="flat">
              <a:solidFill>
                <a:srgbClr val="B8B8B8"/>
              </a:solidFill>
              <a:prstDash val="solid"/>
              <a:miter lim="400000"/>
            </a:ln>
          </c:spPr>
        </c:majorGridlines>
        <c:numFmt formatCode="#,##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majorUnit val="0.2"/>
        <c:minorUnit val="0.1"/>
      </c:valAx>
      <c:spPr>
        <a:noFill/>
        <a:ln w="12700" cap="flat">
          <a:noFill/>
          <a:miter lim="400000"/>
        </a:ln>
        <a:effectLst/>
      </c:spPr>
    </c:plotArea>
    <c:legend>
      <c:legendPos val="t"/>
      <c:layout>
        <c:manualLayout>
          <c:xMode val="edge"/>
          <c:yMode val="edge"/>
          <c:x val="0.0725244"/>
          <c:y val="0"/>
          <c:w val="0.830203"/>
          <c:h val="0.064538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1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7575"/>
          <c:y val="0.125413"/>
          <c:w val="0.812019"/>
          <c:h val="0.812583"/>
        </c:manualLayout>
      </c:layout>
      <c:barChart>
        <c:barDir val="col"/>
        <c:grouping val="clustered"/>
        <c:varyColors val="0"/>
        <c:ser>
          <c:idx val="0"/>
          <c:order val="0"/>
          <c:tx>
            <c:strRef>
              <c:f>'anual - Table 1-1'!$V$3</c:f>
              <c:strCache/>
            </c:strRef>
          </c:tx>
          <c:spPr>
            <a:solidFill>
              <a:srgbClr val="51A7F9"/>
            </a:solidFill>
            <a:ln w="12700" cap="flat">
              <a:noFill/>
              <a:miter lim="400000"/>
            </a:ln>
            <a:effectLst/>
          </c:spPr>
          <c:invertIfNegative val="0"/>
          <c:dLbls>
            <c:numFmt formatCode="#,##0.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1-1'!$V$4:$V$13</c:f>
              <c:numCache>
                <c:ptCount val="0"/>
              </c:numCache>
            </c:numRef>
          </c:val>
        </c:ser>
        <c:ser>
          <c:idx val="1"/>
          <c:order val="1"/>
          <c:tx>
            <c:strRef>
              <c:f>'anual - Table 1-1'!$X$3</c:f>
              <c:strCache/>
            </c:strRef>
          </c:tx>
          <c:spPr>
            <a:solidFill>
              <a:srgbClr val="F4BB1C"/>
            </a:solidFill>
            <a:ln w="12700" cap="flat">
              <a:noFill/>
              <a:miter lim="400000"/>
            </a:ln>
            <a:effectLst/>
          </c:spPr>
          <c:invertIfNegative val="0"/>
          <c:dLbls>
            <c:numFmt formatCode="#,##0.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1-1'!$X$4:$X$13</c:f>
              <c:numCache>
                <c:ptCount val="0"/>
              </c:numCache>
            </c:numRef>
          </c:val>
        </c:ser>
        <c:ser>
          <c:idx val="2"/>
          <c:order val="2"/>
          <c:tx>
            <c:strRef>
              <c:f>'anual - Table 1-1'!$Z$3</c:f>
              <c:strCache/>
            </c:strRef>
          </c:tx>
          <c:spPr>
            <a:solidFill>
              <a:srgbClr val="78CC47"/>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1-1'!$Z$4:$Z$13</c:f>
              <c:numCache>
                <c:ptCount val="0"/>
              </c:numCache>
            </c:numRef>
          </c:val>
        </c:ser>
        <c:ser>
          <c:idx val="3"/>
          <c:order val="3"/>
          <c:tx>
            <c:strRef>
              <c:f>'anual - Table 1-1'!$AB$3</c:f>
              <c:strCache/>
            </c:strRef>
          </c:tx>
          <c:spPr>
            <a:solidFill>
              <a:srgbClr val="C3E5F9"/>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1-1'!$AB$4:$AB$13</c:f>
              <c:numCache>
                <c:ptCount val="0"/>
              </c:numCache>
            </c:numRef>
          </c:val>
        </c:ser>
        <c:ser>
          <c:idx val="5"/>
          <c:order val="4"/>
          <c:tx>
            <c:strRef>
              <c:f>'anual - Table 1-1'!$T$3</c:f>
              <c:strCache/>
            </c:strRef>
          </c:tx>
          <c:spPr>
            <a:solidFill>
              <a:srgbClr val="2561D5">
                <a:alpha val="89519"/>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1-1'!$T$4:$T$13</c:f>
              <c:numCache>
                <c:ptCount val="0"/>
              </c:numCache>
            </c:numRef>
          </c:val>
        </c:ser>
        <c:ser>
          <c:idx val="6"/>
          <c:order val="5"/>
          <c:tx>
            <c:strRef>
              <c:f>'anual - Table 1-1'!$AD$3</c:f>
              <c:strCache/>
            </c:strRef>
          </c:tx>
          <c:spPr>
            <a:solidFill>
              <a:srgbClr val="D9574C">
                <a:alpha val="76328"/>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1-1'!$AD$4:$AD$13</c:f>
              <c:numCache>
                <c:ptCount val="0"/>
              </c:numCache>
            </c:numRef>
          </c:val>
        </c:ser>
        <c:gapWidth val="100"/>
        <c:overlap val="-10"/>
        <c:axId val="2094734552"/>
        <c:axId val="2094734553"/>
      </c:barChart>
      <c:lineChart>
        <c:grouping val="standard"/>
        <c:varyColors val="0"/>
        <c:ser>
          <c:idx val="4"/>
          <c:order val="6"/>
          <c:tx>
            <c:strRef>
              <c:f>'anual - Table 1-1'!$K$3</c:f>
              <c:strCache/>
            </c:strRef>
          </c:tx>
          <c:spPr>
            <a:solidFill>
              <a:srgbClr val="667FDB"/>
            </a:solidFill>
            <a:ln w="50800" cap="flat">
              <a:noFill/>
              <a:miter lim="400000"/>
            </a:ln>
            <a:effectLst/>
          </c:spPr>
          <c:marker>
            <c:symbol val="circle"/>
            <c:size val="6"/>
            <c:spPr>
              <a:solidFill>
                <a:srgbClr val="667FDB"/>
              </a:solidFill>
              <a:ln w="25400" cap="flat">
                <a:solidFill>
                  <a:srgbClr val="1A2138"/>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0"/>
            <c:showBubbleSize val="0"/>
            <c:showLeaderLines val="0"/>
          </c:dLbls>
          <c:cat>
            <c:strRef>
              <c:f>'anual - Table 1-1'!$A$4:$A$13</c:f>
              <c:strCache>
                <c:ptCount val="0"/>
              </c:strCache>
            </c:strRef>
          </c:cat>
          <c:val>
            <c:numRef>
              <c:f>'anual - Table 1-1'!$K$4:$K$13</c:f>
              <c:numCache>
                <c:ptCount val="0"/>
              </c:numCache>
            </c:numRef>
          </c:val>
          <c:smooth val="0"/>
        </c:ser>
        <c:marker val="1"/>
        <c:axId val="2094734552"/>
        <c:axId val="2094734553"/>
      </c:lineChart>
      <c:catAx>
        <c:axId val="2094734552"/>
        <c:scaling>
          <c:orientation val="minMax"/>
        </c:scaling>
        <c:delete val="0"/>
        <c:axPos val="b"/>
        <c:majorGridlines>
          <c:spPr>
            <a:ln w="12700" cap="flat">
              <a:solidFill>
                <a:srgbClr val="7F7F7F"/>
              </a:solidFill>
              <a:custDash>
                <a:ds d="100000" sp="200000"/>
              </a:custDash>
              <a:miter lim="400000"/>
            </a:ln>
          </c:spPr>
        </c:majorGridlines>
        <c:numFmt formatCode="#,##0.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6e+07"/>
          <c:min val="-3e+07"/>
        </c:scaling>
        <c:delete val="0"/>
        <c:axPos val="l"/>
        <c:majorGridlines>
          <c:spPr>
            <a:ln w="3175" cap="flat">
              <a:solidFill>
                <a:srgbClr val="B8B8B8"/>
              </a:solidFill>
              <a:prstDash val="solid"/>
              <a:miter lim="400000"/>
            </a:ln>
          </c:spPr>
        </c:majorGridlines>
        <c:numFmt formatCode="#,##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between"/>
      </c:valAx>
      <c:spPr>
        <a:noFill/>
        <a:ln w="12700" cap="flat">
          <a:noFill/>
          <a:miter lim="400000"/>
        </a:ln>
        <a:effectLst/>
      </c:spPr>
    </c:plotArea>
    <c:legend>
      <c:legendPos val="t"/>
      <c:layout>
        <c:manualLayout>
          <c:xMode val="edge"/>
          <c:yMode val="edge"/>
          <c:x val="0.0855819"/>
          <c:y val="0"/>
          <c:w val="0.914418"/>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1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2749"/>
          <c:y val="0.125413"/>
          <c:w val="0.842251"/>
          <c:h val="0.810932"/>
        </c:manualLayout>
      </c:layout>
      <c:areaChart>
        <c:grouping val="standard"/>
        <c:varyColors val="0"/>
        <c:ser>
          <c:idx val="4"/>
          <c:order val="0"/>
          <c:tx>
            <c:strRef>
              <c:f>'anual - Table 1-1'!$P$3</c:f>
              <c:strCache/>
            </c:strRef>
          </c:tx>
          <c:spPr>
            <a:solidFill>
              <a:srgbClr val="E8E2E1">
                <a:alpha val="48961"/>
              </a:srgbClr>
            </a:solidFill>
            <a:ln w="12700" cap="flat">
              <a:noFill/>
              <a:miter lim="400000"/>
            </a:ln>
            <a:effectLst/>
          </c:spP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'anual - Table 1-1'!$A$4:$A$13</c:f>
              <c:strCache>
                <c:ptCount val="0"/>
              </c:strCache>
            </c:strRef>
          </c:cat>
          <c:val>
            <c:numRef>
              <c:f>'anual - Table 1-1'!$P$4:$P$13</c:f>
              <c:numCache>
                <c:ptCount val="0"/>
              </c:numCache>
            </c:numRef>
          </c:val>
        </c:ser>
        <c:axId val="2094734552"/>
        <c:axId val="2094734553"/>
      </c:areaChart>
      <c:barChart>
        <c:barDir val="col"/>
        <c:grouping val="clustered"/>
        <c:varyColors val="0"/>
        <c:ser>
          <c:idx val="0"/>
          <c:order val="1"/>
          <c:tx>
            <c:strRef>
              <c:f>'anual - Table 1-1'!$L$3</c:f>
              <c:strCache/>
            </c:strRef>
          </c:tx>
          <c:spPr>
            <a:solidFill>
              <a:srgbClr val="52A7F9"/>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1-1'!$L$4:$L$13</c:f>
              <c:numCache>
                <c:ptCount val="0"/>
              </c:numCache>
            </c:numRef>
          </c:val>
        </c:ser>
        <c:ser>
          <c:idx val="1"/>
          <c:order val="2"/>
          <c:tx>
            <c:strRef>
              <c:f>'anual - Table 1-1'!$M$3</c:f>
              <c:strCache/>
            </c:strRef>
          </c:tx>
          <c:spPr>
            <a:solidFill>
              <a:srgbClr val="78CC47"/>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1-1'!$M$4:$M$13</c:f>
              <c:numCache>
                <c:ptCount val="0"/>
              </c:numCache>
            </c:numRef>
          </c:val>
        </c:ser>
        <c:ser>
          <c:idx val="3"/>
          <c:order val="3"/>
          <c:tx>
            <c:strRef>
              <c:f>'anual - Table 1-1'!$N$3</c:f>
              <c:strCache/>
            </c:strRef>
          </c:tx>
          <c:spPr>
            <a:solidFill>
              <a:srgbClr val="F4BB1C"/>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1-1'!$N$4:$N$13</c:f>
              <c:numCache>
                <c:ptCount val="0"/>
              </c:numCache>
            </c:numRef>
          </c:val>
        </c:ser>
        <c:gapWidth val="100"/>
        <c:overlap val="-10"/>
        <c:axId val="2094734552"/>
        <c:axId val="2094734553"/>
      </c:barChart>
      <c:lineChart>
        <c:grouping val="standard"/>
        <c:varyColors val="0"/>
        <c:ser>
          <c:idx val="2"/>
          <c:order val="4"/>
          <c:tx>
            <c:strRef>
              <c:f>'anual - Table 1-1'!$O$3</c:f>
              <c:strCache/>
            </c:strRef>
          </c:tx>
          <c:spPr>
            <a:solidFill>
              <a:srgbClr val="FB573E"/>
            </a:solidFill>
            <a:ln w="50800" cap="flat">
              <a:noFill/>
              <a:miter lim="400000"/>
            </a:ln>
            <a:effectLst/>
          </c:spPr>
          <c:marker>
            <c:symbol val="circle"/>
            <c:size val="6"/>
            <c:spPr>
              <a:solidFill>
                <a:srgbClr val="FB573E"/>
              </a:solidFill>
              <a:ln w="25400" cap="flat">
                <a:solidFill>
                  <a:srgbClr val="71271C"/>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trendline>
            <c:spPr>
              <a:noFill/>
              <a:ln w="38100" cap="flat">
                <a:solidFill>
                  <a:srgbClr val="6381DC">
                    <a:alpha val="68912"/>
                  </a:srgbClr>
                </a:solidFill>
                <a:prstDash val="solid"/>
                <a:miter lim="400000"/>
              </a:ln>
              <a:effectLst/>
            </c:spPr>
            <c:trendlineType val="movingAvg"/>
            <c:period val="3"/>
            <c:forward val="0"/>
            <c:backward val="0"/>
            <c:dispRSqr val="0"/>
            <c:dispEq val="0"/>
          </c:trendline>
          <c:cat>
            <c:strRef>
              <c:f>'anual - Table 1-1'!$A$4:$A$13</c:f>
              <c:strCache>
                <c:ptCount val="0"/>
              </c:strCache>
            </c:strRef>
          </c:cat>
          <c:val>
            <c:numRef>
              <c:f>'anual - Table 1-1'!$O$4:$O$13</c:f>
              <c:numCache>
                <c:ptCount val="0"/>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144538"/>
          <c:y val="0"/>
          <c:w val="0.808503"/>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1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2463"/>
          <c:y val="0.125413"/>
          <c:w val="0.842537"/>
          <c:h val="0.810932"/>
        </c:manualLayout>
      </c:layout>
      <c:barChart>
        <c:barDir val="col"/>
        <c:grouping val="clustered"/>
        <c:varyColors val="0"/>
        <c:ser>
          <c:idx val="0"/>
          <c:order val="0"/>
          <c:tx>
            <c:strRef>
              <c:f>'anual - Table 1-1'!$D$3</c:f>
              <c:strCache/>
            </c:strRef>
          </c:tx>
          <c:spPr>
            <a:solidFill>
              <a:srgbClr val="7397FD">
                <a:alpha val="36471"/>
              </a:srgbClr>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1-1'!$D$4:$D$13</c:f>
              <c:numCache>
                <c:ptCount val="0"/>
              </c:numCache>
            </c:numRef>
          </c:val>
        </c:ser>
        <c:ser>
          <c:idx val="2"/>
          <c:order val="1"/>
          <c:tx>
            <c:strRef>
              <c:f>'anual - Table 1-1'!$O$3</c:f>
              <c:strCache/>
            </c:strRef>
          </c:tx>
          <c:spPr>
            <a:solidFill>
              <a:srgbClr val="BFEAD2">
                <a:alpha val="68918"/>
              </a:srgbClr>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1-1'!$O$4:$O$13</c:f>
              <c:numCache>
                <c:ptCount val="0"/>
              </c:numCache>
            </c:numRef>
          </c:val>
        </c:ser>
        <c:gapWidth val="150"/>
        <c:overlap val="-10"/>
        <c:axId val="2094734552"/>
        <c:axId val="2094734553"/>
      </c:barChart>
      <c:lineChart>
        <c:grouping val="standard"/>
        <c:varyColors val="0"/>
        <c:ser>
          <c:idx val="1"/>
          <c:order val="2"/>
          <c:tx>
            <c:strRef>
              <c:f>'anual - Table 1-1'!$K$3</c:f>
              <c:strCache/>
            </c:strRef>
          </c:tx>
          <c:spPr>
            <a:solidFill>
              <a:srgbClr val="4D8BAD">
                <a:alpha val="89948"/>
              </a:srgbClr>
            </a:solidFill>
            <a:ln w="25400" cap="flat">
              <a:solidFill>
                <a:schemeClr val="accent1">
                  <a:satOff val="11152"/>
                  <a:lumOff val="9508"/>
                  <a:alpha val="48456"/>
                </a:schemeClr>
              </a:solidFill>
              <a:prstDash val="solid"/>
              <a:miter lim="400000"/>
            </a:ln>
            <a:effectLst/>
          </c:spPr>
          <c:marker>
            <c:symbol val="circle"/>
            <c:size val="11"/>
            <c:spPr>
              <a:solidFill>
                <a:srgbClr val="4D8BAD">
                  <a:alpha val="89948"/>
                </a:srgbClr>
              </a:solidFill>
              <a:ln w="12700" cap="flat">
                <a:noFill/>
                <a:miter lim="400000"/>
              </a:ln>
              <a:effectLst/>
            </c:spPr>
          </c:marker>
          <c:dLbls>
            <c:numFmt formatCode="[&l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trendline>
            <c:spPr>
              <a:noFill/>
              <a:ln w="38100" cap="flat">
                <a:solidFill>
                  <a:srgbClr val="617FDA">
                    <a:alpha val="65006"/>
                  </a:srgbClr>
                </a:solidFill>
                <a:prstDash val="solid"/>
                <a:miter lim="400000"/>
              </a:ln>
              <a:effectLst/>
            </c:spPr>
            <c:trendlineType val="movingAvg"/>
            <c:period val="3"/>
            <c:forward val="0"/>
            <c:backward val="0"/>
            <c:dispRSqr val="0"/>
            <c:dispEq val="0"/>
          </c:trendline>
          <c:cat>
            <c:strRef>
              <c:f>'anual - Table 1-1'!$A$4:$A$13</c:f>
              <c:strCache>
                <c:ptCount val="0"/>
              </c:strCache>
            </c:strRef>
          </c:cat>
          <c:val>
            <c:numRef>
              <c:f>'anual - Table 1-1'!$K$4:$K$13</c:f>
              <c:numCache>
                <c:ptCount val="0"/>
              </c:numCache>
            </c:numRef>
          </c:val>
          <c:smooth val="0"/>
        </c:ser>
        <c:marker val="1"/>
        <c:axId val="2094734552"/>
        <c:axId val="2094734553"/>
      </c:lineChart>
      <c:catAx>
        <c:axId val="2094734552"/>
        <c:scaling>
          <c:orientation val="minMax"/>
        </c:scaling>
        <c:delete val="0"/>
        <c:axPos val="b"/>
        <c:majorGridlines>
          <c:spPr>
            <a:ln w="9525" cap="flat">
              <a:solidFill>
                <a:srgbClr val="000000">
                  <a:alpha val="16804"/>
                </a:srgbClr>
              </a:solidFill>
              <a:custDash>
                <a:ds d="200000" sp="200000"/>
              </a:custDash>
              <a:miter lim="400000"/>
            </a:ln>
          </c:spPr>
        </c:majorGridlines>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147324"/>
          <c:y val="0"/>
          <c:w val="0.819885"/>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1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2211"/>
          <c:y val="0.0923077"/>
          <c:w val="0.842727"/>
          <c:h val="0.842201"/>
        </c:manualLayout>
      </c:layout>
      <c:barChart>
        <c:barDir val="col"/>
        <c:grouping val="clustered"/>
        <c:varyColors val="0"/>
        <c:ser>
          <c:idx val="1"/>
          <c:order val="0"/>
          <c:tx>
            <c:strRef>
              <c:f>'anual - Table 1-1'!$S$3</c:f>
              <c:strCache/>
            </c:strRef>
          </c:tx>
          <c:spPr>
            <a:solidFill>
              <a:srgbClr val="2561D5">
                <a:alpha val="89519"/>
              </a:srgbClr>
            </a:solidFill>
            <a:ln w="12700" cap="flat">
              <a:noFill/>
              <a:miter lim="400000"/>
            </a:ln>
            <a:effectLst/>
          </c:spPr>
          <c:invertIfNegative val="0"/>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1-1'!$S$4:$S$13</c:f>
              <c:numCache>
                <c:ptCount val="0"/>
              </c:numCache>
            </c:numRef>
          </c:val>
        </c:ser>
        <c:ser>
          <c:idx val="2"/>
          <c:order val="1"/>
          <c:tx>
            <c:strRef>
              <c:f>'anual - Table 1-1'!$U$3</c:f>
              <c:strCache/>
            </c:strRef>
          </c:tx>
          <c:spPr>
            <a:solidFill>
              <a:srgbClr val="51A7F9"/>
            </a:solidFill>
            <a:ln w="12700" cap="flat">
              <a:noFill/>
              <a:miter lim="400000"/>
            </a:ln>
            <a:effectLst/>
          </c:spPr>
          <c:invertIfNegative val="0"/>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1-1'!$U$4:$U$13</c:f>
              <c:numCache>
                <c:ptCount val="0"/>
              </c:numCache>
            </c:numRef>
          </c:val>
        </c:ser>
        <c:ser>
          <c:idx val="3"/>
          <c:order val="2"/>
          <c:tx>
            <c:strRef>
              <c:f>'anual - Table 1-1'!$W$3</c:f>
              <c:strCache/>
            </c:strRef>
          </c:tx>
          <c:spPr>
            <a:solidFill>
              <a:srgbClr val="F4BB1C"/>
            </a:solidFill>
            <a:ln w="12700" cap="flat">
              <a:noFill/>
              <a:miter lim="400000"/>
            </a:ln>
            <a:effectLst/>
          </c:spPr>
          <c:invertIfNegative val="0"/>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1-1'!$W$4:$W$13</c:f>
              <c:numCache>
                <c:ptCount val="0"/>
              </c:numCache>
            </c:numRef>
          </c:val>
        </c:ser>
        <c:ser>
          <c:idx val="4"/>
          <c:order val="3"/>
          <c:tx>
            <c:strRef>
              <c:f>'anual - Table 1-1'!$Y$3</c:f>
              <c:strCache/>
            </c:strRef>
          </c:tx>
          <c:spPr>
            <a:solidFill>
              <a:srgbClr val="78CC47"/>
            </a:solidFill>
            <a:ln w="12700" cap="flat">
              <a:noFill/>
              <a:miter lim="400000"/>
            </a:ln>
            <a:effectLst/>
          </c:spPr>
          <c:invertIfNegative val="0"/>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1-1'!$Y$4:$Y$13</c:f>
              <c:numCache>
                <c:ptCount val="0"/>
              </c:numCache>
            </c:numRef>
          </c:val>
        </c:ser>
        <c:ser>
          <c:idx val="5"/>
          <c:order val="4"/>
          <c:tx>
            <c:strRef>
              <c:f>'anual - Table 1-1'!$AA$3</c:f>
              <c:strCache/>
            </c:strRef>
          </c:tx>
          <c:spPr>
            <a:solidFill>
              <a:srgbClr val="C3E5F9"/>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1-1'!$AA$4:$AA$13</c:f>
              <c:numCache>
                <c:ptCount val="0"/>
              </c:numCache>
            </c:numRef>
          </c:val>
        </c:ser>
        <c:ser>
          <c:idx val="7"/>
          <c:order val="5"/>
          <c:tx>
            <c:strRef>
              <c:f>'anual - Table 1-1'!$AC$3</c:f>
              <c:strCache/>
            </c:strRef>
          </c:tx>
          <c:spPr>
            <a:solidFill>
              <a:srgbClr val="E75C50">
                <a:alpha val="60904"/>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'anual - Table 1-1'!$A$4:$A$13</c:f>
              <c:strCache>
                <c:ptCount val="0"/>
              </c:strCache>
            </c:strRef>
          </c:cat>
          <c:val>
            <c:numRef>
              <c:f>'anual - Table 1-1'!$AC$4:$AC$13</c:f>
              <c:numCache>
                <c:ptCount val="0"/>
              </c:numCache>
            </c:numRef>
          </c:val>
        </c:ser>
        <c:gapWidth val="150"/>
        <c:overlap val="-20"/>
        <c:axId val="2094734552"/>
        <c:axId val="2094734553"/>
      </c:barChart>
      <c:lineChart>
        <c:grouping val="standard"/>
        <c:varyColors val="0"/>
        <c:ser>
          <c:idx val="0"/>
          <c:order val="6"/>
          <c:tx>
            <c:strRef>
              <c:f>'anual - Table 1-1'!$R$3</c:f>
              <c:strCache/>
            </c:strRef>
          </c:tx>
          <c:spPr>
            <a:solidFill>
              <a:srgbClr val="BB3811"/>
            </a:solidFill>
            <a:ln w="50800" cap="flat">
              <a:solidFill>
                <a:srgbClr val="EC4613"/>
              </a:solidFill>
              <a:prstDash val="solid"/>
              <a:miter lim="400000"/>
            </a:ln>
            <a:effectLst/>
          </c:spPr>
          <c:marker>
            <c:symbol val="circle"/>
            <c:size val="8"/>
            <c:spPr>
              <a:solidFill>
                <a:srgbClr val="BB3811"/>
              </a:solidFill>
              <a:ln w="50800" cap="flat">
                <a:noFill/>
                <a:miter lim="400000"/>
              </a:ln>
              <a:effectLst/>
            </c:spPr>
          </c:marker>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'anual - Table 1-1'!$A$4:$A$13</c:f>
              <c:strCache>
                <c:ptCount val="0"/>
              </c:strCache>
            </c:strRef>
          </c:cat>
          <c:val>
            <c:numRef>
              <c:f>'anual - Table 1-1'!$R$4:$R$13</c:f>
              <c:numCache>
                <c:ptCount val="0"/>
              </c:numCache>
            </c:numRef>
          </c:val>
          <c:smooth val="0"/>
        </c:ser>
        <c:ser>
          <c:idx val="6"/>
          <c:order val="7"/>
          <c:tx>
            <c:strRef>
              <c:f>'anual - Table 1-1'!$K$3</c:f>
              <c:strCache/>
            </c:strRef>
          </c:tx>
          <c:spPr>
            <a:solidFill>
              <a:srgbClr val="525857">
                <a:alpha val="44561"/>
              </a:srgbClr>
            </a:solidFill>
            <a:ln w="9525" cap="flat">
              <a:solidFill>
                <a:srgbClr val="525857">
                  <a:alpha val="7259"/>
                </a:srgbClr>
              </a:solidFill>
              <a:prstDash val="solid"/>
              <a:miter lim="400000"/>
            </a:ln>
            <a:effectLst/>
          </c:spPr>
          <c:marker>
            <c:symbol val="diamond"/>
            <c:size val="9"/>
            <c:spPr>
              <a:solidFill>
                <a:srgbClr val="525857">
                  <a:alpha val="44561"/>
                </a:srgbClr>
              </a:solidFill>
              <a:ln w="3175" cap="flat">
                <a:noFill/>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'anual - Table 1-1'!$A$4:$A$13</c:f>
              <c:strCache>
                <c:ptCount val="0"/>
              </c:strCache>
            </c:strRef>
          </c:cat>
          <c:val>
            <c:numRef>
              <c:f>'anual - Table 1-1'!$K$4:$K$13</c:f>
              <c:numCache>
                <c:ptCount val="0"/>
              </c:numCache>
            </c:numRef>
          </c:val>
          <c:smooth val="0"/>
        </c:ser>
        <c:marker val="1"/>
        <c:axId val="2094734552"/>
        <c:axId val="2094734553"/>
      </c:lineChart>
      <c:catAx>
        <c:axId val="2094734552"/>
        <c:scaling>
          <c:orientation val="minMax"/>
        </c:scaling>
        <c:delete val="0"/>
        <c:axPos val="b"/>
        <c:majorGridlines>
          <c:spPr>
            <a:ln w="12700" cap="flat">
              <a:solidFill>
                <a:srgbClr val="000000">
                  <a:alpha val="37995"/>
                </a:srgbClr>
              </a:solidFill>
              <a:custDash>
                <a:ds d="100000" sp="200000"/>
              </a:custDash>
              <a:miter lim="400000"/>
            </a:ln>
          </c:spPr>
        </c:majorGridlines>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132625"/>
          <c:y val="0"/>
          <c:w val="0.863524"/>
          <c:h val="0.107051"/>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1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88731"/>
          <c:y val="0.0924658"/>
          <c:w val="0.713439"/>
          <c:h val="0.843664"/>
        </c:manualLayout>
      </c:layout>
      <c:lineChart>
        <c:grouping val="standard"/>
        <c:varyColors val="0"/>
        <c:ser>
          <c:idx val="0"/>
          <c:order val="0"/>
          <c:tx>
            <c:strRef>
              <c:f>'net worth - Table 1-3'!$AL$1</c:f>
              <c:strCache>
                <c:ptCount val="1"/>
                <c:pt idx="0">
                  <c:v>R. depositado + AFC</c:v>
                </c:pt>
              </c:strCache>
            </c:strRef>
          </c:tx>
          <c:spPr>
            <a:solidFill>
              <a:srgbClr val="2D4F1B"/>
            </a:solidFill>
            <a:ln w="25400" cap="flat">
              <a:solidFill>
                <a:srgbClr val="6FC041">
                  <a:alpha val="25048"/>
                </a:srgbClr>
              </a:solidFill>
              <a:prstDash val="solid"/>
              <a:miter lim="400000"/>
            </a:ln>
            <a:effectLst/>
          </c:spPr>
          <c:marker>
            <c:symbol val="none"/>
            <c:size val="2"/>
            <c:spPr>
              <a:solidFill>
                <a:srgbClr val="2D4F1B"/>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1-3'!$AL$3:$AL$114</c:f>
              <c:numCache>
                <c:ptCount val="112"/>
                <c:pt idx="0">
                  <c:v>125078.000000</c:v>
                </c:pt>
                <c:pt idx="1">
                  <c:v>258134.000000</c:v>
                </c:pt>
                <c:pt idx="2">
                  <c:v>400707.000000</c:v>
                </c:pt>
                <c:pt idx="3">
                  <c:v>542700.000000</c:v>
                </c:pt>
                <c:pt idx="4">
                  <c:v>692440.000000</c:v>
                </c:pt>
                <c:pt idx="5">
                  <c:v>834433.000000</c:v>
                </c:pt>
                <c:pt idx="6">
                  <c:v>976436.000000</c:v>
                </c:pt>
                <c:pt idx="7">
                  <c:v>1119530.000000</c:v>
                </c:pt>
                <c:pt idx="8">
                  <c:v>1311710.000000</c:v>
                </c:pt>
                <c:pt idx="9">
                  <c:v>1449791.000000</c:v>
                </c:pt>
                <c:pt idx="10">
                  <c:v>2004339.000000</c:v>
                </c:pt>
                <c:pt idx="11">
                  <c:v>2115629.000000</c:v>
                </c:pt>
                <c:pt idx="12">
                  <c:v>2650404.000000</c:v>
                </c:pt>
                <c:pt idx="13">
                  <c:v>3084897.000000</c:v>
                </c:pt>
                <c:pt idx="14">
                  <c:v>3521542.000000</c:v>
                </c:pt>
                <c:pt idx="15">
                  <c:v>3956011.000000</c:v>
                </c:pt>
                <c:pt idx="16">
                  <c:v>4387038.000000</c:v>
                </c:pt>
                <c:pt idx="17">
                  <c:v>4650791.000000</c:v>
                </c:pt>
                <c:pt idx="18">
                  <c:v>5004800.000000</c:v>
                </c:pt>
                <c:pt idx="19">
                  <c:v>5269951.000000</c:v>
                </c:pt>
                <c:pt idx="20">
                  <c:v>5535102.000000</c:v>
                </c:pt>
                <c:pt idx="21">
                  <c:v>5811563.000000</c:v>
                </c:pt>
                <c:pt idx="22">
                  <c:v>6084629.000000</c:v>
                </c:pt>
                <c:pt idx="23">
                  <c:v>6356191.000000</c:v>
                </c:pt>
                <c:pt idx="24">
                  <c:v>7038814.000000</c:v>
                </c:pt>
                <c:pt idx="25">
                  <c:v>8025863.000000</c:v>
                </c:pt>
                <c:pt idx="26">
                  <c:v>9113699.000000</c:v>
                </c:pt>
                <c:pt idx="27">
                  <c:v>9378120.000000</c:v>
                </c:pt>
                <c:pt idx="28">
                  <c:v>9628188.000000</c:v>
                </c:pt>
                <c:pt idx="29">
                  <c:v>9978740.000000</c:v>
                </c:pt>
                <c:pt idx="30">
                  <c:v>13380176.000000</c:v>
                </c:pt>
                <c:pt idx="31">
                  <c:v>13662003.000000</c:v>
                </c:pt>
                <c:pt idx="32">
                  <c:v>13920297.000000</c:v>
                </c:pt>
                <c:pt idx="33">
                  <c:v>14577265.000000</c:v>
                </c:pt>
                <c:pt idx="34">
                  <c:v>15238791.000000</c:v>
                </c:pt>
                <c:pt idx="35">
                  <c:v>15656964.000000</c:v>
                </c:pt>
                <c:pt idx="36">
                  <c:v>15665865.000000</c:v>
                </c:pt>
                <c:pt idx="37">
                  <c:v>15652777.000000</c:v>
                </c:pt>
                <c:pt idx="38">
                  <c:v>15952809.000000</c:v>
                </c:pt>
                <c:pt idx="39">
                  <c:v>16512471.000000</c:v>
                </c:pt>
                <c:pt idx="40">
                  <c:v>17393612.000000</c:v>
                </c:pt>
                <c:pt idx="41">
                  <c:v>19674638.000000</c:v>
                </c:pt>
                <c:pt idx="42">
                  <c:v>20486832.000000</c:v>
                </c:pt>
                <c:pt idx="43">
                  <c:v>20782328.000000</c:v>
                </c:pt>
                <c:pt idx="44">
                  <c:v>20860293.000000</c:v>
                </c:pt>
                <c:pt idx="45">
                  <c:v>21092812.000000</c:v>
                </c:pt>
                <c:pt idx="46">
                  <c:v>21092812.000000</c:v>
                </c:pt>
                <c:pt idx="47">
                  <c:v>20071949.000000</c:v>
                </c:pt>
                <c:pt idx="48">
                  <c:v>20071949.000000</c:v>
                </c:pt>
                <c:pt idx="49">
                  <c:v>20071949.000000</c:v>
                </c:pt>
                <c:pt idx="50">
                  <c:v>20071949.000000</c:v>
                </c:pt>
                <c:pt idx="51">
                  <c:v>20071949.000000</c:v>
                </c:pt>
                <c:pt idx="52">
                  <c:v>20071949.000000</c:v>
                </c:pt>
                <c:pt idx="53">
                  <c:v>20397106.000000</c:v>
                </c:pt>
                <c:pt idx="54">
                  <c:v>20858996.000000</c:v>
                </c:pt>
                <c:pt idx="55">
                  <c:v>20858996.000000</c:v>
                </c:pt>
                <c:pt idx="56">
                  <c:v>23058996.000000</c:v>
                </c:pt>
                <c:pt idx="57">
                  <c:v>23058996.000000</c:v>
                </c:pt>
                <c:pt idx="58">
                  <c:v>23058996.000000</c:v>
                </c:pt>
                <c:pt idx="59">
                  <c:v>23058996.000000</c:v>
                </c:pt>
                <c:pt idx="60">
                  <c:v>23058996.000000</c:v>
                </c:pt>
                <c:pt idx="61">
                  <c:v>23058996.000000</c:v>
                </c:pt>
                <c:pt idx="62">
                  <c:v>23204310.000000</c:v>
                </c:pt>
                <c:pt idx="63">
                  <c:v>23204310.000000</c:v>
                </c:pt>
                <c:pt idx="64">
                  <c:v>23565789.000000</c:v>
                </c:pt>
                <c:pt idx="65">
                  <c:v>24466841.000000</c:v>
                </c:pt>
                <c:pt idx="66">
                  <c:v>23572999.000000</c:v>
                </c:pt>
                <c:pt idx="67">
                  <c:v>24259505.000000</c:v>
                </c:pt>
                <c:pt idx="68">
                  <c:v>24919285.000000</c:v>
                </c:pt>
                <c:pt idx="69">
                  <c:v>25299140.000000</c:v>
                </c:pt>
                <c:pt idx="70">
                  <c:v>26272171.000000</c:v>
                </c:pt>
                <c:pt idx="71">
                  <c:v>27246261.000000</c:v>
                </c:pt>
                <c:pt idx="72">
                  <c:v>27634084.000000</c:v>
                </c:pt>
                <c:pt idx="73">
                  <c:v>28617155.000000</c:v>
                </c:pt>
                <c:pt idx="74">
                  <c:v>29594062.000000</c:v>
                </c:pt>
                <c:pt idx="75">
                  <c:v>29975509.000000</c:v>
                </c:pt>
                <c:pt idx="76">
                  <c:v>30343721.000000</c:v>
                </c:pt>
                <c:pt idx="77">
                  <c:v>30747639.000000</c:v>
                </c:pt>
                <c:pt idx="78">
                  <c:v>31163425.000000</c:v>
                </c:pt>
                <c:pt idx="79">
                  <c:v>32549530.000000</c:v>
                </c:pt>
                <c:pt idx="80">
                  <c:v>33323983.000000</c:v>
                </c:pt>
                <c:pt idx="81">
                  <c:v>34069536.000000</c:v>
                </c:pt>
                <c:pt idx="82">
                  <c:v>35153796.000000</c:v>
                </c:pt>
                <c:pt idx="83">
                  <c:v>35549057.000000</c:v>
                </c:pt>
                <c:pt idx="84">
                  <c:v>36169229.000000</c:v>
                </c:pt>
                <c:pt idx="85">
                  <c:v>36597754.000000</c:v>
                </c:pt>
                <c:pt idx="86">
                  <c:v>37020839.000000</c:v>
                </c:pt>
                <c:pt idx="87">
                  <c:v>37456367.000000</c:v>
                </c:pt>
                <c:pt idx="88">
                  <c:v>37908944.000000</c:v>
                </c:pt>
                <c:pt idx="89">
                  <c:v>38387220.000000</c:v>
                </c:pt>
                <c:pt idx="90">
                  <c:v>38787786.000000</c:v>
                </c:pt>
                <c:pt idx="91">
                  <c:v>39204681.000000</c:v>
                </c:pt>
                <c:pt idx="92">
                  <c:v>39597468.000000</c:v>
                </c:pt>
                <c:pt idx="93">
                  <c:v>40026230.000000</c:v>
                </c:pt>
                <c:pt idx="94">
                  <c:v>40478714.000000</c:v>
                </c:pt>
                <c:pt idx="95">
                  <c:v>40920551.000000</c:v>
                </c:pt>
                <c:pt idx="96">
                  <c:v>41369176.000000</c:v>
                </c:pt>
                <c:pt idx="97">
                  <c:v>41843646.000000</c:v>
                </c:pt>
                <c:pt idx="98">
                  <c:v>42300935.000000</c:v>
                </c:pt>
                <c:pt idx="99">
                  <c:v>42741328.000000</c:v>
                </c:pt>
                <c:pt idx="100">
                  <c:v>43196312.000000</c:v>
                </c:pt>
                <c:pt idx="101">
                  <c:v>43640481.000000</c:v>
                </c:pt>
                <c:pt idx="102">
                  <c:v>44076792.000000</c:v>
                </c:pt>
                <c:pt idx="103">
                  <c:v>44517049.000000</c:v>
                </c:pt>
                <c:pt idx="104">
                  <c:v>44964233.000000</c:v>
                </c:pt>
                <c:pt idx="105">
                  <c:v>45463787.000000</c:v>
                </c:pt>
                <c:pt idx="106">
                  <c:v>45924579.000000</c:v>
                </c:pt>
                <c:pt idx="107">
                  <c:v>43163421.000000</c:v>
                </c:pt>
                <c:pt idx="108">
                  <c:v>43163421.000000</c:v>
                </c:pt>
                <c:pt idx="109">
                  <c:v>43163421.000000</c:v>
                </c:pt>
                <c:pt idx="110">
                  <c:v>43163421.000000</c:v>
                </c:pt>
                <c:pt idx="111">
                  <c:v>43163421.000000</c:v>
                </c:pt>
              </c:numCache>
            </c:numRef>
          </c:val>
          <c:smooth val="0"/>
        </c:ser>
        <c:ser>
          <c:idx val="1"/>
          <c:order val="1"/>
          <c:tx>
            <c:strRef>
              <c:f>'net worth - Table 1-3'!$AH$1</c:f>
              <c:strCache>
                <c:ptCount val="1"/>
                <c:pt idx="0">
                  <c:v>Total retiro</c:v>
                </c:pt>
              </c:strCache>
            </c:strRef>
          </c:tx>
          <c:spPr>
            <a:solidFill>
              <a:srgbClr val="2D4F1B"/>
            </a:solidFill>
            <a:ln w="50800" cap="flat">
              <a:solidFill>
                <a:srgbClr val="70BF41"/>
              </a:solidFill>
              <a:prstDash val="solid"/>
              <a:miter lim="400000"/>
            </a:ln>
            <a:effectLst/>
          </c:spPr>
          <c:marker>
            <c:symbol val="circle"/>
            <c:size val="2"/>
            <c:spPr>
              <a:solidFill>
                <a:srgbClr val="2D4F1B"/>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1-3'!$AH$3:$AH$114</c:f>
              <c:numCache>
                <c:ptCount val="112"/>
                <c:pt idx="0">
                  <c:v>125077.618636</c:v>
                </c:pt>
                <c:pt idx="1">
                  <c:v>258133.666667</c:v>
                </c:pt>
                <c:pt idx="2">
                  <c:v>400706.298751</c:v>
                </c:pt>
                <c:pt idx="3">
                  <c:v>542699.387128</c:v>
                </c:pt>
                <c:pt idx="4">
                  <c:v>707382.000000</c:v>
                </c:pt>
                <c:pt idx="5">
                  <c:v>856326.000000</c:v>
                </c:pt>
                <c:pt idx="6">
                  <c:v>995738.000000</c:v>
                </c:pt>
                <c:pt idx="7">
                  <c:v>1183085.000000</c:v>
                </c:pt>
                <c:pt idx="8">
                  <c:v>1405565.000000</c:v>
                </c:pt>
                <c:pt idx="9">
                  <c:v>1466655.000000</c:v>
                </c:pt>
                <c:pt idx="10">
                  <c:v>2038274.000000</c:v>
                </c:pt>
                <c:pt idx="11">
                  <c:v>2216616.000000</c:v>
                </c:pt>
                <c:pt idx="12">
                  <c:v>2745221.000000</c:v>
                </c:pt>
                <c:pt idx="13">
                  <c:v>3242414.000000</c:v>
                </c:pt>
                <c:pt idx="14">
                  <c:v>3801924.000000</c:v>
                </c:pt>
                <c:pt idx="15">
                  <c:v>4211425.000000</c:v>
                </c:pt>
                <c:pt idx="16">
                  <c:v>4455543.000000</c:v>
                </c:pt>
                <c:pt idx="17">
                  <c:v>4690498.000000</c:v>
                </c:pt>
                <c:pt idx="18">
                  <c:v>4885955.000000</c:v>
                </c:pt>
                <c:pt idx="19">
                  <c:v>5316618.000000</c:v>
                </c:pt>
                <c:pt idx="20">
                  <c:v>5652546.000000</c:v>
                </c:pt>
                <c:pt idx="21">
                  <c:v>6102584.000000</c:v>
                </c:pt>
                <c:pt idx="22">
                  <c:v>6508035.000000</c:v>
                </c:pt>
                <c:pt idx="23">
                  <c:v>6693733.000000</c:v>
                </c:pt>
                <c:pt idx="24">
                  <c:v>7465026.000000</c:v>
                </c:pt>
                <c:pt idx="25">
                  <c:v>8727943.000000</c:v>
                </c:pt>
                <c:pt idx="26">
                  <c:v>9706764.000000</c:v>
                </c:pt>
                <c:pt idx="27">
                  <c:v>10268544.000000</c:v>
                </c:pt>
                <c:pt idx="28">
                  <c:v>10713626.000000</c:v>
                </c:pt>
                <c:pt idx="29">
                  <c:v>12167081.000000</c:v>
                </c:pt>
                <c:pt idx="30">
                  <c:v>15116086.000000</c:v>
                </c:pt>
                <c:pt idx="31">
                  <c:v>16314295.000000</c:v>
                </c:pt>
                <c:pt idx="32">
                  <c:v>15812613.000000</c:v>
                </c:pt>
                <c:pt idx="33">
                  <c:v>14620358.000000</c:v>
                </c:pt>
                <c:pt idx="34">
                  <c:v>16681350.000000</c:v>
                </c:pt>
                <c:pt idx="35">
                  <c:v>17232140.000000</c:v>
                </c:pt>
                <c:pt idx="36">
                  <c:v>18103738.000000</c:v>
                </c:pt>
                <c:pt idx="37">
                  <c:v>17842781.000000</c:v>
                </c:pt>
                <c:pt idx="38">
                  <c:v>19644283.000000</c:v>
                </c:pt>
                <c:pt idx="39">
                  <c:v>19753056.000000</c:v>
                </c:pt>
                <c:pt idx="40">
                  <c:v>20205177.000000</c:v>
                </c:pt>
                <c:pt idx="41">
                  <c:v>24741401.000000</c:v>
                </c:pt>
                <c:pt idx="42">
                  <c:v>25001118.000000</c:v>
                </c:pt>
                <c:pt idx="43">
                  <c:v>26605964.000000</c:v>
                </c:pt>
                <c:pt idx="44">
                  <c:v>26276514.000000</c:v>
                </c:pt>
                <c:pt idx="45">
                  <c:v>26468919.000000</c:v>
                </c:pt>
                <c:pt idx="46">
                  <c:v>26831586.000000</c:v>
                </c:pt>
                <c:pt idx="47">
                  <c:v>26074930.000000</c:v>
                </c:pt>
                <c:pt idx="48">
                  <c:v>27273553.000000</c:v>
                </c:pt>
                <c:pt idx="49">
                  <c:v>27678934.000000</c:v>
                </c:pt>
                <c:pt idx="50">
                  <c:v>28802430.000000</c:v>
                </c:pt>
                <c:pt idx="51">
                  <c:v>28562813.000000</c:v>
                </c:pt>
                <c:pt idx="52">
                  <c:v>30396264.000000</c:v>
                </c:pt>
                <c:pt idx="53">
                  <c:v>31801432.000000</c:v>
                </c:pt>
                <c:pt idx="54">
                  <c:v>32643647.000000</c:v>
                </c:pt>
                <c:pt idx="55">
                  <c:v>28648275.000000</c:v>
                </c:pt>
                <c:pt idx="56">
                  <c:v>29824732.000000</c:v>
                </c:pt>
                <c:pt idx="57">
                  <c:v>29858917.000000</c:v>
                </c:pt>
                <c:pt idx="58">
                  <c:v>28948486.000000</c:v>
                </c:pt>
                <c:pt idx="59">
                  <c:v>28375092.000000</c:v>
                </c:pt>
                <c:pt idx="60">
                  <c:v>29375872.000000</c:v>
                </c:pt>
                <c:pt idx="61">
                  <c:v>30855592.000000</c:v>
                </c:pt>
                <c:pt idx="62">
                  <c:v>29595744.000000</c:v>
                </c:pt>
                <c:pt idx="63">
                  <c:v>28650578.000000</c:v>
                </c:pt>
                <c:pt idx="64">
                  <c:v>29645788.000000</c:v>
                </c:pt>
                <c:pt idx="65">
                  <c:v>30555644.000000</c:v>
                </c:pt>
                <c:pt idx="66">
                  <c:v>28908368.000000</c:v>
                </c:pt>
                <c:pt idx="67">
                  <c:v>30207739.000000</c:v>
                </c:pt>
                <c:pt idx="68">
                  <c:v>31410262.000000</c:v>
                </c:pt>
                <c:pt idx="69">
                  <c:v>31571249.000000</c:v>
                </c:pt>
                <c:pt idx="70">
                  <c:v>32727251.000000</c:v>
                </c:pt>
                <c:pt idx="71">
                  <c:v>34805276.000000</c:v>
                </c:pt>
                <c:pt idx="72">
                  <c:v>36655505.000000</c:v>
                </c:pt>
                <c:pt idx="73">
                  <c:v>40562909.000000</c:v>
                </c:pt>
                <c:pt idx="74">
                  <c:v>40849651.000000</c:v>
                </c:pt>
                <c:pt idx="75">
                  <c:v>41247935.000000</c:v>
                </c:pt>
                <c:pt idx="76">
                  <c:v>40733932.000000</c:v>
                </c:pt>
                <c:pt idx="77">
                  <c:v>43199319.000000</c:v>
                </c:pt>
                <c:pt idx="78">
                  <c:v>46828798.000000</c:v>
                </c:pt>
                <c:pt idx="79">
                  <c:v>49785374.000000</c:v>
                </c:pt>
                <c:pt idx="80">
                  <c:v>54896976.000000</c:v>
                </c:pt>
                <c:pt idx="81">
                  <c:v>57378009.000000</c:v>
                </c:pt>
                <c:pt idx="82">
                  <c:v>55045088.000000</c:v>
                </c:pt>
                <c:pt idx="83">
                  <c:v>55862689.000000</c:v>
                </c:pt>
                <c:pt idx="84">
                  <c:v>59785150.000000</c:v>
                </c:pt>
                <c:pt idx="85">
                  <c:v>60385104.000000</c:v>
                </c:pt>
                <c:pt idx="86">
                  <c:v>59554364.000000</c:v>
                </c:pt>
                <c:pt idx="87">
                  <c:v>60554743.000000</c:v>
                </c:pt>
                <c:pt idx="88">
                  <c:v>64710559.000000</c:v>
                </c:pt>
                <c:pt idx="89">
                  <c:v>67499202.000000</c:v>
                </c:pt>
                <c:pt idx="90">
                  <c:v>68882160.000000</c:v>
                </c:pt>
                <c:pt idx="91">
                  <c:v>69636042.000000</c:v>
                </c:pt>
                <c:pt idx="92">
                  <c:v>66846151.000000</c:v>
                </c:pt>
                <c:pt idx="93">
                  <c:v>63959762.000000</c:v>
                </c:pt>
                <c:pt idx="94">
                  <c:v>64771502.000000</c:v>
                </c:pt>
                <c:pt idx="95">
                  <c:v>68728850.000000</c:v>
                </c:pt>
                <c:pt idx="96">
                  <c:v>72317665.000000</c:v>
                </c:pt>
                <c:pt idx="97">
                  <c:v>77222409.000000</c:v>
                </c:pt>
                <c:pt idx="98">
                  <c:v>78832882.000000</c:v>
                </c:pt>
                <c:pt idx="99">
                  <c:v>82492923.000000</c:v>
                </c:pt>
                <c:pt idx="100">
                  <c:v>84572045.000000</c:v>
                </c:pt>
                <c:pt idx="101">
                  <c:v>83871204.000000</c:v>
                </c:pt>
                <c:pt idx="102">
                  <c:v>83724577.000000</c:v>
                </c:pt>
                <c:pt idx="103">
                  <c:v>83397458.000000</c:v>
                </c:pt>
                <c:pt idx="104">
                  <c:v>84349513.000000</c:v>
                </c:pt>
                <c:pt idx="105">
                  <c:v>84301432.000000</c:v>
                </c:pt>
                <c:pt idx="106">
                  <c:v>92679933.000000</c:v>
                </c:pt>
                <c:pt idx="107">
                  <c:v>93254171.000000</c:v>
                </c:pt>
                <c:pt idx="108">
                  <c:v>93254171.000000</c:v>
                </c:pt>
                <c:pt idx="109">
                  <c:v>93254171.000000</c:v>
                </c:pt>
                <c:pt idx="110">
                  <c:v>93254171.000000</c:v>
                </c:pt>
                <c:pt idx="111">
                  <c:v>93254171.000000</c:v>
                </c:pt>
              </c:numCache>
            </c:numRef>
          </c:val>
          <c:smooth val="0"/>
        </c:ser>
        <c:ser>
          <c:idx val="2"/>
          <c:order val="2"/>
          <c:tx>
            <c:strRef>
              <c:f>'net worth - Table 1-3'!$F$1</c:f>
              <c:strCache>
                <c:ptCount val="1"/>
                <c:pt idx="0">
                  <c:v>brokerage depositado</c:v>
                </c:pt>
              </c:strCache>
            </c:strRef>
          </c:tx>
          <c:spPr>
            <a:solidFill>
              <a:srgbClr val="1B3753"/>
            </a:solidFill>
            <a:ln w="25400" cap="flat">
              <a:solidFill>
                <a:srgbClr val="52A7F9">
                  <a:alpha val="25272"/>
                </a:srgbClr>
              </a:solidFill>
              <a:prstDash val="solid"/>
              <a:miter lim="400000"/>
            </a:ln>
            <a:effectLst/>
          </c:spPr>
          <c:marker>
            <c:symbol val="none"/>
            <c:size val="2"/>
            <c:spPr>
              <a:solidFill>
                <a:srgbClr val="1B3753"/>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1-3'!$F$3:$F$114</c:f>
              <c:numCache>
                <c:ptCount val="112"/>
                <c:pt idx="0">
                  <c:v>1000000.000000</c:v>
                </c:pt>
                <c:pt idx="1">
                  <c:v>1000000.000000</c:v>
                </c:pt>
                <c:pt idx="2">
                  <c:v>1000000.000000</c:v>
                </c:pt>
                <c:pt idx="3">
                  <c:v>1000000.000000</c:v>
                </c:pt>
                <c:pt idx="4">
                  <c:v>1200000.000000</c:v>
                </c:pt>
                <c:pt idx="5">
                  <c:v>1700000.000000</c:v>
                </c:pt>
                <c:pt idx="6">
                  <c:v>1900000.000000</c:v>
                </c:pt>
                <c:pt idx="7">
                  <c:v>1900000.000000</c:v>
                </c:pt>
                <c:pt idx="8">
                  <c:v>2100000.000000</c:v>
                </c:pt>
                <c:pt idx="9">
                  <c:v>2250000.000000</c:v>
                </c:pt>
                <c:pt idx="10">
                  <c:v>2500000.000000</c:v>
                </c:pt>
                <c:pt idx="11">
                  <c:v>2500000.000000</c:v>
                </c:pt>
                <c:pt idx="12">
                  <c:v>2700000.000000</c:v>
                </c:pt>
                <c:pt idx="13">
                  <c:v>2850000.000000</c:v>
                </c:pt>
                <c:pt idx="14">
                  <c:v>2850000.000000</c:v>
                </c:pt>
                <c:pt idx="15">
                  <c:v>3000000.000000</c:v>
                </c:pt>
                <c:pt idx="16">
                  <c:v>3250000.000000</c:v>
                </c:pt>
                <c:pt idx="17">
                  <c:v>3700000.000000</c:v>
                </c:pt>
                <c:pt idx="18">
                  <c:v>4300000.000000</c:v>
                </c:pt>
                <c:pt idx="19">
                  <c:v>4600000.000000</c:v>
                </c:pt>
                <c:pt idx="20">
                  <c:v>5300000.000000</c:v>
                </c:pt>
                <c:pt idx="21">
                  <c:v>6400000.000000</c:v>
                </c:pt>
                <c:pt idx="22">
                  <c:v>7100000.000000</c:v>
                </c:pt>
                <c:pt idx="23">
                  <c:v>8100000.000000</c:v>
                </c:pt>
                <c:pt idx="24">
                  <c:v>9100000.000000</c:v>
                </c:pt>
                <c:pt idx="25">
                  <c:v>9400000.000000</c:v>
                </c:pt>
                <c:pt idx="26">
                  <c:v>9400000.000000</c:v>
                </c:pt>
                <c:pt idx="27">
                  <c:v>10000000.000000</c:v>
                </c:pt>
                <c:pt idx="28">
                  <c:v>10300000.000000</c:v>
                </c:pt>
                <c:pt idx="29">
                  <c:v>10600000.000000</c:v>
                </c:pt>
                <c:pt idx="30">
                  <c:v>10600000.000000</c:v>
                </c:pt>
                <c:pt idx="31">
                  <c:v>10600000.000000</c:v>
                </c:pt>
                <c:pt idx="32">
                  <c:v>10600000.000000</c:v>
                </c:pt>
                <c:pt idx="33">
                  <c:v>10600000.000000</c:v>
                </c:pt>
                <c:pt idx="34">
                  <c:v>10600000.000000</c:v>
                </c:pt>
                <c:pt idx="35">
                  <c:v>10600000.000000</c:v>
                </c:pt>
                <c:pt idx="36">
                  <c:v>10600000.000000</c:v>
                </c:pt>
                <c:pt idx="37">
                  <c:v>10600000.000000</c:v>
                </c:pt>
                <c:pt idx="38">
                  <c:v>10600000.000000</c:v>
                </c:pt>
                <c:pt idx="39">
                  <c:v>7600000.000000</c:v>
                </c:pt>
                <c:pt idx="40">
                  <c:v>7600000.000000</c:v>
                </c:pt>
                <c:pt idx="41">
                  <c:v>7600000.000000</c:v>
                </c:pt>
                <c:pt idx="42">
                  <c:v>7600000.000000</c:v>
                </c:pt>
                <c:pt idx="43">
                  <c:v>7600000.000000</c:v>
                </c:pt>
                <c:pt idx="44">
                  <c:v>7600000.000000</c:v>
                </c:pt>
                <c:pt idx="45">
                  <c:v>7600000.000000</c:v>
                </c:pt>
                <c:pt idx="46">
                  <c:v>8200000.000000</c:v>
                </c:pt>
                <c:pt idx="47">
                  <c:v>8800000.000000</c:v>
                </c:pt>
                <c:pt idx="48">
                  <c:v>9500000.000000</c:v>
                </c:pt>
                <c:pt idx="49">
                  <c:v>10100000.000000</c:v>
                </c:pt>
                <c:pt idx="50">
                  <c:v>10100000.000000</c:v>
                </c:pt>
                <c:pt idx="51">
                  <c:v>10100000.000000</c:v>
                </c:pt>
                <c:pt idx="52">
                  <c:v>10100000.000000</c:v>
                </c:pt>
                <c:pt idx="53">
                  <c:v>10100000.000000</c:v>
                </c:pt>
                <c:pt idx="54">
                  <c:v>10100000.000000</c:v>
                </c:pt>
                <c:pt idx="55">
                  <c:v>10100000.000000</c:v>
                </c:pt>
                <c:pt idx="56">
                  <c:v>10900000.000000</c:v>
                </c:pt>
                <c:pt idx="57">
                  <c:v>12900000.000000</c:v>
                </c:pt>
                <c:pt idx="58">
                  <c:v>12900000.000000</c:v>
                </c:pt>
                <c:pt idx="59">
                  <c:v>12900000.000000</c:v>
                </c:pt>
                <c:pt idx="60">
                  <c:v>12900000.000000</c:v>
                </c:pt>
                <c:pt idx="61">
                  <c:v>12900000.000000</c:v>
                </c:pt>
                <c:pt idx="62">
                  <c:v>12900000.000000</c:v>
                </c:pt>
                <c:pt idx="63">
                  <c:v>12900000.000000</c:v>
                </c:pt>
                <c:pt idx="64">
                  <c:v>12900000.000000</c:v>
                </c:pt>
                <c:pt idx="65">
                  <c:v>12900000.000000</c:v>
                </c:pt>
                <c:pt idx="66">
                  <c:v>14200000.000000</c:v>
                </c:pt>
                <c:pt idx="67">
                  <c:v>14200000.000000</c:v>
                </c:pt>
                <c:pt idx="68">
                  <c:v>14200000.000000</c:v>
                </c:pt>
                <c:pt idx="69">
                  <c:v>14200000.000000</c:v>
                </c:pt>
                <c:pt idx="70">
                  <c:v>14200000.000000</c:v>
                </c:pt>
                <c:pt idx="71">
                  <c:v>14450000.000000</c:v>
                </c:pt>
                <c:pt idx="72">
                  <c:v>14450000.000000</c:v>
                </c:pt>
                <c:pt idx="73">
                  <c:v>14450000.000000</c:v>
                </c:pt>
                <c:pt idx="74">
                  <c:v>14450000.000000</c:v>
                </c:pt>
                <c:pt idx="75">
                  <c:v>14450000.000000</c:v>
                </c:pt>
                <c:pt idx="76">
                  <c:v>14450000.000000</c:v>
                </c:pt>
                <c:pt idx="77">
                  <c:v>14450000.000000</c:v>
                </c:pt>
                <c:pt idx="78">
                  <c:v>14450000.000000</c:v>
                </c:pt>
                <c:pt idx="79">
                  <c:v>14450000.000000</c:v>
                </c:pt>
                <c:pt idx="80">
                  <c:v>14450000.000000</c:v>
                </c:pt>
                <c:pt idx="81">
                  <c:v>14450000.000000</c:v>
                </c:pt>
                <c:pt idx="82">
                  <c:v>14450000.000000</c:v>
                </c:pt>
                <c:pt idx="83">
                  <c:v>14450000.000000</c:v>
                </c:pt>
                <c:pt idx="84">
                  <c:v>14450000.000000</c:v>
                </c:pt>
                <c:pt idx="85">
                  <c:v>14450000.000000</c:v>
                </c:pt>
                <c:pt idx="86">
                  <c:v>14450000.000000</c:v>
                </c:pt>
                <c:pt idx="87">
                  <c:v>14450000.000000</c:v>
                </c:pt>
                <c:pt idx="88">
                  <c:v>14900000.000000</c:v>
                </c:pt>
                <c:pt idx="89">
                  <c:v>14900000.000000</c:v>
                </c:pt>
                <c:pt idx="90">
                  <c:v>12000000.000000</c:v>
                </c:pt>
                <c:pt idx="91">
                  <c:v>8000000.000000</c:v>
                </c:pt>
                <c:pt idx="92">
                  <c:v>-2000000.000000</c:v>
                </c:pt>
                <c:pt idx="93">
                  <c:v>-8500000.000000</c:v>
                </c:pt>
                <c:pt idx="94">
                  <c:v>-9600000.000000</c:v>
                </c:pt>
                <c:pt idx="95">
                  <c:v>-9600000.000000</c:v>
                </c:pt>
                <c:pt idx="96">
                  <c:v>-9600000.000000</c:v>
                </c:pt>
                <c:pt idx="97">
                  <c:v>-9600000.000000</c:v>
                </c:pt>
                <c:pt idx="98">
                  <c:v>-9600000.000000</c:v>
                </c:pt>
                <c:pt idx="99">
                  <c:v>-9600000.000000</c:v>
                </c:pt>
                <c:pt idx="100">
                  <c:v>-9600000.000000</c:v>
                </c:pt>
                <c:pt idx="101">
                  <c:v>-9600000.000000</c:v>
                </c:pt>
                <c:pt idx="102">
                  <c:v>-9600000.000000</c:v>
                </c:pt>
                <c:pt idx="103">
                  <c:v>-9600000.000000</c:v>
                </c:pt>
                <c:pt idx="104">
                  <c:v>-9600000.000000</c:v>
                </c:pt>
                <c:pt idx="105">
                  <c:v>-9200000.000000</c:v>
                </c:pt>
                <c:pt idx="106">
                  <c:v>-9200000.000000</c:v>
                </c:pt>
                <c:pt idx="107">
                  <c:v>-9200000.000000</c:v>
                </c:pt>
                <c:pt idx="108">
                  <c:v>-9200000.000000</c:v>
                </c:pt>
                <c:pt idx="109">
                  <c:v>-9200000.000000</c:v>
                </c:pt>
                <c:pt idx="110">
                  <c:v>-9200000.000000</c:v>
                </c:pt>
                <c:pt idx="111">
                  <c:v>-9200000.000000</c:v>
                </c:pt>
              </c:numCache>
            </c:numRef>
          </c:val>
          <c:smooth val="0"/>
        </c:ser>
        <c:ser>
          <c:idx val="3"/>
          <c:order val="3"/>
          <c:tx>
            <c:strRef>
              <c:f>'net worth - Table 1-3'!$E$1</c:f>
              <c:strCache>
                <c:ptCount val="1"/>
                <c:pt idx="0">
                  <c:v>brokerage total</c:v>
                </c:pt>
              </c:strCache>
            </c:strRef>
          </c:tx>
          <c:spPr>
            <a:solidFill>
              <a:srgbClr val="1B3753"/>
            </a:solidFill>
            <a:ln w="50800" cap="flat">
              <a:solidFill>
                <a:srgbClr val="51A7F9"/>
              </a:solidFill>
              <a:prstDash val="solid"/>
              <a:miter lim="400000"/>
            </a:ln>
            <a:effectLst/>
          </c:spPr>
          <c:marker>
            <c:symbol val="circle"/>
            <c:size val="2"/>
            <c:spPr>
              <a:solidFill>
                <a:srgbClr val="1B3753"/>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1-3'!$E$3:$E$114</c:f>
              <c:numCache>
                <c:ptCount val="112"/>
                <c:pt idx="0">
                  <c:v>1001010.000000</c:v>
                </c:pt>
                <c:pt idx="1">
                  <c:v>998000.000000</c:v>
                </c:pt>
                <c:pt idx="2">
                  <c:v>997000.000000</c:v>
                </c:pt>
                <c:pt idx="3">
                  <c:v>994000.000000</c:v>
                </c:pt>
                <c:pt idx="4">
                  <c:v>1193708.000000</c:v>
                </c:pt>
                <c:pt idx="5">
                  <c:v>1699339.000000</c:v>
                </c:pt>
                <c:pt idx="6">
                  <c:v>1894508.000000</c:v>
                </c:pt>
                <c:pt idx="7">
                  <c:v>1916082.000000</c:v>
                </c:pt>
                <c:pt idx="8">
                  <c:v>2087612.000000</c:v>
                </c:pt>
                <c:pt idx="9">
                  <c:v>2203156.000000</c:v>
                </c:pt>
                <c:pt idx="10">
                  <c:v>2492415.000000</c:v>
                </c:pt>
                <c:pt idx="11">
                  <c:v>2596609.000000</c:v>
                </c:pt>
                <c:pt idx="12">
                  <c:v>2798266.000000</c:v>
                </c:pt>
                <c:pt idx="13">
                  <c:v>2981456.000000</c:v>
                </c:pt>
                <c:pt idx="14">
                  <c:v>3229751.000000</c:v>
                </c:pt>
                <c:pt idx="15">
                  <c:v>3303248.000000</c:v>
                </c:pt>
                <c:pt idx="16">
                  <c:v>3417029.000000</c:v>
                </c:pt>
                <c:pt idx="17">
                  <c:v>3809924.000000</c:v>
                </c:pt>
                <c:pt idx="18">
                  <c:v>4148904.000000</c:v>
                </c:pt>
                <c:pt idx="19">
                  <c:v>4603346.000000</c:v>
                </c:pt>
                <c:pt idx="20">
                  <c:v>5403216.000000</c:v>
                </c:pt>
                <c:pt idx="21">
                  <c:v>6824490.000000</c:v>
                </c:pt>
                <c:pt idx="22">
                  <c:v>7804460.000000</c:v>
                </c:pt>
                <c:pt idx="23">
                  <c:v>8700750.000000</c:v>
                </c:pt>
                <c:pt idx="24">
                  <c:v>9778523.000000</c:v>
                </c:pt>
                <c:pt idx="25">
                  <c:v>10571456.000000</c:v>
                </c:pt>
                <c:pt idx="26">
                  <c:v>10684713.000000</c:v>
                </c:pt>
                <c:pt idx="27">
                  <c:v>11544666.000000</c:v>
                </c:pt>
                <c:pt idx="28">
                  <c:v>12106440.000000</c:v>
                </c:pt>
                <c:pt idx="29">
                  <c:v>14496255.000000</c:v>
                </c:pt>
                <c:pt idx="30">
                  <c:v>13411060.000000</c:v>
                </c:pt>
                <c:pt idx="31">
                  <c:v>14574351.000000</c:v>
                </c:pt>
                <c:pt idx="32">
                  <c:v>13559687.000000</c:v>
                </c:pt>
                <c:pt idx="33">
                  <c:v>12412477.000000</c:v>
                </c:pt>
                <c:pt idx="34">
                  <c:v>13839283.000000</c:v>
                </c:pt>
                <c:pt idx="35">
                  <c:v>13939112.000000</c:v>
                </c:pt>
                <c:pt idx="36">
                  <c:v>14721044.000000</c:v>
                </c:pt>
                <c:pt idx="37">
                  <c:v>14242037.000000</c:v>
                </c:pt>
                <c:pt idx="38">
                  <c:v>16025314.000000</c:v>
                </c:pt>
                <c:pt idx="39">
                  <c:v>12781177.000000</c:v>
                </c:pt>
                <c:pt idx="40">
                  <c:v>12237434.000000</c:v>
                </c:pt>
                <c:pt idx="41">
                  <c:v>13809591.000000</c:v>
                </c:pt>
                <c:pt idx="42">
                  <c:v>13490786.000000</c:v>
                </c:pt>
                <c:pt idx="43">
                  <c:v>14079388.000000</c:v>
                </c:pt>
                <c:pt idx="44">
                  <c:v>13907650.000000</c:v>
                </c:pt>
                <c:pt idx="45">
                  <c:v>13815520.000000</c:v>
                </c:pt>
                <c:pt idx="46">
                  <c:v>14686023.000000</c:v>
                </c:pt>
                <c:pt idx="47">
                  <c:v>15436852.000000</c:v>
                </c:pt>
                <c:pt idx="48">
                  <c:v>16991759.000000</c:v>
                </c:pt>
                <c:pt idx="49">
                  <c:v>17935236.000000</c:v>
                </c:pt>
                <c:pt idx="50">
                  <c:v>18749937.000000</c:v>
                </c:pt>
                <c:pt idx="51">
                  <c:v>18459742.000000</c:v>
                </c:pt>
                <c:pt idx="52">
                  <c:v>19822509.000000</c:v>
                </c:pt>
                <c:pt idx="53">
                  <c:v>20631759.000000</c:v>
                </c:pt>
                <c:pt idx="54">
                  <c:v>20792432.000000</c:v>
                </c:pt>
                <c:pt idx="55">
                  <c:v>18067651.000000</c:v>
                </c:pt>
                <c:pt idx="56">
                  <c:v>18212076.000000</c:v>
                </c:pt>
                <c:pt idx="57">
                  <c:v>20276098.000000</c:v>
                </c:pt>
                <c:pt idx="58">
                  <c:v>19542857.000000</c:v>
                </c:pt>
                <c:pt idx="59">
                  <c:v>19059853.000000</c:v>
                </c:pt>
                <c:pt idx="60">
                  <c:v>19707911.000000</c:v>
                </c:pt>
                <c:pt idx="61">
                  <c:v>20826478.000000</c:v>
                </c:pt>
                <c:pt idx="62">
                  <c:v>19636133.000000</c:v>
                </c:pt>
                <c:pt idx="63">
                  <c:v>18911493.000000</c:v>
                </c:pt>
                <c:pt idx="64">
                  <c:v>19413118.000000</c:v>
                </c:pt>
                <c:pt idx="65">
                  <c:v>19600732.000000</c:v>
                </c:pt>
                <c:pt idx="66">
                  <c:v>18905117.000000</c:v>
                </c:pt>
                <c:pt idx="67">
                  <c:v>19423234.000000</c:v>
                </c:pt>
                <c:pt idx="68">
                  <c:v>19770460.000000</c:v>
                </c:pt>
                <c:pt idx="69">
                  <c:v>19696814.000000</c:v>
                </c:pt>
                <c:pt idx="70">
                  <c:v>19754277.000000</c:v>
                </c:pt>
                <c:pt idx="71">
                  <c:v>20900676.000000</c:v>
                </c:pt>
                <c:pt idx="72">
                  <c:v>21905792.000000</c:v>
                </c:pt>
                <c:pt idx="73">
                  <c:v>23745157.000000</c:v>
                </c:pt>
                <c:pt idx="74">
                  <c:v>23329779.149703</c:v>
                </c:pt>
                <c:pt idx="75">
                  <c:v>23157780.378592</c:v>
                </c:pt>
                <c:pt idx="76">
                  <c:v>22298128.532527</c:v>
                </c:pt>
                <c:pt idx="77">
                  <c:v>23791012.943965</c:v>
                </c:pt>
                <c:pt idx="78">
                  <c:v>25673178.153746</c:v>
                </c:pt>
                <c:pt idx="79">
                  <c:v>26745235.000000</c:v>
                </c:pt>
                <c:pt idx="80">
                  <c:v>29143747.000000</c:v>
                </c:pt>
                <c:pt idx="81">
                  <c:v>30214405.000000</c:v>
                </c:pt>
                <c:pt idx="82">
                  <c:v>28198430.000000</c:v>
                </c:pt>
                <c:pt idx="83">
                  <c:v>28535192.000000</c:v>
                </c:pt>
                <c:pt idx="84">
                  <c:v>30554913.000000</c:v>
                </c:pt>
                <c:pt idx="85">
                  <c:v>30517714.000000</c:v>
                </c:pt>
                <c:pt idx="86">
                  <c:v>29754534.000000</c:v>
                </c:pt>
                <c:pt idx="87">
                  <c:v>29922775.000000</c:v>
                </c:pt>
                <c:pt idx="88">
                  <c:v>32678334.000000</c:v>
                </c:pt>
                <c:pt idx="89">
                  <c:v>34016988.000000</c:v>
                </c:pt>
                <c:pt idx="90">
                  <c:v>31621022.000000</c:v>
                </c:pt>
                <c:pt idx="91">
                  <c:v>27651134.000000</c:v>
                </c:pt>
                <c:pt idx="92">
                  <c:v>16524027.000000</c:v>
                </c:pt>
                <c:pt idx="93">
                  <c:v>8883436.000000</c:v>
                </c:pt>
                <c:pt idx="94">
                  <c:v>7768712.000000</c:v>
                </c:pt>
                <c:pt idx="95">
                  <c:v>8245002.000000</c:v>
                </c:pt>
                <c:pt idx="96">
                  <c:v>8725297.000000</c:v>
                </c:pt>
                <c:pt idx="97">
                  <c:v>9319731.000000</c:v>
                </c:pt>
                <c:pt idx="98">
                  <c:v>9399360.000000</c:v>
                </c:pt>
                <c:pt idx="99">
                  <c:v>9865241.000000</c:v>
                </c:pt>
                <c:pt idx="100">
                  <c:v>10062691.000000</c:v>
                </c:pt>
                <c:pt idx="101">
                  <c:v>9804175.000000</c:v>
                </c:pt>
                <c:pt idx="102">
                  <c:v>9693331.000000</c:v>
                </c:pt>
                <c:pt idx="103">
                  <c:v>9477852.000000</c:v>
                </c:pt>
                <c:pt idx="104">
                  <c:v>9501503.000000</c:v>
                </c:pt>
                <c:pt idx="105">
                  <c:v>9862963.000000</c:v>
                </c:pt>
                <c:pt idx="106">
                  <c:v>10970244.000000</c:v>
                </c:pt>
                <c:pt idx="107">
                  <c:v>11447471.000000</c:v>
                </c:pt>
                <c:pt idx="108">
                  <c:v>11447471.000000</c:v>
                </c:pt>
                <c:pt idx="109">
                  <c:v>11447471.000000</c:v>
                </c:pt>
                <c:pt idx="110">
                  <c:v>11447471.000000</c:v>
                </c:pt>
                <c:pt idx="111">
                  <c:v>11447471.000000</c:v>
                </c:pt>
              </c:numCache>
            </c:numRef>
          </c:val>
          <c:smooth val="0"/>
        </c:ser>
        <c:ser>
          <c:idx val="4"/>
          <c:order val="4"/>
          <c:tx>
            <c:strRef>
              <c:f>'net worth - Table 1-3'!$C$1</c:f>
              <c:strCache>
                <c:ptCount val="1"/>
                <c:pt idx="0">
                  <c:v>Depositado</c:v>
                </c:pt>
              </c:strCache>
            </c:strRef>
          </c:tx>
          <c:spPr>
            <a:solidFill>
              <a:srgbClr val="131480"/>
            </a:solidFill>
            <a:ln w="25400" cap="flat">
              <a:solidFill>
                <a:srgbClr val="151589">
                  <a:alpha val="12178"/>
                </a:srgbClr>
              </a:solidFill>
              <a:prstDash val="solid"/>
              <a:miter lim="400000"/>
            </a:ln>
            <a:effectLst/>
          </c:spPr>
          <c:marker>
            <c:symbol val="none"/>
            <c:size val="2"/>
            <c:spPr>
              <a:solidFill>
                <a:srgbClr val="131480"/>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1-3'!$C$3:$C$114</c:f>
              <c:numCache>
                <c:ptCount val="112"/>
                <c:pt idx="0">
                  <c:v>1125078.000000</c:v>
                </c:pt>
                <c:pt idx="1">
                  <c:v>1258134.000000</c:v>
                </c:pt>
                <c:pt idx="2">
                  <c:v>1400707.000000</c:v>
                </c:pt>
                <c:pt idx="3">
                  <c:v>1542700.000000</c:v>
                </c:pt>
                <c:pt idx="4">
                  <c:v>1892440.000000</c:v>
                </c:pt>
                <c:pt idx="5">
                  <c:v>2534433.000000</c:v>
                </c:pt>
                <c:pt idx="6">
                  <c:v>2876436.000000</c:v>
                </c:pt>
                <c:pt idx="7">
                  <c:v>3019530.000000</c:v>
                </c:pt>
                <c:pt idx="8">
                  <c:v>3411710.000000</c:v>
                </c:pt>
                <c:pt idx="9">
                  <c:v>3699791.000000</c:v>
                </c:pt>
                <c:pt idx="10">
                  <c:v>4504339.000000</c:v>
                </c:pt>
                <c:pt idx="11">
                  <c:v>4615629.000000</c:v>
                </c:pt>
                <c:pt idx="12">
                  <c:v>5350404.000000</c:v>
                </c:pt>
                <c:pt idx="13">
                  <c:v>5934897.000000</c:v>
                </c:pt>
                <c:pt idx="14">
                  <c:v>6371542.000000</c:v>
                </c:pt>
                <c:pt idx="15">
                  <c:v>6956011.000000</c:v>
                </c:pt>
                <c:pt idx="16">
                  <c:v>7637038.000000</c:v>
                </c:pt>
                <c:pt idx="17">
                  <c:v>8350791.000000</c:v>
                </c:pt>
                <c:pt idx="18">
                  <c:v>9304800.000000</c:v>
                </c:pt>
                <c:pt idx="19">
                  <c:v>9869951.000000</c:v>
                </c:pt>
                <c:pt idx="20">
                  <c:v>10835102.000000</c:v>
                </c:pt>
                <c:pt idx="21">
                  <c:v>12211563.000000</c:v>
                </c:pt>
                <c:pt idx="22">
                  <c:v>13184629.000000</c:v>
                </c:pt>
                <c:pt idx="23">
                  <c:v>14456191.000000</c:v>
                </c:pt>
                <c:pt idx="24">
                  <c:v>16138814.000000</c:v>
                </c:pt>
                <c:pt idx="25">
                  <c:v>17425863.000000</c:v>
                </c:pt>
                <c:pt idx="26">
                  <c:v>18513699.000000</c:v>
                </c:pt>
                <c:pt idx="27">
                  <c:v>19378120.000000</c:v>
                </c:pt>
                <c:pt idx="28">
                  <c:v>19928188.000000</c:v>
                </c:pt>
                <c:pt idx="29">
                  <c:v>20578740.000000</c:v>
                </c:pt>
                <c:pt idx="30">
                  <c:v>23980176.000000</c:v>
                </c:pt>
                <c:pt idx="31">
                  <c:v>24262003.000000</c:v>
                </c:pt>
                <c:pt idx="32">
                  <c:v>24520297.000000</c:v>
                </c:pt>
                <c:pt idx="33">
                  <c:v>25177265.000000</c:v>
                </c:pt>
                <c:pt idx="34">
                  <c:v>25838791.000000</c:v>
                </c:pt>
                <c:pt idx="35">
                  <c:v>26256964.000000</c:v>
                </c:pt>
                <c:pt idx="36">
                  <c:v>26265865.000000</c:v>
                </c:pt>
                <c:pt idx="37">
                  <c:v>26252777.000000</c:v>
                </c:pt>
                <c:pt idx="38">
                  <c:v>26552809.000000</c:v>
                </c:pt>
                <c:pt idx="39">
                  <c:v>24112471.000000</c:v>
                </c:pt>
                <c:pt idx="40">
                  <c:v>24993612.000000</c:v>
                </c:pt>
                <c:pt idx="41">
                  <c:v>27274638.000000</c:v>
                </c:pt>
                <c:pt idx="42">
                  <c:v>28086832.000000</c:v>
                </c:pt>
                <c:pt idx="43">
                  <c:v>28382328.000000</c:v>
                </c:pt>
                <c:pt idx="44">
                  <c:v>28460293.000000</c:v>
                </c:pt>
                <c:pt idx="45">
                  <c:v>28692812.000000</c:v>
                </c:pt>
                <c:pt idx="46">
                  <c:v>29292812.000000</c:v>
                </c:pt>
                <c:pt idx="47">
                  <c:v>28871949.000000</c:v>
                </c:pt>
                <c:pt idx="48">
                  <c:v>29571949.000000</c:v>
                </c:pt>
                <c:pt idx="49">
                  <c:v>30171949.000000</c:v>
                </c:pt>
                <c:pt idx="50">
                  <c:v>30171949.000000</c:v>
                </c:pt>
                <c:pt idx="51">
                  <c:v>30171949.000000</c:v>
                </c:pt>
                <c:pt idx="52">
                  <c:v>30171949.000000</c:v>
                </c:pt>
                <c:pt idx="53">
                  <c:v>30497106.000000</c:v>
                </c:pt>
                <c:pt idx="54">
                  <c:v>30958996.000000</c:v>
                </c:pt>
                <c:pt idx="55">
                  <c:v>30958996.000000</c:v>
                </c:pt>
                <c:pt idx="56">
                  <c:v>33958996.000000</c:v>
                </c:pt>
                <c:pt idx="57">
                  <c:v>35958996.000000</c:v>
                </c:pt>
                <c:pt idx="58">
                  <c:v>35958996.000000</c:v>
                </c:pt>
                <c:pt idx="59">
                  <c:v>35958996.000000</c:v>
                </c:pt>
                <c:pt idx="60">
                  <c:v>35958996.000000</c:v>
                </c:pt>
                <c:pt idx="61">
                  <c:v>35958996.000000</c:v>
                </c:pt>
                <c:pt idx="62">
                  <c:v>36104310.000000</c:v>
                </c:pt>
                <c:pt idx="63">
                  <c:v>36104310.000000</c:v>
                </c:pt>
                <c:pt idx="64">
                  <c:v>36465789.000000</c:v>
                </c:pt>
                <c:pt idx="65">
                  <c:v>37366841.000000</c:v>
                </c:pt>
                <c:pt idx="66">
                  <c:v>37772999.000000</c:v>
                </c:pt>
                <c:pt idx="67">
                  <c:v>38459505.000000</c:v>
                </c:pt>
                <c:pt idx="68">
                  <c:v>39119285.000000</c:v>
                </c:pt>
                <c:pt idx="69">
                  <c:v>39499140.000000</c:v>
                </c:pt>
                <c:pt idx="70">
                  <c:v>40472171.000000</c:v>
                </c:pt>
                <c:pt idx="71">
                  <c:v>41696261.000000</c:v>
                </c:pt>
                <c:pt idx="72">
                  <c:v>42084084.000000</c:v>
                </c:pt>
                <c:pt idx="73">
                  <c:v>43067155.000000</c:v>
                </c:pt>
                <c:pt idx="74">
                  <c:v>44044062.000000</c:v>
                </c:pt>
                <c:pt idx="75">
                  <c:v>44425509.000000</c:v>
                </c:pt>
                <c:pt idx="76">
                  <c:v>44793721.000000</c:v>
                </c:pt>
                <c:pt idx="77">
                  <c:v>45197639.000000</c:v>
                </c:pt>
                <c:pt idx="78">
                  <c:v>45613425.000000</c:v>
                </c:pt>
                <c:pt idx="79">
                  <c:v>46999530.000000</c:v>
                </c:pt>
                <c:pt idx="80">
                  <c:v>47773983.000000</c:v>
                </c:pt>
                <c:pt idx="81">
                  <c:v>48519536.000000</c:v>
                </c:pt>
                <c:pt idx="82">
                  <c:v>49603796.000000</c:v>
                </c:pt>
                <c:pt idx="83">
                  <c:v>49999057.000000</c:v>
                </c:pt>
                <c:pt idx="84">
                  <c:v>50619229.000000</c:v>
                </c:pt>
                <c:pt idx="85">
                  <c:v>51047754.000000</c:v>
                </c:pt>
                <c:pt idx="86">
                  <c:v>51470839.000000</c:v>
                </c:pt>
                <c:pt idx="87">
                  <c:v>51906367.000000</c:v>
                </c:pt>
                <c:pt idx="88">
                  <c:v>52808944.000000</c:v>
                </c:pt>
                <c:pt idx="89">
                  <c:v>53287220.000000</c:v>
                </c:pt>
                <c:pt idx="90">
                  <c:v>50787786.000000</c:v>
                </c:pt>
                <c:pt idx="91">
                  <c:v>47204681.000000</c:v>
                </c:pt>
                <c:pt idx="92">
                  <c:v>37597468.000000</c:v>
                </c:pt>
                <c:pt idx="93">
                  <c:v>31526230.000000</c:v>
                </c:pt>
                <c:pt idx="94">
                  <c:v>30878714.000000</c:v>
                </c:pt>
                <c:pt idx="95">
                  <c:v>31320551.000000</c:v>
                </c:pt>
                <c:pt idx="96">
                  <c:v>31769176.000000</c:v>
                </c:pt>
                <c:pt idx="97">
                  <c:v>32243646.000000</c:v>
                </c:pt>
                <c:pt idx="98">
                  <c:v>32700935.000000</c:v>
                </c:pt>
                <c:pt idx="99">
                  <c:v>33141328.000000</c:v>
                </c:pt>
                <c:pt idx="100">
                  <c:v>33596312.000000</c:v>
                </c:pt>
                <c:pt idx="101">
                  <c:v>34040481.000000</c:v>
                </c:pt>
                <c:pt idx="102">
                  <c:v>34476792.000000</c:v>
                </c:pt>
                <c:pt idx="103">
                  <c:v>34917049.000000</c:v>
                </c:pt>
                <c:pt idx="104">
                  <c:v>35364233.000000</c:v>
                </c:pt>
                <c:pt idx="105">
                  <c:v>36263787.000000</c:v>
                </c:pt>
                <c:pt idx="106">
                  <c:v>36724579.000000</c:v>
                </c:pt>
                <c:pt idx="107">
                  <c:v>33963421.000000</c:v>
                </c:pt>
                <c:pt idx="108">
                  <c:v>33963421.000000</c:v>
                </c:pt>
                <c:pt idx="109">
                  <c:v>33963421.000000</c:v>
                </c:pt>
                <c:pt idx="110">
                  <c:v>33963421.000000</c:v>
                </c:pt>
                <c:pt idx="111">
                  <c:v>33963421.000000</c:v>
                </c:pt>
              </c:numCache>
            </c:numRef>
          </c:val>
          <c:smooth val="0"/>
        </c:ser>
        <c:ser>
          <c:idx val="5"/>
          <c:order val="5"/>
          <c:tx>
            <c:strRef>
              <c:f>'net worth - Table 1-3'!$B$1</c:f>
              <c:strCache>
                <c:ptCount val="1"/>
                <c:pt idx="0">
                  <c:v>Total</c:v>
                </c:pt>
              </c:strCache>
            </c:strRef>
          </c:tx>
          <c:spPr>
            <a:solidFill>
              <a:srgbClr val="131480"/>
            </a:solidFill>
            <a:ln w="50800" cap="flat">
              <a:solidFill>
                <a:srgbClr val="1C1DC0">
                  <a:alpha val="32234"/>
                </a:srgbClr>
              </a:solidFill>
              <a:prstDash val="solid"/>
              <a:miter lim="400000"/>
            </a:ln>
            <a:effectLst/>
          </c:spPr>
          <c:marker>
            <c:symbol val="circle"/>
            <c:size val="2"/>
            <c:spPr>
              <a:solidFill>
                <a:srgbClr val="131480"/>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1-3'!$B$3:$B$114</c:f>
              <c:numCache>
                <c:ptCount val="112"/>
                <c:pt idx="0">
                  <c:v>1126087.618636</c:v>
                </c:pt>
                <c:pt idx="1">
                  <c:v>1256133.666667</c:v>
                </c:pt>
                <c:pt idx="2">
                  <c:v>1397706.298751</c:v>
                </c:pt>
                <c:pt idx="3">
                  <c:v>1536699.387128</c:v>
                </c:pt>
                <c:pt idx="4">
                  <c:v>1901090.000000</c:v>
                </c:pt>
                <c:pt idx="5">
                  <c:v>2555665.000000</c:v>
                </c:pt>
                <c:pt idx="6">
                  <c:v>2890246.000000</c:v>
                </c:pt>
                <c:pt idx="7">
                  <c:v>3099167.000000</c:v>
                </c:pt>
                <c:pt idx="8">
                  <c:v>3493177.000000</c:v>
                </c:pt>
                <c:pt idx="9">
                  <c:v>3669811.000000</c:v>
                </c:pt>
                <c:pt idx="10">
                  <c:v>4530689.000000</c:v>
                </c:pt>
                <c:pt idx="11">
                  <c:v>4813225.000000</c:v>
                </c:pt>
                <c:pt idx="12">
                  <c:v>5543487.000000</c:v>
                </c:pt>
                <c:pt idx="13">
                  <c:v>6223870.000000</c:v>
                </c:pt>
                <c:pt idx="14">
                  <c:v>7031675.000000</c:v>
                </c:pt>
                <c:pt idx="15">
                  <c:v>7514673.000000</c:v>
                </c:pt>
                <c:pt idx="16">
                  <c:v>7872572.000000</c:v>
                </c:pt>
                <c:pt idx="17">
                  <c:v>8500422.000000</c:v>
                </c:pt>
                <c:pt idx="18">
                  <c:v>9034859.000000</c:v>
                </c:pt>
                <c:pt idx="19">
                  <c:v>9919964.000000</c:v>
                </c:pt>
                <c:pt idx="20">
                  <c:v>11055762.000000</c:v>
                </c:pt>
                <c:pt idx="21">
                  <c:v>12927074.000000</c:v>
                </c:pt>
                <c:pt idx="22">
                  <c:v>14312495.000000</c:v>
                </c:pt>
                <c:pt idx="23">
                  <c:v>15394483.000000</c:v>
                </c:pt>
                <c:pt idx="24">
                  <c:v>17243549.000000</c:v>
                </c:pt>
                <c:pt idx="25">
                  <c:v>19299399.000000</c:v>
                </c:pt>
                <c:pt idx="26">
                  <c:v>20391477.000000</c:v>
                </c:pt>
                <c:pt idx="27">
                  <c:v>21813210.000000</c:v>
                </c:pt>
                <c:pt idx="28">
                  <c:v>22820066.000000</c:v>
                </c:pt>
                <c:pt idx="29">
                  <c:v>26663336.000000</c:v>
                </c:pt>
                <c:pt idx="30">
                  <c:v>28527146.000000</c:v>
                </c:pt>
                <c:pt idx="31">
                  <c:v>30888646.000000</c:v>
                </c:pt>
                <c:pt idx="32">
                  <c:v>29372300.000000</c:v>
                </c:pt>
                <c:pt idx="33">
                  <c:v>27032835.000000</c:v>
                </c:pt>
                <c:pt idx="34">
                  <c:v>30520633.000000</c:v>
                </c:pt>
                <c:pt idx="35">
                  <c:v>31171252.000000</c:v>
                </c:pt>
                <c:pt idx="36">
                  <c:v>32824782.000000</c:v>
                </c:pt>
                <c:pt idx="37">
                  <c:v>32084818.000000</c:v>
                </c:pt>
                <c:pt idx="38">
                  <c:v>35669597.000000</c:v>
                </c:pt>
                <c:pt idx="39">
                  <c:v>32534233.000000</c:v>
                </c:pt>
                <c:pt idx="40">
                  <c:v>32442611.000000</c:v>
                </c:pt>
                <c:pt idx="41">
                  <c:v>38550992.000000</c:v>
                </c:pt>
                <c:pt idx="42">
                  <c:v>38491904.000000</c:v>
                </c:pt>
                <c:pt idx="43">
                  <c:v>40685352.000000</c:v>
                </c:pt>
                <c:pt idx="44">
                  <c:v>40184164.000000</c:v>
                </c:pt>
                <c:pt idx="45">
                  <c:v>40284439.000000</c:v>
                </c:pt>
                <c:pt idx="46">
                  <c:v>41517609.000000</c:v>
                </c:pt>
                <c:pt idx="47">
                  <c:v>41511782.000000</c:v>
                </c:pt>
                <c:pt idx="48">
                  <c:v>44265312.000000</c:v>
                </c:pt>
                <c:pt idx="49">
                  <c:v>45614170.000000</c:v>
                </c:pt>
                <c:pt idx="50">
                  <c:v>47552367.000000</c:v>
                </c:pt>
                <c:pt idx="51">
                  <c:v>47022555.000000</c:v>
                </c:pt>
                <c:pt idx="52">
                  <c:v>50218773.000000</c:v>
                </c:pt>
                <c:pt idx="53">
                  <c:v>52433191.000000</c:v>
                </c:pt>
                <c:pt idx="54">
                  <c:v>53436079.000000</c:v>
                </c:pt>
                <c:pt idx="55">
                  <c:v>46715926.000000</c:v>
                </c:pt>
                <c:pt idx="56">
                  <c:v>48036808.000000</c:v>
                </c:pt>
                <c:pt idx="57">
                  <c:v>50135015.000000</c:v>
                </c:pt>
                <c:pt idx="58">
                  <c:v>48491343.000000</c:v>
                </c:pt>
                <c:pt idx="59">
                  <c:v>47434945.000000</c:v>
                </c:pt>
                <c:pt idx="60">
                  <c:v>49083783.000000</c:v>
                </c:pt>
                <c:pt idx="61">
                  <c:v>51682070.000000</c:v>
                </c:pt>
                <c:pt idx="62">
                  <c:v>49231877.000000</c:v>
                </c:pt>
                <c:pt idx="63">
                  <c:v>47562071.000000</c:v>
                </c:pt>
                <c:pt idx="64">
                  <c:v>49058906.000000</c:v>
                </c:pt>
                <c:pt idx="65">
                  <c:v>50156376.000000</c:v>
                </c:pt>
                <c:pt idx="66">
                  <c:v>47813485.000000</c:v>
                </c:pt>
                <c:pt idx="67">
                  <c:v>49630973.000000</c:v>
                </c:pt>
                <c:pt idx="68">
                  <c:v>51180722.000000</c:v>
                </c:pt>
                <c:pt idx="69">
                  <c:v>51268063.000000</c:v>
                </c:pt>
                <c:pt idx="70">
                  <c:v>52481528.000000</c:v>
                </c:pt>
                <c:pt idx="71">
                  <c:v>55705952.000000</c:v>
                </c:pt>
                <c:pt idx="72">
                  <c:v>58561297.000000</c:v>
                </c:pt>
                <c:pt idx="73">
                  <c:v>64308066.000000</c:v>
                </c:pt>
                <c:pt idx="74">
                  <c:v>64179430.149703</c:v>
                </c:pt>
                <c:pt idx="75">
                  <c:v>64405715.378592</c:v>
                </c:pt>
                <c:pt idx="76">
                  <c:v>63032060.532527</c:v>
                </c:pt>
                <c:pt idx="77">
                  <c:v>66990331.943965</c:v>
                </c:pt>
                <c:pt idx="78">
                  <c:v>72501976.153746</c:v>
                </c:pt>
                <c:pt idx="79">
                  <c:v>76530609.000000</c:v>
                </c:pt>
                <c:pt idx="80">
                  <c:v>84040723.000000</c:v>
                </c:pt>
                <c:pt idx="81">
                  <c:v>87592414.000000</c:v>
                </c:pt>
                <c:pt idx="82">
                  <c:v>83243518.000000</c:v>
                </c:pt>
                <c:pt idx="83">
                  <c:v>84397881.000000</c:v>
                </c:pt>
                <c:pt idx="84">
                  <c:v>90340063.000000</c:v>
                </c:pt>
                <c:pt idx="85">
                  <c:v>90902818.000000</c:v>
                </c:pt>
                <c:pt idx="86">
                  <c:v>89308898.000000</c:v>
                </c:pt>
                <c:pt idx="87">
                  <c:v>90477518.000000</c:v>
                </c:pt>
                <c:pt idx="88">
                  <c:v>97388893.000000</c:v>
                </c:pt>
                <c:pt idx="89">
                  <c:v>101516190.000000</c:v>
                </c:pt>
                <c:pt idx="90">
                  <c:v>100503182.000000</c:v>
                </c:pt>
                <c:pt idx="91">
                  <c:v>97287176.000000</c:v>
                </c:pt>
                <c:pt idx="92">
                  <c:v>83370178.000000</c:v>
                </c:pt>
                <c:pt idx="93">
                  <c:v>72843198.000000</c:v>
                </c:pt>
                <c:pt idx="94">
                  <c:v>72540214.000000</c:v>
                </c:pt>
                <c:pt idx="95">
                  <c:v>76973852.000000</c:v>
                </c:pt>
                <c:pt idx="96">
                  <c:v>81042962.000000</c:v>
                </c:pt>
                <c:pt idx="97">
                  <c:v>86542140.000000</c:v>
                </c:pt>
                <c:pt idx="98">
                  <c:v>88232242.000000</c:v>
                </c:pt>
                <c:pt idx="99">
                  <c:v>92358164.000000</c:v>
                </c:pt>
                <c:pt idx="100">
                  <c:v>94634736.000000</c:v>
                </c:pt>
                <c:pt idx="101">
                  <c:v>93675379.000000</c:v>
                </c:pt>
                <c:pt idx="102">
                  <c:v>93417908.000000</c:v>
                </c:pt>
                <c:pt idx="103">
                  <c:v>92875310.000000</c:v>
                </c:pt>
                <c:pt idx="104">
                  <c:v>93851016.000000</c:v>
                </c:pt>
                <c:pt idx="105">
                  <c:v>94164395.000000</c:v>
                </c:pt>
                <c:pt idx="106">
                  <c:v>103650177.000000</c:v>
                </c:pt>
                <c:pt idx="107">
                  <c:v>104701642.000000</c:v>
                </c:pt>
                <c:pt idx="108">
                  <c:v>104701642.000000</c:v>
                </c:pt>
                <c:pt idx="109">
                  <c:v>104701642.000000</c:v>
                </c:pt>
                <c:pt idx="110">
                  <c:v>104701642.000000</c:v>
                </c:pt>
                <c:pt idx="111">
                  <c:v>104701642.000000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4e+08"/>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
          <c:y val="0"/>
          <c:w val="1"/>
          <c:h val="0.0660959"/>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1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80771"/>
          <c:y val="0.0923077"/>
          <c:w val="0.696853"/>
          <c:h val="0.842201"/>
        </c:manualLayout>
      </c:layout>
      <c:lineChart>
        <c:grouping val="standard"/>
        <c:varyColors val="0"/>
        <c:ser>
          <c:idx val="0"/>
          <c:order val="0"/>
          <c:tx>
            <c:strRef>
              <c:f>'net worth - Table 1-1'!$P$1</c:f>
              <c:strCache>
                <c:ptCount val="1"/>
                <c:pt idx="0">
                  <c:v>∑ inversiones + cripto</c:v>
                </c:pt>
              </c:strCache>
            </c:strRef>
          </c:tx>
          <c:spPr>
            <a:solidFill>
              <a:srgbClr val="3D637F">
                <a:alpha val="79574"/>
              </a:srgbClr>
            </a:solidFill>
            <a:ln w="63500" cap="flat">
              <a:solidFill>
                <a:srgbClr val="5F99C5">
                  <a:alpha val="77699"/>
                </a:srgbClr>
              </a:solidFill>
              <a:prstDash val="solid"/>
              <a:miter lim="400000"/>
            </a:ln>
            <a:effectLst/>
          </c:spPr>
          <c:marker>
            <c:symbol val="circle"/>
            <c:size val="4"/>
            <c:spPr>
              <a:solidFill>
                <a:srgbClr val="3D637F">
                  <a:alpha val="79574"/>
                </a:srgbClr>
              </a:solidFill>
              <a:ln w="50800" cap="flat">
                <a:noFill/>
                <a:miter lim="400000"/>
              </a:ln>
              <a:effectLst/>
            </c:spPr>
          </c:marker>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1-1'!$P$2:$P$113</c:f>
              <c:numCache>
                <c:ptCount val="112"/>
                <c:pt idx="0">
                  <c:v>1126087.618636</c:v>
                </c:pt>
                <c:pt idx="1">
                  <c:v>1256133.666667</c:v>
                </c:pt>
                <c:pt idx="2">
                  <c:v>1397706.298751</c:v>
                </c:pt>
                <c:pt idx="3">
                  <c:v>1536699.387128</c:v>
                </c:pt>
                <c:pt idx="4">
                  <c:v>1901090.000000</c:v>
                </c:pt>
                <c:pt idx="5">
                  <c:v>3827883.016381</c:v>
                </c:pt>
                <c:pt idx="6">
                  <c:v>5975928.427160</c:v>
                </c:pt>
                <c:pt idx="7">
                  <c:v>6356606.546983</c:v>
                </c:pt>
                <c:pt idx="8">
                  <c:v>6219059.118525</c:v>
                </c:pt>
                <c:pt idx="9">
                  <c:v>5201743.586529</c:v>
                </c:pt>
                <c:pt idx="10">
                  <c:v>6610592.766844</c:v>
                </c:pt>
                <c:pt idx="11">
                  <c:v>7141568.296500</c:v>
                </c:pt>
                <c:pt idx="12">
                  <c:v>7404896.139053</c:v>
                </c:pt>
                <c:pt idx="13">
                  <c:v>8361036.363382</c:v>
                </c:pt>
                <c:pt idx="14">
                  <c:v>8583810.009554</c:v>
                </c:pt>
                <c:pt idx="15">
                  <c:v>8824103.128021</c:v>
                </c:pt>
                <c:pt idx="16">
                  <c:v>9119588.868837</c:v>
                </c:pt>
                <c:pt idx="17">
                  <c:v>9230957.000000</c:v>
                </c:pt>
                <c:pt idx="18">
                  <c:v>9834535.480250</c:v>
                </c:pt>
                <c:pt idx="19">
                  <c:v>10532213.381426</c:v>
                </c:pt>
                <c:pt idx="20">
                  <c:v>11790553.194822</c:v>
                </c:pt>
                <c:pt idx="21">
                  <c:v>13702265.015228</c:v>
                </c:pt>
                <c:pt idx="22">
                  <c:v>15287467.052839</c:v>
                </c:pt>
                <c:pt idx="23">
                  <c:v>17034388.463286</c:v>
                </c:pt>
                <c:pt idx="24">
                  <c:v>19085299.609045</c:v>
                </c:pt>
                <c:pt idx="25">
                  <c:v>20856339.308716</c:v>
                </c:pt>
                <c:pt idx="26">
                  <c:v>21789754.840278</c:v>
                </c:pt>
                <c:pt idx="27">
                  <c:v>23162866.190386</c:v>
                </c:pt>
                <c:pt idx="28">
                  <c:v>24260713.385831</c:v>
                </c:pt>
                <c:pt idx="29">
                  <c:v>27975493.728327</c:v>
                </c:pt>
                <c:pt idx="30">
                  <c:v>29662235.405939</c:v>
                </c:pt>
                <c:pt idx="31">
                  <c:v>32454748.832928</c:v>
                </c:pt>
                <c:pt idx="32">
                  <c:v>31132575.735882</c:v>
                </c:pt>
                <c:pt idx="33">
                  <c:v>28236746.958255</c:v>
                </c:pt>
                <c:pt idx="34">
                  <c:v>32233371.800732</c:v>
                </c:pt>
                <c:pt idx="35">
                  <c:v>32983649.572734</c:v>
                </c:pt>
                <c:pt idx="36">
                  <c:v>34642680.813805</c:v>
                </c:pt>
                <c:pt idx="37">
                  <c:v>34419168.117538</c:v>
                </c:pt>
                <c:pt idx="38">
                  <c:v>38476829.170791</c:v>
                </c:pt>
                <c:pt idx="39">
                  <c:v>34943879.420111</c:v>
                </c:pt>
                <c:pt idx="40">
                  <c:v>35200432.488860</c:v>
                </c:pt>
                <c:pt idx="41">
                  <c:v>42580219.007488</c:v>
                </c:pt>
                <c:pt idx="42">
                  <c:v>43698062.989024</c:v>
                </c:pt>
                <c:pt idx="43">
                  <c:v>46051647.342190</c:v>
                </c:pt>
                <c:pt idx="44">
                  <c:v>45573926.722618</c:v>
                </c:pt>
                <c:pt idx="45">
                  <c:v>46833994.348331</c:v>
                </c:pt>
                <c:pt idx="46">
                  <c:v>49447854.304117</c:v>
                </c:pt>
                <c:pt idx="47">
                  <c:v>46990343.881852</c:v>
                </c:pt>
                <c:pt idx="48">
                  <c:v>49088334.646831</c:v>
                </c:pt>
                <c:pt idx="49">
                  <c:v>51356824.000000</c:v>
                </c:pt>
                <c:pt idx="50">
                  <c:v>55146699.000000</c:v>
                </c:pt>
                <c:pt idx="51">
                  <c:v>54912814.000000</c:v>
                </c:pt>
                <c:pt idx="52">
                  <c:v>60351166.000000</c:v>
                </c:pt>
                <c:pt idx="53">
                  <c:v>63015332.000000</c:v>
                </c:pt>
                <c:pt idx="54">
                  <c:v>62166215.000000</c:v>
                </c:pt>
                <c:pt idx="55">
                  <c:v>52954313.000000</c:v>
                </c:pt>
                <c:pt idx="56">
                  <c:v>54884061.000000</c:v>
                </c:pt>
                <c:pt idx="57">
                  <c:v>57572855.000000</c:v>
                </c:pt>
                <c:pt idx="58">
                  <c:v>55214816.000000</c:v>
                </c:pt>
                <c:pt idx="59">
                  <c:v>52339771.000000</c:v>
                </c:pt>
                <c:pt idx="60">
                  <c:v>52341901.000000</c:v>
                </c:pt>
                <c:pt idx="61">
                  <c:v>56100221.000000</c:v>
                </c:pt>
                <c:pt idx="62">
                  <c:v>53140953.000000</c:v>
                </c:pt>
                <c:pt idx="63">
                  <c:v>51332477.000000</c:v>
                </c:pt>
                <c:pt idx="64">
                  <c:v>53269570.000000</c:v>
                </c:pt>
                <c:pt idx="65">
                  <c:v>53415854.000000</c:v>
                </c:pt>
                <c:pt idx="66">
                  <c:v>50714962.000000</c:v>
                </c:pt>
                <c:pt idx="67">
                  <c:v>53328416.000000</c:v>
                </c:pt>
                <c:pt idx="68">
                  <c:v>55087415.000000</c:v>
                </c:pt>
                <c:pt idx="69">
                  <c:v>55727351.000000</c:v>
                </c:pt>
                <c:pt idx="70">
                  <c:v>57067331.000000</c:v>
                </c:pt>
                <c:pt idx="71">
                  <c:v>60078986.000000</c:v>
                </c:pt>
                <c:pt idx="72">
                  <c:v>63212507.000000</c:v>
                </c:pt>
                <c:pt idx="73">
                  <c:v>68928667.000000</c:v>
                </c:pt>
                <c:pt idx="74">
                  <c:v>68419221.149703</c:v>
                </c:pt>
                <c:pt idx="75">
                  <c:v>69086009.378593</c:v>
                </c:pt>
                <c:pt idx="76">
                  <c:v>68313530.532527</c:v>
                </c:pt>
                <c:pt idx="77">
                  <c:v>72691454.943965</c:v>
                </c:pt>
                <c:pt idx="78">
                  <c:v>78437590.153746</c:v>
                </c:pt>
                <c:pt idx="79">
                  <c:v>82668866.000000</c:v>
                </c:pt>
                <c:pt idx="80">
                  <c:v>93463278.000000</c:v>
                </c:pt>
                <c:pt idx="81">
                  <c:v>97831090.000000</c:v>
                </c:pt>
                <c:pt idx="82">
                  <c:v>92242327.000000</c:v>
                </c:pt>
                <c:pt idx="83">
                  <c:v>94252829.000000</c:v>
                </c:pt>
                <c:pt idx="84">
                  <c:v>99514517.000000</c:v>
                </c:pt>
                <c:pt idx="85">
                  <c:v>99884393.000000</c:v>
                </c:pt>
                <c:pt idx="86">
                  <c:v>96389310.000000</c:v>
                </c:pt>
                <c:pt idx="87">
                  <c:v>98058576.000000</c:v>
                </c:pt>
                <c:pt idx="88">
                  <c:v>105636633.000000</c:v>
                </c:pt>
                <c:pt idx="89">
                  <c:v>112691649.000000</c:v>
                </c:pt>
                <c:pt idx="90">
                  <c:v>111358648.000000</c:v>
                </c:pt>
                <c:pt idx="91">
                  <c:v>107445885.000000</c:v>
                </c:pt>
                <c:pt idx="92">
                  <c:v>88657850.000000</c:v>
                </c:pt>
                <c:pt idx="93">
                  <c:v>74564991.000000</c:v>
                </c:pt>
                <c:pt idx="94">
                  <c:v>74514724.000000</c:v>
                </c:pt>
                <c:pt idx="95">
                  <c:v>79138647.000000</c:v>
                </c:pt>
                <c:pt idx="96">
                  <c:v>83571137.000000</c:v>
                </c:pt>
                <c:pt idx="97">
                  <c:v>89272571.000000</c:v>
                </c:pt>
                <c:pt idx="98">
                  <c:v>90849931.000000</c:v>
                </c:pt>
                <c:pt idx="99">
                  <c:v>95059042.000000</c:v>
                </c:pt>
                <c:pt idx="100">
                  <c:v>97155070.000000</c:v>
                </c:pt>
                <c:pt idx="101">
                  <c:v>95647230.000000</c:v>
                </c:pt>
                <c:pt idx="102">
                  <c:v>95340574.000000</c:v>
                </c:pt>
                <c:pt idx="103">
                  <c:v>94529458.000000</c:v>
                </c:pt>
                <c:pt idx="104">
                  <c:v>95259805.000000</c:v>
                </c:pt>
                <c:pt idx="105">
                  <c:v>95688706.000000</c:v>
                </c:pt>
                <c:pt idx="106">
                  <c:v>105343634.000000</c:v>
                </c:pt>
                <c:pt idx="107">
                  <c:v>106395099.000000</c:v>
                </c:pt>
                <c:pt idx="108">
                  <c:v>106395099.000000</c:v>
                </c:pt>
                <c:pt idx="109">
                  <c:v>106395099.000000</c:v>
                </c:pt>
                <c:pt idx="110">
                  <c:v>106395099.000000</c:v>
                </c:pt>
                <c:pt idx="111">
                  <c:v>106395099.000000</c:v>
                </c:pt>
              </c:numCache>
            </c:numRef>
          </c:val>
          <c:smooth val="0"/>
        </c:ser>
        <c:ser>
          <c:idx val="1"/>
          <c:order val="1"/>
          <c:tx>
            <c:strRef>
              <c:f>'net worth - Table 1-1'!$G$1</c:f>
              <c:strCache>
                <c:ptCount val="1"/>
                <c:pt idx="0">
                  <c:v>real estate</c:v>
                </c:pt>
              </c:strCache>
            </c:strRef>
          </c:tx>
          <c:spPr>
            <a:solidFill>
              <a:srgbClr val="FFFFFF"/>
            </a:solidFill>
            <a:ln w="38100" cap="flat">
              <a:solidFill>
                <a:srgbClr val="2561D5">
                  <a:alpha val="89519"/>
                </a:srgbClr>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1-1'!$G$2:$G$113</c:f>
              <c:numCache>
                <c:ptCount val="32"/>
                <c:pt idx="80">
                  <c:v>0.000000</c:v>
                </c:pt>
                <c:pt idx="81">
                  <c:v>0.000000</c:v>
                </c:pt>
                <c:pt idx="82">
                  <c:v>54029871.000000</c:v>
                </c:pt>
                <c:pt idx="83">
                  <c:v>53026600.000000</c:v>
                </c:pt>
                <c:pt idx="84">
                  <c:v>54142929.000000</c:v>
                </c:pt>
                <c:pt idx="85">
                  <c:v>56489773.000000</c:v>
                </c:pt>
                <c:pt idx="86">
                  <c:v>59144031.000000</c:v>
                </c:pt>
                <c:pt idx="87">
                  <c:v>61781675.000000</c:v>
                </c:pt>
                <c:pt idx="88">
                  <c:v>64287949.000000</c:v>
                </c:pt>
                <c:pt idx="89">
                  <c:v>86887926.000000</c:v>
                </c:pt>
                <c:pt idx="90">
                  <c:v>89886057.000000</c:v>
                </c:pt>
                <c:pt idx="91">
                  <c:v>89810530.000000</c:v>
                </c:pt>
                <c:pt idx="92">
                  <c:v>110473297.000000</c:v>
                </c:pt>
                <c:pt idx="93">
                  <c:v>113313871.000000</c:v>
                </c:pt>
                <c:pt idx="94">
                  <c:v>114850064.000000</c:v>
                </c:pt>
                <c:pt idx="95">
                  <c:v>116523901.000000</c:v>
                </c:pt>
                <c:pt idx="96">
                  <c:v>117887389.000000</c:v>
                </c:pt>
                <c:pt idx="97">
                  <c:v>118450554.000000</c:v>
                </c:pt>
                <c:pt idx="98">
                  <c:v>119160658.000000</c:v>
                </c:pt>
                <c:pt idx="99">
                  <c:v>120431233.000000</c:v>
                </c:pt>
                <c:pt idx="100">
                  <c:v>121168870.000000</c:v>
                </c:pt>
                <c:pt idx="101">
                  <c:v>121904039.000000</c:v>
                </c:pt>
                <c:pt idx="102">
                  <c:v>122600540.000000</c:v>
                </c:pt>
                <c:pt idx="103">
                  <c:v>122532988.000000</c:v>
                </c:pt>
                <c:pt idx="104">
                  <c:v>123828094.000000</c:v>
                </c:pt>
                <c:pt idx="105">
                  <c:v>136378208.000000</c:v>
                </c:pt>
                <c:pt idx="106">
                  <c:v>140164761.208140</c:v>
                </c:pt>
                <c:pt idx="107">
                  <c:v>144757880.688285</c:v>
                </c:pt>
                <c:pt idx="108">
                  <c:v>149916123.506765</c:v>
                </c:pt>
                <c:pt idx="109">
                  <c:v>150649199.099640</c:v>
                </c:pt>
                <c:pt idx="110">
                  <c:v>151432038.209622</c:v>
                </c:pt>
                <c:pt idx="111">
                  <c:v>152977967.160293</c:v>
                </c:pt>
              </c:numCache>
            </c:numRef>
          </c:val>
          <c:smooth val="0"/>
        </c:ser>
        <c:ser>
          <c:idx val="2"/>
          <c:order val="2"/>
          <c:tx>
            <c:strRef>
              <c:f>'net worth - Table 1-1'!$H$1</c:f>
              <c:strCache>
                <c:ptCount val="1"/>
                <c:pt idx="0">
                  <c:v>brokerage</c:v>
                </c:pt>
              </c:strCache>
            </c:strRef>
          </c:tx>
          <c:spPr>
            <a:solidFill>
              <a:srgbClr val="FFFFFF"/>
            </a:solidFill>
            <a:ln w="38100" cap="flat">
              <a:solidFill>
                <a:srgbClr val="51A7F9"/>
              </a:solidFill>
              <a:prstDash val="solid"/>
              <a:miter lim="400000"/>
            </a:ln>
            <a:effectLst/>
          </c:spPr>
          <c:marker>
            <c:symbol val="none"/>
            <c:size val="4"/>
            <c:spPr>
              <a:solidFill>
                <a:srgbClr val="FFFFFF"/>
              </a:solidFill>
              <a:ln w="50800" cap="flat">
                <a:solidFill>
                  <a:srgbClr val="FBE12B"/>
                </a:solidFill>
                <a:prstDash val="solid"/>
                <a:miter lim="400000"/>
              </a:ln>
              <a:effectLst/>
            </c:spPr>
          </c:marker>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1-1'!$H$2:$H$113</c:f>
              <c:numCache>
                <c:ptCount val="112"/>
                <c:pt idx="0">
                  <c:v>1001010.000000</c:v>
                </c:pt>
                <c:pt idx="1">
                  <c:v>998000.000000</c:v>
                </c:pt>
                <c:pt idx="2">
                  <c:v>997000.000000</c:v>
                </c:pt>
                <c:pt idx="3">
                  <c:v>994000.000000</c:v>
                </c:pt>
                <c:pt idx="4">
                  <c:v>1193708.000000</c:v>
                </c:pt>
                <c:pt idx="5">
                  <c:v>1699339.000000</c:v>
                </c:pt>
                <c:pt idx="6">
                  <c:v>1894508.000000</c:v>
                </c:pt>
                <c:pt idx="7">
                  <c:v>1916082.000000</c:v>
                </c:pt>
                <c:pt idx="8">
                  <c:v>2087612.000000</c:v>
                </c:pt>
                <c:pt idx="9">
                  <c:v>2203156.000000</c:v>
                </c:pt>
                <c:pt idx="10">
                  <c:v>2492415.000000</c:v>
                </c:pt>
                <c:pt idx="11">
                  <c:v>2596609.000000</c:v>
                </c:pt>
                <c:pt idx="12">
                  <c:v>2798266.000000</c:v>
                </c:pt>
                <c:pt idx="13">
                  <c:v>2981456.000000</c:v>
                </c:pt>
                <c:pt idx="14">
                  <c:v>3229751.000000</c:v>
                </c:pt>
                <c:pt idx="15">
                  <c:v>3303248.000000</c:v>
                </c:pt>
                <c:pt idx="16">
                  <c:v>3417029.000000</c:v>
                </c:pt>
                <c:pt idx="17">
                  <c:v>3809924.000000</c:v>
                </c:pt>
                <c:pt idx="18">
                  <c:v>4148904.000000</c:v>
                </c:pt>
                <c:pt idx="19">
                  <c:v>4603346.000000</c:v>
                </c:pt>
                <c:pt idx="20">
                  <c:v>5403216.000000</c:v>
                </c:pt>
                <c:pt idx="21">
                  <c:v>6824490.000000</c:v>
                </c:pt>
                <c:pt idx="22">
                  <c:v>7804460.000000</c:v>
                </c:pt>
                <c:pt idx="23">
                  <c:v>8700750.000000</c:v>
                </c:pt>
                <c:pt idx="24">
                  <c:v>9778523.000000</c:v>
                </c:pt>
                <c:pt idx="25">
                  <c:v>10571456.000000</c:v>
                </c:pt>
                <c:pt idx="26">
                  <c:v>10684713.000000</c:v>
                </c:pt>
                <c:pt idx="27">
                  <c:v>11544666.000000</c:v>
                </c:pt>
                <c:pt idx="28">
                  <c:v>12106440.000000</c:v>
                </c:pt>
                <c:pt idx="29">
                  <c:v>14496255.000000</c:v>
                </c:pt>
                <c:pt idx="30">
                  <c:v>13411060.000000</c:v>
                </c:pt>
                <c:pt idx="31">
                  <c:v>14574351.000000</c:v>
                </c:pt>
                <c:pt idx="32">
                  <c:v>13559687.000000</c:v>
                </c:pt>
                <c:pt idx="33">
                  <c:v>12412477.000000</c:v>
                </c:pt>
                <c:pt idx="34">
                  <c:v>13839283.000000</c:v>
                </c:pt>
                <c:pt idx="35">
                  <c:v>13939112.000000</c:v>
                </c:pt>
                <c:pt idx="36">
                  <c:v>14721044.000000</c:v>
                </c:pt>
                <c:pt idx="37">
                  <c:v>14242037.000000</c:v>
                </c:pt>
                <c:pt idx="38">
                  <c:v>16025314.000000</c:v>
                </c:pt>
                <c:pt idx="39">
                  <c:v>12781177.000000</c:v>
                </c:pt>
                <c:pt idx="40">
                  <c:v>12237434.000000</c:v>
                </c:pt>
                <c:pt idx="41">
                  <c:v>13809591.000000</c:v>
                </c:pt>
                <c:pt idx="42">
                  <c:v>13490786.000000</c:v>
                </c:pt>
                <c:pt idx="43">
                  <c:v>14079388.000000</c:v>
                </c:pt>
                <c:pt idx="44">
                  <c:v>13907650.000000</c:v>
                </c:pt>
                <c:pt idx="45">
                  <c:v>13815520.000000</c:v>
                </c:pt>
                <c:pt idx="46">
                  <c:v>14686023.000000</c:v>
                </c:pt>
                <c:pt idx="47">
                  <c:v>15436852.000000</c:v>
                </c:pt>
                <c:pt idx="48">
                  <c:v>16991759.000000</c:v>
                </c:pt>
                <c:pt idx="49">
                  <c:v>17935236.000000</c:v>
                </c:pt>
                <c:pt idx="50">
                  <c:v>18749937.000000</c:v>
                </c:pt>
                <c:pt idx="51">
                  <c:v>18459742.000000</c:v>
                </c:pt>
                <c:pt idx="52">
                  <c:v>19822509.000000</c:v>
                </c:pt>
                <c:pt idx="53">
                  <c:v>20631759.000000</c:v>
                </c:pt>
                <c:pt idx="54">
                  <c:v>20792432.000000</c:v>
                </c:pt>
                <c:pt idx="55">
                  <c:v>18067651.000000</c:v>
                </c:pt>
                <c:pt idx="56">
                  <c:v>18212076.000000</c:v>
                </c:pt>
                <c:pt idx="57">
                  <c:v>20276098.000000</c:v>
                </c:pt>
                <c:pt idx="58">
                  <c:v>19542857.000000</c:v>
                </c:pt>
                <c:pt idx="59">
                  <c:v>19059853.000000</c:v>
                </c:pt>
                <c:pt idx="60">
                  <c:v>19707911.000000</c:v>
                </c:pt>
                <c:pt idx="61">
                  <c:v>20826478.000000</c:v>
                </c:pt>
                <c:pt idx="62">
                  <c:v>19636133.000000</c:v>
                </c:pt>
                <c:pt idx="63">
                  <c:v>18911493.000000</c:v>
                </c:pt>
                <c:pt idx="64">
                  <c:v>19413118.000000</c:v>
                </c:pt>
                <c:pt idx="65">
                  <c:v>19600732.000000</c:v>
                </c:pt>
                <c:pt idx="66">
                  <c:v>18905117.000000</c:v>
                </c:pt>
                <c:pt idx="67">
                  <c:v>19423234.000000</c:v>
                </c:pt>
                <c:pt idx="68">
                  <c:v>19770460.000000</c:v>
                </c:pt>
                <c:pt idx="69">
                  <c:v>19696814.000000</c:v>
                </c:pt>
                <c:pt idx="70">
                  <c:v>19754277.000000</c:v>
                </c:pt>
                <c:pt idx="71">
                  <c:v>20900676.000000</c:v>
                </c:pt>
                <c:pt idx="72">
                  <c:v>21905792.000000</c:v>
                </c:pt>
                <c:pt idx="73">
                  <c:v>23745157.000000</c:v>
                </c:pt>
                <c:pt idx="74">
                  <c:v>23329779.149703</c:v>
                </c:pt>
                <c:pt idx="75">
                  <c:v>23157780.378592</c:v>
                </c:pt>
                <c:pt idx="76">
                  <c:v>22298128.532527</c:v>
                </c:pt>
                <c:pt idx="77">
                  <c:v>23791012.943965</c:v>
                </c:pt>
                <c:pt idx="78">
                  <c:v>25673178.153746</c:v>
                </c:pt>
                <c:pt idx="79">
                  <c:v>26745235.000000</c:v>
                </c:pt>
                <c:pt idx="80">
                  <c:v>29143747.000000</c:v>
                </c:pt>
                <c:pt idx="81">
                  <c:v>30214405.000000</c:v>
                </c:pt>
                <c:pt idx="82">
                  <c:v>28198430.000000</c:v>
                </c:pt>
                <c:pt idx="83">
                  <c:v>28535192.000000</c:v>
                </c:pt>
                <c:pt idx="84">
                  <c:v>30554913.000000</c:v>
                </c:pt>
                <c:pt idx="85">
                  <c:v>30517714.000000</c:v>
                </c:pt>
                <c:pt idx="86">
                  <c:v>29754534.000000</c:v>
                </c:pt>
                <c:pt idx="87">
                  <c:v>29922775.000000</c:v>
                </c:pt>
                <c:pt idx="88">
                  <c:v>32678334.000000</c:v>
                </c:pt>
                <c:pt idx="89">
                  <c:v>34016988.000000</c:v>
                </c:pt>
                <c:pt idx="90">
                  <c:v>31621022.000000</c:v>
                </c:pt>
                <c:pt idx="91">
                  <c:v>27651134.000000</c:v>
                </c:pt>
                <c:pt idx="92">
                  <c:v>16524027.000000</c:v>
                </c:pt>
                <c:pt idx="93">
                  <c:v>8883436.000000</c:v>
                </c:pt>
                <c:pt idx="94">
                  <c:v>7768712.000000</c:v>
                </c:pt>
                <c:pt idx="95">
                  <c:v>8245002.000000</c:v>
                </c:pt>
                <c:pt idx="96">
                  <c:v>8725297.000000</c:v>
                </c:pt>
                <c:pt idx="97">
                  <c:v>9319731.000000</c:v>
                </c:pt>
                <c:pt idx="98">
                  <c:v>9399360.000000</c:v>
                </c:pt>
                <c:pt idx="99">
                  <c:v>9865241.000000</c:v>
                </c:pt>
                <c:pt idx="100">
                  <c:v>10062691.000000</c:v>
                </c:pt>
                <c:pt idx="101">
                  <c:v>9804175.000000</c:v>
                </c:pt>
                <c:pt idx="102">
                  <c:v>9693331.000000</c:v>
                </c:pt>
                <c:pt idx="103">
                  <c:v>9477852.000000</c:v>
                </c:pt>
                <c:pt idx="104">
                  <c:v>9501503.000000</c:v>
                </c:pt>
                <c:pt idx="105">
                  <c:v>9862963.000000</c:v>
                </c:pt>
                <c:pt idx="106">
                  <c:v>10970244.000000</c:v>
                </c:pt>
                <c:pt idx="107">
                  <c:v>11447471.000000</c:v>
                </c:pt>
                <c:pt idx="108">
                  <c:v>11447471.000000</c:v>
                </c:pt>
                <c:pt idx="109">
                  <c:v>11447471.000000</c:v>
                </c:pt>
                <c:pt idx="110">
                  <c:v>11447471.000000</c:v>
                </c:pt>
                <c:pt idx="111">
                  <c:v>11447471.000000</c:v>
                </c:pt>
              </c:numCache>
            </c:numRef>
          </c:val>
          <c:smooth val="0"/>
        </c:ser>
        <c:ser>
          <c:idx val="3"/>
          <c:order val="3"/>
          <c:tx>
            <c:strRef>
              <c:f>'net worth - Table 1-1'!$I$1</c:f>
              <c:strCache>
                <c:ptCount val="1"/>
                <c:pt idx="0">
                  <c:v>cripto</c:v>
                </c:pt>
              </c:strCache>
            </c:strRef>
          </c:tx>
          <c:spPr>
            <a:solidFill>
              <a:srgbClr val="FFFFFF"/>
            </a:solidFill>
            <a:ln w="38100" cap="flat">
              <a:solidFill>
                <a:srgbClr val="F4BB1C">
                  <a:alpha val="68849"/>
                </a:srgbClr>
              </a:solidFill>
              <a:prstDash val="solid"/>
              <a:miter lim="400000"/>
            </a:ln>
            <a:effectLst/>
          </c:spPr>
          <c:marker>
            <c:symbol val="none"/>
            <c:size val="4"/>
            <c:spPr>
              <a:solidFill>
                <a:srgbClr val="FFFFFF"/>
              </a:solidFill>
              <a:ln w="50800" cap="flat">
                <a:solidFill>
                  <a:srgbClr val="EF951A"/>
                </a:solidFill>
                <a:prstDash val="solid"/>
                <a:miter lim="400000"/>
              </a:ln>
              <a:effectLst/>
            </c:spPr>
          </c:marker>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1-1'!$I$2:$I$113</c:f>
              <c:numCache>
                <c:ptCount val="107"/>
                <c:pt idx="5">
                  <c:v>1272218.016381</c:v>
                </c:pt>
                <c:pt idx="6">
                  <c:v>3085682.427160</c:v>
                </c:pt>
                <c:pt idx="7">
                  <c:v>3257439.546983</c:v>
                </c:pt>
                <c:pt idx="8">
                  <c:v>2845882.118525</c:v>
                </c:pt>
                <c:pt idx="9">
                  <c:v>1531932.586529</c:v>
                </c:pt>
                <c:pt idx="10">
                  <c:v>2079903.766844</c:v>
                </c:pt>
                <c:pt idx="11">
                  <c:v>2328343.296500</c:v>
                </c:pt>
                <c:pt idx="12">
                  <c:v>1861409.139053</c:v>
                </c:pt>
                <c:pt idx="13">
                  <c:v>2137166.363382</c:v>
                </c:pt>
                <c:pt idx="14">
                  <c:v>1552135.009554</c:v>
                </c:pt>
                <c:pt idx="15">
                  <c:v>1309430.128021</c:v>
                </c:pt>
                <c:pt idx="16">
                  <c:v>1247016.868837</c:v>
                </c:pt>
                <c:pt idx="17">
                  <c:v>730535.000000</c:v>
                </c:pt>
                <c:pt idx="18">
                  <c:v>799676.480250</c:v>
                </c:pt>
                <c:pt idx="19">
                  <c:v>612249.381426</c:v>
                </c:pt>
                <c:pt idx="20">
                  <c:v>734791.194822</c:v>
                </c:pt>
                <c:pt idx="21">
                  <c:v>775047.015228</c:v>
                </c:pt>
                <c:pt idx="22">
                  <c:v>974972.052839</c:v>
                </c:pt>
                <c:pt idx="23">
                  <c:v>1628405.463286</c:v>
                </c:pt>
                <c:pt idx="24">
                  <c:v>1841750.609045</c:v>
                </c:pt>
                <c:pt idx="25">
                  <c:v>1556940.308716</c:v>
                </c:pt>
                <c:pt idx="26">
                  <c:v>1398277.840278</c:v>
                </c:pt>
                <c:pt idx="27">
                  <c:v>1349656.190386</c:v>
                </c:pt>
                <c:pt idx="28">
                  <c:v>1440647.385831</c:v>
                </c:pt>
                <c:pt idx="29">
                  <c:v>1312157.728327</c:v>
                </c:pt>
                <c:pt idx="30">
                  <c:v>1135089.405939</c:v>
                </c:pt>
                <c:pt idx="31">
                  <c:v>1566102.832928</c:v>
                </c:pt>
                <c:pt idx="32">
                  <c:v>1760275.735882</c:v>
                </c:pt>
                <c:pt idx="33">
                  <c:v>1203911.958255</c:v>
                </c:pt>
                <c:pt idx="34">
                  <c:v>1712738.800732</c:v>
                </c:pt>
                <c:pt idx="35">
                  <c:v>1812397.572734</c:v>
                </c:pt>
                <c:pt idx="36">
                  <c:v>1817898.813805</c:v>
                </c:pt>
                <c:pt idx="37">
                  <c:v>2334350.117538</c:v>
                </c:pt>
                <c:pt idx="38">
                  <c:v>2807232.170791</c:v>
                </c:pt>
                <c:pt idx="39">
                  <c:v>2409646.420111</c:v>
                </c:pt>
                <c:pt idx="40">
                  <c:v>2757821.488860</c:v>
                </c:pt>
                <c:pt idx="41">
                  <c:v>4029227.007488</c:v>
                </c:pt>
                <c:pt idx="42">
                  <c:v>5210367.989024</c:v>
                </c:pt>
                <c:pt idx="43">
                  <c:v>5366295.342190</c:v>
                </c:pt>
                <c:pt idx="44">
                  <c:v>5389762.722618</c:v>
                </c:pt>
                <c:pt idx="45">
                  <c:v>6549555.348331</c:v>
                </c:pt>
                <c:pt idx="46">
                  <c:v>7930245.304117</c:v>
                </c:pt>
                <c:pt idx="47">
                  <c:v>5478561.881851</c:v>
                </c:pt>
                <c:pt idx="48">
                  <c:v>4823022.646831</c:v>
                </c:pt>
                <c:pt idx="49">
                  <c:v>5742654.000000</c:v>
                </c:pt>
                <c:pt idx="50">
                  <c:v>7594332.000000</c:v>
                </c:pt>
                <c:pt idx="51">
                  <c:v>7890259.000000</c:v>
                </c:pt>
                <c:pt idx="52">
                  <c:v>10132393.000000</c:v>
                </c:pt>
                <c:pt idx="53">
                  <c:v>10582141.000000</c:v>
                </c:pt>
                <c:pt idx="54">
                  <c:v>8730136.000000</c:v>
                </c:pt>
                <c:pt idx="55">
                  <c:v>6238387.000000</c:v>
                </c:pt>
                <c:pt idx="56">
                  <c:v>6847253.000000</c:v>
                </c:pt>
                <c:pt idx="57">
                  <c:v>7437840.000000</c:v>
                </c:pt>
                <c:pt idx="58">
                  <c:v>6723473.000000</c:v>
                </c:pt>
                <c:pt idx="59">
                  <c:v>4904826.000000</c:v>
                </c:pt>
                <c:pt idx="60">
                  <c:v>3258118.000000</c:v>
                </c:pt>
                <c:pt idx="61">
                  <c:v>4418151.000000</c:v>
                </c:pt>
                <c:pt idx="62">
                  <c:v>3909076.000000</c:v>
                </c:pt>
                <c:pt idx="63">
                  <c:v>3770406.000000</c:v>
                </c:pt>
                <c:pt idx="64">
                  <c:v>4210664.000000</c:v>
                </c:pt>
                <c:pt idx="65">
                  <c:v>3259478.000000</c:v>
                </c:pt>
                <c:pt idx="66">
                  <c:v>2901477.000000</c:v>
                </c:pt>
                <c:pt idx="67">
                  <c:v>3697443.000000</c:v>
                </c:pt>
                <c:pt idx="68">
                  <c:v>3906693.000000</c:v>
                </c:pt>
                <c:pt idx="69">
                  <c:v>4459288.000000</c:v>
                </c:pt>
                <c:pt idx="70">
                  <c:v>4585803.000000</c:v>
                </c:pt>
                <c:pt idx="71">
                  <c:v>4373034.000000</c:v>
                </c:pt>
                <c:pt idx="72">
                  <c:v>4651210.000000</c:v>
                </c:pt>
                <c:pt idx="73">
                  <c:v>4620601.000000</c:v>
                </c:pt>
                <c:pt idx="74">
                  <c:v>4239791.000000</c:v>
                </c:pt>
                <c:pt idx="75">
                  <c:v>4680294.000000</c:v>
                </c:pt>
                <c:pt idx="76">
                  <c:v>5281470.000000</c:v>
                </c:pt>
                <c:pt idx="77">
                  <c:v>5701123.000000</c:v>
                </c:pt>
                <c:pt idx="78">
                  <c:v>5935614.000000</c:v>
                </c:pt>
                <c:pt idx="79">
                  <c:v>6138257.000000</c:v>
                </c:pt>
                <c:pt idx="80">
                  <c:v>9422555.000000</c:v>
                </c:pt>
                <c:pt idx="81">
                  <c:v>10238676.000000</c:v>
                </c:pt>
                <c:pt idx="82">
                  <c:v>8998809.000000</c:v>
                </c:pt>
                <c:pt idx="83">
                  <c:v>9854948.000000</c:v>
                </c:pt>
                <c:pt idx="84">
                  <c:v>9174454.000000</c:v>
                </c:pt>
                <c:pt idx="85">
                  <c:v>8981575.000000</c:v>
                </c:pt>
                <c:pt idx="86">
                  <c:v>7080412.000000</c:v>
                </c:pt>
                <c:pt idx="87">
                  <c:v>7581058.000000</c:v>
                </c:pt>
                <c:pt idx="88">
                  <c:v>8247740.000000</c:v>
                </c:pt>
                <c:pt idx="89">
                  <c:v>11175459.000000</c:v>
                </c:pt>
                <c:pt idx="90">
                  <c:v>10855466.000000</c:v>
                </c:pt>
                <c:pt idx="91">
                  <c:v>10158709.000000</c:v>
                </c:pt>
                <c:pt idx="92">
                  <c:v>5287672.000000</c:v>
                </c:pt>
                <c:pt idx="93">
                  <c:v>1721793.000000</c:v>
                </c:pt>
                <c:pt idx="94">
                  <c:v>1974510.000000</c:v>
                </c:pt>
                <c:pt idx="95">
                  <c:v>2164795.000000</c:v>
                </c:pt>
                <c:pt idx="96">
                  <c:v>2528175.000000</c:v>
                </c:pt>
                <c:pt idx="97">
                  <c:v>2730431.000000</c:v>
                </c:pt>
                <c:pt idx="98">
                  <c:v>2617689.000000</c:v>
                </c:pt>
                <c:pt idx="99">
                  <c:v>2700878.000000</c:v>
                </c:pt>
                <c:pt idx="100">
                  <c:v>2520334.000000</c:v>
                </c:pt>
                <c:pt idx="101">
                  <c:v>1971851.000000</c:v>
                </c:pt>
                <c:pt idx="102">
                  <c:v>1922666.000000</c:v>
                </c:pt>
                <c:pt idx="103">
                  <c:v>1654148.000000</c:v>
                </c:pt>
                <c:pt idx="104">
                  <c:v>1408789.000000</c:v>
                </c:pt>
                <c:pt idx="105">
                  <c:v>1524311.000000</c:v>
                </c:pt>
                <c:pt idx="106">
                  <c:v>1693457.000000</c:v>
                </c:pt>
                <c:pt idx="107">
                  <c:v>1693457.000000</c:v>
                </c:pt>
                <c:pt idx="108">
                  <c:v>1693457.000000</c:v>
                </c:pt>
                <c:pt idx="109">
                  <c:v>1693457.000000</c:v>
                </c:pt>
                <c:pt idx="110">
                  <c:v>1693457.000000</c:v>
                </c:pt>
                <c:pt idx="111">
                  <c:v>1693457.000000</c:v>
                </c:pt>
              </c:numCache>
            </c:numRef>
          </c:val>
          <c:smooth val="0"/>
        </c:ser>
        <c:ser>
          <c:idx val="4"/>
          <c:order val="4"/>
          <c:tx>
            <c:strRef>
              <c:f>'net worth - Table 1-1'!$J$1</c:f>
              <c:strCache>
                <c:ptCount val="1"/>
                <c:pt idx="0">
                  <c:v>retiro</c:v>
                </c:pt>
              </c:strCache>
            </c:strRef>
          </c:tx>
          <c:spPr>
            <a:solidFill>
              <a:srgbClr val="FFFFFF"/>
            </a:solidFill>
            <a:ln w="38100" cap="flat">
              <a:solidFill>
                <a:srgbClr val="78CC47"/>
              </a:solidFill>
              <a:prstDash val="solid"/>
              <a:miter lim="400000"/>
            </a:ln>
            <a:effectLst/>
          </c:spPr>
          <c:marker>
            <c:symbol val="none"/>
            <c:size val="4"/>
            <c:spPr>
              <a:solidFill>
                <a:srgbClr val="FFFFFF"/>
              </a:solidFill>
              <a:ln w="50800" cap="flat">
                <a:solidFill>
                  <a:srgbClr val="FB4912"/>
                </a:solidFill>
                <a:prstDash val="solid"/>
                <a:miter lim="400000"/>
              </a:ln>
              <a:effectLst/>
            </c:spPr>
          </c:marker>
          <c:dLbls>
            <c:numFmt formatCode="# ???/???"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1-1'!$J$2:$J$113</c:f>
              <c:numCache>
                <c:ptCount val="112"/>
                <c:pt idx="0">
                  <c:v>125077.618636</c:v>
                </c:pt>
                <c:pt idx="1">
                  <c:v>258133.666667</c:v>
                </c:pt>
                <c:pt idx="2">
                  <c:v>400706.298751</c:v>
                </c:pt>
                <c:pt idx="3">
                  <c:v>542699.387128</c:v>
                </c:pt>
                <c:pt idx="4">
                  <c:v>707382.000000</c:v>
                </c:pt>
                <c:pt idx="5">
                  <c:v>856326.000000</c:v>
                </c:pt>
                <c:pt idx="6">
                  <c:v>995738.000000</c:v>
                </c:pt>
                <c:pt idx="7">
                  <c:v>1183085.000000</c:v>
                </c:pt>
                <c:pt idx="8">
                  <c:v>1285565.000000</c:v>
                </c:pt>
                <c:pt idx="9">
                  <c:v>1466655.000000</c:v>
                </c:pt>
                <c:pt idx="10">
                  <c:v>2038274.000000</c:v>
                </c:pt>
                <c:pt idx="11">
                  <c:v>2216616.000000</c:v>
                </c:pt>
                <c:pt idx="12">
                  <c:v>2745221.000000</c:v>
                </c:pt>
                <c:pt idx="13">
                  <c:v>3242414.000000</c:v>
                </c:pt>
                <c:pt idx="14">
                  <c:v>3801924.000000</c:v>
                </c:pt>
                <c:pt idx="15">
                  <c:v>4211425.000000</c:v>
                </c:pt>
                <c:pt idx="16">
                  <c:v>4455543.000000</c:v>
                </c:pt>
                <c:pt idx="17">
                  <c:v>4690498.000000</c:v>
                </c:pt>
                <c:pt idx="18">
                  <c:v>4885955.000000</c:v>
                </c:pt>
                <c:pt idx="19">
                  <c:v>5316618.000000</c:v>
                </c:pt>
                <c:pt idx="20">
                  <c:v>5652546.000000</c:v>
                </c:pt>
                <c:pt idx="21">
                  <c:v>6102728.000000</c:v>
                </c:pt>
                <c:pt idx="22">
                  <c:v>6508035.000000</c:v>
                </c:pt>
                <c:pt idx="23">
                  <c:v>6705233.000000</c:v>
                </c:pt>
                <c:pt idx="24">
                  <c:v>7465026.000000</c:v>
                </c:pt>
                <c:pt idx="25">
                  <c:v>8727943.000000</c:v>
                </c:pt>
                <c:pt idx="26">
                  <c:v>9706764.000000</c:v>
                </c:pt>
                <c:pt idx="27">
                  <c:v>10268544.000000</c:v>
                </c:pt>
                <c:pt idx="28">
                  <c:v>10713626.000000</c:v>
                </c:pt>
                <c:pt idx="29">
                  <c:v>12167081.000000</c:v>
                </c:pt>
                <c:pt idx="30">
                  <c:v>15116086.000000</c:v>
                </c:pt>
                <c:pt idx="31">
                  <c:v>16314295.000000</c:v>
                </c:pt>
                <c:pt idx="32">
                  <c:v>15812613.000000</c:v>
                </c:pt>
                <c:pt idx="33">
                  <c:v>14620358.000000</c:v>
                </c:pt>
                <c:pt idx="34">
                  <c:v>16681350.000000</c:v>
                </c:pt>
                <c:pt idx="35">
                  <c:v>17232140.000000</c:v>
                </c:pt>
                <c:pt idx="36">
                  <c:v>18103738.000000</c:v>
                </c:pt>
                <c:pt idx="37">
                  <c:v>17842781.000000</c:v>
                </c:pt>
                <c:pt idx="38">
                  <c:v>19644283.000000</c:v>
                </c:pt>
                <c:pt idx="39">
                  <c:v>19753056.000000</c:v>
                </c:pt>
                <c:pt idx="40">
                  <c:v>20205177.000000</c:v>
                </c:pt>
                <c:pt idx="41">
                  <c:v>24741401.000000</c:v>
                </c:pt>
                <c:pt idx="42">
                  <c:v>24996909.000000</c:v>
                </c:pt>
                <c:pt idx="43">
                  <c:v>26605964.000000</c:v>
                </c:pt>
                <c:pt idx="44">
                  <c:v>26276514.000000</c:v>
                </c:pt>
                <c:pt idx="45">
                  <c:v>26468919.000000</c:v>
                </c:pt>
                <c:pt idx="46">
                  <c:v>26831586.000000</c:v>
                </c:pt>
                <c:pt idx="47">
                  <c:v>26074930.000000</c:v>
                </c:pt>
                <c:pt idx="48">
                  <c:v>27273553.000000</c:v>
                </c:pt>
                <c:pt idx="49">
                  <c:v>27678934.000000</c:v>
                </c:pt>
                <c:pt idx="50">
                  <c:v>28802430.000000</c:v>
                </c:pt>
                <c:pt idx="51">
                  <c:v>28562813.000000</c:v>
                </c:pt>
                <c:pt idx="52">
                  <c:v>30396264.000000</c:v>
                </c:pt>
                <c:pt idx="53">
                  <c:v>31801432.000000</c:v>
                </c:pt>
                <c:pt idx="54">
                  <c:v>32643647.000000</c:v>
                </c:pt>
                <c:pt idx="55">
                  <c:v>28648275.000000</c:v>
                </c:pt>
                <c:pt idx="56">
                  <c:v>29824732.000000</c:v>
                </c:pt>
                <c:pt idx="57">
                  <c:v>29858917.000000</c:v>
                </c:pt>
                <c:pt idx="58">
                  <c:v>28948486.000000</c:v>
                </c:pt>
                <c:pt idx="59">
                  <c:v>28375092.000000</c:v>
                </c:pt>
                <c:pt idx="60">
                  <c:v>29375872.000000</c:v>
                </c:pt>
                <c:pt idx="61">
                  <c:v>30855592.000000</c:v>
                </c:pt>
                <c:pt idx="62">
                  <c:v>29595744.000000</c:v>
                </c:pt>
                <c:pt idx="63">
                  <c:v>28650578.000000</c:v>
                </c:pt>
                <c:pt idx="64">
                  <c:v>29645788.000000</c:v>
                </c:pt>
                <c:pt idx="65">
                  <c:v>30555644.000000</c:v>
                </c:pt>
                <c:pt idx="66">
                  <c:v>28908368.000000</c:v>
                </c:pt>
                <c:pt idx="67">
                  <c:v>30207739.000000</c:v>
                </c:pt>
                <c:pt idx="68">
                  <c:v>31410262.000000</c:v>
                </c:pt>
                <c:pt idx="69">
                  <c:v>31571249.000000</c:v>
                </c:pt>
                <c:pt idx="70">
                  <c:v>32727251.000000</c:v>
                </c:pt>
                <c:pt idx="71">
                  <c:v>34805276.000000</c:v>
                </c:pt>
                <c:pt idx="72">
                  <c:v>36655505.000000</c:v>
                </c:pt>
                <c:pt idx="73">
                  <c:v>40562909.000000</c:v>
                </c:pt>
                <c:pt idx="74">
                  <c:v>40849651.000000</c:v>
                </c:pt>
                <c:pt idx="75">
                  <c:v>41247935.000000</c:v>
                </c:pt>
                <c:pt idx="76">
                  <c:v>40733932.000000</c:v>
                </c:pt>
                <c:pt idx="77">
                  <c:v>43199319.000000</c:v>
                </c:pt>
                <c:pt idx="78">
                  <c:v>46828798.000000</c:v>
                </c:pt>
                <c:pt idx="79">
                  <c:v>49785374.000000</c:v>
                </c:pt>
                <c:pt idx="80">
                  <c:v>54896976.000000</c:v>
                </c:pt>
                <c:pt idx="81">
                  <c:v>57378009.000000</c:v>
                </c:pt>
                <c:pt idx="82">
                  <c:v>55045088.000000</c:v>
                </c:pt>
                <c:pt idx="83">
                  <c:v>55862689.000000</c:v>
                </c:pt>
                <c:pt idx="84">
                  <c:v>59785150.000000</c:v>
                </c:pt>
                <c:pt idx="85">
                  <c:v>60385104.000000</c:v>
                </c:pt>
                <c:pt idx="86">
                  <c:v>59554364.000000</c:v>
                </c:pt>
                <c:pt idx="87">
                  <c:v>60554743.000000</c:v>
                </c:pt>
                <c:pt idx="88">
                  <c:v>64710559.000000</c:v>
                </c:pt>
                <c:pt idx="89">
                  <c:v>67499202.000000</c:v>
                </c:pt>
                <c:pt idx="90">
                  <c:v>68882160.000000</c:v>
                </c:pt>
                <c:pt idx="91">
                  <c:v>69636042.000000</c:v>
                </c:pt>
                <c:pt idx="92">
                  <c:v>66846151.000000</c:v>
                </c:pt>
                <c:pt idx="93">
                  <c:v>63959762.000000</c:v>
                </c:pt>
                <c:pt idx="94">
                  <c:v>64771502.000000</c:v>
                </c:pt>
                <c:pt idx="95">
                  <c:v>68728850.000000</c:v>
                </c:pt>
                <c:pt idx="96">
                  <c:v>72317665.000000</c:v>
                </c:pt>
                <c:pt idx="97">
                  <c:v>77222409.000000</c:v>
                </c:pt>
                <c:pt idx="98">
                  <c:v>78832882.000000</c:v>
                </c:pt>
                <c:pt idx="99">
                  <c:v>82492923.000000</c:v>
                </c:pt>
                <c:pt idx="100">
                  <c:v>84572045.000000</c:v>
                </c:pt>
                <c:pt idx="101">
                  <c:v>83871204.000000</c:v>
                </c:pt>
                <c:pt idx="102">
                  <c:v>83724577.000000</c:v>
                </c:pt>
                <c:pt idx="103">
                  <c:v>83397458.000000</c:v>
                </c:pt>
                <c:pt idx="104">
                  <c:v>84349513.000000</c:v>
                </c:pt>
                <c:pt idx="105">
                  <c:v>84301432.000000</c:v>
                </c:pt>
                <c:pt idx="106">
                  <c:v>92679933.000000</c:v>
                </c:pt>
                <c:pt idx="107">
                  <c:v>93254171.000000</c:v>
                </c:pt>
                <c:pt idx="108">
                  <c:v>93254171.000000</c:v>
                </c:pt>
                <c:pt idx="109">
                  <c:v>93254171.000000</c:v>
                </c:pt>
                <c:pt idx="110">
                  <c:v>93254171.000000</c:v>
                </c:pt>
                <c:pt idx="111">
                  <c:v>93254171.000000</c:v>
                </c:pt>
              </c:numCache>
            </c:numRef>
          </c:val>
          <c:smooth val="0"/>
        </c:ser>
        <c:ser>
          <c:idx val="5"/>
          <c:order val="5"/>
          <c:tx>
            <c:strRef>
              <c:f>'net worth - Table 1-1'!$K$1</c:f>
              <c:strCache>
                <c:ptCount val="1"/>
                <c:pt idx="0">
                  <c:v>cash and eqs</c:v>
                </c:pt>
              </c:strCache>
            </c:strRef>
          </c:tx>
          <c:spPr>
            <a:solidFill>
              <a:srgbClr val="FFFFFF"/>
            </a:solidFill>
            <a:ln w="38100" cap="flat">
              <a:solidFill>
                <a:srgbClr val="C3E5F9"/>
              </a:solidFill>
              <a:prstDash val="solid"/>
              <a:miter lim="400000"/>
            </a:ln>
            <a:effectLst/>
          </c:spPr>
          <c:marker>
            <c:symbol val="none"/>
            <c:size val="4"/>
            <c:spPr>
              <a:solidFill>
                <a:srgbClr val="FFFFFF"/>
              </a:solidFill>
              <a:ln w="50800" cap="flat">
                <a:solidFill>
                  <a:srgbClr val="885CB2">
                    <a:alpha val="48753"/>
                  </a:srgbClr>
                </a:solidFill>
                <a:prstDash val="solid"/>
                <a:miter lim="400000"/>
              </a:ln>
              <a:effectLst/>
            </c:spPr>
          </c:marke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1-1'!$K$2:$K$113</c:f>
              <c:numCache>
                <c:ptCount val="112"/>
                <c:pt idx="0">
                  <c:v>3126507.000000</c:v>
                </c:pt>
                <c:pt idx="1">
                  <c:v>3179695.000000</c:v>
                </c:pt>
                <c:pt idx="2">
                  <c:v>3232907.000000</c:v>
                </c:pt>
                <c:pt idx="3">
                  <c:v>3586213.000000</c:v>
                </c:pt>
                <c:pt idx="4">
                  <c:v>4239479.000000</c:v>
                </c:pt>
                <c:pt idx="5">
                  <c:v>4792941.000000</c:v>
                </c:pt>
                <c:pt idx="6">
                  <c:v>4853596.000000</c:v>
                </c:pt>
                <c:pt idx="7">
                  <c:v>5000000.000000</c:v>
                </c:pt>
                <c:pt idx="8">
                  <c:v>5200000.000000</c:v>
                </c:pt>
                <c:pt idx="9">
                  <c:v>5603934.000000</c:v>
                </c:pt>
                <c:pt idx="10">
                  <c:v>5857976.000000</c:v>
                </c:pt>
                <c:pt idx="11">
                  <c:v>5912133.000000</c:v>
                </c:pt>
                <c:pt idx="12">
                  <c:v>6719379.000000</c:v>
                </c:pt>
                <c:pt idx="13">
                  <c:v>7073784.000000</c:v>
                </c:pt>
                <c:pt idx="14">
                  <c:v>7428359.000000</c:v>
                </c:pt>
                <c:pt idx="15">
                  <c:v>7783074.000000</c:v>
                </c:pt>
                <c:pt idx="16">
                  <c:v>8487938.000000</c:v>
                </c:pt>
                <c:pt idx="17">
                  <c:v>9355066.000000</c:v>
                </c:pt>
                <c:pt idx="18">
                  <c:v>10010198.000000</c:v>
                </c:pt>
                <c:pt idx="19">
                  <c:v>10110198.000000</c:v>
                </c:pt>
                <c:pt idx="20">
                  <c:v>10220404.000000</c:v>
                </c:pt>
                <c:pt idx="21">
                  <c:v>10625536.000000</c:v>
                </c:pt>
                <c:pt idx="22">
                  <c:v>11125536.000000</c:v>
                </c:pt>
                <c:pt idx="23">
                  <c:v>11300704.000000</c:v>
                </c:pt>
                <c:pt idx="24">
                  <c:v>11742878.000000</c:v>
                </c:pt>
                <c:pt idx="25">
                  <c:v>12022412.000000</c:v>
                </c:pt>
                <c:pt idx="26">
                  <c:v>12582238.000000</c:v>
                </c:pt>
                <c:pt idx="27">
                  <c:v>12582238.000000</c:v>
                </c:pt>
                <c:pt idx="28">
                  <c:v>12582238.000000</c:v>
                </c:pt>
                <c:pt idx="29">
                  <c:v>12864311.000000</c:v>
                </c:pt>
                <c:pt idx="30">
                  <c:v>13147311.000000</c:v>
                </c:pt>
                <c:pt idx="31">
                  <c:v>13447311.000000</c:v>
                </c:pt>
                <c:pt idx="32">
                  <c:v>13747311.000000</c:v>
                </c:pt>
                <c:pt idx="33">
                  <c:v>13747311.000000</c:v>
                </c:pt>
                <c:pt idx="34">
                  <c:v>13747311.000000</c:v>
                </c:pt>
                <c:pt idx="35">
                  <c:v>13897311.000000</c:v>
                </c:pt>
                <c:pt idx="36">
                  <c:v>14285818.000000</c:v>
                </c:pt>
                <c:pt idx="37">
                  <c:v>14285818.000000</c:v>
                </c:pt>
                <c:pt idx="38">
                  <c:v>14285818.000000</c:v>
                </c:pt>
                <c:pt idx="39">
                  <c:v>14285818.000000</c:v>
                </c:pt>
                <c:pt idx="40">
                  <c:v>14285818.000000</c:v>
                </c:pt>
                <c:pt idx="41">
                  <c:v>14285818.000000</c:v>
                </c:pt>
                <c:pt idx="42">
                  <c:v>14285818.000000</c:v>
                </c:pt>
                <c:pt idx="43">
                  <c:v>14685818.000000</c:v>
                </c:pt>
                <c:pt idx="44">
                  <c:v>15685818.000000</c:v>
                </c:pt>
                <c:pt idx="45">
                  <c:v>17185818.000000</c:v>
                </c:pt>
                <c:pt idx="46">
                  <c:v>18000000.000000</c:v>
                </c:pt>
                <c:pt idx="47">
                  <c:v>19000000.000000</c:v>
                </c:pt>
                <c:pt idx="48">
                  <c:v>20000000.000000</c:v>
                </c:pt>
                <c:pt idx="49">
                  <c:v>20600000.000000</c:v>
                </c:pt>
                <c:pt idx="50">
                  <c:v>20600000.000000</c:v>
                </c:pt>
                <c:pt idx="51">
                  <c:v>20600000.000000</c:v>
                </c:pt>
                <c:pt idx="52">
                  <c:v>20600000.000000</c:v>
                </c:pt>
                <c:pt idx="53">
                  <c:v>19800000.000000</c:v>
                </c:pt>
                <c:pt idx="54">
                  <c:v>19000000.000000</c:v>
                </c:pt>
                <c:pt idx="55">
                  <c:v>18200000.000000</c:v>
                </c:pt>
                <c:pt idx="56">
                  <c:v>13200000.000000</c:v>
                </c:pt>
                <c:pt idx="57">
                  <c:v>9200000.000000</c:v>
                </c:pt>
                <c:pt idx="58">
                  <c:v>9200000.000000</c:v>
                </c:pt>
                <c:pt idx="59">
                  <c:v>7200000.000000</c:v>
                </c:pt>
                <c:pt idx="60">
                  <c:v>8925852.000000</c:v>
                </c:pt>
                <c:pt idx="61">
                  <c:v>8025852.000000</c:v>
                </c:pt>
                <c:pt idx="62">
                  <c:v>7125852.000000</c:v>
                </c:pt>
                <c:pt idx="63">
                  <c:v>6225852.000000</c:v>
                </c:pt>
                <c:pt idx="64">
                  <c:v>6225852.000000</c:v>
                </c:pt>
                <c:pt idx="65">
                  <c:v>6225852.000000</c:v>
                </c:pt>
                <c:pt idx="66">
                  <c:v>7000000.000000</c:v>
                </c:pt>
                <c:pt idx="67">
                  <c:v>7600000.000000</c:v>
                </c:pt>
                <c:pt idx="68">
                  <c:v>8100000.000000</c:v>
                </c:pt>
                <c:pt idx="69">
                  <c:v>8700000.000000</c:v>
                </c:pt>
                <c:pt idx="70">
                  <c:v>8700000.000000</c:v>
                </c:pt>
                <c:pt idx="71">
                  <c:v>9227950.000000</c:v>
                </c:pt>
                <c:pt idx="72">
                  <c:v>10040065.000000</c:v>
                </c:pt>
                <c:pt idx="73">
                  <c:v>10100000.000000</c:v>
                </c:pt>
                <c:pt idx="74">
                  <c:v>10100000.000000</c:v>
                </c:pt>
                <c:pt idx="75">
                  <c:v>10100000.000000</c:v>
                </c:pt>
                <c:pt idx="76">
                  <c:v>10100000.000000</c:v>
                </c:pt>
                <c:pt idx="77">
                  <c:v>10100000.000000</c:v>
                </c:pt>
                <c:pt idx="78">
                  <c:v>10100000.000000</c:v>
                </c:pt>
                <c:pt idx="79">
                  <c:v>40114000.000000</c:v>
                </c:pt>
                <c:pt idx="80">
                  <c:v>52261361.000000</c:v>
                </c:pt>
                <c:pt idx="81">
                  <c:v>57900000.000000</c:v>
                </c:pt>
                <c:pt idx="82">
                  <c:v>0.000000</c:v>
                </c:pt>
                <c:pt idx="83">
                  <c:v>0.000000</c:v>
                </c:pt>
                <c:pt idx="84">
                  <c:v>2590180.000000</c:v>
                </c:pt>
                <c:pt idx="85">
                  <c:v>6590180.000000</c:v>
                </c:pt>
                <c:pt idx="86">
                  <c:v>10590180.000000</c:v>
                </c:pt>
                <c:pt idx="87">
                  <c:v>16582969.000000</c:v>
                </c:pt>
                <c:pt idx="88">
                  <c:v>19688735.000000</c:v>
                </c:pt>
                <c:pt idx="89">
                  <c:v>4332241.000000</c:v>
                </c:pt>
                <c:pt idx="90">
                  <c:v>14275453.000000</c:v>
                </c:pt>
                <c:pt idx="91">
                  <c:v>35074047.000000</c:v>
                </c:pt>
                <c:pt idx="92">
                  <c:v>3071246.000000</c:v>
                </c:pt>
                <c:pt idx="93">
                  <c:v>4776572.400000</c:v>
                </c:pt>
                <c:pt idx="94">
                  <c:v>5912818.000000</c:v>
                </c:pt>
                <c:pt idx="95">
                  <c:v>5553109.000000</c:v>
                </c:pt>
                <c:pt idx="96">
                  <c:v>3330381.750000</c:v>
                </c:pt>
                <c:pt idx="97">
                  <c:v>362597.000000</c:v>
                </c:pt>
                <c:pt idx="98">
                  <c:v>1144754.000000</c:v>
                </c:pt>
                <c:pt idx="99">
                  <c:v>2199193.000000</c:v>
                </c:pt>
                <c:pt idx="100">
                  <c:v>-1316399.000000</c:v>
                </c:pt>
                <c:pt idx="101">
                  <c:v>-141123.000000</c:v>
                </c:pt>
                <c:pt idx="102">
                  <c:v>-1645628.000000</c:v>
                </c:pt>
                <c:pt idx="103">
                  <c:v>18610.000000</c:v>
                </c:pt>
                <c:pt idx="104">
                  <c:v>245877.000000</c:v>
                </c:pt>
                <c:pt idx="105">
                  <c:v>1880927.000000</c:v>
                </c:pt>
                <c:pt idx="106">
                  <c:v>20268684.000000</c:v>
                </c:pt>
                <c:pt idx="107">
                  <c:v>17512018.000000</c:v>
                </c:pt>
                <c:pt idx="108">
                  <c:v>14512018.000000</c:v>
                </c:pt>
                <c:pt idx="109">
                  <c:v>11512018.000000</c:v>
                </c:pt>
                <c:pt idx="110">
                  <c:v>8512018.000000</c:v>
                </c:pt>
                <c:pt idx="111">
                  <c:v>5512018.000000</c:v>
                </c:pt>
              </c:numCache>
            </c:numRef>
          </c:val>
          <c:smooth val="0"/>
        </c:ser>
        <c:ser>
          <c:idx val="6"/>
          <c:order val="6"/>
          <c:tx>
            <c:strRef>
              <c:f>'net worth - Table 1-1'!$L$1</c:f>
              <c:strCache>
                <c:ptCount val="1"/>
                <c:pt idx="0">
                  <c:v>liabilities</c:v>
                </c:pt>
              </c:strCache>
            </c:strRef>
          </c:tx>
          <c:spPr>
            <a:solidFill>
              <a:srgbClr val="525857">
                <a:alpha val="24989"/>
              </a:srgbClr>
            </a:solidFill>
            <a:ln w="25400" cap="flat">
              <a:solidFill>
                <a:srgbClr val="EC4613">
                  <a:alpha val="50583"/>
                </a:srgbClr>
              </a:solidFill>
              <a:prstDash val="solid"/>
              <a:miter lim="400000"/>
            </a:ln>
            <a:effectLst/>
          </c:spPr>
          <c:marker>
            <c:symbol val="none"/>
            <c:size val="3"/>
            <c:spPr>
              <a:solidFill>
                <a:srgbClr val="525857">
                  <a:alpha val="24989"/>
                </a:srgbClr>
              </a:solidFill>
              <a:ln w="3175" cap="flat">
                <a:solidFill>
                  <a:srgbClr val="525857">
                    <a:alpha val="24989"/>
                  </a:srgbClr>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1-1'!$L$2:$L$113</c:f>
              <c:numCache>
                <c:ptCount val="30"/>
                <c:pt idx="82">
                  <c:v>146632532.000000</c:v>
                </c:pt>
                <c:pt idx="83">
                  <c:v>148537645.000000</c:v>
                </c:pt>
                <c:pt idx="84">
                  <c:v>148507657.000000</c:v>
                </c:pt>
                <c:pt idx="85">
                  <c:v>146514662.000000</c:v>
                </c:pt>
                <c:pt idx="86">
                  <c:v>144080221.000000</c:v>
                </c:pt>
                <c:pt idx="87">
                  <c:v>142677909.000000</c:v>
                </c:pt>
                <c:pt idx="88">
                  <c:v>140667010.000000</c:v>
                </c:pt>
                <c:pt idx="89">
                  <c:v>118820206.000000</c:v>
                </c:pt>
                <c:pt idx="90">
                  <c:v>117412648.000000</c:v>
                </c:pt>
                <c:pt idx="91">
                  <c:v>117412648.000000</c:v>
                </c:pt>
                <c:pt idx="92">
                  <c:v>96843989.000000</c:v>
                </c:pt>
                <c:pt idx="93">
                  <c:v>101744314.000000</c:v>
                </c:pt>
                <c:pt idx="94">
                  <c:v>100361861.000000</c:v>
                </c:pt>
                <c:pt idx="95">
                  <c:v>98996690.000000</c:v>
                </c:pt>
                <c:pt idx="96">
                  <c:v>97857048.000000</c:v>
                </c:pt>
                <c:pt idx="97">
                  <c:v>97134083.000000</c:v>
                </c:pt>
                <c:pt idx="98">
                  <c:v>96198371.000000</c:v>
                </c:pt>
                <c:pt idx="99">
                  <c:v>95557238.000000</c:v>
                </c:pt>
                <c:pt idx="100">
                  <c:v>98633257.000000</c:v>
                </c:pt>
                <c:pt idx="101">
                  <c:v>97536664.000000</c:v>
                </c:pt>
                <c:pt idx="102">
                  <c:v>98707435.000000</c:v>
                </c:pt>
                <c:pt idx="103">
                  <c:v>98000854.000000</c:v>
                </c:pt>
                <c:pt idx="104">
                  <c:v>96783204.000000</c:v>
                </c:pt>
                <c:pt idx="105">
                  <c:v>83905979.000000</c:v>
                </c:pt>
                <c:pt idx="106">
                  <c:v>81329535.791860</c:v>
                </c:pt>
                <c:pt idx="107">
                  <c:v>78939167.311715</c:v>
                </c:pt>
                <c:pt idx="108">
                  <c:v>76655346.738784</c:v>
                </c:pt>
                <c:pt idx="109">
                  <c:v>75474654.145908</c:v>
                </c:pt>
                <c:pt idx="110">
                  <c:v>74550663.497574</c:v>
                </c:pt>
                <c:pt idx="111">
                  <c:v>73591744.793481</c:v>
                </c:pt>
              </c:numCache>
            </c:numRef>
          </c:val>
          <c:smooth val="0"/>
        </c:ser>
        <c:ser>
          <c:idx val="7"/>
          <c:order val="7"/>
          <c:tx>
            <c:strRef>
              <c:f>'net worth - Table 1-1'!$N$1</c:f>
              <c:strCache>
                <c:ptCount val="1"/>
                <c:pt idx="0">
                  <c:v>nw - assets</c:v>
                </c:pt>
              </c:strCache>
            </c:strRef>
          </c:tx>
          <c:spPr>
            <a:solidFill>
              <a:srgbClr val="FFFFFF"/>
            </a:solidFill>
            <a:ln w="25400" cap="flat">
              <a:solidFill>
                <a:srgbClr val="61D4DC">
                  <a:alpha val="19583"/>
                </a:srgbClr>
              </a:solidFill>
              <a:prstDash val="solid"/>
              <a:miter lim="400000"/>
            </a:ln>
            <a:effectLst/>
          </c:spPr>
          <c:marker>
            <c:symbol val="none"/>
            <c:size val="4"/>
            <c:spPr>
              <a:solidFill>
                <a:srgbClr val="FFFFFF"/>
              </a:solidFill>
              <a:ln w="50800" cap="flat">
                <a:solidFill>
                  <a:srgbClr val="80C855"/>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1-1'!$N$2:$N$113</c:f>
              <c:numCache>
                <c:ptCount val="112"/>
                <c:pt idx="0">
                  <c:v>4252594.618636</c:v>
                </c:pt>
                <c:pt idx="1">
                  <c:v>4435828.666667</c:v>
                </c:pt>
                <c:pt idx="2">
                  <c:v>4630613.298751</c:v>
                </c:pt>
                <c:pt idx="3">
                  <c:v>5122912.387128</c:v>
                </c:pt>
                <c:pt idx="4">
                  <c:v>6140569.000000</c:v>
                </c:pt>
                <c:pt idx="5">
                  <c:v>8620824.016381</c:v>
                </c:pt>
                <c:pt idx="6">
                  <c:v>10829524.427160</c:v>
                </c:pt>
                <c:pt idx="7">
                  <c:v>11356606.546983</c:v>
                </c:pt>
                <c:pt idx="8">
                  <c:v>11419059.118525</c:v>
                </c:pt>
                <c:pt idx="9">
                  <c:v>10805677.586529</c:v>
                </c:pt>
                <c:pt idx="10">
                  <c:v>12468568.766844</c:v>
                </c:pt>
                <c:pt idx="11">
                  <c:v>13053701.296500</c:v>
                </c:pt>
                <c:pt idx="12">
                  <c:v>14124275.139053</c:v>
                </c:pt>
                <c:pt idx="13">
                  <c:v>15434820.363381</c:v>
                </c:pt>
                <c:pt idx="14">
                  <c:v>16012169.009554</c:v>
                </c:pt>
                <c:pt idx="15">
                  <c:v>16607177.128021</c:v>
                </c:pt>
                <c:pt idx="16">
                  <c:v>17607526.868836</c:v>
                </c:pt>
                <c:pt idx="17">
                  <c:v>18586023.000000</c:v>
                </c:pt>
                <c:pt idx="18">
                  <c:v>19844733.480250</c:v>
                </c:pt>
                <c:pt idx="19">
                  <c:v>20642411.381426</c:v>
                </c:pt>
                <c:pt idx="20">
                  <c:v>22010957.194822</c:v>
                </c:pt>
                <c:pt idx="21">
                  <c:v>24327801.015228</c:v>
                </c:pt>
                <c:pt idx="22">
                  <c:v>26413003.052839</c:v>
                </c:pt>
                <c:pt idx="23">
                  <c:v>28335092.463286</c:v>
                </c:pt>
                <c:pt idx="24">
                  <c:v>30828177.609045</c:v>
                </c:pt>
                <c:pt idx="25">
                  <c:v>32878751.308716</c:v>
                </c:pt>
                <c:pt idx="26">
                  <c:v>34371992.840278</c:v>
                </c:pt>
                <c:pt idx="27">
                  <c:v>35745104.190386</c:v>
                </c:pt>
                <c:pt idx="28">
                  <c:v>36842951.385831</c:v>
                </c:pt>
                <c:pt idx="29">
                  <c:v>40839804.728327</c:v>
                </c:pt>
                <c:pt idx="30">
                  <c:v>42809546.405939</c:v>
                </c:pt>
                <c:pt idx="31">
                  <c:v>45902059.832928</c:v>
                </c:pt>
                <c:pt idx="32">
                  <c:v>44879886.735882</c:v>
                </c:pt>
                <c:pt idx="33">
                  <c:v>41984057.958255</c:v>
                </c:pt>
                <c:pt idx="34">
                  <c:v>45980682.800732</c:v>
                </c:pt>
                <c:pt idx="35">
                  <c:v>46880960.572734</c:v>
                </c:pt>
                <c:pt idx="36">
                  <c:v>48928498.813805</c:v>
                </c:pt>
                <c:pt idx="37">
                  <c:v>48704986.117538</c:v>
                </c:pt>
                <c:pt idx="38">
                  <c:v>52762647.170791</c:v>
                </c:pt>
                <c:pt idx="39">
                  <c:v>49229697.420111</c:v>
                </c:pt>
                <c:pt idx="40">
                  <c:v>49486250.488860</c:v>
                </c:pt>
                <c:pt idx="41">
                  <c:v>56866037.007488</c:v>
                </c:pt>
                <c:pt idx="42">
                  <c:v>57983880.989024</c:v>
                </c:pt>
                <c:pt idx="43">
                  <c:v>60737465.342190</c:v>
                </c:pt>
                <c:pt idx="44">
                  <c:v>61259744.722618</c:v>
                </c:pt>
                <c:pt idx="45">
                  <c:v>64019812.348331</c:v>
                </c:pt>
                <c:pt idx="46">
                  <c:v>67447854.304117</c:v>
                </c:pt>
                <c:pt idx="47">
                  <c:v>65990343.881852</c:v>
                </c:pt>
                <c:pt idx="48">
                  <c:v>69088334.646831</c:v>
                </c:pt>
                <c:pt idx="49">
                  <c:v>71956824.000000</c:v>
                </c:pt>
                <c:pt idx="50">
                  <c:v>75746699.000000</c:v>
                </c:pt>
                <c:pt idx="51">
                  <c:v>75512814.000000</c:v>
                </c:pt>
                <c:pt idx="52">
                  <c:v>80951166.000000</c:v>
                </c:pt>
                <c:pt idx="53">
                  <c:v>82815332.000000</c:v>
                </c:pt>
                <c:pt idx="54">
                  <c:v>81166215.000000</c:v>
                </c:pt>
                <c:pt idx="55">
                  <c:v>71154313.000000</c:v>
                </c:pt>
                <c:pt idx="56">
                  <c:v>68084061.000000</c:v>
                </c:pt>
                <c:pt idx="57">
                  <c:v>66772855.000000</c:v>
                </c:pt>
                <c:pt idx="58">
                  <c:v>64414816.000000</c:v>
                </c:pt>
                <c:pt idx="59">
                  <c:v>59539771.000000</c:v>
                </c:pt>
                <c:pt idx="60">
                  <c:v>61267753.000000</c:v>
                </c:pt>
                <c:pt idx="61">
                  <c:v>64126073.000000</c:v>
                </c:pt>
                <c:pt idx="62">
                  <c:v>60266805.000000</c:v>
                </c:pt>
                <c:pt idx="63">
                  <c:v>57558329.000000</c:v>
                </c:pt>
                <c:pt idx="64">
                  <c:v>59495422.000000</c:v>
                </c:pt>
                <c:pt idx="65">
                  <c:v>59641706.000000</c:v>
                </c:pt>
                <c:pt idx="66">
                  <c:v>57714962.000000</c:v>
                </c:pt>
                <c:pt idx="67">
                  <c:v>60928416.000000</c:v>
                </c:pt>
                <c:pt idx="68">
                  <c:v>63187415.000000</c:v>
                </c:pt>
                <c:pt idx="69">
                  <c:v>64427351.000000</c:v>
                </c:pt>
                <c:pt idx="70">
                  <c:v>65767331.000000</c:v>
                </c:pt>
                <c:pt idx="71">
                  <c:v>69306936.000000</c:v>
                </c:pt>
                <c:pt idx="72">
                  <c:v>73252572.000000</c:v>
                </c:pt>
                <c:pt idx="73">
                  <c:v>79028667.000000</c:v>
                </c:pt>
                <c:pt idx="74">
                  <c:v>78519221.149703</c:v>
                </c:pt>
                <c:pt idx="75">
                  <c:v>79186009.378593</c:v>
                </c:pt>
                <c:pt idx="76">
                  <c:v>78413530.532527</c:v>
                </c:pt>
                <c:pt idx="77">
                  <c:v>82791454.943965</c:v>
                </c:pt>
                <c:pt idx="78">
                  <c:v>88537590.153746</c:v>
                </c:pt>
                <c:pt idx="79">
                  <c:v>122782866.000000</c:v>
                </c:pt>
                <c:pt idx="80">
                  <c:v>145724639.000000</c:v>
                </c:pt>
                <c:pt idx="81">
                  <c:v>155731090.000000</c:v>
                </c:pt>
                <c:pt idx="82">
                  <c:v>92242327.000000</c:v>
                </c:pt>
                <c:pt idx="83">
                  <c:v>94252829.000000</c:v>
                </c:pt>
                <c:pt idx="84">
                  <c:v>102104697.000000</c:v>
                </c:pt>
                <c:pt idx="85">
                  <c:v>106474573.000000</c:v>
                </c:pt>
                <c:pt idx="86">
                  <c:v>106979490.000000</c:v>
                </c:pt>
                <c:pt idx="87">
                  <c:v>114641545.000000</c:v>
                </c:pt>
                <c:pt idx="88">
                  <c:v>125325368.000000</c:v>
                </c:pt>
                <c:pt idx="89">
                  <c:v>117023890.000000</c:v>
                </c:pt>
                <c:pt idx="90">
                  <c:v>125634101.000000</c:v>
                </c:pt>
                <c:pt idx="91">
                  <c:v>142519932.000000</c:v>
                </c:pt>
                <c:pt idx="92">
                  <c:v>91729096.000000</c:v>
                </c:pt>
                <c:pt idx="93">
                  <c:v>79341563.400000</c:v>
                </c:pt>
                <c:pt idx="94">
                  <c:v>80427542.000000</c:v>
                </c:pt>
                <c:pt idx="95">
                  <c:v>84691756.000000</c:v>
                </c:pt>
                <c:pt idx="96">
                  <c:v>86901518.750000</c:v>
                </c:pt>
                <c:pt idx="97">
                  <c:v>89635168.000000</c:v>
                </c:pt>
                <c:pt idx="98">
                  <c:v>91994685.000000</c:v>
                </c:pt>
                <c:pt idx="99">
                  <c:v>97258235.000000</c:v>
                </c:pt>
                <c:pt idx="100">
                  <c:v>95838671.000000</c:v>
                </c:pt>
                <c:pt idx="101">
                  <c:v>95506107.000000</c:v>
                </c:pt>
                <c:pt idx="102">
                  <c:v>93694946.000000</c:v>
                </c:pt>
                <c:pt idx="103">
                  <c:v>94548068.000000</c:v>
                </c:pt>
                <c:pt idx="104">
                  <c:v>95505682.000000</c:v>
                </c:pt>
                <c:pt idx="105">
                  <c:v>97569633.000000</c:v>
                </c:pt>
                <c:pt idx="106">
                  <c:v>125612318.000000</c:v>
                </c:pt>
                <c:pt idx="107">
                  <c:v>123907117.000000</c:v>
                </c:pt>
                <c:pt idx="108">
                  <c:v>120907117.000000</c:v>
                </c:pt>
                <c:pt idx="109">
                  <c:v>117907117.000000</c:v>
                </c:pt>
                <c:pt idx="110">
                  <c:v>114907117.000000</c:v>
                </c:pt>
                <c:pt idx="111">
                  <c:v>111907117.000000</c:v>
                </c:pt>
              </c:numCache>
            </c:numRef>
          </c:val>
          <c:smooth val="0"/>
        </c:ser>
        <c:ser>
          <c:idx val="8"/>
          <c:order val="8"/>
          <c:tx>
            <c:strRef>
              <c:f>'net worth - Table 1-1'!$F$1</c:f>
              <c:strCache>
                <c:ptCount val="1"/>
                <c:pt idx="0">
                  <c:v>net worth</c:v>
                </c:pt>
              </c:strCache>
            </c:strRef>
          </c:tx>
          <c:spPr>
            <a:solidFill>
              <a:srgbClr val="FFFFFF"/>
            </a:solidFill>
            <a:ln w="25400" cap="flat">
              <a:solidFill>
                <a:srgbClr val="5F99C5">
                  <a:alpha val="81280"/>
                </a:srgbClr>
              </a:solidFill>
              <a:prstDash val="solid"/>
              <a:miter lim="400000"/>
            </a:ln>
            <a:effectLst/>
          </c:spPr>
          <c:marker>
            <c:symbol val="none"/>
            <c:size val="4"/>
            <c:spPr>
              <a:solidFill>
                <a:srgbClr val="FFFFFF"/>
              </a:solidFill>
              <a:ln w="50800" cap="flat">
                <a:solidFill>
                  <a:srgbClr val="FCE547"/>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1-1'!$F$2:$F$113</c:f>
              <c:numCache>
                <c:ptCount val="112"/>
                <c:pt idx="0">
                  <c:v>4252594.618636</c:v>
                </c:pt>
                <c:pt idx="1">
                  <c:v>4435828.666667</c:v>
                </c:pt>
                <c:pt idx="2">
                  <c:v>4630613.298751</c:v>
                </c:pt>
                <c:pt idx="3">
                  <c:v>5122912.387128</c:v>
                </c:pt>
                <c:pt idx="4">
                  <c:v>6140569.000000</c:v>
                </c:pt>
                <c:pt idx="5">
                  <c:v>8620824.016381</c:v>
                </c:pt>
                <c:pt idx="6">
                  <c:v>10829524.427160</c:v>
                </c:pt>
                <c:pt idx="7">
                  <c:v>11356606.546983</c:v>
                </c:pt>
                <c:pt idx="8">
                  <c:v>11419059.118525</c:v>
                </c:pt>
                <c:pt idx="9">
                  <c:v>10805677.586529</c:v>
                </c:pt>
                <c:pt idx="10">
                  <c:v>12468568.766844</c:v>
                </c:pt>
                <c:pt idx="11">
                  <c:v>13053701.296500</c:v>
                </c:pt>
                <c:pt idx="12">
                  <c:v>14124275.139053</c:v>
                </c:pt>
                <c:pt idx="13">
                  <c:v>15434820.363381</c:v>
                </c:pt>
                <c:pt idx="14">
                  <c:v>16012169.009554</c:v>
                </c:pt>
                <c:pt idx="15">
                  <c:v>16607177.128021</c:v>
                </c:pt>
                <c:pt idx="16">
                  <c:v>17607526.868836</c:v>
                </c:pt>
                <c:pt idx="17">
                  <c:v>18586023.000000</c:v>
                </c:pt>
                <c:pt idx="18">
                  <c:v>19844733.480250</c:v>
                </c:pt>
                <c:pt idx="19">
                  <c:v>20642411.381426</c:v>
                </c:pt>
                <c:pt idx="20">
                  <c:v>22010957.194822</c:v>
                </c:pt>
                <c:pt idx="21">
                  <c:v>24327801.015228</c:v>
                </c:pt>
                <c:pt idx="22">
                  <c:v>26413003.052839</c:v>
                </c:pt>
                <c:pt idx="23">
                  <c:v>28335092.463286</c:v>
                </c:pt>
                <c:pt idx="24">
                  <c:v>30828177.609045</c:v>
                </c:pt>
                <c:pt idx="25">
                  <c:v>32878751.308716</c:v>
                </c:pt>
                <c:pt idx="26">
                  <c:v>34371992.840278</c:v>
                </c:pt>
                <c:pt idx="27">
                  <c:v>35745104.190386</c:v>
                </c:pt>
                <c:pt idx="28">
                  <c:v>36842951.385831</c:v>
                </c:pt>
                <c:pt idx="29">
                  <c:v>40839804.728327</c:v>
                </c:pt>
                <c:pt idx="30">
                  <c:v>42809546.405939</c:v>
                </c:pt>
                <c:pt idx="31">
                  <c:v>45902059.832928</c:v>
                </c:pt>
                <c:pt idx="32">
                  <c:v>44879886.735882</c:v>
                </c:pt>
                <c:pt idx="33">
                  <c:v>41984057.958255</c:v>
                </c:pt>
                <c:pt idx="34">
                  <c:v>45980682.800732</c:v>
                </c:pt>
                <c:pt idx="35">
                  <c:v>46880960.572734</c:v>
                </c:pt>
                <c:pt idx="36">
                  <c:v>48928498.813805</c:v>
                </c:pt>
                <c:pt idx="37">
                  <c:v>48704986.117538</c:v>
                </c:pt>
                <c:pt idx="38">
                  <c:v>52762647.170791</c:v>
                </c:pt>
                <c:pt idx="39">
                  <c:v>49229697.420111</c:v>
                </c:pt>
                <c:pt idx="40">
                  <c:v>49486250.488860</c:v>
                </c:pt>
                <c:pt idx="41">
                  <c:v>56866037.007488</c:v>
                </c:pt>
                <c:pt idx="42">
                  <c:v>57983880.989024</c:v>
                </c:pt>
                <c:pt idx="43">
                  <c:v>60737465.342190</c:v>
                </c:pt>
                <c:pt idx="44">
                  <c:v>61259744.722618</c:v>
                </c:pt>
                <c:pt idx="45">
                  <c:v>64019812.348331</c:v>
                </c:pt>
                <c:pt idx="46">
                  <c:v>67447854.304117</c:v>
                </c:pt>
                <c:pt idx="47">
                  <c:v>65990343.881852</c:v>
                </c:pt>
                <c:pt idx="48">
                  <c:v>69088334.646831</c:v>
                </c:pt>
                <c:pt idx="49">
                  <c:v>71956824.000000</c:v>
                </c:pt>
                <c:pt idx="50">
                  <c:v>75746699.000000</c:v>
                </c:pt>
                <c:pt idx="51">
                  <c:v>75512814.000000</c:v>
                </c:pt>
                <c:pt idx="52">
                  <c:v>80951166.000000</c:v>
                </c:pt>
                <c:pt idx="53">
                  <c:v>82815332.000000</c:v>
                </c:pt>
                <c:pt idx="54">
                  <c:v>81166215.000000</c:v>
                </c:pt>
                <c:pt idx="55">
                  <c:v>71154313.000000</c:v>
                </c:pt>
                <c:pt idx="56">
                  <c:v>68084061.000000</c:v>
                </c:pt>
                <c:pt idx="57">
                  <c:v>66772855.000000</c:v>
                </c:pt>
                <c:pt idx="58">
                  <c:v>64414816.000000</c:v>
                </c:pt>
                <c:pt idx="59">
                  <c:v>59539771.000000</c:v>
                </c:pt>
                <c:pt idx="60">
                  <c:v>61267753.000000</c:v>
                </c:pt>
                <c:pt idx="61">
                  <c:v>64126073.000000</c:v>
                </c:pt>
                <c:pt idx="62">
                  <c:v>60266805.000000</c:v>
                </c:pt>
                <c:pt idx="63">
                  <c:v>57558329.000000</c:v>
                </c:pt>
                <c:pt idx="64">
                  <c:v>59495422.000000</c:v>
                </c:pt>
                <c:pt idx="65">
                  <c:v>59641706.000000</c:v>
                </c:pt>
                <c:pt idx="66">
                  <c:v>57714962.000000</c:v>
                </c:pt>
                <c:pt idx="67">
                  <c:v>60928416.000000</c:v>
                </c:pt>
                <c:pt idx="68">
                  <c:v>63187415.000000</c:v>
                </c:pt>
                <c:pt idx="69">
                  <c:v>64427351.000000</c:v>
                </c:pt>
                <c:pt idx="70">
                  <c:v>65767331.000000</c:v>
                </c:pt>
                <c:pt idx="71">
                  <c:v>69306936.000000</c:v>
                </c:pt>
                <c:pt idx="72">
                  <c:v>73252572.000000</c:v>
                </c:pt>
                <c:pt idx="73">
                  <c:v>79028667.000000</c:v>
                </c:pt>
                <c:pt idx="74">
                  <c:v>78519221.149703</c:v>
                </c:pt>
                <c:pt idx="75">
                  <c:v>79186009.378593</c:v>
                </c:pt>
                <c:pt idx="76">
                  <c:v>78413530.532527</c:v>
                </c:pt>
                <c:pt idx="77">
                  <c:v>82791454.943965</c:v>
                </c:pt>
                <c:pt idx="78">
                  <c:v>88537590.153746</c:v>
                </c:pt>
                <c:pt idx="79">
                  <c:v>122782866.000000</c:v>
                </c:pt>
                <c:pt idx="80">
                  <c:v>145724639.000000</c:v>
                </c:pt>
                <c:pt idx="81">
                  <c:v>155731090.000000</c:v>
                </c:pt>
                <c:pt idx="82">
                  <c:v>146272198.000000</c:v>
                </c:pt>
                <c:pt idx="83">
                  <c:v>147279429.000000</c:v>
                </c:pt>
                <c:pt idx="84">
                  <c:v>156247626.000000</c:v>
                </c:pt>
                <c:pt idx="85">
                  <c:v>162964346.000000</c:v>
                </c:pt>
                <c:pt idx="86">
                  <c:v>166123521.000000</c:v>
                </c:pt>
                <c:pt idx="87">
                  <c:v>176423220.000000</c:v>
                </c:pt>
                <c:pt idx="88">
                  <c:v>189613317.000000</c:v>
                </c:pt>
                <c:pt idx="89">
                  <c:v>203911816.000000</c:v>
                </c:pt>
                <c:pt idx="90">
                  <c:v>215520158.000000</c:v>
                </c:pt>
                <c:pt idx="91">
                  <c:v>232330462.000000</c:v>
                </c:pt>
                <c:pt idx="92">
                  <c:v>202202393.000000</c:v>
                </c:pt>
                <c:pt idx="93">
                  <c:v>192655434.400000</c:v>
                </c:pt>
                <c:pt idx="94">
                  <c:v>195277606.000000</c:v>
                </c:pt>
                <c:pt idx="95">
                  <c:v>201215657.000000</c:v>
                </c:pt>
                <c:pt idx="96">
                  <c:v>204788907.750000</c:v>
                </c:pt>
                <c:pt idx="97">
                  <c:v>208085722.000000</c:v>
                </c:pt>
                <c:pt idx="98">
                  <c:v>211155343.000000</c:v>
                </c:pt>
                <c:pt idx="99">
                  <c:v>217689468.000000</c:v>
                </c:pt>
                <c:pt idx="100">
                  <c:v>217007541.000000</c:v>
                </c:pt>
                <c:pt idx="101">
                  <c:v>217410146.000000</c:v>
                </c:pt>
                <c:pt idx="102">
                  <c:v>216295486.000000</c:v>
                </c:pt>
                <c:pt idx="103">
                  <c:v>217081056.000000</c:v>
                </c:pt>
                <c:pt idx="104">
                  <c:v>219333776.000000</c:v>
                </c:pt>
                <c:pt idx="105">
                  <c:v>233947841.000000</c:v>
                </c:pt>
                <c:pt idx="106">
                  <c:v>265777079.208140</c:v>
                </c:pt>
                <c:pt idx="107">
                  <c:v>268664997.688285</c:v>
                </c:pt>
                <c:pt idx="108">
                  <c:v>270823240.506765</c:v>
                </c:pt>
                <c:pt idx="109">
                  <c:v>268556316.099640</c:v>
                </c:pt>
                <c:pt idx="110">
                  <c:v>266339155.209622</c:v>
                </c:pt>
                <c:pt idx="111">
                  <c:v>264885084.160293</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
          <c:y val="0"/>
          <c:w val="0.935454"/>
          <c:h val="0.107051"/>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1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6841"/>
          <c:y val="0.121372"/>
          <c:w val="0.775926"/>
          <c:h val="0.814833"/>
        </c:manualLayout>
      </c:layout>
      <c:areaChart>
        <c:grouping val="standard"/>
        <c:varyColors val="0"/>
        <c:ser>
          <c:idx val="0"/>
          <c:order val="0"/>
          <c:tx>
            <c:strRef>
              <c:f>'net worth - Table 1-2'!$D$1</c:f>
              <c:strCache/>
            </c:strRef>
          </c:tx>
          <c:spPr>
            <a:solidFill>
              <a:srgbClr val="9A9997">
                <a:alpha val="21422"/>
              </a:srgbClr>
            </a:solidFill>
            <a:ln w="12700" cap="flat">
              <a:noFill/>
              <a:miter lim="400000"/>
            </a:ln>
            <a:effectLst/>
          </c:spP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'net worth - Table 1-2'!$A$2:$A$113</c:f>
              <c:strCache>
                <c:ptCount val="0"/>
              </c:strCache>
            </c:strRef>
          </c:cat>
          <c:val>
            <c:numRef>
              <c:f>'net worth - Table 1-2'!$D$2:$D$113</c:f>
              <c:numCache>
                <c:ptCount val="0"/>
              </c:numCache>
            </c:numRef>
          </c:val>
        </c:ser>
        <c:axId val="2094734552"/>
        <c:axId val="2094734553"/>
      </c:areaChart>
      <c:barChart>
        <c:barDir val="col"/>
        <c:grouping val="clustered"/>
        <c:varyColors val="0"/>
        <c:ser>
          <c:idx val="1"/>
          <c:order val="1"/>
          <c:tx>
            <c:strRef>
              <c:f>'net worth - Table 1-2'!$H$1</c:f>
              <c:strCache/>
            </c:strRef>
          </c:tx>
          <c:spPr>
            <a:solidFill>
              <a:srgbClr val="F4BB1C"/>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1-2'!$A$2:$A$113</c:f>
              <c:strCache>
                <c:ptCount val="0"/>
              </c:strCache>
            </c:strRef>
          </c:cat>
          <c:val>
            <c:numRef>
              <c:f>'net worth - Table 1-2'!$H$2:$H$113</c:f>
              <c:numCache>
                <c:ptCount val="0"/>
              </c:numCache>
            </c:numRef>
          </c:val>
        </c:ser>
        <c:ser>
          <c:idx val="2"/>
          <c:order val="2"/>
          <c:tx>
            <c:strRef>
              <c:f>'net worth - Table 1-2'!$K$1</c:f>
              <c:strCache/>
            </c:strRef>
          </c:tx>
          <c:spPr>
            <a:solidFill>
              <a:srgbClr val="6099D4"/>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1-2'!$A$2:$A$113</c:f>
              <c:strCache>
                <c:ptCount val="0"/>
              </c:strCache>
            </c:strRef>
          </c:cat>
          <c:val>
            <c:numRef>
              <c:f>'net worth - Table 1-2'!$K$2:$K$113</c:f>
              <c:numCache>
                <c:ptCount val="0"/>
              </c:numCache>
            </c:numRef>
          </c:val>
        </c:ser>
        <c:gapWidth val="130"/>
        <c:overlap val="-20"/>
        <c:axId val="2094734552"/>
        <c:axId val="2094734553"/>
      </c:barChart>
      <c:lineChart>
        <c:grouping val="standard"/>
        <c:varyColors val="0"/>
        <c:ser>
          <c:idx val="3"/>
          <c:order val="3"/>
          <c:tx>
            <c:strRef>
              <c:f>'net worth - Table 1-2'!$E$1</c:f>
              <c:strCache/>
            </c:strRef>
          </c:tx>
          <c:spPr>
            <a:solidFill>
              <a:srgbClr val="F4DD5D"/>
            </a:solidFill>
            <a:ln w="25400" cap="flat">
              <a:noFill/>
              <a:miter lim="400000"/>
            </a:ln>
            <a:effectLst/>
          </c:spPr>
          <c:marker>
            <c:symbol val="diamond"/>
            <c:size val="9"/>
            <c:spPr>
              <a:solidFill>
                <a:srgbClr val="F4DD5D"/>
              </a:solidFill>
              <a:ln w="12700" cap="flat">
                <a:solidFill>
                  <a:srgbClr val="EF951A"/>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1-2'!$A$2:$A$113</c:f>
              <c:strCache>
                <c:ptCount val="0"/>
              </c:strCache>
            </c:strRef>
          </c:cat>
          <c:val>
            <c:numRef>
              <c:f>'net worth - Table 1-2'!$E$2:$E$113</c:f>
              <c:numCache>
                <c:ptCount val="0"/>
              </c:numCache>
            </c:numRef>
          </c:val>
          <c:smooth val="0"/>
        </c:ser>
        <c:marker val="1"/>
        <c:axId val="2094734552"/>
        <c:axId val="2094734553"/>
      </c:lineChart>
      <c:catAx>
        <c:axId val="2094734552"/>
        <c:scaling>
          <c:orientation val="minMax"/>
        </c:scaling>
        <c:delete val="0"/>
        <c:axPos val="b"/>
        <c:majorGridlines>
          <c:spPr>
            <a:ln w="12700" cap="flat">
              <a:solidFill>
                <a:srgbClr val="000000">
                  <a:alpha val="8764"/>
                </a:srgbClr>
              </a:solidFill>
              <a:custDash>
                <a:ds d="200000" sp="200000"/>
              </a:custDash>
              <a:miter lim="400000"/>
            </a:ln>
          </c:spPr>
        </c:majorGridlines>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
          <c:y val="0"/>
          <c:w val="1"/>
          <c:h val="0.064712"/>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1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254324"/>
          <c:y val="0.254324"/>
          <c:w val="0.491352"/>
          <c:h val="0.478852"/>
        </c:manualLayout>
      </c:layout>
      <c:pieChart>
        <c:varyColors val="0"/>
        <c:ser>
          <c:idx val="0"/>
          <c:order val="0"/>
          <c:tx>
            <c:strRef>
              <c:f>'net worth - net worth'!$A$2</c:f>
              <c:strCache>
                <c:ptCount val="1"/>
                <c:pt idx="0">
                  <c:v>cripto</c:v>
                </c:pt>
              </c:strCache>
            </c:strRef>
          </c:tx>
          <c:spPr>
            <a:solidFill>
              <a:srgbClr val="C3E5F9"/>
            </a:solidFill>
            <a:ln w="12700" cap="flat">
              <a:noFill/>
              <a:miter lim="400000"/>
            </a:ln>
            <a:effectLst/>
          </c:spPr>
          <c:explosion val="0"/>
          <c:dPt>
            <c:idx val="0"/>
            <c:explosion val="0"/>
            <c:spPr>
              <a:solidFill>
                <a:srgbClr val="C3E5F9"/>
              </a:solidFill>
              <a:ln w="12700" cap="flat">
                <a:noFill/>
                <a:miter lim="400000"/>
              </a:ln>
              <a:effectLst/>
            </c:spPr>
          </c:dPt>
          <c:dPt>
            <c:idx val="1"/>
            <c:explosion val="0"/>
            <c:spPr>
              <a:solidFill>
                <a:srgbClr val="4970D2"/>
              </a:solidFill>
              <a:ln w="12700" cap="flat">
                <a:noFill/>
                <a:miter lim="400000"/>
              </a:ln>
              <a:effectLst/>
            </c:spPr>
          </c:dPt>
          <c:dPt>
            <c:idx val="2"/>
            <c:explosion val="0"/>
            <c:spPr>
              <a:solidFill>
                <a:srgbClr val="EBBD47"/>
              </a:solidFill>
              <a:ln w="12700" cap="flat">
                <a:noFill/>
                <a:miter lim="400000"/>
              </a:ln>
              <a:effectLst/>
            </c:spPr>
          </c:dPt>
          <c:dPt>
            <c:idx val="3"/>
            <c:explosion val="0"/>
            <c:spPr>
              <a:solidFill>
                <a:srgbClr val="385688"/>
              </a:solidFill>
              <a:ln w="12700" cap="flat">
                <a:noFill/>
                <a:miter lim="400000"/>
              </a:ln>
              <a:effectLst/>
            </c:spPr>
          </c:dPt>
          <c:dPt>
            <c:idx val="4"/>
            <c:explosion val="0"/>
            <c:spPr>
              <a:solidFill>
                <a:srgbClr val="68A5F4"/>
              </a:solidFill>
              <a:ln w="12700" cap="flat">
                <a:noFill/>
                <a:miter lim="400000"/>
              </a:ln>
              <a:effectLst/>
            </c:spPr>
          </c:dPt>
          <c:dPt>
            <c:idx val="5"/>
            <c:explosion val="0"/>
            <c:spPr>
              <a:solidFill>
                <a:srgbClr val="8BC95B"/>
              </a:solidFill>
              <a:ln w="12700" cap="flat">
                <a:noFill/>
                <a:miter lim="400000"/>
              </a:ln>
              <a:effectLst/>
            </c:spPr>
          </c:dPt>
          <c:dPt>
            <c:idx val="6"/>
            <c:explosion val="0"/>
            <c:spPr>
              <a:solidFill>
                <a:srgbClr val="A3D57C"/>
              </a:solidFill>
              <a:ln w="12700" cap="flat">
                <a:noFill/>
                <a:miter lim="400000"/>
              </a:ln>
              <a:effectLst/>
            </c:spPr>
          </c:dPt>
          <c:dPt>
            <c:idx val="7"/>
            <c:explosion val="0"/>
            <c:spPr>
              <a:solidFill>
                <a:srgbClr val="B9DF9C"/>
              </a:solidFill>
              <a:ln w="12700" cap="flat">
                <a:noFill/>
                <a:miter lim="400000"/>
              </a:ln>
              <a:effectLst/>
            </c:spPr>
          </c:dPt>
          <c:dPt>
            <c:idx val="8"/>
            <c:explosion val="0"/>
            <c:spPr>
              <a:solidFill>
                <a:srgbClr val="E2F1D5"/>
              </a:solidFill>
              <a:ln w="12700" cap="flat">
                <a:noFill/>
                <a:miter lim="400000"/>
              </a:ln>
              <a:effectLst/>
            </c:spPr>
          </c:dPt>
          <c:dLbls>
            <c:dLbl>
              <c:idx val="0"/>
              <c:numFmt formatCode="#,##0.0%" sourceLinked="0"/>
              <c:txPr>
                <a:bodyPr/>
                <a:lstStyle/>
                <a:p>
                  <a:pPr>
                    <a:defRPr b="0" i="0" strike="noStrike" sz="1200" u="none">
                      <a:solidFill>
                        <a:srgbClr val="000000"/>
                      </a:solidFill>
                      <a:latin typeface="Helvetica"/>
                    </a:defRPr>
                  </a:pPr>
                </a:p>
              </c:txPr>
              <c:dLblPos val="outEnd"/>
              <c:showLegendKey val="0"/>
              <c:showVal val="0"/>
              <c:showCatName val="0"/>
              <c:showSerName val="0"/>
              <c:showPercent val="1"/>
              <c:showBubbleSize val="0"/>
            </c:dLbl>
            <c:dLbl>
              <c:idx val="1"/>
              <c:numFmt formatCode="#,##0.0%" sourceLinked="0"/>
              <c:txPr>
                <a:bodyPr/>
                <a:lstStyle/>
                <a:p>
                  <a:pPr>
                    <a:defRPr b="0" i="0" strike="noStrike" sz="1200" u="none">
                      <a:solidFill>
                        <a:srgbClr val="000000"/>
                      </a:solidFill>
                      <a:latin typeface="Helvetica"/>
                    </a:defRPr>
                  </a:pPr>
                </a:p>
              </c:txPr>
              <c:dLblPos val="outEnd"/>
              <c:showLegendKey val="0"/>
              <c:showVal val="0"/>
              <c:showCatName val="0"/>
              <c:showSerName val="0"/>
              <c:showPercent val="1"/>
              <c:showBubbleSize val="0"/>
            </c:dLbl>
            <c:dLbl>
              <c:idx val="2"/>
              <c:numFmt formatCode="#,##0.0%" sourceLinked="0"/>
              <c:txPr>
                <a:bodyPr/>
                <a:lstStyle/>
                <a:p>
                  <a:pPr>
                    <a:defRPr b="0" i="0" strike="noStrike" sz="1200" u="none">
                      <a:solidFill>
                        <a:srgbClr val="000000"/>
                      </a:solidFill>
                      <a:latin typeface="Helvetica"/>
                    </a:defRPr>
                  </a:pPr>
                </a:p>
              </c:txPr>
              <c:dLblPos val="outEnd"/>
              <c:showLegendKey val="0"/>
              <c:showVal val="0"/>
              <c:showCatName val="0"/>
              <c:showSerName val="0"/>
              <c:showPercent val="1"/>
              <c:showBubbleSize val="0"/>
            </c:dLbl>
            <c:dLbl>
              <c:idx val="3"/>
              <c:numFmt formatCode="#,##0.0%" sourceLinked="0"/>
              <c:txPr>
                <a:bodyPr/>
                <a:lstStyle/>
                <a:p>
                  <a:pPr>
                    <a:defRPr b="0" i="0" strike="noStrike" sz="1200" u="none">
                      <a:solidFill>
                        <a:srgbClr val="000000"/>
                      </a:solidFill>
                      <a:latin typeface="Helvetica"/>
                    </a:defRPr>
                  </a:pPr>
                </a:p>
              </c:txPr>
              <c:dLblPos val="outEnd"/>
              <c:showLegendKey val="0"/>
              <c:showVal val="0"/>
              <c:showCatName val="0"/>
              <c:showSerName val="0"/>
              <c:showPercent val="1"/>
              <c:showBubbleSize val="0"/>
            </c:dLbl>
            <c:dLbl>
              <c:idx val="4"/>
              <c:numFmt formatCode="#,##0.0%" sourceLinked="0"/>
              <c:txPr>
                <a:bodyPr/>
                <a:lstStyle/>
                <a:p>
                  <a:pPr>
                    <a:defRPr b="0" i="0" strike="noStrike" sz="1200" u="none">
                      <a:solidFill>
                        <a:srgbClr val="000000"/>
                      </a:solidFill>
                      <a:latin typeface="Helvetica"/>
                    </a:defRPr>
                  </a:pPr>
                </a:p>
              </c:txPr>
              <c:dLblPos val="outEnd"/>
              <c:showLegendKey val="0"/>
              <c:showVal val="0"/>
              <c:showCatName val="0"/>
              <c:showSerName val="0"/>
              <c:showPercent val="1"/>
              <c:showBubbleSize val="0"/>
            </c:dLbl>
            <c:dLbl>
              <c:idx val="5"/>
              <c:numFmt formatCode="#,##0%" sourceLinked="0"/>
              <c:txPr>
                <a:bodyPr/>
                <a:lstStyle/>
                <a:p>
                  <a:pPr>
                    <a:defRPr b="0" i="0" strike="noStrike" sz="1200" u="none">
                      <a:solidFill>
                        <a:srgbClr val="000000"/>
                      </a:solidFill>
                      <a:latin typeface="Helvetica"/>
                    </a:defRPr>
                  </a:pPr>
                </a:p>
              </c:txPr>
              <c:dLblPos val="outEnd"/>
              <c:showLegendKey val="0"/>
              <c:showVal val="0"/>
              <c:showCatName val="0"/>
              <c:showSerName val="0"/>
              <c:showPercent val="1"/>
              <c:showBubbleSize val="0"/>
            </c:dLbl>
            <c:dLbl>
              <c:idx val="6"/>
              <c:numFmt formatCode="#,##0%" sourceLinked="0"/>
              <c:txPr>
                <a:bodyPr/>
                <a:lstStyle/>
                <a:p>
                  <a:pPr>
                    <a:defRPr b="0" i="0" strike="noStrike" sz="1200" u="none">
                      <a:solidFill>
                        <a:srgbClr val="000000"/>
                      </a:solidFill>
                      <a:latin typeface="Helvetica"/>
                    </a:defRPr>
                  </a:pPr>
                </a:p>
              </c:txPr>
              <c:dLblPos val="outEnd"/>
              <c:showLegendKey val="0"/>
              <c:showVal val="0"/>
              <c:showCatName val="0"/>
              <c:showSerName val="0"/>
              <c:showPercent val="1"/>
              <c:showBubbleSize val="0"/>
            </c:dLbl>
            <c:dLbl>
              <c:idx val="7"/>
              <c:numFmt formatCode="#,##0%" sourceLinked="0"/>
              <c:txPr>
                <a:bodyPr/>
                <a:lstStyle/>
                <a:p>
                  <a:pPr>
                    <a:defRPr b="0" i="0" strike="noStrike" sz="1200" u="none">
                      <a:solidFill>
                        <a:srgbClr val="000000"/>
                      </a:solidFill>
                      <a:latin typeface="Helvetica"/>
                    </a:defRPr>
                  </a:pPr>
                </a:p>
              </c:txPr>
              <c:dLblPos val="outEnd"/>
              <c:showLegendKey val="0"/>
              <c:showVal val="0"/>
              <c:showCatName val="0"/>
              <c:showSerName val="0"/>
              <c:showPercent val="1"/>
              <c:showBubbleSize val="0"/>
            </c:dLbl>
            <c:dLbl>
              <c:idx val="8"/>
              <c:numFmt formatCode="#,##0%" sourceLinked="0"/>
              <c:txPr>
                <a:bodyPr/>
                <a:lstStyle/>
                <a:p>
                  <a:pPr>
                    <a:defRPr b="0" i="0" strike="noStrike" sz="1200" u="none">
                      <a:solidFill>
                        <a:srgbClr val="000000"/>
                      </a:solidFill>
                      <a:latin typeface="Helvetica"/>
                    </a:defRPr>
                  </a:pPr>
                </a:p>
              </c:txPr>
              <c:dLblPos val="outEnd"/>
              <c:showLegendKey val="0"/>
              <c:showVal val="0"/>
              <c:showCatName val="0"/>
              <c:showSerName val="0"/>
              <c:showPercent val="1"/>
              <c:showBubbleSize val="0"/>
            </c:dLbl>
            <c:numFmt formatCode="#,##0.0%" sourceLinked="0"/>
            <c:txPr>
              <a:bodyPr/>
              <a:lstStyle/>
              <a:p>
                <a:pPr>
                  <a:defRPr b="0" i="0" strike="noStrike" sz="1200" u="none">
                    <a:solidFill>
                      <a:srgbClr val="000000"/>
                    </a:solidFill>
                    <a:latin typeface="Helvetica"/>
                  </a:defRPr>
                </a:pPr>
              </a:p>
            </c:txPr>
            <c:dLblPos val="outEnd"/>
            <c:showLegendKey val="0"/>
            <c:showVal val="0"/>
            <c:showCatName val="0"/>
            <c:showSerName val="0"/>
            <c:showPercent val="1"/>
            <c:showBubbleSize val="0"/>
            <c:showLeaderLines val="1"/>
            <c:leaderLines>
              <c:spPr>
                <a:noFill/>
                <a:ln w="6350" cap="flat">
                  <a:solidFill>
                    <a:srgbClr val="000000"/>
                  </a:solidFill>
                  <a:prstDash val="solid"/>
                  <a:miter lim="400000"/>
                </a:ln>
                <a:effectLst/>
              </c:spPr>
            </c:leaderLines>
          </c:dLbls>
          <c:cat>
            <c:strLit>
              <c:ptCount val="9"/>
              <c:pt idx="0">
                <c:v>Líquido</c:v>
              </c:pt>
              <c:pt idx="1">
                <c:v>Activos</c:v>
              </c:pt>
              <c:pt idx="2">
                <c:v>Cripto</c:v>
              </c:pt>
              <c:pt idx="3">
                <c:v>Untitled 5</c:v>
              </c:pt>
              <c:pt idx="4">
                <c:v>Inversiones</c:v>
              </c:pt>
              <c:pt idx="5">
                <c:v>Untitled 1</c:v>
              </c:pt>
              <c:pt idx="6">
                <c:v>Untitled 4</c:v>
              </c:pt>
              <c:pt idx="7">
                <c:v>Untitled 2</c:v>
              </c:pt>
              <c:pt idx="8">
                <c:v>Untitled 3</c:v>
              </c:pt>
            </c:strLit>
          </c:cat>
          <c:val>
            <c:numRef>
              <c:f>'net worth - net worth'!$F$12,'net worth - net worth'!$F$13,'net worth - net worth'!$F$2,'net worth - net worth'!$D$5,'net worth - net worth'!$D$4,'net worth - net worth'!$D$10,'net worth - net worth'!$D$9,'net worth - net worth'!$D$8,'net worth - net worth'!$D$7</c:f>
              <c:numCache>
                <c:ptCount val="9"/>
                <c:pt idx="0">
                  <c:v>0.065182</c:v>
                </c:pt>
                <c:pt idx="1">
                  <c:v>0.538804</c:v>
                </c:pt>
                <c:pt idx="2">
                  <c:v>0.006303</c:v>
                </c:pt>
                <c:pt idx="3">
                  <c:v>0.004042</c:v>
                </c:pt>
                <c:pt idx="4">
                  <c:v>0.038566</c:v>
                </c:pt>
                <c:pt idx="5">
                  <c:v>0.163949</c:v>
                </c:pt>
                <c:pt idx="6">
                  <c:v>0.104535</c:v>
                </c:pt>
                <c:pt idx="7">
                  <c:v>0.073801</c:v>
                </c:pt>
                <c:pt idx="8">
                  <c:v>0.004817</c:v>
                </c:pt>
              </c:numCache>
            </c:numRef>
          </c:val>
        </c:ser>
        <c:firstSliceAng val="0"/>
      </c:pieChart>
      <c:spPr>
        <a:noFill/>
        <a:ln w="12700" cap="flat">
          <a:noFill/>
          <a:miter lim="400000"/>
        </a:ln>
        <a:effectLst/>
      </c:spPr>
    </c:plotArea>
    <c:plotVisOnly val="0"/>
    <c:dispBlanksAs val="gap"/>
  </c:chart>
  <c:spPr>
    <a:noFill/>
    <a:ln>
      <a:noFill/>
    </a:ln>
    <a:effectLst/>
  </c:spPr>
</c:chartSpace>
</file>

<file path=xl/charts/chart1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87432"/>
          <c:y val="0.126472"/>
          <c:w val="0.888145"/>
          <c:h val="0.810031"/>
        </c:manualLayout>
      </c:layout>
      <c:barChart>
        <c:barDir val="col"/>
        <c:grouping val="percentStacked"/>
        <c:varyColors val="0"/>
        <c:ser>
          <c:idx val="0"/>
          <c:order val="0"/>
          <c:tx>
            <c:strRef>
              <c:f>'net worth - Table 1-1'!$J$1</c:f>
              <c:strCache>
                <c:ptCount val="1"/>
                <c:pt idx="0">
                  <c:v>retiro</c:v>
                </c:pt>
              </c:strCache>
            </c:strRef>
          </c:tx>
          <c:spPr>
            <a:solidFill>
              <a:srgbClr val="8BCA5A"/>
            </a:solidFill>
            <a:ln w="12700" cap="flat">
              <a:noFill/>
              <a:miter lim="400000"/>
            </a:ln>
            <a:effectLst/>
          </c:spPr>
          <c:invertIfNegative val="0"/>
          <c:dLbls>
            <c:numFmt formatCode="0" sourceLinked="0"/>
            <c:txPr>
              <a:bodyPr/>
              <a:lstStyle/>
              <a:p>
                <a:pPr>
                  <a:defRPr b="1" i="0" strike="noStrike" sz="900" u="none">
                    <a:solidFill>
                      <a:srgbClr val="FFFFFF"/>
                    </a:solidFill>
                    <a:latin typeface="Helvetica"/>
                  </a:defRPr>
                </a:pPr>
              </a:p>
            </c:txPr>
            <c:dLblPos val="ctr"/>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1-1'!$J$2:$J$113</c:f>
              <c:numCache>
                <c:ptCount val="112"/>
                <c:pt idx="0">
                  <c:v>125077.618636</c:v>
                </c:pt>
                <c:pt idx="1">
                  <c:v>258133.666667</c:v>
                </c:pt>
                <c:pt idx="2">
                  <c:v>400706.298751</c:v>
                </c:pt>
                <c:pt idx="3">
                  <c:v>542699.387128</c:v>
                </c:pt>
                <c:pt idx="4">
                  <c:v>707382.000000</c:v>
                </c:pt>
                <c:pt idx="5">
                  <c:v>856326.000000</c:v>
                </c:pt>
                <c:pt idx="6">
                  <c:v>995738.000000</c:v>
                </c:pt>
                <c:pt idx="7">
                  <c:v>1183085.000000</c:v>
                </c:pt>
                <c:pt idx="8">
                  <c:v>1285565.000000</c:v>
                </c:pt>
                <c:pt idx="9">
                  <c:v>1466655.000000</c:v>
                </c:pt>
                <c:pt idx="10">
                  <c:v>2038274.000000</c:v>
                </c:pt>
                <c:pt idx="11">
                  <c:v>2216616.000000</c:v>
                </c:pt>
                <c:pt idx="12">
                  <c:v>2745221.000000</c:v>
                </c:pt>
                <c:pt idx="13">
                  <c:v>3242414.000000</c:v>
                </c:pt>
                <c:pt idx="14">
                  <c:v>3801924.000000</c:v>
                </c:pt>
                <c:pt idx="15">
                  <c:v>4211425.000000</c:v>
                </c:pt>
                <c:pt idx="16">
                  <c:v>4455543.000000</c:v>
                </c:pt>
                <c:pt idx="17">
                  <c:v>4690498.000000</c:v>
                </c:pt>
                <c:pt idx="18">
                  <c:v>4885955.000000</c:v>
                </c:pt>
                <c:pt idx="19">
                  <c:v>5316618.000000</c:v>
                </c:pt>
                <c:pt idx="20">
                  <c:v>5652546.000000</c:v>
                </c:pt>
                <c:pt idx="21">
                  <c:v>6102728.000000</c:v>
                </c:pt>
                <c:pt idx="22">
                  <c:v>6508035.000000</c:v>
                </c:pt>
                <c:pt idx="23">
                  <c:v>6705233.000000</c:v>
                </c:pt>
                <c:pt idx="24">
                  <c:v>7465026.000000</c:v>
                </c:pt>
                <c:pt idx="25">
                  <c:v>8727943.000000</c:v>
                </c:pt>
                <c:pt idx="26">
                  <c:v>9706764.000000</c:v>
                </c:pt>
                <c:pt idx="27">
                  <c:v>10268544.000000</c:v>
                </c:pt>
                <c:pt idx="28">
                  <c:v>10713626.000000</c:v>
                </c:pt>
                <c:pt idx="29">
                  <c:v>12167081.000000</c:v>
                </c:pt>
                <c:pt idx="30">
                  <c:v>15116086.000000</c:v>
                </c:pt>
                <c:pt idx="31">
                  <c:v>16314295.000000</c:v>
                </c:pt>
                <c:pt idx="32">
                  <c:v>15812613.000000</c:v>
                </c:pt>
                <c:pt idx="33">
                  <c:v>14620358.000000</c:v>
                </c:pt>
                <c:pt idx="34">
                  <c:v>16681350.000000</c:v>
                </c:pt>
                <c:pt idx="35">
                  <c:v>17232140.000000</c:v>
                </c:pt>
                <c:pt idx="36">
                  <c:v>18103738.000000</c:v>
                </c:pt>
                <c:pt idx="37">
                  <c:v>17842781.000000</c:v>
                </c:pt>
                <c:pt idx="38">
                  <c:v>19644283.000000</c:v>
                </c:pt>
                <c:pt idx="39">
                  <c:v>19753056.000000</c:v>
                </c:pt>
                <c:pt idx="40">
                  <c:v>20205177.000000</c:v>
                </c:pt>
                <c:pt idx="41">
                  <c:v>24741401.000000</c:v>
                </c:pt>
                <c:pt idx="42">
                  <c:v>24996909.000000</c:v>
                </c:pt>
                <c:pt idx="43">
                  <c:v>26605964.000000</c:v>
                </c:pt>
                <c:pt idx="44">
                  <c:v>26276514.000000</c:v>
                </c:pt>
                <c:pt idx="45">
                  <c:v>26468919.000000</c:v>
                </c:pt>
                <c:pt idx="46">
                  <c:v>26831586.000000</c:v>
                </c:pt>
                <c:pt idx="47">
                  <c:v>26074930.000000</c:v>
                </c:pt>
                <c:pt idx="48">
                  <c:v>27273553.000000</c:v>
                </c:pt>
                <c:pt idx="49">
                  <c:v>27678934.000000</c:v>
                </c:pt>
                <c:pt idx="50">
                  <c:v>28802430.000000</c:v>
                </c:pt>
                <c:pt idx="51">
                  <c:v>28562813.000000</c:v>
                </c:pt>
                <c:pt idx="52">
                  <c:v>30396264.000000</c:v>
                </c:pt>
                <c:pt idx="53">
                  <c:v>31801432.000000</c:v>
                </c:pt>
                <c:pt idx="54">
                  <c:v>32643647.000000</c:v>
                </c:pt>
                <c:pt idx="55">
                  <c:v>28648275.000000</c:v>
                </c:pt>
                <c:pt idx="56">
                  <c:v>29824732.000000</c:v>
                </c:pt>
                <c:pt idx="57">
                  <c:v>29858917.000000</c:v>
                </c:pt>
                <c:pt idx="58">
                  <c:v>28948486.000000</c:v>
                </c:pt>
                <c:pt idx="59">
                  <c:v>28375092.000000</c:v>
                </c:pt>
                <c:pt idx="60">
                  <c:v>29375872.000000</c:v>
                </c:pt>
                <c:pt idx="61">
                  <c:v>30855592.000000</c:v>
                </c:pt>
                <c:pt idx="62">
                  <c:v>29595744.000000</c:v>
                </c:pt>
                <c:pt idx="63">
                  <c:v>28650578.000000</c:v>
                </c:pt>
                <c:pt idx="64">
                  <c:v>29645788.000000</c:v>
                </c:pt>
                <c:pt idx="65">
                  <c:v>30555644.000000</c:v>
                </c:pt>
                <c:pt idx="66">
                  <c:v>28908368.000000</c:v>
                </c:pt>
                <c:pt idx="67">
                  <c:v>30207739.000000</c:v>
                </c:pt>
                <c:pt idx="68">
                  <c:v>31410262.000000</c:v>
                </c:pt>
                <c:pt idx="69">
                  <c:v>31571249.000000</c:v>
                </c:pt>
                <c:pt idx="70">
                  <c:v>32727251.000000</c:v>
                </c:pt>
                <c:pt idx="71">
                  <c:v>34805276.000000</c:v>
                </c:pt>
                <c:pt idx="72">
                  <c:v>36655505.000000</c:v>
                </c:pt>
                <c:pt idx="73">
                  <c:v>40562909.000000</c:v>
                </c:pt>
                <c:pt idx="74">
                  <c:v>40849651.000000</c:v>
                </c:pt>
                <c:pt idx="75">
                  <c:v>41247935.000000</c:v>
                </c:pt>
                <c:pt idx="76">
                  <c:v>40733932.000000</c:v>
                </c:pt>
                <c:pt idx="77">
                  <c:v>43199319.000000</c:v>
                </c:pt>
                <c:pt idx="78">
                  <c:v>46828798.000000</c:v>
                </c:pt>
                <c:pt idx="79">
                  <c:v>49785374.000000</c:v>
                </c:pt>
                <c:pt idx="80">
                  <c:v>54896976.000000</c:v>
                </c:pt>
                <c:pt idx="81">
                  <c:v>57378009.000000</c:v>
                </c:pt>
                <c:pt idx="82">
                  <c:v>55045088.000000</c:v>
                </c:pt>
                <c:pt idx="83">
                  <c:v>55862689.000000</c:v>
                </c:pt>
                <c:pt idx="84">
                  <c:v>59785150.000000</c:v>
                </c:pt>
                <c:pt idx="85">
                  <c:v>60385104.000000</c:v>
                </c:pt>
                <c:pt idx="86">
                  <c:v>59554364.000000</c:v>
                </c:pt>
                <c:pt idx="87">
                  <c:v>60554743.000000</c:v>
                </c:pt>
                <c:pt idx="88">
                  <c:v>64710559.000000</c:v>
                </c:pt>
                <c:pt idx="89">
                  <c:v>67499202.000000</c:v>
                </c:pt>
                <c:pt idx="90">
                  <c:v>68882160.000000</c:v>
                </c:pt>
                <c:pt idx="91">
                  <c:v>69636042.000000</c:v>
                </c:pt>
                <c:pt idx="92">
                  <c:v>66846151.000000</c:v>
                </c:pt>
                <c:pt idx="93">
                  <c:v>63959762.000000</c:v>
                </c:pt>
                <c:pt idx="94">
                  <c:v>64771502.000000</c:v>
                </c:pt>
                <c:pt idx="95">
                  <c:v>68728850.000000</c:v>
                </c:pt>
                <c:pt idx="96">
                  <c:v>72317665.000000</c:v>
                </c:pt>
                <c:pt idx="97">
                  <c:v>77222409.000000</c:v>
                </c:pt>
                <c:pt idx="98">
                  <c:v>78832882.000000</c:v>
                </c:pt>
                <c:pt idx="99">
                  <c:v>82492923.000000</c:v>
                </c:pt>
                <c:pt idx="100">
                  <c:v>84572045.000000</c:v>
                </c:pt>
                <c:pt idx="101">
                  <c:v>83871204.000000</c:v>
                </c:pt>
                <c:pt idx="102">
                  <c:v>83724577.000000</c:v>
                </c:pt>
                <c:pt idx="103">
                  <c:v>83397458.000000</c:v>
                </c:pt>
                <c:pt idx="104">
                  <c:v>84349513.000000</c:v>
                </c:pt>
                <c:pt idx="105">
                  <c:v>84301432.000000</c:v>
                </c:pt>
                <c:pt idx="106">
                  <c:v>92679933.000000</c:v>
                </c:pt>
                <c:pt idx="107">
                  <c:v>93254171.000000</c:v>
                </c:pt>
                <c:pt idx="108">
                  <c:v>93254171.000000</c:v>
                </c:pt>
                <c:pt idx="109">
                  <c:v>93254171.000000</c:v>
                </c:pt>
                <c:pt idx="110">
                  <c:v>93254171.000000</c:v>
                </c:pt>
                <c:pt idx="111">
                  <c:v>93254171.000000</c:v>
                </c:pt>
              </c:numCache>
            </c:numRef>
          </c:val>
        </c:ser>
        <c:ser>
          <c:idx val="1"/>
          <c:order val="1"/>
          <c:tx>
            <c:strRef>
              <c:f>'net worth - Table 1-1'!$H$1</c:f>
              <c:strCache>
                <c:ptCount val="1"/>
                <c:pt idx="0">
                  <c:v>brokerage</c:v>
                </c:pt>
              </c:strCache>
            </c:strRef>
          </c:tx>
          <c:spPr>
            <a:solidFill>
              <a:srgbClr val="68A5F3"/>
            </a:solidFill>
            <a:ln w="12700" cap="flat">
              <a:noFill/>
              <a:miter lim="400000"/>
            </a:ln>
            <a:effectLst/>
          </c:spPr>
          <c:invertIfNegative val="0"/>
          <c:dLbls>
            <c:numFmt formatCode="0" sourceLinked="0"/>
            <c:txPr>
              <a:bodyPr/>
              <a:lstStyle/>
              <a:p>
                <a:pPr>
                  <a:defRPr b="0" i="0" strike="noStrike" sz="900" u="none">
                    <a:solidFill>
                      <a:srgbClr val="000000"/>
                    </a:solidFill>
                    <a:latin typeface="Helvetica"/>
                  </a:defRPr>
                </a:pPr>
              </a:p>
            </c:txPr>
            <c:dLblPos val="ctr"/>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1-1'!$H$2:$H$113</c:f>
              <c:numCache>
                <c:ptCount val="112"/>
                <c:pt idx="0">
                  <c:v>1001010.000000</c:v>
                </c:pt>
                <c:pt idx="1">
                  <c:v>998000.000000</c:v>
                </c:pt>
                <c:pt idx="2">
                  <c:v>997000.000000</c:v>
                </c:pt>
                <c:pt idx="3">
                  <c:v>994000.000000</c:v>
                </c:pt>
                <c:pt idx="4">
                  <c:v>1193708.000000</c:v>
                </c:pt>
                <c:pt idx="5">
                  <c:v>1699339.000000</c:v>
                </c:pt>
                <c:pt idx="6">
                  <c:v>1894508.000000</c:v>
                </c:pt>
                <c:pt idx="7">
                  <c:v>1916082.000000</c:v>
                </c:pt>
                <c:pt idx="8">
                  <c:v>2087612.000000</c:v>
                </c:pt>
                <c:pt idx="9">
                  <c:v>2203156.000000</c:v>
                </c:pt>
                <c:pt idx="10">
                  <c:v>2492415.000000</c:v>
                </c:pt>
                <c:pt idx="11">
                  <c:v>2596609.000000</c:v>
                </c:pt>
                <c:pt idx="12">
                  <c:v>2798266.000000</c:v>
                </c:pt>
                <c:pt idx="13">
                  <c:v>2981456.000000</c:v>
                </c:pt>
                <c:pt idx="14">
                  <c:v>3229751.000000</c:v>
                </c:pt>
                <c:pt idx="15">
                  <c:v>3303248.000000</c:v>
                </c:pt>
                <c:pt idx="16">
                  <c:v>3417029.000000</c:v>
                </c:pt>
                <c:pt idx="17">
                  <c:v>3809924.000000</c:v>
                </c:pt>
                <c:pt idx="18">
                  <c:v>4148904.000000</c:v>
                </c:pt>
                <c:pt idx="19">
                  <c:v>4603346.000000</c:v>
                </c:pt>
                <c:pt idx="20">
                  <c:v>5403216.000000</c:v>
                </c:pt>
                <c:pt idx="21">
                  <c:v>6824490.000000</c:v>
                </c:pt>
                <c:pt idx="22">
                  <c:v>7804460.000000</c:v>
                </c:pt>
                <c:pt idx="23">
                  <c:v>8700750.000000</c:v>
                </c:pt>
                <c:pt idx="24">
                  <c:v>9778523.000000</c:v>
                </c:pt>
                <c:pt idx="25">
                  <c:v>10571456.000000</c:v>
                </c:pt>
                <c:pt idx="26">
                  <c:v>10684713.000000</c:v>
                </c:pt>
                <c:pt idx="27">
                  <c:v>11544666.000000</c:v>
                </c:pt>
                <c:pt idx="28">
                  <c:v>12106440.000000</c:v>
                </c:pt>
                <c:pt idx="29">
                  <c:v>14496255.000000</c:v>
                </c:pt>
                <c:pt idx="30">
                  <c:v>13411060.000000</c:v>
                </c:pt>
                <c:pt idx="31">
                  <c:v>14574351.000000</c:v>
                </c:pt>
                <c:pt idx="32">
                  <c:v>13559687.000000</c:v>
                </c:pt>
                <c:pt idx="33">
                  <c:v>12412477.000000</c:v>
                </c:pt>
                <c:pt idx="34">
                  <c:v>13839283.000000</c:v>
                </c:pt>
                <c:pt idx="35">
                  <c:v>13939112.000000</c:v>
                </c:pt>
                <c:pt idx="36">
                  <c:v>14721044.000000</c:v>
                </c:pt>
                <c:pt idx="37">
                  <c:v>14242037.000000</c:v>
                </c:pt>
                <c:pt idx="38">
                  <c:v>16025314.000000</c:v>
                </c:pt>
                <c:pt idx="39">
                  <c:v>12781177.000000</c:v>
                </c:pt>
                <c:pt idx="40">
                  <c:v>12237434.000000</c:v>
                </c:pt>
                <c:pt idx="41">
                  <c:v>13809591.000000</c:v>
                </c:pt>
                <c:pt idx="42">
                  <c:v>13490786.000000</c:v>
                </c:pt>
                <c:pt idx="43">
                  <c:v>14079388.000000</c:v>
                </c:pt>
                <c:pt idx="44">
                  <c:v>13907650.000000</c:v>
                </c:pt>
                <c:pt idx="45">
                  <c:v>13815520.000000</c:v>
                </c:pt>
                <c:pt idx="46">
                  <c:v>14686023.000000</c:v>
                </c:pt>
                <c:pt idx="47">
                  <c:v>15436852.000000</c:v>
                </c:pt>
                <c:pt idx="48">
                  <c:v>16991759.000000</c:v>
                </c:pt>
                <c:pt idx="49">
                  <c:v>17935236.000000</c:v>
                </c:pt>
                <c:pt idx="50">
                  <c:v>18749937.000000</c:v>
                </c:pt>
                <c:pt idx="51">
                  <c:v>18459742.000000</c:v>
                </c:pt>
                <c:pt idx="52">
                  <c:v>19822509.000000</c:v>
                </c:pt>
                <c:pt idx="53">
                  <c:v>20631759.000000</c:v>
                </c:pt>
                <c:pt idx="54">
                  <c:v>20792432.000000</c:v>
                </c:pt>
                <c:pt idx="55">
                  <c:v>18067651.000000</c:v>
                </c:pt>
                <c:pt idx="56">
                  <c:v>18212076.000000</c:v>
                </c:pt>
                <c:pt idx="57">
                  <c:v>20276098.000000</c:v>
                </c:pt>
                <c:pt idx="58">
                  <c:v>19542857.000000</c:v>
                </c:pt>
                <c:pt idx="59">
                  <c:v>19059853.000000</c:v>
                </c:pt>
                <c:pt idx="60">
                  <c:v>19707911.000000</c:v>
                </c:pt>
                <c:pt idx="61">
                  <c:v>20826478.000000</c:v>
                </c:pt>
                <c:pt idx="62">
                  <c:v>19636133.000000</c:v>
                </c:pt>
                <c:pt idx="63">
                  <c:v>18911493.000000</c:v>
                </c:pt>
                <c:pt idx="64">
                  <c:v>19413118.000000</c:v>
                </c:pt>
                <c:pt idx="65">
                  <c:v>19600732.000000</c:v>
                </c:pt>
                <c:pt idx="66">
                  <c:v>18905117.000000</c:v>
                </c:pt>
                <c:pt idx="67">
                  <c:v>19423234.000000</c:v>
                </c:pt>
                <c:pt idx="68">
                  <c:v>19770460.000000</c:v>
                </c:pt>
                <c:pt idx="69">
                  <c:v>19696814.000000</c:v>
                </c:pt>
                <c:pt idx="70">
                  <c:v>19754277.000000</c:v>
                </c:pt>
                <c:pt idx="71">
                  <c:v>20900676.000000</c:v>
                </c:pt>
                <c:pt idx="72">
                  <c:v>21905792.000000</c:v>
                </c:pt>
                <c:pt idx="73">
                  <c:v>23745157.000000</c:v>
                </c:pt>
                <c:pt idx="74">
                  <c:v>23329779.149703</c:v>
                </c:pt>
                <c:pt idx="75">
                  <c:v>23157780.378592</c:v>
                </c:pt>
                <c:pt idx="76">
                  <c:v>22298128.532527</c:v>
                </c:pt>
                <c:pt idx="77">
                  <c:v>23791012.943965</c:v>
                </c:pt>
                <c:pt idx="78">
                  <c:v>25673178.153746</c:v>
                </c:pt>
                <c:pt idx="79">
                  <c:v>26745235.000000</c:v>
                </c:pt>
                <c:pt idx="80">
                  <c:v>29143747.000000</c:v>
                </c:pt>
                <c:pt idx="81">
                  <c:v>30214405.000000</c:v>
                </c:pt>
                <c:pt idx="82">
                  <c:v>28198430.000000</c:v>
                </c:pt>
                <c:pt idx="83">
                  <c:v>28535192.000000</c:v>
                </c:pt>
                <c:pt idx="84">
                  <c:v>30554913.000000</c:v>
                </c:pt>
                <c:pt idx="85">
                  <c:v>30517714.000000</c:v>
                </c:pt>
                <c:pt idx="86">
                  <c:v>29754534.000000</c:v>
                </c:pt>
                <c:pt idx="87">
                  <c:v>29922775.000000</c:v>
                </c:pt>
                <c:pt idx="88">
                  <c:v>32678334.000000</c:v>
                </c:pt>
                <c:pt idx="89">
                  <c:v>34016988.000000</c:v>
                </c:pt>
                <c:pt idx="90">
                  <c:v>31621022.000000</c:v>
                </c:pt>
                <c:pt idx="91">
                  <c:v>27651134.000000</c:v>
                </c:pt>
                <c:pt idx="92">
                  <c:v>16524027.000000</c:v>
                </c:pt>
                <c:pt idx="93">
                  <c:v>8883436.000000</c:v>
                </c:pt>
                <c:pt idx="94">
                  <c:v>7768712.000000</c:v>
                </c:pt>
                <c:pt idx="95">
                  <c:v>8245002.000000</c:v>
                </c:pt>
                <c:pt idx="96">
                  <c:v>8725297.000000</c:v>
                </c:pt>
                <c:pt idx="97">
                  <c:v>9319731.000000</c:v>
                </c:pt>
                <c:pt idx="98">
                  <c:v>9399360.000000</c:v>
                </c:pt>
                <c:pt idx="99">
                  <c:v>9865241.000000</c:v>
                </c:pt>
                <c:pt idx="100">
                  <c:v>10062691.000000</c:v>
                </c:pt>
                <c:pt idx="101">
                  <c:v>9804175.000000</c:v>
                </c:pt>
                <c:pt idx="102">
                  <c:v>9693331.000000</c:v>
                </c:pt>
                <c:pt idx="103">
                  <c:v>9477852.000000</c:v>
                </c:pt>
                <c:pt idx="104">
                  <c:v>9501503.000000</c:v>
                </c:pt>
                <c:pt idx="105">
                  <c:v>9862963.000000</c:v>
                </c:pt>
                <c:pt idx="106">
                  <c:v>10970244.000000</c:v>
                </c:pt>
                <c:pt idx="107">
                  <c:v>11447471.000000</c:v>
                </c:pt>
                <c:pt idx="108">
                  <c:v>11447471.000000</c:v>
                </c:pt>
                <c:pt idx="109">
                  <c:v>11447471.000000</c:v>
                </c:pt>
                <c:pt idx="110">
                  <c:v>11447471.000000</c:v>
                </c:pt>
                <c:pt idx="111">
                  <c:v>11447471.000000</c:v>
                </c:pt>
              </c:numCache>
            </c:numRef>
          </c:val>
        </c:ser>
        <c:ser>
          <c:idx val="2"/>
          <c:order val="2"/>
          <c:tx>
            <c:strRef>
              <c:f>'net worth - Table 1-1'!$I$1</c:f>
              <c:strCache>
                <c:ptCount val="1"/>
                <c:pt idx="0">
                  <c:v>cripto</c:v>
                </c:pt>
              </c:strCache>
            </c:strRef>
          </c:tx>
          <c:spPr>
            <a:solidFill>
              <a:srgbClr val="EBBD46"/>
            </a:solidFill>
            <a:ln w="12700" cap="flat">
              <a:noFill/>
              <a:miter lim="400000"/>
            </a:ln>
            <a:effectLst/>
          </c:spPr>
          <c:invertIfNegative val="0"/>
          <c:dLbls>
            <c:numFmt formatCode="0" sourceLinked="0"/>
            <c:txPr>
              <a:bodyPr/>
              <a:lstStyle/>
              <a:p>
                <a:pPr>
                  <a:defRPr b="0" i="0" strike="noStrike" sz="500" u="none">
                    <a:solidFill>
                      <a:srgbClr val="000000"/>
                    </a:solidFill>
                    <a:latin typeface="Helvetica"/>
                  </a:defRPr>
                </a:pPr>
              </a:p>
            </c:txPr>
            <c:dLblPos val="ctr"/>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1-1'!$I$2:$I$113</c:f>
              <c:numCache>
                <c:ptCount val="107"/>
                <c:pt idx="5">
                  <c:v>1272218.016381</c:v>
                </c:pt>
                <c:pt idx="6">
                  <c:v>3085682.427160</c:v>
                </c:pt>
                <c:pt idx="7">
                  <c:v>3257439.546983</c:v>
                </c:pt>
                <c:pt idx="8">
                  <c:v>2845882.118525</c:v>
                </c:pt>
                <c:pt idx="9">
                  <c:v>1531932.586529</c:v>
                </c:pt>
                <c:pt idx="10">
                  <c:v>2079903.766844</c:v>
                </c:pt>
                <c:pt idx="11">
                  <c:v>2328343.296500</c:v>
                </c:pt>
                <c:pt idx="12">
                  <c:v>1861409.139053</c:v>
                </c:pt>
                <c:pt idx="13">
                  <c:v>2137166.363382</c:v>
                </c:pt>
                <c:pt idx="14">
                  <c:v>1552135.009554</c:v>
                </c:pt>
                <c:pt idx="15">
                  <c:v>1309430.128021</c:v>
                </c:pt>
                <c:pt idx="16">
                  <c:v>1247016.868837</c:v>
                </c:pt>
                <c:pt idx="17">
                  <c:v>730535.000000</c:v>
                </c:pt>
                <c:pt idx="18">
                  <c:v>799676.480250</c:v>
                </c:pt>
                <c:pt idx="19">
                  <c:v>612249.381426</c:v>
                </c:pt>
                <c:pt idx="20">
                  <c:v>734791.194822</c:v>
                </c:pt>
                <c:pt idx="21">
                  <c:v>775047.015228</c:v>
                </c:pt>
                <c:pt idx="22">
                  <c:v>974972.052839</c:v>
                </c:pt>
                <c:pt idx="23">
                  <c:v>1628405.463286</c:v>
                </c:pt>
                <c:pt idx="24">
                  <c:v>1841750.609045</c:v>
                </c:pt>
                <c:pt idx="25">
                  <c:v>1556940.308716</c:v>
                </c:pt>
                <c:pt idx="26">
                  <c:v>1398277.840278</c:v>
                </c:pt>
                <c:pt idx="27">
                  <c:v>1349656.190386</c:v>
                </c:pt>
                <c:pt idx="28">
                  <c:v>1440647.385831</c:v>
                </c:pt>
                <c:pt idx="29">
                  <c:v>1312157.728327</c:v>
                </c:pt>
                <c:pt idx="30">
                  <c:v>1135089.405939</c:v>
                </c:pt>
                <c:pt idx="31">
                  <c:v>1566102.832928</c:v>
                </c:pt>
                <c:pt idx="32">
                  <c:v>1760275.735882</c:v>
                </c:pt>
                <c:pt idx="33">
                  <c:v>1203911.958255</c:v>
                </c:pt>
                <c:pt idx="34">
                  <c:v>1712738.800732</c:v>
                </c:pt>
                <c:pt idx="35">
                  <c:v>1812397.572734</c:v>
                </c:pt>
                <c:pt idx="36">
                  <c:v>1817898.813805</c:v>
                </c:pt>
                <c:pt idx="37">
                  <c:v>2334350.117538</c:v>
                </c:pt>
                <c:pt idx="38">
                  <c:v>2807232.170791</c:v>
                </c:pt>
                <c:pt idx="39">
                  <c:v>2409646.420111</c:v>
                </c:pt>
                <c:pt idx="40">
                  <c:v>2757821.488860</c:v>
                </c:pt>
                <c:pt idx="41">
                  <c:v>4029227.007488</c:v>
                </c:pt>
                <c:pt idx="42">
                  <c:v>5210367.989024</c:v>
                </c:pt>
                <c:pt idx="43">
                  <c:v>5366295.342190</c:v>
                </c:pt>
                <c:pt idx="44">
                  <c:v>5389762.722618</c:v>
                </c:pt>
                <c:pt idx="45">
                  <c:v>6549555.348331</c:v>
                </c:pt>
                <c:pt idx="46">
                  <c:v>7930245.304117</c:v>
                </c:pt>
                <c:pt idx="47">
                  <c:v>5478561.881851</c:v>
                </c:pt>
                <c:pt idx="48">
                  <c:v>4823022.646831</c:v>
                </c:pt>
                <c:pt idx="49">
                  <c:v>5742654.000000</c:v>
                </c:pt>
                <c:pt idx="50">
                  <c:v>7594332.000000</c:v>
                </c:pt>
                <c:pt idx="51">
                  <c:v>7890259.000000</c:v>
                </c:pt>
                <c:pt idx="52">
                  <c:v>10132393.000000</c:v>
                </c:pt>
                <c:pt idx="53">
                  <c:v>10582141.000000</c:v>
                </c:pt>
                <c:pt idx="54">
                  <c:v>8730136.000000</c:v>
                </c:pt>
                <c:pt idx="55">
                  <c:v>6238387.000000</c:v>
                </c:pt>
                <c:pt idx="56">
                  <c:v>6847253.000000</c:v>
                </c:pt>
                <c:pt idx="57">
                  <c:v>7437840.000000</c:v>
                </c:pt>
                <c:pt idx="58">
                  <c:v>6723473.000000</c:v>
                </c:pt>
                <c:pt idx="59">
                  <c:v>4904826.000000</c:v>
                </c:pt>
                <c:pt idx="60">
                  <c:v>3258118.000000</c:v>
                </c:pt>
                <c:pt idx="61">
                  <c:v>4418151.000000</c:v>
                </c:pt>
                <c:pt idx="62">
                  <c:v>3909076.000000</c:v>
                </c:pt>
                <c:pt idx="63">
                  <c:v>3770406.000000</c:v>
                </c:pt>
                <c:pt idx="64">
                  <c:v>4210664.000000</c:v>
                </c:pt>
                <c:pt idx="65">
                  <c:v>3259478.000000</c:v>
                </c:pt>
                <c:pt idx="66">
                  <c:v>2901477.000000</c:v>
                </c:pt>
                <c:pt idx="67">
                  <c:v>3697443.000000</c:v>
                </c:pt>
                <c:pt idx="68">
                  <c:v>3906693.000000</c:v>
                </c:pt>
                <c:pt idx="69">
                  <c:v>4459288.000000</c:v>
                </c:pt>
                <c:pt idx="70">
                  <c:v>4585803.000000</c:v>
                </c:pt>
                <c:pt idx="71">
                  <c:v>4373034.000000</c:v>
                </c:pt>
                <c:pt idx="72">
                  <c:v>4651210.000000</c:v>
                </c:pt>
                <c:pt idx="73">
                  <c:v>4620601.000000</c:v>
                </c:pt>
                <c:pt idx="74">
                  <c:v>4239791.000000</c:v>
                </c:pt>
                <c:pt idx="75">
                  <c:v>4680294.000000</c:v>
                </c:pt>
                <c:pt idx="76">
                  <c:v>5281470.000000</c:v>
                </c:pt>
                <c:pt idx="77">
                  <c:v>5701123.000000</c:v>
                </c:pt>
                <c:pt idx="78">
                  <c:v>5935614.000000</c:v>
                </c:pt>
                <c:pt idx="79">
                  <c:v>6138257.000000</c:v>
                </c:pt>
                <c:pt idx="80">
                  <c:v>9422555.000000</c:v>
                </c:pt>
                <c:pt idx="81">
                  <c:v>10238676.000000</c:v>
                </c:pt>
                <c:pt idx="82">
                  <c:v>8998809.000000</c:v>
                </c:pt>
                <c:pt idx="83">
                  <c:v>9854948.000000</c:v>
                </c:pt>
                <c:pt idx="84">
                  <c:v>9174454.000000</c:v>
                </c:pt>
                <c:pt idx="85">
                  <c:v>8981575.000000</c:v>
                </c:pt>
                <c:pt idx="86">
                  <c:v>7080412.000000</c:v>
                </c:pt>
                <c:pt idx="87">
                  <c:v>7581058.000000</c:v>
                </c:pt>
                <c:pt idx="88">
                  <c:v>8247740.000000</c:v>
                </c:pt>
                <c:pt idx="89">
                  <c:v>11175459.000000</c:v>
                </c:pt>
                <c:pt idx="90">
                  <c:v>10855466.000000</c:v>
                </c:pt>
                <c:pt idx="91">
                  <c:v>10158709.000000</c:v>
                </c:pt>
                <c:pt idx="92">
                  <c:v>5287672.000000</c:v>
                </c:pt>
                <c:pt idx="93">
                  <c:v>1721793.000000</c:v>
                </c:pt>
                <c:pt idx="94">
                  <c:v>1974510.000000</c:v>
                </c:pt>
                <c:pt idx="95">
                  <c:v>2164795.000000</c:v>
                </c:pt>
                <c:pt idx="96">
                  <c:v>2528175.000000</c:v>
                </c:pt>
                <c:pt idx="97">
                  <c:v>2730431.000000</c:v>
                </c:pt>
                <c:pt idx="98">
                  <c:v>2617689.000000</c:v>
                </c:pt>
                <c:pt idx="99">
                  <c:v>2700878.000000</c:v>
                </c:pt>
                <c:pt idx="100">
                  <c:v>2520334.000000</c:v>
                </c:pt>
                <c:pt idx="101">
                  <c:v>1971851.000000</c:v>
                </c:pt>
                <c:pt idx="102">
                  <c:v>1922666.000000</c:v>
                </c:pt>
                <c:pt idx="103">
                  <c:v>1654148.000000</c:v>
                </c:pt>
                <c:pt idx="104">
                  <c:v>1408789.000000</c:v>
                </c:pt>
                <c:pt idx="105">
                  <c:v>1524311.000000</c:v>
                </c:pt>
                <c:pt idx="106">
                  <c:v>1693457.000000</c:v>
                </c:pt>
                <c:pt idx="107">
                  <c:v>1693457.000000</c:v>
                </c:pt>
                <c:pt idx="108">
                  <c:v>1693457.000000</c:v>
                </c:pt>
                <c:pt idx="109">
                  <c:v>1693457.000000</c:v>
                </c:pt>
                <c:pt idx="110">
                  <c:v>1693457.000000</c:v>
                </c:pt>
                <c:pt idx="111">
                  <c:v>1693457.000000</c:v>
                </c:pt>
              </c:numCache>
            </c:numRef>
          </c:val>
        </c:ser>
        <c:ser>
          <c:idx val="3"/>
          <c:order val="3"/>
          <c:tx>
            <c:strRef>
              <c:f>'net worth - Table 1-1'!$K$1</c:f>
              <c:strCache>
                <c:ptCount val="1"/>
                <c:pt idx="0">
                  <c:v>cash and eqs</c:v>
                </c:pt>
              </c:strCache>
            </c:strRef>
          </c:tx>
          <c:spPr>
            <a:solidFill>
              <a:srgbClr val="C9E4F6"/>
            </a:solidFill>
            <a:ln w="12700" cap="flat">
              <a:noFill/>
              <a:miter lim="400000"/>
            </a:ln>
            <a:effectLst/>
          </c:spPr>
          <c:invertIfNegative val="0"/>
          <c:dLbls>
            <c:numFmt formatCode="0" sourceLinked="0"/>
            <c:txPr>
              <a:bodyPr/>
              <a:lstStyle/>
              <a:p>
                <a:pPr>
                  <a:defRPr b="0" i="0" strike="noStrike" sz="900" u="none">
                    <a:solidFill>
                      <a:srgbClr val="000000"/>
                    </a:solidFill>
                    <a:latin typeface="Helvetica"/>
                  </a:defRPr>
                </a:pPr>
              </a:p>
            </c:txPr>
            <c:dLblPos val="ctr"/>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1-1'!$K$2:$K$113</c:f>
              <c:numCache>
                <c:ptCount val="112"/>
                <c:pt idx="0">
                  <c:v>3126507.000000</c:v>
                </c:pt>
                <c:pt idx="1">
                  <c:v>3179695.000000</c:v>
                </c:pt>
                <c:pt idx="2">
                  <c:v>3232907.000000</c:v>
                </c:pt>
                <c:pt idx="3">
                  <c:v>3586213.000000</c:v>
                </c:pt>
                <c:pt idx="4">
                  <c:v>4239479.000000</c:v>
                </c:pt>
                <c:pt idx="5">
                  <c:v>4792941.000000</c:v>
                </c:pt>
                <c:pt idx="6">
                  <c:v>4853596.000000</c:v>
                </c:pt>
                <c:pt idx="7">
                  <c:v>5000000.000000</c:v>
                </c:pt>
                <c:pt idx="8">
                  <c:v>5200000.000000</c:v>
                </c:pt>
                <c:pt idx="9">
                  <c:v>5603934.000000</c:v>
                </c:pt>
                <c:pt idx="10">
                  <c:v>5857976.000000</c:v>
                </c:pt>
                <c:pt idx="11">
                  <c:v>5912133.000000</c:v>
                </c:pt>
                <c:pt idx="12">
                  <c:v>6719379.000000</c:v>
                </c:pt>
                <c:pt idx="13">
                  <c:v>7073784.000000</c:v>
                </c:pt>
                <c:pt idx="14">
                  <c:v>7428359.000000</c:v>
                </c:pt>
                <c:pt idx="15">
                  <c:v>7783074.000000</c:v>
                </c:pt>
                <c:pt idx="16">
                  <c:v>8487938.000000</c:v>
                </c:pt>
                <c:pt idx="17">
                  <c:v>9355066.000000</c:v>
                </c:pt>
                <c:pt idx="18">
                  <c:v>10010198.000000</c:v>
                </c:pt>
                <c:pt idx="19">
                  <c:v>10110198.000000</c:v>
                </c:pt>
                <c:pt idx="20">
                  <c:v>10220404.000000</c:v>
                </c:pt>
                <c:pt idx="21">
                  <c:v>10625536.000000</c:v>
                </c:pt>
                <c:pt idx="22">
                  <c:v>11125536.000000</c:v>
                </c:pt>
                <c:pt idx="23">
                  <c:v>11300704.000000</c:v>
                </c:pt>
                <c:pt idx="24">
                  <c:v>11742878.000000</c:v>
                </c:pt>
                <c:pt idx="25">
                  <c:v>12022412.000000</c:v>
                </c:pt>
                <c:pt idx="26">
                  <c:v>12582238.000000</c:v>
                </c:pt>
                <c:pt idx="27">
                  <c:v>12582238.000000</c:v>
                </c:pt>
                <c:pt idx="28">
                  <c:v>12582238.000000</c:v>
                </c:pt>
                <c:pt idx="29">
                  <c:v>12864311.000000</c:v>
                </c:pt>
                <c:pt idx="30">
                  <c:v>13147311.000000</c:v>
                </c:pt>
                <c:pt idx="31">
                  <c:v>13447311.000000</c:v>
                </c:pt>
                <c:pt idx="32">
                  <c:v>13747311.000000</c:v>
                </c:pt>
                <c:pt idx="33">
                  <c:v>13747311.000000</c:v>
                </c:pt>
                <c:pt idx="34">
                  <c:v>13747311.000000</c:v>
                </c:pt>
                <c:pt idx="35">
                  <c:v>13897311.000000</c:v>
                </c:pt>
                <c:pt idx="36">
                  <c:v>14285818.000000</c:v>
                </c:pt>
                <c:pt idx="37">
                  <c:v>14285818.000000</c:v>
                </c:pt>
                <c:pt idx="38">
                  <c:v>14285818.000000</c:v>
                </c:pt>
                <c:pt idx="39">
                  <c:v>14285818.000000</c:v>
                </c:pt>
                <c:pt idx="40">
                  <c:v>14285818.000000</c:v>
                </c:pt>
                <c:pt idx="41">
                  <c:v>14285818.000000</c:v>
                </c:pt>
                <c:pt idx="42">
                  <c:v>14285818.000000</c:v>
                </c:pt>
                <c:pt idx="43">
                  <c:v>14685818.000000</c:v>
                </c:pt>
                <c:pt idx="44">
                  <c:v>15685818.000000</c:v>
                </c:pt>
                <c:pt idx="45">
                  <c:v>17185818.000000</c:v>
                </c:pt>
                <c:pt idx="46">
                  <c:v>18000000.000000</c:v>
                </c:pt>
                <c:pt idx="47">
                  <c:v>19000000.000000</c:v>
                </c:pt>
                <c:pt idx="48">
                  <c:v>20000000.000000</c:v>
                </c:pt>
                <c:pt idx="49">
                  <c:v>20600000.000000</c:v>
                </c:pt>
                <c:pt idx="50">
                  <c:v>20600000.000000</c:v>
                </c:pt>
                <c:pt idx="51">
                  <c:v>20600000.000000</c:v>
                </c:pt>
                <c:pt idx="52">
                  <c:v>20600000.000000</c:v>
                </c:pt>
                <c:pt idx="53">
                  <c:v>19800000.000000</c:v>
                </c:pt>
                <c:pt idx="54">
                  <c:v>19000000.000000</c:v>
                </c:pt>
                <c:pt idx="55">
                  <c:v>18200000.000000</c:v>
                </c:pt>
                <c:pt idx="56">
                  <c:v>13200000.000000</c:v>
                </c:pt>
                <c:pt idx="57">
                  <c:v>9200000.000000</c:v>
                </c:pt>
                <c:pt idx="58">
                  <c:v>9200000.000000</c:v>
                </c:pt>
                <c:pt idx="59">
                  <c:v>7200000.000000</c:v>
                </c:pt>
                <c:pt idx="60">
                  <c:v>8925852.000000</c:v>
                </c:pt>
                <c:pt idx="61">
                  <c:v>8025852.000000</c:v>
                </c:pt>
                <c:pt idx="62">
                  <c:v>7125852.000000</c:v>
                </c:pt>
                <c:pt idx="63">
                  <c:v>6225852.000000</c:v>
                </c:pt>
                <c:pt idx="64">
                  <c:v>6225852.000000</c:v>
                </c:pt>
                <c:pt idx="65">
                  <c:v>6225852.000000</c:v>
                </c:pt>
                <c:pt idx="66">
                  <c:v>7000000.000000</c:v>
                </c:pt>
                <c:pt idx="67">
                  <c:v>7600000.000000</c:v>
                </c:pt>
                <c:pt idx="68">
                  <c:v>8100000.000000</c:v>
                </c:pt>
                <c:pt idx="69">
                  <c:v>8700000.000000</c:v>
                </c:pt>
                <c:pt idx="70">
                  <c:v>8700000.000000</c:v>
                </c:pt>
                <c:pt idx="71">
                  <c:v>9227950.000000</c:v>
                </c:pt>
                <c:pt idx="72">
                  <c:v>10040065.000000</c:v>
                </c:pt>
                <c:pt idx="73">
                  <c:v>10100000.000000</c:v>
                </c:pt>
                <c:pt idx="74">
                  <c:v>10100000.000000</c:v>
                </c:pt>
                <c:pt idx="75">
                  <c:v>10100000.000000</c:v>
                </c:pt>
                <c:pt idx="76">
                  <c:v>10100000.000000</c:v>
                </c:pt>
                <c:pt idx="77">
                  <c:v>10100000.000000</c:v>
                </c:pt>
                <c:pt idx="78">
                  <c:v>10100000.000000</c:v>
                </c:pt>
                <c:pt idx="79">
                  <c:v>40114000.000000</c:v>
                </c:pt>
                <c:pt idx="80">
                  <c:v>52261361.000000</c:v>
                </c:pt>
                <c:pt idx="81">
                  <c:v>57900000.000000</c:v>
                </c:pt>
                <c:pt idx="82">
                  <c:v>0.000000</c:v>
                </c:pt>
                <c:pt idx="83">
                  <c:v>0.000000</c:v>
                </c:pt>
                <c:pt idx="84">
                  <c:v>2590180.000000</c:v>
                </c:pt>
                <c:pt idx="85">
                  <c:v>6590180.000000</c:v>
                </c:pt>
                <c:pt idx="86">
                  <c:v>10590180.000000</c:v>
                </c:pt>
                <c:pt idx="87">
                  <c:v>16582969.000000</c:v>
                </c:pt>
                <c:pt idx="88">
                  <c:v>19688735.000000</c:v>
                </c:pt>
                <c:pt idx="89">
                  <c:v>4332241.000000</c:v>
                </c:pt>
                <c:pt idx="90">
                  <c:v>14275453.000000</c:v>
                </c:pt>
                <c:pt idx="91">
                  <c:v>35074047.000000</c:v>
                </c:pt>
                <c:pt idx="92">
                  <c:v>3071246.000000</c:v>
                </c:pt>
                <c:pt idx="93">
                  <c:v>4776572.400000</c:v>
                </c:pt>
                <c:pt idx="94">
                  <c:v>5912818.000000</c:v>
                </c:pt>
                <c:pt idx="95">
                  <c:v>5553109.000000</c:v>
                </c:pt>
                <c:pt idx="96">
                  <c:v>3330381.750000</c:v>
                </c:pt>
                <c:pt idx="97">
                  <c:v>362597.000000</c:v>
                </c:pt>
                <c:pt idx="98">
                  <c:v>1144754.000000</c:v>
                </c:pt>
                <c:pt idx="99">
                  <c:v>2199193.000000</c:v>
                </c:pt>
                <c:pt idx="100">
                  <c:v>-1316399.000000</c:v>
                </c:pt>
                <c:pt idx="101">
                  <c:v>-141123.000000</c:v>
                </c:pt>
                <c:pt idx="102">
                  <c:v>-1645628.000000</c:v>
                </c:pt>
                <c:pt idx="103">
                  <c:v>18610.000000</c:v>
                </c:pt>
                <c:pt idx="104">
                  <c:v>245877.000000</c:v>
                </c:pt>
                <c:pt idx="105">
                  <c:v>1880927.000000</c:v>
                </c:pt>
                <c:pt idx="106">
                  <c:v>20268684.000000</c:v>
                </c:pt>
                <c:pt idx="107">
                  <c:v>17512018.000000</c:v>
                </c:pt>
                <c:pt idx="108">
                  <c:v>14512018.000000</c:v>
                </c:pt>
                <c:pt idx="109">
                  <c:v>11512018.000000</c:v>
                </c:pt>
                <c:pt idx="110">
                  <c:v>8512018.000000</c:v>
                </c:pt>
                <c:pt idx="111">
                  <c:v>5512018.000000</c:v>
                </c:pt>
              </c:numCache>
            </c:numRef>
          </c:val>
        </c:ser>
        <c:ser>
          <c:idx val="4"/>
          <c:order val="4"/>
          <c:tx>
            <c:strRef>
              <c:f>'net worth - Table 1-1'!$G$1</c:f>
              <c:strCache>
                <c:ptCount val="1"/>
                <c:pt idx="0">
                  <c:v>real estate</c:v>
                </c:pt>
              </c:strCache>
            </c:strRef>
          </c:tx>
          <c:spPr>
            <a:solidFill>
              <a:srgbClr val="4971D3"/>
            </a:solidFill>
            <a:ln w="12700" cap="flat">
              <a:noFill/>
              <a:miter lim="400000"/>
            </a:ln>
            <a:effectLst/>
          </c:spPr>
          <c:invertIfNegative val="0"/>
          <c:dLbls>
            <c:numFmt formatCode="0" sourceLinked="0"/>
            <c:txPr>
              <a:bodyPr/>
              <a:lstStyle/>
              <a:p>
                <a:pPr>
                  <a:defRPr b="0" i="0" strike="noStrike" sz="300" u="none">
                    <a:solidFill>
                      <a:srgbClr val="000000"/>
                    </a:solidFill>
                    <a:latin typeface="Helvetica"/>
                  </a:defRPr>
                </a:pPr>
              </a:p>
            </c:txPr>
            <c:dLblPos val="ctr"/>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1-1'!$G$2:$G$113</c:f>
              <c:numCache>
                <c:ptCount val="32"/>
                <c:pt idx="80">
                  <c:v>0.000000</c:v>
                </c:pt>
                <c:pt idx="81">
                  <c:v>0.000000</c:v>
                </c:pt>
                <c:pt idx="82">
                  <c:v>54029871.000000</c:v>
                </c:pt>
                <c:pt idx="83">
                  <c:v>53026600.000000</c:v>
                </c:pt>
                <c:pt idx="84">
                  <c:v>54142929.000000</c:v>
                </c:pt>
                <c:pt idx="85">
                  <c:v>56489773.000000</c:v>
                </c:pt>
                <c:pt idx="86">
                  <c:v>59144031.000000</c:v>
                </c:pt>
                <c:pt idx="87">
                  <c:v>61781675.000000</c:v>
                </c:pt>
                <c:pt idx="88">
                  <c:v>64287949.000000</c:v>
                </c:pt>
                <c:pt idx="89">
                  <c:v>86887926.000000</c:v>
                </c:pt>
                <c:pt idx="90">
                  <c:v>89886057.000000</c:v>
                </c:pt>
                <c:pt idx="91">
                  <c:v>89810530.000000</c:v>
                </c:pt>
                <c:pt idx="92">
                  <c:v>110473297.000000</c:v>
                </c:pt>
                <c:pt idx="93">
                  <c:v>113313871.000000</c:v>
                </c:pt>
                <c:pt idx="94">
                  <c:v>114850064.000000</c:v>
                </c:pt>
                <c:pt idx="95">
                  <c:v>116523901.000000</c:v>
                </c:pt>
                <c:pt idx="96">
                  <c:v>117887389.000000</c:v>
                </c:pt>
                <c:pt idx="97">
                  <c:v>118450554.000000</c:v>
                </c:pt>
                <c:pt idx="98">
                  <c:v>119160658.000000</c:v>
                </c:pt>
                <c:pt idx="99">
                  <c:v>120431233.000000</c:v>
                </c:pt>
                <c:pt idx="100">
                  <c:v>121168870.000000</c:v>
                </c:pt>
                <c:pt idx="101">
                  <c:v>121904039.000000</c:v>
                </c:pt>
                <c:pt idx="102">
                  <c:v>122600540.000000</c:v>
                </c:pt>
                <c:pt idx="103">
                  <c:v>122532988.000000</c:v>
                </c:pt>
                <c:pt idx="104">
                  <c:v>123828094.000000</c:v>
                </c:pt>
                <c:pt idx="105">
                  <c:v>136378208.000000</c:v>
                </c:pt>
                <c:pt idx="106">
                  <c:v>140164761.208140</c:v>
                </c:pt>
                <c:pt idx="107">
                  <c:v>144757880.688285</c:v>
                </c:pt>
                <c:pt idx="108">
                  <c:v>149916123.506765</c:v>
                </c:pt>
                <c:pt idx="109">
                  <c:v>150649199.099640</c:v>
                </c:pt>
                <c:pt idx="110">
                  <c:v>151432038.209622</c:v>
                </c:pt>
                <c:pt idx="111">
                  <c:v>152977967.160293</c:v>
                </c:pt>
              </c:numCache>
            </c:numRef>
          </c:val>
        </c:ser>
        <c:gapWidth val="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0.1"/>
        <c:minorUnit val="0.05"/>
      </c:valAx>
      <c:spPr>
        <a:noFill/>
        <a:ln w="12700" cap="flat">
          <a:noFill/>
          <a:miter lim="400000"/>
        </a:ln>
        <a:effectLst/>
      </c:spPr>
    </c:plotArea>
    <c:legend>
      <c:legendPos val="t"/>
      <c:layout>
        <c:manualLayout>
          <c:xMode val="edge"/>
          <c:yMode val="edge"/>
          <c:x val="0.0754837"/>
          <c:y val="0"/>
          <c:w val="0.918736"/>
          <c:h val="0.064481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20.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45793"/>
          <c:y val="0.122004"/>
          <c:w val="0.814744"/>
          <c:h val="0.814238"/>
        </c:manualLayout>
      </c:layout>
      <c:barChart>
        <c:barDir val="col"/>
        <c:grouping val="clustered"/>
        <c:varyColors val="0"/>
        <c:ser>
          <c:idx val="1"/>
          <c:order val="0"/>
          <c:tx>
            <c:strRef>
              <c:f>'net worth - Table 1-3'!$AW$1</c:f>
              <c:strCache/>
            </c:strRef>
          </c:tx>
          <c:spPr>
            <a:solidFill>
              <a:srgbClr val="FB4912">
                <a:alpha val="50000"/>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1-3'!$A$3:$A$105</c:f>
              <c:strCache>
                <c:ptCount val="0"/>
              </c:strCache>
            </c:strRef>
          </c:cat>
          <c:val>
            <c:numRef>
              <c:f>'net worth - Table 1-3'!$AW$3:$AW$114</c:f>
              <c:numCache>
                <c:ptCount val="0"/>
              </c:numCache>
            </c:numRef>
          </c:val>
        </c:ser>
        <c:ser>
          <c:idx val="2"/>
          <c:order val="1"/>
          <c:tx>
            <c:strRef>
              <c:f>'net worth - Table 1-3'!$BD$1</c:f>
              <c:strCache/>
            </c:strRef>
          </c:tx>
          <c:spPr>
            <a:solidFill>
              <a:srgbClr val="51A7F9">
                <a:alpha val="50000"/>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1-3'!$A$3:$A$105</c:f>
              <c:strCache>
                <c:ptCount val="0"/>
              </c:strCache>
            </c:strRef>
          </c:cat>
          <c:val>
            <c:numRef>
              <c:f>'net worth - Table 1-3'!$BD$3:$BD$114</c:f>
              <c:numCache>
                <c:ptCount val="0"/>
              </c:numCache>
            </c:numRef>
          </c:val>
        </c:ser>
        <c:ser>
          <c:idx val="3"/>
          <c:order val="2"/>
          <c:tx>
            <c:strRef>
              <c:f>'net worth - Table 1-3'!$BK$1</c:f>
              <c:strCache/>
            </c:strRef>
          </c:tx>
          <c:spPr>
            <a:solidFill>
              <a:srgbClr val="1D62F8">
                <a:alpha val="50163"/>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1-3'!$A$3:$A$105</c:f>
              <c:strCache>
                <c:ptCount val="0"/>
              </c:strCache>
            </c:strRef>
          </c:cat>
          <c:val>
            <c:numRef>
              <c:f>'net worth - Table 1-3'!$BK$3:$BK$114</c:f>
              <c:numCache>
                <c:ptCount val="0"/>
              </c:numCache>
            </c:numRef>
          </c:val>
        </c:ser>
        <c:gapWidth val="200"/>
        <c:overlap val="-10"/>
        <c:axId val="2094734552"/>
        <c:axId val="2094734553"/>
      </c:barChart>
      <c:lineChart>
        <c:grouping val="standard"/>
        <c:varyColors val="0"/>
        <c:ser>
          <c:idx val="0"/>
          <c:order val="3"/>
          <c:tx>
            <c:strRef>
              <c:f>'net worth - Table 1-3'!$AP$1</c:f>
              <c:strCache/>
            </c:strRef>
          </c:tx>
          <c:spPr>
            <a:solidFill>
              <a:srgbClr val="EA362E">
                <a:alpha val="80356"/>
              </a:srgbClr>
            </a:solidFill>
            <a:ln w="50800" cap="flat">
              <a:noFill/>
              <a:miter lim="400000"/>
            </a:ln>
            <a:effectLst/>
          </c:spPr>
          <c:marker>
            <c:symbol val="circle"/>
            <c:size val="9"/>
            <c:spPr>
              <a:solidFill>
                <a:srgbClr val="EA362E">
                  <a:alpha val="80356"/>
                </a:srgbClr>
              </a:solidFill>
              <a:ln w="12700" cap="flat">
                <a:solidFill>
                  <a:srgbClr val="5C2321"/>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1-3'!$A$3:$A$105</c:f>
              <c:strCache>
                <c:ptCount val="0"/>
              </c:strCache>
            </c:strRef>
          </c:cat>
          <c:val>
            <c:numRef>
              <c:f>'net worth - Table 1-3'!$AP$3:$AP$114</c:f>
              <c:numCache>
                <c:ptCount val="0"/>
              </c:numCache>
            </c:numRef>
          </c:val>
          <c:smooth val="0"/>
        </c:ser>
        <c:marker val="1"/>
        <c:axId val="2094734552"/>
        <c:axId val="2094734553"/>
      </c:lineChart>
      <c:catAx>
        <c:axId val="2094734552"/>
        <c:scaling>
          <c:orientation val="minMax"/>
        </c:scaling>
        <c:delete val="0"/>
        <c:axPos val="b"/>
        <c:majorGridlines>
          <c:spPr>
            <a:ln w="12700" cap="flat">
              <a:solidFill>
                <a:srgbClr val="000000">
                  <a:alpha val="8764"/>
                </a:srgbClr>
              </a:solidFill>
              <a:custDash>
                <a:ds d="200000" sp="200000"/>
              </a:custDash>
              <a:miter lim="400000"/>
            </a:ln>
          </c:spPr>
        </c:majorGridlines>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0%" sourceLinked="0"/>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
          <c:y val="0"/>
          <c:w val="1"/>
          <c:h val="0.064683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2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73878"/>
          <c:y val="0.121237"/>
          <c:w val="0.721225"/>
          <c:h val="0.814961"/>
        </c:manualLayout>
      </c:layout>
      <c:barChart>
        <c:barDir val="col"/>
        <c:grouping val="clustered"/>
        <c:varyColors val="0"/>
        <c:ser>
          <c:idx val="0"/>
          <c:order val="0"/>
          <c:tx>
            <c:strRef>
              <c:f>'net worth - Table 1-3'!$X$1</c:f>
              <c:strCache>
                <c:ptCount val="1"/>
                <c:pt idx="0">
                  <c:v>∆ stocks %</c:v>
                </c:pt>
              </c:strCache>
            </c:strRef>
          </c:tx>
          <c:spPr>
            <a:solidFill>
              <a:srgbClr val="51A7F9">
                <a:alpha val="85526"/>
              </a:srgbClr>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1-3'!$A$3:$A$105</c:f>
              <c:strCache>
                <c:ptCount val="12"/>
                <c:pt idx="0">
                  <c:v>Oct 25</c:v>
                </c:pt>
                <c:pt idx="1">
                  <c:v>Nov 25</c:v>
                </c:pt>
                <c:pt idx="2">
                  <c:v>Dec 25</c:v>
                </c:pt>
                <c:pt idx="3">
                  <c:v/>
                </c:pt>
                <c:pt idx="4">
                  <c:v/>
                </c:pt>
                <c:pt idx="5">
                  <c:v/>
                </c:pt>
                <c:pt idx="6">
                  <c:v/>
                </c:pt>
                <c:pt idx="7">
                  <c:v/>
                </c:pt>
                <c:pt idx="8">
                  <c:v/>
                </c:pt>
                <c:pt idx="9">
                  <c:v/>
                </c:pt>
                <c:pt idx="10">
                  <c:v/>
                </c:pt>
                <c:pt idx="11">
                  <c:v/>
                </c:pt>
              </c:strCache>
            </c:strRef>
          </c:cat>
          <c:val>
            <c:numRef>
              <c:f>'net worth - Table 1-3'!$X$3:$X$114</c:f>
              <c:numCache>
                <c:ptCount val="12"/>
                <c:pt idx="0">
                  <c:v>0.001967</c:v>
                </c:pt>
                <c:pt idx="1">
                  <c:v>-0.006635</c:v>
                </c:pt>
                <c:pt idx="2">
                  <c:v>-0.025488</c:v>
                </c:pt>
                <c:pt idx="3">
                  <c:v>-0.022516</c:v>
                </c:pt>
                <c:pt idx="4">
                  <c:v>-0.005470</c:v>
                </c:pt>
                <c:pt idx="5">
                  <c:v>-0.031379</c:v>
                </c:pt>
                <c:pt idx="6">
                  <c:v>0.075432</c:v>
                </c:pt>
                <c:pt idx="7">
                  <c:v>0.028150</c:v>
                </c:pt>
                <c:pt idx="8">
                  <c:v>0.000000</c:v>
                </c:pt>
                <c:pt idx="9">
                  <c:v>0.000000</c:v>
                </c:pt>
                <c:pt idx="10">
                  <c:v>0.000000</c:v>
                </c:pt>
                <c:pt idx="11">
                  <c:v>0.000000</c:v>
                </c:pt>
              </c:numCache>
            </c:numRef>
          </c:val>
        </c:ser>
        <c:ser>
          <c:idx val="1"/>
          <c:order val="1"/>
          <c:tx>
            <c:strRef>
              <c:f>'net worth - Table 1-3'!$Q$1</c:f>
              <c:strCache>
                <c:ptCount val="1"/>
                <c:pt idx="0">
                  <c:v>∆ Fintual %</c:v>
                </c:pt>
              </c:strCache>
            </c:strRef>
          </c:tx>
          <c:spPr>
            <a:solidFill>
              <a:srgbClr val="51A7F9">
                <a:alpha val="50278"/>
              </a:srgbClr>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1-3'!$A$3:$A$105</c:f>
              <c:strCache>
                <c:ptCount val="12"/>
                <c:pt idx="0">
                  <c:v>Oct 25</c:v>
                </c:pt>
                <c:pt idx="1">
                  <c:v>Nov 25</c:v>
                </c:pt>
                <c:pt idx="2">
                  <c:v>Dec 25</c:v>
                </c:pt>
                <c:pt idx="3">
                  <c:v/>
                </c:pt>
                <c:pt idx="4">
                  <c:v/>
                </c:pt>
                <c:pt idx="5">
                  <c:v/>
                </c:pt>
                <c:pt idx="6">
                  <c:v/>
                </c:pt>
                <c:pt idx="7">
                  <c:v/>
                </c:pt>
                <c:pt idx="8">
                  <c:v/>
                </c:pt>
                <c:pt idx="9">
                  <c:v/>
                </c:pt>
                <c:pt idx="10">
                  <c:v/>
                </c:pt>
                <c:pt idx="11">
                  <c:v/>
                </c:pt>
              </c:strCache>
            </c:strRef>
          </c:cat>
          <c:val>
            <c:numRef>
              <c:f>'net worth - Table 1-3'!$Q$3:$Q$114</c:f>
              <c:numCache>
                <c:ptCount val="12"/>
                <c:pt idx="0">
                  <c:v>0.021290</c:v>
                </c:pt>
                <c:pt idx="1">
                  <c:v>-0.027012</c:v>
                </c:pt>
                <c:pt idx="2">
                  <c:v>-0.010302</c:v>
                </c:pt>
                <c:pt idx="3">
                  <c:v>-0.022210</c:v>
                </c:pt>
                <c:pt idx="4">
                  <c:v>0.003050</c:v>
                </c:pt>
                <c:pt idx="5">
                  <c:v>-0.000756</c:v>
                </c:pt>
                <c:pt idx="6">
                  <c:v>0.116340</c:v>
                </c:pt>
                <c:pt idx="7">
                  <c:v>0.045138</c:v>
                </c:pt>
                <c:pt idx="8">
                  <c:v>0.000000</c:v>
                </c:pt>
                <c:pt idx="9">
                  <c:v>0.000000</c:v>
                </c:pt>
                <c:pt idx="10">
                  <c:v>0.000000</c:v>
                </c:pt>
                <c:pt idx="11">
                  <c:v>0.000000</c:v>
                </c:pt>
              </c:numCache>
            </c:numRef>
          </c:val>
        </c:ser>
        <c:gapWidth val="200"/>
        <c:overlap val="-10"/>
        <c:axId val="2094734552"/>
        <c:axId val="2094734553"/>
      </c:barChart>
      <c:catAx>
        <c:axId val="2094734552"/>
        <c:scaling>
          <c:orientation val="minMax"/>
        </c:scaling>
        <c:delete val="0"/>
        <c:axPos val="b"/>
        <c:majorGridlines>
          <c:spPr>
            <a:ln w="12700" cap="flat">
              <a:solidFill>
                <a:srgbClr val="000000">
                  <a:alpha val="8764"/>
                </a:srgbClr>
              </a:solidFill>
              <a:custDash>
                <a:ds d="200000" sp="200000"/>
              </a:custDash>
              <a:miter lim="400000"/>
            </a:ln>
          </c:spPr>
        </c:majorGridlines>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0%" sourceLinked="0"/>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
          <c:y val="0"/>
          <c:w val="1"/>
          <c:h val="0.0647181"/>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2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39585"/>
          <c:y val="0.130148"/>
          <c:w val="0.443579"/>
          <c:h val="0.833357"/>
        </c:manualLayout>
      </c:layout>
      <c:barChart>
        <c:barDir val="col"/>
        <c:grouping val="clustered"/>
        <c:varyColors val="0"/>
        <c:ser>
          <c:idx val="0"/>
          <c:order val="0"/>
          <c:tx>
            <c:v>Líquido</c:v>
          </c:tx>
          <c:spPr>
            <a:solidFill>
              <a:srgbClr val="C3E5F9"/>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Lit>
              <c:ptCount val="1"/>
              <c:pt idx="0">
                <c:v/>
              </c:pt>
            </c:strLit>
          </c:cat>
          <c:val>
            <c:numRef>
              <c:f>'net worth - net worth'!$B$12</c:f>
              <c:numCache>
                <c:ptCount val="1"/>
                <c:pt idx="0">
                  <c:v>17512018.000000</c:v>
                </c:pt>
              </c:numCache>
            </c:numRef>
          </c:val>
        </c:ser>
        <c:ser>
          <c:idx val="1"/>
          <c:order val="1"/>
          <c:tx>
            <c:v>Cripto</c:v>
          </c:tx>
          <c:spPr>
            <a:solidFill>
              <a:srgbClr val="F4BB1C"/>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Lit>
              <c:ptCount val="1"/>
              <c:pt idx="0">
                <c:v/>
              </c:pt>
            </c:strLit>
          </c:cat>
          <c:val>
            <c:numRef>
              <c:f>'net worth - net worth'!$B$2</c:f>
              <c:numCache>
                <c:ptCount val="1"/>
                <c:pt idx="0">
                  <c:v>1693457.000000</c:v>
                </c:pt>
              </c:numCache>
            </c:numRef>
          </c:val>
        </c:ser>
        <c:ser>
          <c:idx val="2"/>
          <c:order val="2"/>
          <c:tx>
            <c:v>Inversiones</c:v>
          </c:tx>
          <c:spPr>
            <a:solidFill>
              <a:srgbClr val="51A7F9"/>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Lit>
              <c:ptCount val="1"/>
              <c:pt idx="0">
                <c:v/>
              </c:pt>
            </c:strLit>
          </c:cat>
          <c:val>
            <c:numRef>
              <c:f>'net worth - net worth'!$B$3</c:f>
              <c:numCache>
                <c:ptCount val="1"/>
                <c:pt idx="0">
                  <c:v>11447471.000000</c:v>
                </c:pt>
              </c:numCache>
            </c:numRef>
          </c:val>
        </c:ser>
        <c:ser>
          <c:idx val="3"/>
          <c:order val="3"/>
          <c:tx>
            <c:v>Retiro</c:v>
          </c:tx>
          <c:spPr>
            <a:solidFill>
              <a:srgbClr val="78CC47"/>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Lit>
              <c:ptCount val="1"/>
              <c:pt idx="0">
                <c:v/>
              </c:pt>
            </c:strLit>
          </c:cat>
          <c:val>
            <c:numRef>
              <c:f>'net worth - net worth'!$B$6</c:f>
              <c:numCache>
                <c:ptCount val="1"/>
                <c:pt idx="0">
                  <c:v>93254171.000000</c:v>
                </c:pt>
              </c:numCache>
            </c:numRef>
          </c:val>
        </c:ser>
        <c:ser>
          <c:idx val="4"/>
          <c:order val="4"/>
          <c:tx>
            <c:v>Activos</c:v>
          </c:tx>
          <c:spPr>
            <a:solidFill>
              <a:srgbClr val="2561D5">
                <a:alpha val="89519"/>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Lit>
              <c:ptCount val="1"/>
              <c:pt idx="0">
                <c:v/>
              </c:pt>
            </c:strLit>
          </c:cat>
          <c:val>
            <c:numRef>
              <c:f>'net worth - net worth'!$B$13</c:f>
              <c:numCache>
                <c:ptCount val="1"/>
                <c:pt idx="0">
                  <c:v>144757881.000000</c:v>
                </c:pt>
              </c:numCache>
            </c:numRef>
          </c:val>
        </c:ser>
        <c:gapWidth val="200"/>
        <c:overlap val="-4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540000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288153"/>
          <c:y val="0"/>
          <c:w val="0.711847"/>
          <c:h val="0.072988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2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96311"/>
          <c:y val="0.125413"/>
          <c:w val="0.87628"/>
          <c:h val="0.812583"/>
        </c:manualLayout>
      </c:layout>
      <c:barChart>
        <c:barDir val="col"/>
        <c:grouping val="clustered"/>
        <c:varyColors val="0"/>
        <c:ser>
          <c:idx val="0"/>
          <c:order val="0"/>
          <c:tx>
            <c:strRef>
              <c:f>'net worth - Table 1-1'!$B$1</c:f>
              <c:strCache>
                <c:ptCount val="1"/>
                <c:pt idx="0">
                  <c:v>% crec</c:v>
                </c:pt>
              </c:strCache>
            </c:strRef>
          </c:tx>
          <c:spPr>
            <a:solidFill>
              <a:srgbClr val="000000">
                <a:alpha val="6000"/>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25400" cap="flat">
                <a:solidFill>
                  <a:srgbClr val="000000">
                    <a:alpha val="80360"/>
                  </a:srgbClr>
                </a:solidFill>
                <a:prstDash val="solid"/>
                <a:miter lim="400000"/>
              </a:ln>
              <a:effectLst>
                <a:outerShdw sx="100000" sy="100000" kx="0" ky="0" algn="tl" rotWithShape="1" blurRad="12700" dist="25400" dir="7320000">
                  <a:srgbClr val="000000">
                    <a:alpha val="25000"/>
                  </a:srgbClr>
                </a:outerShdw>
              </a:effectLst>
            </c:spPr>
            <c:trendlineType val="movingAvg"/>
            <c:period val="3"/>
            <c:forward val="0"/>
            <c:backward val="0"/>
            <c:dispRSqr val="0"/>
            <c:dispEq val="0"/>
          </c:trendline>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1-1'!$B$2:$B$113</c:f>
              <c:numCache>
                <c:ptCount val="111"/>
                <c:pt idx="1">
                  <c:v>0.043088</c:v>
                </c:pt>
                <c:pt idx="2">
                  <c:v>0.043912</c:v>
                </c:pt>
                <c:pt idx="3">
                  <c:v>0.106314</c:v>
                </c:pt>
                <c:pt idx="4">
                  <c:v>0.198648</c:v>
                </c:pt>
                <c:pt idx="5">
                  <c:v>0.403913</c:v>
                </c:pt>
                <c:pt idx="6">
                  <c:v>0.256205</c:v>
                </c:pt>
                <c:pt idx="7">
                  <c:v>0.048671</c:v>
                </c:pt>
                <c:pt idx="8">
                  <c:v>0.005499</c:v>
                </c:pt>
                <c:pt idx="9">
                  <c:v>-0.053716</c:v>
                </c:pt>
                <c:pt idx="10">
                  <c:v>0.153891</c:v>
                </c:pt>
                <c:pt idx="11">
                  <c:v>0.046929</c:v>
                </c:pt>
                <c:pt idx="12">
                  <c:v>0.082013</c:v>
                </c:pt>
                <c:pt idx="13">
                  <c:v>0.092787</c:v>
                </c:pt>
                <c:pt idx="14">
                  <c:v>0.037406</c:v>
                </c:pt>
                <c:pt idx="15">
                  <c:v>0.037160</c:v>
                </c:pt>
                <c:pt idx="16">
                  <c:v>0.060236</c:v>
                </c:pt>
                <c:pt idx="17">
                  <c:v>0.055573</c:v>
                </c:pt>
                <c:pt idx="18">
                  <c:v>0.067723</c:v>
                </c:pt>
                <c:pt idx="19">
                  <c:v>0.040196</c:v>
                </c:pt>
                <c:pt idx="20">
                  <c:v>0.066298</c:v>
                </c:pt>
                <c:pt idx="21">
                  <c:v>0.105259</c:v>
                </c:pt>
                <c:pt idx="22">
                  <c:v>0.085713</c:v>
                </c:pt>
                <c:pt idx="23">
                  <c:v>0.072771</c:v>
                </c:pt>
                <c:pt idx="24">
                  <c:v>0.087986</c:v>
                </c:pt>
                <c:pt idx="25">
                  <c:v>0.066516</c:v>
                </c:pt>
                <c:pt idx="26">
                  <c:v>0.045417</c:v>
                </c:pt>
                <c:pt idx="27">
                  <c:v>0.039949</c:v>
                </c:pt>
                <c:pt idx="28">
                  <c:v>0.030713</c:v>
                </c:pt>
                <c:pt idx="29">
                  <c:v>0.108484</c:v>
                </c:pt>
                <c:pt idx="30">
                  <c:v>0.048231</c:v>
                </c:pt>
                <c:pt idx="31">
                  <c:v>0.072239</c:v>
                </c:pt>
                <c:pt idx="32">
                  <c:v>-0.022269</c:v>
                </c:pt>
                <c:pt idx="33">
                  <c:v>-0.064524</c:v>
                </c:pt>
                <c:pt idx="34">
                  <c:v>0.095194</c:v>
                </c:pt>
                <c:pt idx="35">
                  <c:v>0.019579</c:v>
                </c:pt>
                <c:pt idx="36">
                  <c:v>0.043675</c:v>
                </c:pt>
                <c:pt idx="37">
                  <c:v>-0.004568</c:v>
                </c:pt>
                <c:pt idx="38">
                  <c:v>0.083311</c:v>
                </c:pt>
                <c:pt idx="39">
                  <c:v>-0.066959</c:v>
                </c:pt>
                <c:pt idx="40">
                  <c:v>0.005211</c:v>
                </c:pt>
                <c:pt idx="41">
                  <c:v>0.149128</c:v>
                </c:pt>
                <c:pt idx="42">
                  <c:v>0.019657</c:v>
                </c:pt>
                <c:pt idx="43">
                  <c:v>0.047489</c:v>
                </c:pt>
                <c:pt idx="44">
                  <c:v>0.008599</c:v>
                </c:pt>
                <c:pt idx="45">
                  <c:v>0.045055</c:v>
                </c:pt>
                <c:pt idx="46">
                  <c:v>0.053547</c:v>
                </c:pt>
                <c:pt idx="47">
                  <c:v>-0.021609</c:v>
                </c:pt>
                <c:pt idx="48">
                  <c:v>0.046946</c:v>
                </c:pt>
                <c:pt idx="49">
                  <c:v>0.041519</c:v>
                </c:pt>
                <c:pt idx="50">
                  <c:v>0.052669</c:v>
                </c:pt>
                <c:pt idx="51">
                  <c:v>-0.003088</c:v>
                </c:pt>
                <c:pt idx="52">
                  <c:v>0.072019</c:v>
                </c:pt>
                <c:pt idx="53">
                  <c:v>0.023028</c:v>
                </c:pt>
                <c:pt idx="54">
                  <c:v>-0.019913</c:v>
                </c:pt>
                <c:pt idx="55">
                  <c:v>-0.123351</c:v>
                </c:pt>
                <c:pt idx="56">
                  <c:v>-0.043149</c:v>
                </c:pt>
                <c:pt idx="57">
                  <c:v>-0.019259</c:v>
                </c:pt>
                <c:pt idx="58">
                  <c:v>-0.035314</c:v>
                </c:pt>
                <c:pt idx="59">
                  <c:v>-0.075682</c:v>
                </c:pt>
                <c:pt idx="60">
                  <c:v>0.029022</c:v>
                </c:pt>
                <c:pt idx="61">
                  <c:v>0.046653</c:v>
                </c:pt>
                <c:pt idx="62">
                  <c:v>-0.060183</c:v>
                </c:pt>
                <c:pt idx="63">
                  <c:v>-0.044941</c:v>
                </c:pt>
                <c:pt idx="64">
                  <c:v>0.033654</c:v>
                </c:pt>
                <c:pt idx="65">
                  <c:v>0.002459</c:v>
                </c:pt>
                <c:pt idx="66">
                  <c:v>-0.032305</c:v>
                </c:pt>
                <c:pt idx="67">
                  <c:v>0.055678</c:v>
                </c:pt>
                <c:pt idx="68">
                  <c:v>0.037076</c:v>
                </c:pt>
                <c:pt idx="69">
                  <c:v>0.019623</c:v>
                </c:pt>
                <c:pt idx="70">
                  <c:v>0.020798</c:v>
                </c:pt>
                <c:pt idx="71">
                  <c:v>0.053820</c:v>
                </c:pt>
                <c:pt idx="72">
                  <c:v>0.056930</c:v>
                </c:pt>
                <c:pt idx="73">
                  <c:v>0.078852</c:v>
                </c:pt>
                <c:pt idx="74">
                  <c:v>-0.006446</c:v>
                </c:pt>
                <c:pt idx="75">
                  <c:v>0.008492</c:v>
                </c:pt>
                <c:pt idx="76">
                  <c:v>-0.009755</c:v>
                </c:pt>
                <c:pt idx="77">
                  <c:v>0.055831</c:v>
                </c:pt>
                <c:pt idx="78">
                  <c:v>0.069405</c:v>
                </c:pt>
                <c:pt idx="79">
                  <c:v>0.386788</c:v>
                </c:pt>
                <c:pt idx="80">
                  <c:v>0.186848</c:v>
                </c:pt>
                <c:pt idx="81">
                  <c:v>0.068667</c:v>
                </c:pt>
                <c:pt idx="82">
                  <c:v>-0.060739</c:v>
                </c:pt>
                <c:pt idx="83">
                  <c:v>0.006886</c:v>
                </c:pt>
                <c:pt idx="84">
                  <c:v>0.060892</c:v>
                </c:pt>
                <c:pt idx="85">
                  <c:v>0.042988</c:v>
                </c:pt>
                <c:pt idx="86">
                  <c:v>0.019386</c:v>
                </c:pt>
                <c:pt idx="87">
                  <c:v>0.062000</c:v>
                </c:pt>
                <c:pt idx="88">
                  <c:v>0.074764</c:v>
                </c:pt>
                <c:pt idx="89">
                  <c:v>0.075409</c:v>
                </c:pt>
                <c:pt idx="90">
                  <c:v>0.056928</c:v>
                </c:pt>
                <c:pt idx="91">
                  <c:v>0.077999</c:v>
                </c:pt>
                <c:pt idx="92">
                  <c:v>-0.129678</c:v>
                </c:pt>
                <c:pt idx="93">
                  <c:v>-0.047215</c:v>
                </c:pt>
                <c:pt idx="94">
                  <c:v>0.013611</c:v>
                </c:pt>
                <c:pt idx="95">
                  <c:v>0.030408</c:v>
                </c:pt>
                <c:pt idx="96">
                  <c:v>0.017758</c:v>
                </c:pt>
                <c:pt idx="97">
                  <c:v>0.016099</c:v>
                </c:pt>
                <c:pt idx="98">
                  <c:v>0.014752</c:v>
                </c:pt>
                <c:pt idx="99">
                  <c:v>0.030945</c:v>
                </c:pt>
                <c:pt idx="100">
                  <c:v>-0.003133</c:v>
                </c:pt>
                <c:pt idx="101">
                  <c:v>0.001855</c:v>
                </c:pt>
                <c:pt idx="102">
                  <c:v>-0.005127</c:v>
                </c:pt>
                <c:pt idx="103">
                  <c:v>0.003632</c:v>
                </c:pt>
                <c:pt idx="104">
                  <c:v>0.010377</c:v>
                </c:pt>
                <c:pt idx="105">
                  <c:v>0.066629</c:v>
                </c:pt>
                <c:pt idx="106">
                  <c:v>0.136053</c:v>
                </c:pt>
                <c:pt idx="107">
                  <c:v>0.010866</c:v>
                </c:pt>
                <c:pt idx="108">
                  <c:v>0.008033</c:v>
                </c:pt>
                <c:pt idx="109">
                  <c:v>-0.008370</c:v>
                </c:pt>
                <c:pt idx="110">
                  <c:v>-0.008256</c:v>
                </c:pt>
                <c:pt idx="111">
                  <c:v>-0.005459</c:v>
                </c:pt>
              </c:numCache>
            </c:numRef>
          </c:val>
        </c:ser>
        <c:gapWidth val="150"/>
        <c:overlap val="-10"/>
        <c:axId val="2094734552"/>
        <c:axId val="2094734553"/>
      </c:barChart>
      <c:catAx>
        <c:axId val="2094734552"/>
        <c:scaling>
          <c:orientation val="minMax"/>
        </c:scaling>
        <c:delete val="0"/>
        <c:axPos val="b"/>
        <c:numFmt formatCode="#,##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0728179"/>
          <c:y val="0"/>
          <c:w val="0.889456"/>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2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25925"/>
          <c:y val="0.0931575"/>
          <c:w val="0.756187"/>
          <c:h val="0.843012"/>
        </c:manualLayout>
      </c:layout>
      <c:lineChart>
        <c:grouping val="standard"/>
        <c:varyColors val="0"/>
        <c:ser>
          <c:idx val="0"/>
          <c:order val="0"/>
          <c:tx>
            <c:strRef>
              <c:f>'net worth - Table 1-2-1'!$C$1</c:f>
              <c:strCache>
                <c:ptCount val="1"/>
                <c:pt idx="0">
                  <c:v>cuenta corriente</c:v>
                </c:pt>
              </c:strCache>
            </c:strRef>
          </c:tx>
          <c:spPr>
            <a:solidFill>
              <a:srgbClr val="D16157"/>
            </a:solidFill>
            <a:ln w="50800" cap="flat">
              <a:solidFill>
                <a:srgbClr val="F97368">
                  <a:alpha val="75666"/>
                </a:srgbClr>
              </a:solidFill>
              <a:prstDash val="solid"/>
              <a:miter lim="400000"/>
            </a:ln>
            <a:effectLst/>
          </c:spPr>
          <c:marker>
            <c:symbol val="circle"/>
            <c:size val="3"/>
            <c:spPr>
              <a:solidFill>
                <a:srgbClr val="D16157"/>
              </a:solidFill>
              <a:ln w="1143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1-2-1'!$A$2:$A$113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1-2-1'!$C$2:$C$113</c:f>
              <c:numCache>
                <c:ptCount val="112"/>
                <c:pt idx="0">
                  <c:v>400000.000000</c:v>
                </c:pt>
                <c:pt idx="1">
                  <c:v>484557.000000</c:v>
                </c:pt>
                <c:pt idx="2">
                  <c:v>975519.000000</c:v>
                </c:pt>
                <c:pt idx="3">
                  <c:v>1321607.000000</c:v>
                </c:pt>
                <c:pt idx="4">
                  <c:v>812915.000000</c:v>
                </c:pt>
                <c:pt idx="5">
                  <c:v>33574.000000</c:v>
                </c:pt>
                <c:pt idx="6">
                  <c:v>0.000000</c:v>
                </c:pt>
                <c:pt idx="7">
                  <c:v>0.000000</c:v>
                </c:pt>
                <c:pt idx="8">
                  <c:v>445842.000000</c:v>
                </c:pt>
                <c:pt idx="9">
                  <c:v>483342.000000</c:v>
                </c:pt>
                <c:pt idx="10">
                  <c:v>1817542.000000</c:v>
                </c:pt>
                <c:pt idx="11">
                  <c:v>1937314.000000</c:v>
                </c:pt>
                <c:pt idx="12">
                  <c:v>1278036.000000</c:v>
                </c:pt>
                <c:pt idx="13">
                  <c:v>1643504.000000</c:v>
                </c:pt>
                <c:pt idx="14">
                  <c:v>2031903.000000</c:v>
                </c:pt>
                <c:pt idx="15">
                  <c:v>2427971.000000</c:v>
                </c:pt>
                <c:pt idx="16">
                  <c:v>2416602.000000</c:v>
                </c:pt>
                <c:pt idx="17">
                  <c:v>2482176.000000</c:v>
                </c:pt>
                <c:pt idx="18">
                  <c:v>2428017.000000</c:v>
                </c:pt>
                <c:pt idx="19">
                  <c:v>3692356.000000</c:v>
                </c:pt>
                <c:pt idx="20">
                  <c:v>3969445.000000</c:v>
                </c:pt>
                <c:pt idx="21">
                  <c:v>4080820.000000</c:v>
                </c:pt>
                <c:pt idx="22">
                  <c:v>4113438.000000</c:v>
                </c:pt>
                <c:pt idx="23">
                  <c:v>4569188.000000</c:v>
                </c:pt>
                <c:pt idx="24">
                  <c:v>4465437.000000</c:v>
                </c:pt>
                <c:pt idx="25">
                  <c:v>2547798.000000</c:v>
                </c:pt>
                <c:pt idx="26">
                  <c:v>2226754.000000</c:v>
                </c:pt>
                <c:pt idx="27">
                  <c:v>1133984.000000</c:v>
                </c:pt>
                <c:pt idx="28">
                  <c:v>1174200.000000</c:v>
                </c:pt>
                <c:pt idx="29">
                  <c:v>1327088.000000</c:v>
                </c:pt>
                <c:pt idx="30">
                  <c:v>-1047242.000000</c:v>
                </c:pt>
                <c:pt idx="31">
                  <c:v>-877808.000000</c:v>
                </c:pt>
                <c:pt idx="32">
                  <c:v>-254938.000000</c:v>
                </c:pt>
                <c:pt idx="33">
                  <c:v>4872676.000000</c:v>
                </c:pt>
                <c:pt idx="34">
                  <c:v>3076293.000000</c:v>
                </c:pt>
                <c:pt idx="35">
                  <c:v>1559124.000000</c:v>
                </c:pt>
                <c:pt idx="36">
                  <c:v>116118.000000</c:v>
                </c:pt>
                <c:pt idx="37">
                  <c:v>-269963.000000</c:v>
                </c:pt>
                <c:pt idx="38">
                  <c:v>-905062.000000</c:v>
                </c:pt>
                <c:pt idx="39">
                  <c:v>1616291.000000</c:v>
                </c:pt>
                <c:pt idx="40">
                  <c:v>2080733.000000</c:v>
                </c:pt>
                <c:pt idx="41">
                  <c:v>205423.000000</c:v>
                </c:pt>
                <c:pt idx="42">
                  <c:v>-326721.000000</c:v>
                </c:pt>
                <c:pt idx="43">
                  <c:v>2023824.000000</c:v>
                </c:pt>
                <c:pt idx="44">
                  <c:v>6130488.000000</c:v>
                </c:pt>
                <c:pt idx="45">
                  <c:v>5823619.000000</c:v>
                </c:pt>
                <c:pt idx="46">
                  <c:v>5264950.000000</c:v>
                </c:pt>
                <c:pt idx="47">
                  <c:v>7222737.000000</c:v>
                </c:pt>
                <c:pt idx="48">
                  <c:v>6437029.000000</c:v>
                </c:pt>
                <c:pt idx="49">
                  <c:v>6497069.000000</c:v>
                </c:pt>
                <c:pt idx="50">
                  <c:v>4847120.000000</c:v>
                </c:pt>
                <c:pt idx="51">
                  <c:v>542288.000000</c:v>
                </c:pt>
                <c:pt idx="52">
                  <c:v>542288.000000</c:v>
                </c:pt>
                <c:pt idx="53">
                  <c:v>20473.000000</c:v>
                </c:pt>
                <c:pt idx="54">
                  <c:v>820473.000000</c:v>
                </c:pt>
                <c:pt idx="55">
                  <c:v>820473.000000</c:v>
                </c:pt>
                <c:pt idx="56">
                  <c:v>820473.000000</c:v>
                </c:pt>
                <c:pt idx="57">
                  <c:v>820473.000000</c:v>
                </c:pt>
                <c:pt idx="58">
                  <c:v>820473.000000</c:v>
                </c:pt>
                <c:pt idx="59">
                  <c:v>820473.000000</c:v>
                </c:pt>
                <c:pt idx="60">
                  <c:v>820473.000000</c:v>
                </c:pt>
                <c:pt idx="61">
                  <c:v>50000.000000</c:v>
                </c:pt>
                <c:pt idx="62">
                  <c:v>50000.000000</c:v>
                </c:pt>
                <c:pt idx="63">
                  <c:v>2850000.000000</c:v>
                </c:pt>
                <c:pt idx="64">
                  <c:v>4816514.000000</c:v>
                </c:pt>
                <c:pt idx="65">
                  <c:v>5197607.000000</c:v>
                </c:pt>
                <c:pt idx="66">
                  <c:v>2465010.000000</c:v>
                </c:pt>
                <c:pt idx="67">
                  <c:v>2444460.000000</c:v>
                </c:pt>
                <c:pt idx="68">
                  <c:v>1728146.000000</c:v>
                </c:pt>
                <c:pt idx="69">
                  <c:v>2048562.000000</c:v>
                </c:pt>
                <c:pt idx="70">
                  <c:v>1162472.000000</c:v>
                </c:pt>
                <c:pt idx="71">
                  <c:v>1387247.000000</c:v>
                </c:pt>
                <c:pt idx="72">
                  <c:v>2673705.000000</c:v>
                </c:pt>
                <c:pt idx="73">
                  <c:v>2881010.000000</c:v>
                </c:pt>
                <c:pt idx="74">
                  <c:v>3141126.000000</c:v>
                </c:pt>
                <c:pt idx="75">
                  <c:v>3558914.000000</c:v>
                </c:pt>
                <c:pt idx="76">
                  <c:v>3053212.000000</c:v>
                </c:pt>
                <c:pt idx="77">
                  <c:v>1591362.000000</c:v>
                </c:pt>
                <c:pt idx="78">
                  <c:v>1840000.000000</c:v>
                </c:pt>
                <c:pt idx="79">
                  <c:v>1840000.000000</c:v>
                </c:pt>
                <c:pt idx="80">
                  <c:v>2309462.000000</c:v>
                </c:pt>
                <c:pt idx="81">
                  <c:v>2309462.000000</c:v>
                </c:pt>
                <c:pt idx="82">
                  <c:v>2309462.000000</c:v>
                </c:pt>
                <c:pt idx="83">
                  <c:v>2309462.000000</c:v>
                </c:pt>
                <c:pt idx="84">
                  <c:v>2309462.000000</c:v>
                </c:pt>
                <c:pt idx="85">
                  <c:v>2309462.000000</c:v>
                </c:pt>
                <c:pt idx="86">
                  <c:v>2309462.000000</c:v>
                </c:pt>
                <c:pt idx="87">
                  <c:v>1000000.000000</c:v>
                </c:pt>
                <c:pt idx="88">
                  <c:v>545538.000000</c:v>
                </c:pt>
                <c:pt idx="89">
                  <c:v>2900000.000000</c:v>
                </c:pt>
                <c:pt idx="90">
                  <c:v>2900000.000000</c:v>
                </c:pt>
                <c:pt idx="91">
                  <c:v>900000.000000</c:v>
                </c:pt>
                <c:pt idx="92">
                  <c:v>4600000.000000</c:v>
                </c:pt>
                <c:pt idx="93">
                  <c:v>4430268.000000</c:v>
                </c:pt>
                <c:pt idx="94">
                  <c:v>3000000.000000</c:v>
                </c:pt>
                <c:pt idx="95">
                  <c:v>3200000.000000</c:v>
                </c:pt>
                <c:pt idx="96">
                  <c:v>3270000.000000</c:v>
                </c:pt>
                <c:pt idx="97">
                  <c:v>0.000000</c:v>
                </c:pt>
                <c:pt idx="98">
                  <c:v>0.000000</c:v>
                </c:pt>
                <c:pt idx="99">
                  <c:v>0.000000</c:v>
                </c:pt>
                <c:pt idx="100">
                  <c:v>0.000000</c:v>
                </c:pt>
                <c:pt idx="101">
                  <c:v>0.000000</c:v>
                </c:pt>
                <c:pt idx="102">
                  <c:v>0.000000</c:v>
                </c:pt>
                <c:pt idx="103">
                  <c:v>0.000000</c:v>
                </c:pt>
                <c:pt idx="104">
                  <c:v>0.000000</c:v>
                </c:pt>
                <c:pt idx="105">
                  <c:v>0.000000</c:v>
                </c:pt>
                <c:pt idx="106">
                  <c:v>50000.000000</c:v>
                </c:pt>
                <c:pt idx="107">
                  <c:v>280744.000000</c:v>
                </c:pt>
                <c:pt idx="108">
                  <c:v>280744.000000</c:v>
                </c:pt>
                <c:pt idx="109">
                  <c:v>280744.000000</c:v>
                </c:pt>
                <c:pt idx="110">
                  <c:v>280744.000000</c:v>
                </c:pt>
                <c:pt idx="111">
                  <c:v>280744.000000</c:v>
                </c:pt>
              </c:numCache>
            </c:numRef>
          </c:val>
          <c:smooth val="0"/>
        </c:ser>
        <c:ser>
          <c:idx val="1"/>
          <c:order val="1"/>
          <c:tx>
            <c:strRef>
              <c:f>'net worth - Table 1-2-1'!$D$1</c:f>
              <c:strCache>
                <c:ptCount val="1"/>
                <c:pt idx="0">
                  <c:v>reserva</c:v>
                </c:pt>
              </c:strCache>
            </c:strRef>
          </c:tx>
          <c:spPr>
            <a:solidFill>
              <a:srgbClr val="72A84B"/>
            </a:solidFill>
            <a:ln w="50800" cap="flat">
              <a:solidFill>
                <a:srgbClr val="78CC47">
                  <a:alpha val="50000"/>
                </a:srgbClr>
              </a:solidFill>
              <a:prstDash val="solid"/>
              <a:miter lim="400000"/>
            </a:ln>
            <a:effectLst/>
          </c:spPr>
          <c:marker>
            <c:symbol val="circle"/>
            <c:size val="4"/>
            <c:spPr>
              <a:solidFill>
                <a:srgbClr val="72A84B"/>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1-2-1'!$A$2:$A$113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1-2-1'!$D$2:$D$113</c:f>
              <c:numCache>
                <c:ptCount val="34"/>
                <c:pt idx="78">
                  <c:v>10100000.000000</c:v>
                </c:pt>
                <c:pt idx="79">
                  <c:v>40114000.000000</c:v>
                </c:pt>
                <c:pt idx="80">
                  <c:v>52261361.000000</c:v>
                </c:pt>
                <c:pt idx="81">
                  <c:v>57900000.000000</c:v>
                </c:pt>
                <c:pt idx="82">
                  <c:v>0.000000</c:v>
                </c:pt>
                <c:pt idx="83">
                  <c:v>0.000000</c:v>
                </c:pt>
                <c:pt idx="84">
                  <c:v>2590180.000000</c:v>
                </c:pt>
                <c:pt idx="85">
                  <c:v>6590180.000000</c:v>
                </c:pt>
                <c:pt idx="86">
                  <c:v>10590180.000000</c:v>
                </c:pt>
                <c:pt idx="87">
                  <c:v>16582969.000000</c:v>
                </c:pt>
                <c:pt idx="88">
                  <c:v>19688735.000000</c:v>
                </c:pt>
                <c:pt idx="89">
                  <c:v>4332241.000000</c:v>
                </c:pt>
                <c:pt idx="90">
                  <c:v>14275453.000000</c:v>
                </c:pt>
                <c:pt idx="91">
                  <c:v>35074047.000000</c:v>
                </c:pt>
                <c:pt idx="92">
                  <c:v>3071246.000000</c:v>
                </c:pt>
                <c:pt idx="93">
                  <c:v>4776572.400000</c:v>
                </c:pt>
                <c:pt idx="94">
                  <c:v>5912818.000000</c:v>
                </c:pt>
                <c:pt idx="95">
                  <c:v>5553109.000000</c:v>
                </c:pt>
                <c:pt idx="96">
                  <c:v>3330381.000000</c:v>
                </c:pt>
                <c:pt idx="97">
                  <c:v>362597.000000</c:v>
                </c:pt>
                <c:pt idx="98">
                  <c:v>1144754.000000</c:v>
                </c:pt>
                <c:pt idx="99">
                  <c:v>2835604.000000</c:v>
                </c:pt>
                <c:pt idx="100">
                  <c:v>-1316399.000000</c:v>
                </c:pt>
                <c:pt idx="101">
                  <c:v>-141123.000000</c:v>
                </c:pt>
                <c:pt idx="102">
                  <c:v>-1645628.000000</c:v>
                </c:pt>
                <c:pt idx="103">
                  <c:v>18610.000000</c:v>
                </c:pt>
                <c:pt idx="104">
                  <c:v>245877.000000</c:v>
                </c:pt>
                <c:pt idx="105">
                  <c:v>1880927.000000</c:v>
                </c:pt>
                <c:pt idx="106">
                  <c:v>20268684.000000</c:v>
                </c:pt>
                <c:pt idx="107">
                  <c:v>17512018.000000</c:v>
                </c:pt>
                <c:pt idx="108">
                  <c:v>17512018.000000</c:v>
                </c:pt>
                <c:pt idx="109">
                  <c:v>17512018.000000</c:v>
                </c:pt>
                <c:pt idx="110">
                  <c:v>17512018.000000</c:v>
                </c:pt>
                <c:pt idx="111">
                  <c:v>17512018.000000</c:v>
                </c:pt>
              </c:numCache>
            </c:numRef>
          </c:val>
          <c:smooth val="0"/>
        </c:ser>
        <c:ser>
          <c:idx val="2"/>
          <c:order val="2"/>
          <c:tx>
            <c:strRef>
              <c:f>'net worth - Table 1-2-1'!$E$1</c:f>
              <c:strCache>
                <c:ptCount val="1"/>
                <c:pt idx="0">
                  <c:v>Foreign money</c:v>
                </c:pt>
              </c:strCache>
            </c:strRef>
          </c:tx>
          <c:spPr>
            <a:solidFill>
              <a:srgbClr val="FFFFFF"/>
            </a:solidFill>
            <a:ln w="50800" cap="flat">
              <a:solidFill>
                <a:srgbClr val="6FC041"/>
              </a:solidFill>
              <a:prstDash val="solid"/>
              <a:miter lim="400000"/>
            </a:ln>
            <a:effectLst/>
          </c:spPr>
          <c:marker>
            <c:symbol val="none"/>
            <c:size val="4"/>
            <c:spPr>
              <a:solidFill>
                <a:srgbClr val="FFFFFF"/>
              </a:solidFill>
              <a:ln w="50800" cap="flat">
                <a:solidFill>
                  <a:srgbClr val="6FC041"/>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1-2-1'!$A$2:$A$113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1-2-1'!$E$2:$E$113</c:f>
              <c:numCache>
                <c:ptCount val="37"/>
                <c:pt idx="44">
                  <c:v>207918.000000</c:v>
                </c:pt>
                <c:pt idx="45">
                  <c:v>532500.000000</c:v>
                </c:pt>
                <c:pt idx="46">
                  <c:v>1237985.000000</c:v>
                </c:pt>
                <c:pt idx="47">
                  <c:v>1621614.000000</c:v>
                </c:pt>
                <c:pt idx="48">
                  <c:v>1636970.000000</c:v>
                </c:pt>
                <c:pt idx="49">
                  <c:v>2063546.000000</c:v>
                </c:pt>
                <c:pt idx="50">
                  <c:v>2500492.000000</c:v>
                </c:pt>
                <c:pt idx="51">
                  <c:v>2409090.000000</c:v>
                </c:pt>
                <c:pt idx="52">
                  <c:v>2439600.000000</c:v>
                </c:pt>
                <c:pt idx="53">
                  <c:v>717315.000000</c:v>
                </c:pt>
                <c:pt idx="54">
                  <c:v>667998.000000</c:v>
                </c:pt>
                <c:pt idx="55">
                  <c:v>679915.000000</c:v>
                </c:pt>
                <c:pt idx="56">
                  <c:v>678300.000000</c:v>
                </c:pt>
                <c:pt idx="57">
                  <c:v>667998.000000</c:v>
                </c:pt>
                <c:pt idx="58">
                  <c:v>722610.500000</c:v>
                </c:pt>
                <c:pt idx="59">
                  <c:v>699873.000000</c:v>
                </c:pt>
                <c:pt idx="60">
                  <c:v>785145.000000</c:v>
                </c:pt>
                <c:pt idx="61">
                  <c:v>765552.500000</c:v>
                </c:pt>
                <c:pt idx="62">
                  <c:v>760877.500000</c:v>
                </c:pt>
                <c:pt idx="63">
                  <c:v>821635.500000</c:v>
                </c:pt>
                <c:pt idx="64">
                  <c:v>800955.000000</c:v>
                </c:pt>
                <c:pt idx="65">
                  <c:v>764260.500000</c:v>
                </c:pt>
                <c:pt idx="66">
                  <c:v>381199.500000</c:v>
                </c:pt>
                <c:pt idx="67">
                  <c:v>357966.000000</c:v>
                </c:pt>
                <c:pt idx="68">
                  <c:v>372361.500000</c:v>
                </c:pt>
                <c:pt idx="69">
                  <c:v>358344.000000</c:v>
                </c:pt>
                <c:pt idx="70">
                  <c:v>161272.000000</c:v>
                </c:pt>
                <c:pt idx="71">
                  <c:v>161580.000000</c:v>
                </c:pt>
                <c:pt idx="72">
                  <c:v>160206.000000</c:v>
                </c:pt>
                <c:pt idx="73">
                  <c:v>167690.000000</c:v>
                </c:pt>
                <c:pt idx="74">
                  <c:v>174700.000000</c:v>
                </c:pt>
                <c:pt idx="75">
                  <c:v>44392.500000</c:v>
                </c:pt>
                <c:pt idx="76">
                  <c:v>44825.000000</c:v>
                </c:pt>
                <c:pt idx="77">
                  <c:v>46575.000000</c:v>
                </c:pt>
                <c:pt idx="78">
                  <c:v>46575.000000</c:v>
                </c:pt>
                <c:pt idx="79">
                  <c:v>46575.000000</c:v>
                </c:pt>
                <c:pt idx="80">
                  <c:v>0.000000</c:v>
                </c:pt>
              </c:numCache>
            </c:numRef>
          </c:val>
          <c:smooth val="0"/>
        </c:ser>
        <c:ser>
          <c:idx val="3"/>
          <c:order val="3"/>
          <c:tx>
            <c:strRef>
              <c:f>'net worth - Table 1-3'!$Z$1:$Z$2</c:f>
              <c:strCache>
                <c:ptCount val="1"/>
                <c:pt idx="0">
                  <c:v>Reserva total</c:v>
                </c:pt>
              </c:strCache>
            </c:strRef>
          </c:tx>
          <c:spPr>
            <a:solidFill>
              <a:srgbClr val="FFFFFF"/>
            </a:solidFill>
            <a:ln w="25400" cap="flat">
              <a:solidFill>
                <a:srgbClr val="467B9F">
                  <a:alpha val="72672"/>
                </a:srgbClr>
              </a:solidFill>
              <a:prstDash val="solid"/>
              <a:miter lim="400000"/>
            </a:ln>
            <a:effectLst/>
          </c:spPr>
          <c:marker>
            <c:symbol val="none"/>
            <c:size val="4"/>
            <c:spPr>
              <a:solidFill>
                <a:srgbClr val="FFFFFF"/>
              </a:solidFill>
              <a:ln w="50800" cap="flat">
                <a:solidFill>
                  <a:srgbClr val="6FC041">
                    <a:alpha val="49958"/>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1-2-1'!$A$2:$A$113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1-3'!$Z$3:$Z$114</c:f>
              <c:numCache>
                <c:ptCount val="30"/>
                <c:pt idx="82">
                  <c:v>4070932.000000</c:v>
                </c:pt>
                <c:pt idx="83">
                  <c:v>4092177.000000</c:v>
                </c:pt>
                <c:pt idx="84">
                  <c:v>4109117.000000</c:v>
                </c:pt>
                <c:pt idx="85">
                  <c:v>4126000.000000</c:v>
                </c:pt>
                <c:pt idx="86">
                  <c:v>4440767.000000</c:v>
                </c:pt>
                <c:pt idx="87">
                  <c:v>12772416.000000</c:v>
                </c:pt>
                <c:pt idx="88">
                  <c:v>19688735.000000</c:v>
                </c:pt>
                <c:pt idx="89">
                  <c:v>6232241.000000</c:v>
                </c:pt>
                <c:pt idx="90">
                  <c:v>15274709.000000</c:v>
                </c:pt>
                <c:pt idx="91">
                  <c:v>35882284.000000</c:v>
                </c:pt>
                <c:pt idx="92">
                  <c:v>21000880.000000</c:v>
                </c:pt>
                <c:pt idx="93">
                  <c:v>17512382.000000</c:v>
                </c:pt>
                <c:pt idx="94">
                  <c:v>13867816.000000</c:v>
                </c:pt>
                <c:pt idx="95">
                  <c:v>12913339.000000</c:v>
                </c:pt>
                <c:pt idx="96">
                  <c:v>11900951.000000</c:v>
                </c:pt>
                <c:pt idx="97">
                  <c:v>7638617.000000</c:v>
                </c:pt>
                <c:pt idx="98">
                  <c:v>3252088.000000</c:v>
                </c:pt>
                <c:pt idx="99">
                  <c:v>5015591.000000</c:v>
                </c:pt>
                <c:pt idx="100">
                  <c:v>4981601.000000</c:v>
                </c:pt>
                <c:pt idx="101">
                  <c:v>5095564.000000</c:v>
                </c:pt>
                <c:pt idx="102">
                  <c:v>5113006.000000</c:v>
                </c:pt>
                <c:pt idx="103">
                  <c:v>4928542.000000</c:v>
                </c:pt>
                <c:pt idx="104">
                  <c:v>5845655.000000</c:v>
                </c:pt>
                <c:pt idx="105">
                  <c:v>6966795.000000</c:v>
                </c:pt>
                <c:pt idx="106">
                  <c:v>30010849.000000</c:v>
                </c:pt>
                <c:pt idx="107">
                  <c:v>27351662.000000</c:v>
                </c:pt>
                <c:pt idx="108">
                  <c:v>23851662.000000</c:v>
                </c:pt>
                <c:pt idx="109">
                  <c:v>20351662.000000</c:v>
                </c:pt>
                <c:pt idx="110">
                  <c:v>16851662.000000</c:v>
                </c:pt>
                <c:pt idx="111">
                  <c:v>13351662.000000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3e+07"/>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0449194"/>
          <c:y val="0"/>
          <c:w val="0.917379"/>
          <c:h val="0.0660646"/>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2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297548"/>
          <c:y val="0.108864"/>
          <c:w val="0.594971"/>
          <c:h val="0.623969"/>
        </c:manualLayout>
      </c:layout>
      <c:barChart>
        <c:barDir val="col"/>
        <c:grouping val="clustered"/>
        <c:varyColors val="0"/>
        <c:ser>
          <c:idx val="0"/>
          <c:order val="0"/>
          <c:tx>
            <c:strRef>
              <c:f>'net worth - Table 1-1'!$K$1</c:f>
              <c:strCache>
                <c:ptCount val="1"/>
                <c:pt idx="0">
                  <c:v>cash and eqs</c:v>
                </c:pt>
              </c:strCache>
            </c:strRef>
          </c:tx>
          <c:spPr>
            <a:solidFill>
              <a:srgbClr val="C3E5F9"/>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1-1'!$K$2:$K$113</c:f>
              <c:numCache>
                <c:ptCount val="112"/>
                <c:pt idx="0">
                  <c:v>3126507.000000</c:v>
                </c:pt>
                <c:pt idx="1">
                  <c:v>3179695.000000</c:v>
                </c:pt>
                <c:pt idx="2">
                  <c:v>3232907.000000</c:v>
                </c:pt>
                <c:pt idx="3">
                  <c:v>3586213.000000</c:v>
                </c:pt>
                <c:pt idx="4">
                  <c:v>4239479.000000</c:v>
                </c:pt>
                <c:pt idx="5">
                  <c:v>4792941.000000</c:v>
                </c:pt>
                <c:pt idx="6">
                  <c:v>4853596.000000</c:v>
                </c:pt>
                <c:pt idx="7">
                  <c:v>5000000.000000</c:v>
                </c:pt>
                <c:pt idx="8">
                  <c:v>5200000.000000</c:v>
                </c:pt>
                <c:pt idx="9">
                  <c:v>5603934.000000</c:v>
                </c:pt>
                <c:pt idx="10">
                  <c:v>5857976.000000</c:v>
                </c:pt>
                <c:pt idx="11">
                  <c:v>5912133.000000</c:v>
                </c:pt>
                <c:pt idx="12">
                  <c:v>6719379.000000</c:v>
                </c:pt>
                <c:pt idx="13">
                  <c:v>7073784.000000</c:v>
                </c:pt>
                <c:pt idx="14">
                  <c:v>7428359.000000</c:v>
                </c:pt>
                <c:pt idx="15">
                  <c:v>7783074.000000</c:v>
                </c:pt>
                <c:pt idx="16">
                  <c:v>8487938.000000</c:v>
                </c:pt>
                <c:pt idx="17">
                  <c:v>9355066.000000</c:v>
                </c:pt>
                <c:pt idx="18">
                  <c:v>10010198.000000</c:v>
                </c:pt>
                <c:pt idx="19">
                  <c:v>10110198.000000</c:v>
                </c:pt>
                <c:pt idx="20">
                  <c:v>10220404.000000</c:v>
                </c:pt>
                <c:pt idx="21">
                  <c:v>10625536.000000</c:v>
                </c:pt>
                <c:pt idx="22">
                  <c:v>11125536.000000</c:v>
                </c:pt>
                <c:pt idx="23">
                  <c:v>11300704.000000</c:v>
                </c:pt>
                <c:pt idx="24">
                  <c:v>11742878.000000</c:v>
                </c:pt>
                <c:pt idx="25">
                  <c:v>12022412.000000</c:v>
                </c:pt>
                <c:pt idx="26">
                  <c:v>12582238.000000</c:v>
                </c:pt>
                <c:pt idx="27">
                  <c:v>12582238.000000</c:v>
                </c:pt>
                <c:pt idx="28">
                  <c:v>12582238.000000</c:v>
                </c:pt>
                <c:pt idx="29">
                  <c:v>12864311.000000</c:v>
                </c:pt>
                <c:pt idx="30">
                  <c:v>13147311.000000</c:v>
                </c:pt>
                <c:pt idx="31">
                  <c:v>13447311.000000</c:v>
                </c:pt>
                <c:pt idx="32">
                  <c:v>13747311.000000</c:v>
                </c:pt>
                <c:pt idx="33">
                  <c:v>13747311.000000</c:v>
                </c:pt>
                <c:pt idx="34">
                  <c:v>13747311.000000</c:v>
                </c:pt>
                <c:pt idx="35">
                  <c:v>13897311.000000</c:v>
                </c:pt>
                <c:pt idx="36">
                  <c:v>14285818.000000</c:v>
                </c:pt>
                <c:pt idx="37">
                  <c:v>14285818.000000</c:v>
                </c:pt>
                <c:pt idx="38">
                  <c:v>14285818.000000</c:v>
                </c:pt>
                <c:pt idx="39">
                  <c:v>14285818.000000</c:v>
                </c:pt>
                <c:pt idx="40">
                  <c:v>14285818.000000</c:v>
                </c:pt>
                <c:pt idx="41">
                  <c:v>14285818.000000</c:v>
                </c:pt>
                <c:pt idx="42">
                  <c:v>14285818.000000</c:v>
                </c:pt>
                <c:pt idx="43">
                  <c:v>14685818.000000</c:v>
                </c:pt>
                <c:pt idx="44">
                  <c:v>15685818.000000</c:v>
                </c:pt>
                <c:pt idx="45">
                  <c:v>17185818.000000</c:v>
                </c:pt>
                <c:pt idx="46">
                  <c:v>18000000.000000</c:v>
                </c:pt>
                <c:pt idx="47">
                  <c:v>19000000.000000</c:v>
                </c:pt>
                <c:pt idx="48">
                  <c:v>20000000.000000</c:v>
                </c:pt>
                <c:pt idx="49">
                  <c:v>20600000.000000</c:v>
                </c:pt>
                <c:pt idx="50">
                  <c:v>20600000.000000</c:v>
                </c:pt>
                <c:pt idx="51">
                  <c:v>20600000.000000</c:v>
                </c:pt>
                <c:pt idx="52">
                  <c:v>20600000.000000</c:v>
                </c:pt>
                <c:pt idx="53">
                  <c:v>19800000.000000</c:v>
                </c:pt>
                <c:pt idx="54">
                  <c:v>19000000.000000</c:v>
                </c:pt>
                <c:pt idx="55">
                  <c:v>18200000.000000</c:v>
                </c:pt>
                <c:pt idx="56">
                  <c:v>13200000.000000</c:v>
                </c:pt>
                <c:pt idx="57">
                  <c:v>9200000.000000</c:v>
                </c:pt>
                <c:pt idx="58">
                  <c:v>9200000.000000</c:v>
                </c:pt>
                <c:pt idx="59">
                  <c:v>7200000.000000</c:v>
                </c:pt>
                <c:pt idx="60">
                  <c:v>8925852.000000</c:v>
                </c:pt>
                <c:pt idx="61">
                  <c:v>8025852.000000</c:v>
                </c:pt>
                <c:pt idx="62">
                  <c:v>7125852.000000</c:v>
                </c:pt>
                <c:pt idx="63">
                  <c:v>6225852.000000</c:v>
                </c:pt>
                <c:pt idx="64">
                  <c:v>6225852.000000</c:v>
                </c:pt>
                <c:pt idx="65">
                  <c:v>6225852.000000</c:v>
                </c:pt>
                <c:pt idx="66">
                  <c:v>7000000.000000</c:v>
                </c:pt>
                <c:pt idx="67">
                  <c:v>7600000.000000</c:v>
                </c:pt>
                <c:pt idx="68">
                  <c:v>8100000.000000</c:v>
                </c:pt>
                <c:pt idx="69">
                  <c:v>8700000.000000</c:v>
                </c:pt>
                <c:pt idx="70">
                  <c:v>8700000.000000</c:v>
                </c:pt>
                <c:pt idx="71">
                  <c:v>9227950.000000</c:v>
                </c:pt>
                <c:pt idx="72">
                  <c:v>10040065.000000</c:v>
                </c:pt>
                <c:pt idx="73">
                  <c:v>10100000.000000</c:v>
                </c:pt>
                <c:pt idx="74">
                  <c:v>10100000.000000</c:v>
                </c:pt>
                <c:pt idx="75">
                  <c:v>10100000.000000</c:v>
                </c:pt>
                <c:pt idx="76">
                  <c:v>10100000.000000</c:v>
                </c:pt>
                <c:pt idx="77">
                  <c:v>10100000.000000</c:v>
                </c:pt>
                <c:pt idx="78">
                  <c:v>10100000.000000</c:v>
                </c:pt>
                <c:pt idx="79">
                  <c:v>40114000.000000</c:v>
                </c:pt>
                <c:pt idx="80">
                  <c:v>52261361.000000</c:v>
                </c:pt>
                <c:pt idx="81">
                  <c:v>57900000.000000</c:v>
                </c:pt>
                <c:pt idx="82">
                  <c:v>0.000000</c:v>
                </c:pt>
                <c:pt idx="83">
                  <c:v>0.000000</c:v>
                </c:pt>
                <c:pt idx="84">
                  <c:v>2590180.000000</c:v>
                </c:pt>
                <c:pt idx="85">
                  <c:v>6590180.000000</c:v>
                </c:pt>
                <c:pt idx="86">
                  <c:v>10590180.000000</c:v>
                </c:pt>
                <c:pt idx="87">
                  <c:v>16582969.000000</c:v>
                </c:pt>
                <c:pt idx="88">
                  <c:v>19688735.000000</c:v>
                </c:pt>
                <c:pt idx="89">
                  <c:v>4332241.000000</c:v>
                </c:pt>
                <c:pt idx="90">
                  <c:v>14275453.000000</c:v>
                </c:pt>
                <c:pt idx="91">
                  <c:v>35074047.000000</c:v>
                </c:pt>
                <c:pt idx="92">
                  <c:v>3071246.000000</c:v>
                </c:pt>
                <c:pt idx="93">
                  <c:v>4776572.400000</c:v>
                </c:pt>
                <c:pt idx="94">
                  <c:v>5912818.000000</c:v>
                </c:pt>
                <c:pt idx="95">
                  <c:v>5553109.000000</c:v>
                </c:pt>
                <c:pt idx="96">
                  <c:v>3330381.750000</c:v>
                </c:pt>
                <c:pt idx="97">
                  <c:v>362597.000000</c:v>
                </c:pt>
                <c:pt idx="98">
                  <c:v>1144754.000000</c:v>
                </c:pt>
                <c:pt idx="99">
                  <c:v>2199193.000000</c:v>
                </c:pt>
                <c:pt idx="100">
                  <c:v>-1316399.000000</c:v>
                </c:pt>
                <c:pt idx="101">
                  <c:v>-141123.000000</c:v>
                </c:pt>
                <c:pt idx="102">
                  <c:v>-1645628.000000</c:v>
                </c:pt>
                <c:pt idx="103">
                  <c:v>18610.000000</c:v>
                </c:pt>
                <c:pt idx="104">
                  <c:v>245877.000000</c:v>
                </c:pt>
                <c:pt idx="105">
                  <c:v>1880927.000000</c:v>
                </c:pt>
                <c:pt idx="106">
                  <c:v>20268684.000000</c:v>
                </c:pt>
                <c:pt idx="107">
                  <c:v>17512018.000000</c:v>
                </c:pt>
                <c:pt idx="108">
                  <c:v>14512018.000000</c:v>
                </c:pt>
                <c:pt idx="109">
                  <c:v>11512018.000000</c:v>
                </c:pt>
                <c:pt idx="110">
                  <c:v>8512018.000000</c:v>
                </c:pt>
                <c:pt idx="111">
                  <c:v>5512018.000000</c:v>
                </c:pt>
              </c:numCache>
            </c:numRef>
          </c:val>
        </c:ser>
        <c:ser>
          <c:idx val="1"/>
          <c:order val="1"/>
          <c:tx>
            <c:strRef>
              <c:f>'net worth - Table 1-1'!$I$1</c:f>
              <c:strCache>
                <c:ptCount val="1"/>
                <c:pt idx="0">
                  <c:v>cripto</c:v>
                </c:pt>
              </c:strCache>
            </c:strRef>
          </c:tx>
          <c:spPr>
            <a:solidFill>
              <a:srgbClr val="F4BB1C"/>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1-1'!$I$2:$I$113</c:f>
              <c:numCache>
                <c:ptCount val="107"/>
                <c:pt idx="5">
                  <c:v>1272218.016381</c:v>
                </c:pt>
                <c:pt idx="6">
                  <c:v>3085682.427160</c:v>
                </c:pt>
                <c:pt idx="7">
                  <c:v>3257439.546983</c:v>
                </c:pt>
                <c:pt idx="8">
                  <c:v>2845882.118525</c:v>
                </c:pt>
                <c:pt idx="9">
                  <c:v>1531932.586529</c:v>
                </c:pt>
                <c:pt idx="10">
                  <c:v>2079903.766844</c:v>
                </c:pt>
                <c:pt idx="11">
                  <c:v>2328343.296500</c:v>
                </c:pt>
                <c:pt idx="12">
                  <c:v>1861409.139053</c:v>
                </c:pt>
                <c:pt idx="13">
                  <c:v>2137166.363382</c:v>
                </c:pt>
                <c:pt idx="14">
                  <c:v>1552135.009554</c:v>
                </c:pt>
                <c:pt idx="15">
                  <c:v>1309430.128021</c:v>
                </c:pt>
                <c:pt idx="16">
                  <c:v>1247016.868837</c:v>
                </c:pt>
                <c:pt idx="17">
                  <c:v>730535.000000</c:v>
                </c:pt>
                <c:pt idx="18">
                  <c:v>799676.480250</c:v>
                </c:pt>
                <c:pt idx="19">
                  <c:v>612249.381426</c:v>
                </c:pt>
                <c:pt idx="20">
                  <c:v>734791.194822</c:v>
                </c:pt>
                <c:pt idx="21">
                  <c:v>775047.015228</c:v>
                </c:pt>
                <c:pt idx="22">
                  <c:v>974972.052839</c:v>
                </c:pt>
                <c:pt idx="23">
                  <c:v>1628405.463286</c:v>
                </c:pt>
                <c:pt idx="24">
                  <c:v>1841750.609045</c:v>
                </c:pt>
                <c:pt idx="25">
                  <c:v>1556940.308716</c:v>
                </c:pt>
                <c:pt idx="26">
                  <c:v>1398277.840278</c:v>
                </c:pt>
                <c:pt idx="27">
                  <c:v>1349656.190386</c:v>
                </c:pt>
                <c:pt idx="28">
                  <c:v>1440647.385831</c:v>
                </c:pt>
                <c:pt idx="29">
                  <c:v>1312157.728327</c:v>
                </c:pt>
                <c:pt idx="30">
                  <c:v>1135089.405939</c:v>
                </c:pt>
                <c:pt idx="31">
                  <c:v>1566102.832928</c:v>
                </c:pt>
                <c:pt idx="32">
                  <c:v>1760275.735882</c:v>
                </c:pt>
                <c:pt idx="33">
                  <c:v>1203911.958255</c:v>
                </c:pt>
                <c:pt idx="34">
                  <c:v>1712738.800732</c:v>
                </c:pt>
                <c:pt idx="35">
                  <c:v>1812397.572734</c:v>
                </c:pt>
                <c:pt idx="36">
                  <c:v>1817898.813805</c:v>
                </c:pt>
                <c:pt idx="37">
                  <c:v>2334350.117538</c:v>
                </c:pt>
                <c:pt idx="38">
                  <c:v>2807232.170791</c:v>
                </c:pt>
                <c:pt idx="39">
                  <c:v>2409646.420111</c:v>
                </c:pt>
                <c:pt idx="40">
                  <c:v>2757821.488860</c:v>
                </c:pt>
                <c:pt idx="41">
                  <c:v>4029227.007488</c:v>
                </c:pt>
                <c:pt idx="42">
                  <c:v>5210367.989024</c:v>
                </c:pt>
                <c:pt idx="43">
                  <c:v>5366295.342190</c:v>
                </c:pt>
                <c:pt idx="44">
                  <c:v>5389762.722618</c:v>
                </c:pt>
                <c:pt idx="45">
                  <c:v>6549555.348331</c:v>
                </c:pt>
                <c:pt idx="46">
                  <c:v>7930245.304117</c:v>
                </c:pt>
                <c:pt idx="47">
                  <c:v>5478561.881851</c:v>
                </c:pt>
                <c:pt idx="48">
                  <c:v>4823022.646831</c:v>
                </c:pt>
                <c:pt idx="49">
                  <c:v>5742654.000000</c:v>
                </c:pt>
                <c:pt idx="50">
                  <c:v>7594332.000000</c:v>
                </c:pt>
                <c:pt idx="51">
                  <c:v>7890259.000000</c:v>
                </c:pt>
                <c:pt idx="52">
                  <c:v>10132393.000000</c:v>
                </c:pt>
                <c:pt idx="53">
                  <c:v>10582141.000000</c:v>
                </c:pt>
                <c:pt idx="54">
                  <c:v>8730136.000000</c:v>
                </c:pt>
                <c:pt idx="55">
                  <c:v>6238387.000000</c:v>
                </c:pt>
                <c:pt idx="56">
                  <c:v>6847253.000000</c:v>
                </c:pt>
                <c:pt idx="57">
                  <c:v>7437840.000000</c:v>
                </c:pt>
                <c:pt idx="58">
                  <c:v>6723473.000000</c:v>
                </c:pt>
                <c:pt idx="59">
                  <c:v>4904826.000000</c:v>
                </c:pt>
                <c:pt idx="60">
                  <c:v>3258118.000000</c:v>
                </c:pt>
                <c:pt idx="61">
                  <c:v>4418151.000000</c:v>
                </c:pt>
                <c:pt idx="62">
                  <c:v>3909076.000000</c:v>
                </c:pt>
                <c:pt idx="63">
                  <c:v>3770406.000000</c:v>
                </c:pt>
                <c:pt idx="64">
                  <c:v>4210664.000000</c:v>
                </c:pt>
                <c:pt idx="65">
                  <c:v>3259478.000000</c:v>
                </c:pt>
                <c:pt idx="66">
                  <c:v>2901477.000000</c:v>
                </c:pt>
                <c:pt idx="67">
                  <c:v>3697443.000000</c:v>
                </c:pt>
                <c:pt idx="68">
                  <c:v>3906693.000000</c:v>
                </c:pt>
                <c:pt idx="69">
                  <c:v>4459288.000000</c:v>
                </c:pt>
                <c:pt idx="70">
                  <c:v>4585803.000000</c:v>
                </c:pt>
                <c:pt idx="71">
                  <c:v>4373034.000000</c:v>
                </c:pt>
                <c:pt idx="72">
                  <c:v>4651210.000000</c:v>
                </c:pt>
                <c:pt idx="73">
                  <c:v>4620601.000000</c:v>
                </c:pt>
                <c:pt idx="74">
                  <c:v>4239791.000000</c:v>
                </c:pt>
                <c:pt idx="75">
                  <c:v>4680294.000000</c:v>
                </c:pt>
                <c:pt idx="76">
                  <c:v>5281470.000000</c:v>
                </c:pt>
                <c:pt idx="77">
                  <c:v>5701123.000000</c:v>
                </c:pt>
                <c:pt idx="78">
                  <c:v>5935614.000000</c:v>
                </c:pt>
                <c:pt idx="79">
                  <c:v>6138257.000000</c:v>
                </c:pt>
                <c:pt idx="80">
                  <c:v>9422555.000000</c:v>
                </c:pt>
                <c:pt idx="81">
                  <c:v>10238676.000000</c:v>
                </c:pt>
                <c:pt idx="82">
                  <c:v>8998809.000000</c:v>
                </c:pt>
                <c:pt idx="83">
                  <c:v>9854948.000000</c:v>
                </c:pt>
                <c:pt idx="84">
                  <c:v>9174454.000000</c:v>
                </c:pt>
                <c:pt idx="85">
                  <c:v>8981575.000000</c:v>
                </c:pt>
                <c:pt idx="86">
                  <c:v>7080412.000000</c:v>
                </c:pt>
                <c:pt idx="87">
                  <c:v>7581058.000000</c:v>
                </c:pt>
                <c:pt idx="88">
                  <c:v>8247740.000000</c:v>
                </c:pt>
                <c:pt idx="89">
                  <c:v>11175459.000000</c:v>
                </c:pt>
                <c:pt idx="90">
                  <c:v>10855466.000000</c:v>
                </c:pt>
                <c:pt idx="91">
                  <c:v>10158709.000000</c:v>
                </c:pt>
                <c:pt idx="92">
                  <c:v>5287672.000000</c:v>
                </c:pt>
                <c:pt idx="93">
                  <c:v>1721793.000000</c:v>
                </c:pt>
                <c:pt idx="94">
                  <c:v>1974510.000000</c:v>
                </c:pt>
                <c:pt idx="95">
                  <c:v>2164795.000000</c:v>
                </c:pt>
                <c:pt idx="96">
                  <c:v>2528175.000000</c:v>
                </c:pt>
                <c:pt idx="97">
                  <c:v>2730431.000000</c:v>
                </c:pt>
                <c:pt idx="98">
                  <c:v>2617689.000000</c:v>
                </c:pt>
                <c:pt idx="99">
                  <c:v>2700878.000000</c:v>
                </c:pt>
                <c:pt idx="100">
                  <c:v>2520334.000000</c:v>
                </c:pt>
                <c:pt idx="101">
                  <c:v>1971851.000000</c:v>
                </c:pt>
                <c:pt idx="102">
                  <c:v>1922666.000000</c:v>
                </c:pt>
                <c:pt idx="103">
                  <c:v>1654148.000000</c:v>
                </c:pt>
                <c:pt idx="104">
                  <c:v>1408789.000000</c:v>
                </c:pt>
                <c:pt idx="105">
                  <c:v>1524311.000000</c:v>
                </c:pt>
                <c:pt idx="106">
                  <c:v>1693457.000000</c:v>
                </c:pt>
                <c:pt idx="107">
                  <c:v>1693457.000000</c:v>
                </c:pt>
                <c:pt idx="108">
                  <c:v>1693457.000000</c:v>
                </c:pt>
                <c:pt idx="109">
                  <c:v>1693457.000000</c:v>
                </c:pt>
                <c:pt idx="110">
                  <c:v>1693457.000000</c:v>
                </c:pt>
                <c:pt idx="111">
                  <c:v>1693457.000000</c:v>
                </c:pt>
              </c:numCache>
            </c:numRef>
          </c:val>
        </c:ser>
        <c:ser>
          <c:idx val="2"/>
          <c:order val="2"/>
          <c:tx>
            <c:strRef>
              <c:f>'net worth - Table 1-1'!$H$1</c:f>
              <c:strCache>
                <c:ptCount val="1"/>
                <c:pt idx="0">
                  <c:v>brokerage</c:v>
                </c:pt>
              </c:strCache>
            </c:strRef>
          </c:tx>
          <c:spPr>
            <a:solidFill>
              <a:srgbClr val="51A7F9"/>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1-1'!$H$2:$H$113</c:f>
              <c:numCache>
                <c:ptCount val="112"/>
                <c:pt idx="0">
                  <c:v>1001010.000000</c:v>
                </c:pt>
                <c:pt idx="1">
                  <c:v>998000.000000</c:v>
                </c:pt>
                <c:pt idx="2">
                  <c:v>997000.000000</c:v>
                </c:pt>
                <c:pt idx="3">
                  <c:v>994000.000000</c:v>
                </c:pt>
                <c:pt idx="4">
                  <c:v>1193708.000000</c:v>
                </c:pt>
                <c:pt idx="5">
                  <c:v>1699339.000000</c:v>
                </c:pt>
                <c:pt idx="6">
                  <c:v>1894508.000000</c:v>
                </c:pt>
                <c:pt idx="7">
                  <c:v>1916082.000000</c:v>
                </c:pt>
                <c:pt idx="8">
                  <c:v>2087612.000000</c:v>
                </c:pt>
                <c:pt idx="9">
                  <c:v>2203156.000000</c:v>
                </c:pt>
                <c:pt idx="10">
                  <c:v>2492415.000000</c:v>
                </c:pt>
                <c:pt idx="11">
                  <c:v>2596609.000000</c:v>
                </c:pt>
                <c:pt idx="12">
                  <c:v>2798266.000000</c:v>
                </c:pt>
                <c:pt idx="13">
                  <c:v>2981456.000000</c:v>
                </c:pt>
                <c:pt idx="14">
                  <c:v>3229751.000000</c:v>
                </c:pt>
                <c:pt idx="15">
                  <c:v>3303248.000000</c:v>
                </c:pt>
                <c:pt idx="16">
                  <c:v>3417029.000000</c:v>
                </c:pt>
                <c:pt idx="17">
                  <c:v>3809924.000000</c:v>
                </c:pt>
                <c:pt idx="18">
                  <c:v>4148904.000000</c:v>
                </c:pt>
                <c:pt idx="19">
                  <c:v>4603346.000000</c:v>
                </c:pt>
                <c:pt idx="20">
                  <c:v>5403216.000000</c:v>
                </c:pt>
                <c:pt idx="21">
                  <c:v>6824490.000000</c:v>
                </c:pt>
                <c:pt idx="22">
                  <c:v>7804460.000000</c:v>
                </c:pt>
                <c:pt idx="23">
                  <c:v>8700750.000000</c:v>
                </c:pt>
                <c:pt idx="24">
                  <c:v>9778523.000000</c:v>
                </c:pt>
                <c:pt idx="25">
                  <c:v>10571456.000000</c:v>
                </c:pt>
                <c:pt idx="26">
                  <c:v>10684713.000000</c:v>
                </c:pt>
                <c:pt idx="27">
                  <c:v>11544666.000000</c:v>
                </c:pt>
                <c:pt idx="28">
                  <c:v>12106440.000000</c:v>
                </c:pt>
                <c:pt idx="29">
                  <c:v>14496255.000000</c:v>
                </c:pt>
                <c:pt idx="30">
                  <c:v>13411060.000000</c:v>
                </c:pt>
                <c:pt idx="31">
                  <c:v>14574351.000000</c:v>
                </c:pt>
                <c:pt idx="32">
                  <c:v>13559687.000000</c:v>
                </c:pt>
                <c:pt idx="33">
                  <c:v>12412477.000000</c:v>
                </c:pt>
                <c:pt idx="34">
                  <c:v>13839283.000000</c:v>
                </c:pt>
                <c:pt idx="35">
                  <c:v>13939112.000000</c:v>
                </c:pt>
                <c:pt idx="36">
                  <c:v>14721044.000000</c:v>
                </c:pt>
                <c:pt idx="37">
                  <c:v>14242037.000000</c:v>
                </c:pt>
                <c:pt idx="38">
                  <c:v>16025314.000000</c:v>
                </c:pt>
                <c:pt idx="39">
                  <c:v>12781177.000000</c:v>
                </c:pt>
                <c:pt idx="40">
                  <c:v>12237434.000000</c:v>
                </c:pt>
                <c:pt idx="41">
                  <c:v>13809591.000000</c:v>
                </c:pt>
                <c:pt idx="42">
                  <c:v>13490786.000000</c:v>
                </c:pt>
                <c:pt idx="43">
                  <c:v>14079388.000000</c:v>
                </c:pt>
                <c:pt idx="44">
                  <c:v>13907650.000000</c:v>
                </c:pt>
                <c:pt idx="45">
                  <c:v>13815520.000000</c:v>
                </c:pt>
                <c:pt idx="46">
                  <c:v>14686023.000000</c:v>
                </c:pt>
                <c:pt idx="47">
                  <c:v>15436852.000000</c:v>
                </c:pt>
                <c:pt idx="48">
                  <c:v>16991759.000000</c:v>
                </c:pt>
                <c:pt idx="49">
                  <c:v>17935236.000000</c:v>
                </c:pt>
                <c:pt idx="50">
                  <c:v>18749937.000000</c:v>
                </c:pt>
                <c:pt idx="51">
                  <c:v>18459742.000000</c:v>
                </c:pt>
                <c:pt idx="52">
                  <c:v>19822509.000000</c:v>
                </c:pt>
                <c:pt idx="53">
                  <c:v>20631759.000000</c:v>
                </c:pt>
                <c:pt idx="54">
                  <c:v>20792432.000000</c:v>
                </c:pt>
                <c:pt idx="55">
                  <c:v>18067651.000000</c:v>
                </c:pt>
                <c:pt idx="56">
                  <c:v>18212076.000000</c:v>
                </c:pt>
                <c:pt idx="57">
                  <c:v>20276098.000000</c:v>
                </c:pt>
                <c:pt idx="58">
                  <c:v>19542857.000000</c:v>
                </c:pt>
                <c:pt idx="59">
                  <c:v>19059853.000000</c:v>
                </c:pt>
                <c:pt idx="60">
                  <c:v>19707911.000000</c:v>
                </c:pt>
                <c:pt idx="61">
                  <c:v>20826478.000000</c:v>
                </c:pt>
                <c:pt idx="62">
                  <c:v>19636133.000000</c:v>
                </c:pt>
                <c:pt idx="63">
                  <c:v>18911493.000000</c:v>
                </c:pt>
                <c:pt idx="64">
                  <c:v>19413118.000000</c:v>
                </c:pt>
                <c:pt idx="65">
                  <c:v>19600732.000000</c:v>
                </c:pt>
                <c:pt idx="66">
                  <c:v>18905117.000000</c:v>
                </c:pt>
                <c:pt idx="67">
                  <c:v>19423234.000000</c:v>
                </c:pt>
                <c:pt idx="68">
                  <c:v>19770460.000000</c:v>
                </c:pt>
                <c:pt idx="69">
                  <c:v>19696814.000000</c:v>
                </c:pt>
                <c:pt idx="70">
                  <c:v>19754277.000000</c:v>
                </c:pt>
                <c:pt idx="71">
                  <c:v>20900676.000000</c:v>
                </c:pt>
                <c:pt idx="72">
                  <c:v>21905792.000000</c:v>
                </c:pt>
                <c:pt idx="73">
                  <c:v>23745157.000000</c:v>
                </c:pt>
                <c:pt idx="74">
                  <c:v>23329779.149703</c:v>
                </c:pt>
                <c:pt idx="75">
                  <c:v>23157780.378592</c:v>
                </c:pt>
                <c:pt idx="76">
                  <c:v>22298128.532527</c:v>
                </c:pt>
                <c:pt idx="77">
                  <c:v>23791012.943965</c:v>
                </c:pt>
                <c:pt idx="78">
                  <c:v>25673178.153746</c:v>
                </c:pt>
                <c:pt idx="79">
                  <c:v>26745235.000000</c:v>
                </c:pt>
                <c:pt idx="80">
                  <c:v>29143747.000000</c:v>
                </c:pt>
                <c:pt idx="81">
                  <c:v>30214405.000000</c:v>
                </c:pt>
                <c:pt idx="82">
                  <c:v>28198430.000000</c:v>
                </c:pt>
                <c:pt idx="83">
                  <c:v>28535192.000000</c:v>
                </c:pt>
                <c:pt idx="84">
                  <c:v>30554913.000000</c:v>
                </c:pt>
                <c:pt idx="85">
                  <c:v>30517714.000000</c:v>
                </c:pt>
                <c:pt idx="86">
                  <c:v>29754534.000000</c:v>
                </c:pt>
                <c:pt idx="87">
                  <c:v>29922775.000000</c:v>
                </c:pt>
                <c:pt idx="88">
                  <c:v>32678334.000000</c:v>
                </c:pt>
                <c:pt idx="89">
                  <c:v>34016988.000000</c:v>
                </c:pt>
                <c:pt idx="90">
                  <c:v>31621022.000000</c:v>
                </c:pt>
                <c:pt idx="91">
                  <c:v>27651134.000000</c:v>
                </c:pt>
                <c:pt idx="92">
                  <c:v>16524027.000000</c:v>
                </c:pt>
                <c:pt idx="93">
                  <c:v>8883436.000000</c:v>
                </c:pt>
                <c:pt idx="94">
                  <c:v>7768712.000000</c:v>
                </c:pt>
                <c:pt idx="95">
                  <c:v>8245002.000000</c:v>
                </c:pt>
                <c:pt idx="96">
                  <c:v>8725297.000000</c:v>
                </c:pt>
                <c:pt idx="97">
                  <c:v>9319731.000000</c:v>
                </c:pt>
                <c:pt idx="98">
                  <c:v>9399360.000000</c:v>
                </c:pt>
                <c:pt idx="99">
                  <c:v>9865241.000000</c:v>
                </c:pt>
                <c:pt idx="100">
                  <c:v>10062691.000000</c:v>
                </c:pt>
                <c:pt idx="101">
                  <c:v>9804175.000000</c:v>
                </c:pt>
                <c:pt idx="102">
                  <c:v>9693331.000000</c:v>
                </c:pt>
                <c:pt idx="103">
                  <c:v>9477852.000000</c:v>
                </c:pt>
                <c:pt idx="104">
                  <c:v>9501503.000000</c:v>
                </c:pt>
                <c:pt idx="105">
                  <c:v>9862963.000000</c:v>
                </c:pt>
                <c:pt idx="106">
                  <c:v>10970244.000000</c:v>
                </c:pt>
                <c:pt idx="107">
                  <c:v>11447471.000000</c:v>
                </c:pt>
                <c:pt idx="108">
                  <c:v>11447471.000000</c:v>
                </c:pt>
                <c:pt idx="109">
                  <c:v>11447471.000000</c:v>
                </c:pt>
                <c:pt idx="110">
                  <c:v>11447471.000000</c:v>
                </c:pt>
                <c:pt idx="111">
                  <c:v>11447471.000000</c:v>
                </c:pt>
              </c:numCache>
            </c:numRef>
          </c:val>
        </c:ser>
        <c:ser>
          <c:idx val="3"/>
          <c:order val="3"/>
          <c:tx>
            <c:strRef>
              <c:f>'net worth - Table 1-1'!$J$1</c:f>
              <c:strCache>
                <c:ptCount val="1"/>
                <c:pt idx="0">
                  <c:v>retiro</c:v>
                </c:pt>
              </c:strCache>
            </c:strRef>
          </c:tx>
          <c:spPr>
            <a:solidFill>
              <a:srgbClr val="78CC47"/>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1-1'!$J$2:$J$113</c:f>
              <c:numCache>
                <c:ptCount val="112"/>
                <c:pt idx="0">
                  <c:v>125077.618636</c:v>
                </c:pt>
                <c:pt idx="1">
                  <c:v>258133.666667</c:v>
                </c:pt>
                <c:pt idx="2">
                  <c:v>400706.298751</c:v>
                </c:pt>
                <c:pt idx="3">
                  <c:v>542699.387128</c:v>
                </c:pt>
                <c:pt idx="4">
                  <c:v>707382.000000</c:v>
                </c:pt>
                <c:pt idx="5">
                  <c:v>856326.000000</c:v>
                </c:pt>
                <c:pt idx="6">
                  <c:v>995738.000000</c:v>
                </c:pt>
                <c:pt idx="7">
                  <c:v>1183085.000000</c:v>
                </c:pt>
                <c:pt idx="8">
                  <c:v>1285565.000000</c:v>
                </c:pt>
                <c:pt idx="9">
                  <c:v>1466655.000000</c:v>
                </c:pt>
                <c:pt idx="10">
                  <c:v>2038274.000000</c:v>
                </c:pt>
                <c:pt idx="11">
                  <c:v>2216616.000000</c:v>
                </c:pt>
                <c:pt idx="12">
                  <c:v>2745221.000000</c:v>
                </c:pt>
                <c:pt idx="13">
                  <c:v>3242414.000000</c:v>
                </c:pt>
                <c:pt idx="14">
                  <c:v>3801924.000000</c:v>
                </c:pt>
                <c:pt idx="15">
                  <c:v>4211425.000000</c:v>
                </c:pt>
                <c:pt idx="16">
                  <c:v>4455543.000000</c:v>
                </c:pt>
                <c:pt idx="17">
                  <c:v>4690498.000000</c:v>
                </c:pt>
                <c:pt idx="18">
                  <c:v>4885955.000000</c:v>
                </c:pt>
                <c:pt idx="19">
                  <c:v>5316618.000000</c:v>
                </c:pt>
                <c:pt idx="20">
                  <c:v>5652546.000000</c:v>
                </c:pt>
                <c:pt idx="21">
                  <c:v>6102728.000000</c:v>
                </c:pt>
                <c:pt idx="22">
                  <c:v>6508035.000000</c:v>
                </c:pt>
                <c:pt idx="23">
                  <c:v>6705233.000000</c:v>
                </c:pt>
                <c:pt idx="24">
                  <c:v>7465026.000000</c:v>
                </c:pt>
                <c:pt idx="25">
                  <c:v>8727943.000000</c:v>
                </c:pt>
                <c:pt idx="26">
                  <c:v>9706764.000000</c:v>
                </c:pt>
                <c:pt idx="27">
                  <c:v>10268544.000000</c:v>
                </c:pt>
                <c:pt idx="28">
                  <c:v>10713626.000000</c:v>
                </c:pt>
                <c:pt idx="29">
                  <c:v>12167081.000000</c:v>
                </c:pt>
                <c:pt idx="30">
                  <c:v>15116086.000000</c:v>
                </c:pt>
                <c:pt idx="31">
                  <c:v>16314295.000000</c:v>
                </c:pt>
                <c:pt idx="32">
                  <c:v>15812613.000000</c:v>
                </c:pt>
                <c:pt idx="33">
                  <c:v>14620358.000000</c:v>
                </c:pt>
                <c:pt idx="34">
                  <c:v>16681350.000000</c:v>
                </c:pt>
                <c:pt idx="35">
                  <c:v>17232140.000000</c:v>
                </c:pt>
                <c:pt idx="36">
                  <c:v>18103738.000000</c:v>
                </c:pt>
                <c:pt idx="37">
                  <c:v>17842781.000000</c:v>
                </c:pt>
                <c:pt idx="38">
                  <c:v>19644283.000000</c:v>
                </c:pt>
                <c:pt idx="39">
                  <c:v>19753056.000000</c:v>
                </c:pt>
                <c:pt idx="40">
                  <c:v>20205177.000000</c:v>
                </c:pt>
                <c:pt idx="41">
                  <c:v>24741401.000000</c:v>
                </c:pt>
                <c:pt idx="42">
                  <c:v>24996909.000000</c:v>
                </c:pt>
                <c:pt idx="43">
                  <c:v>26605964.000000</c:v>
                </c:pt>
                <c:pt idx="44">
                  <c:v>26276514.000000</c:v>
                </c:pt>
                <c:pt idx="45">
                  <c:v>26468919.000000</c:v>
                </c:pt>
                <c:pt idx="46">
                  <c:v>26831586.000000</c:v>
                </c:pt>
                <c:pt idx="47">
                  <c:v>26074930.000000</c:v>
                </c:pt>
                <c:pt idx="48">
                  <c:v>27273553.000000</c:v>
                </c:pt>
                <c:pt idx="49">
                  <c:v>27678934.000000</c:v>
                </c:pt>
                <c:pt idx="50">
                  <c:v>28802430.000000</c:v>
                </c:pt>
                <c:pt idx="51">
                  <c:v>28562813.000000</c:v>
                </c:pt>
                <c:pt idx="52">
                  <c:v>30396264.000000</c:v>
                </c:pt>
                <c:pt idx="53">
                  <c:v>31801432.000000</c:v>
                </c:pt>
                <c:pt idx="54">
                  <c:v>32643647.000000</c:v>
                </c:pt>
                <c:pt idx="55">
                  <c:v>28648275.000000</c:v>
                </c:pt>
                <c:pt idx="56">
                  <c:v>29824732.000000</c:v>
                </c:pt>
                <c:pt idx="57">
                  <c:v>29858917.000000</c:v>
                </c:pt>
                <c:pt idx="58">
                  <c:v>28948486.000000</c:v>
                </c:pt>
                <c:pt idx="59">
                  <c:v>28375092.000000</c:v>
                </c:pt>
                <c:pt idx="60">
                  <c:v>29375872.000000</c:v>
                </c:pt>
                <c:pt idx="61">
                  <c:v>30855592.000000</c:v>
                </c:pt>
                <c:pt idx="62">
                  <c:v>29595744.000000</c:v>
                </c:pt>
                <c:pt idx="63">
                  <c:v>28650578.000000</c:v>
                </c:pt>
                <c:pt idx="64">
                  <c:v>29645788.000000</c:v>
                </c:pt>
                <c:pt idx="65">
                  <c:v>30555644.000000</c:v>
                </c:pt>
                <c:pt idx="66">
                  <c:v>28908368.000000</c:v>
                </c:pt>
                <c:pt idx="67">
                  <c:v>30207739.000000</c:v>
                </c:pt>
                <c:pt idx="68">
                  <c:v>31410262.000000</c:v>
                </c:pt>
                <c:pt idx="69">
                  <c:v>31571249.000000</c:v>
                </c:pt>
                <c:pt idx="70">
                  <c:v>32727251.000000</c:v>
                </c:pt>
                <c:pt idx="71">
                  <c:v>34805276.000000</c:v>
                </c:pt>
                <c:pt idx="72">
                  <c:v>36655505.000000</c:v>
                </c:pt>
                <c:pt idx="73">
                  <c:v>40562909.000000</c:v>
                </c:pt>
                <c:pt idx="74">
                  <c:v>40849651.000000</c:v>
                </c:pt>
                <c:pt idx="75">
                  <c:v>41247935.000000</c:v>
                </c:pt>
                <c:pt idx="76">
                  <c:v>40733932.000000</c:v>
                </c:pt>
                <c:pt idx="77">
                  <c:v>43199319.000000</c:v>
                </c:pt>
                <c:pt idx="78">
                  <c:v>46828798.000000</c:v>
                </c:pt>
                <c:pt idx="79">
                  <c:v>49785374.000000</c:v>
                </c:pt>
                <c:pt idx="80">
                  <c:v>54896976.000000</c:v>
                </c:pt>
                <c:pt idx="81">
                  <c:v>57378009.000000</c:v>
                </c:pt>
                <c:pt idx="82">
                  <c:v>55045088.000000</c:v>
                </c:pt>
                <c:pt idx="83">
                  <c:v>55862689.000000</c:v>
                </c:pt>
                <c:pt idx="84">
                  <c:v>59785150.000000</c:v>
                </c:pt>
                <c:pt idx="85">
                  <c:v>60385104.000000</c:v>
                </c:pt>
                <c:pt idx="86">
                  <c:v>59554364.000000</c:v>
                </c:pt>
                <c:pt idx="87">
                  <c:v>60554743.000000</c:v>
                </c:pt>
                <c:pt idx="88">
                  <c:v>64710559.000000</c:v>
                </c:pt>
                <c:pt idx="89">
                  <c:v>67499202.000000</c:v>
                </c:pt>
                <c:pt idx="90">
                  <c:v>68882160.000000</c:v>
                </c:pt>
                <c:pt idx="91">
                  <c:v>69636042.000000</c:v>
                </c:pt>
                <c:pt idx="92">
                  <c:v>66846151.000000</c:v>
                </c:pt>
                <c:pt idx="93">
                  <c:v>63959762.000000</c:v>
                </c:pt>
                <c:pt idx="94">
                  <c:v>64771502.000000</c:v>
                </c:pt>
                <c:pt idx="95">
                  <c:v>68728850.000000</c:v>
                </c:pt>
                <c:pt idx="96">
                  <c:v>72317665.000000</c:v>
                </c:pt>
                <c:pt idx="97">
                  <c:v>77222409.000000</c:v>
                </c:pt>
                <c:pt idx="98">
                  <c:v>78832882.000000</c:v>
                </c:pt>
                <c:pt idx="99">
                  <c:v>82492923.000000</c:v>
                </c:pt>
                <c:pt idx="100">
                  <c:v>84572045.000000</c:v>
                </c:pt>
                <c:pt idx="101">
                  <c:v>83871204.000000</c:v>
                </c:pt>
                <c:pt idx="102">
                  <c:v>83724577.000000</c:v>
                </c:pt>
                <c:pt idx="103">
                  <c:v>83397458.000000</c:v>
                </c:pt>
                <c:pt idx="104">
                  <c:v>84349513.000000</c:v>
                </c:pt>
                <c:pt idx="105">
                  <c:v>84301432.000000</c:v>
                </c:pt>
                <c:pt idx="106">
                  <c:v>92679933.000000</c:v>
                </c:pt>
                <c:pt idx="107">
                  <c:v>93254171.000000</c:v>
                </c:pt>
                <c:pt idx="108">
                  <c:v>93254171.000000</c:v>
                </c:pt>
                <c:pt idx="109">
                  <c:v>93254171.000000</c:v>
                </c:pt>
                <c:pt idx="110">
                  <c:v>93254171.000000</c:v>
                </c:pt>
                <c:pt idx="111">
                  <c:v>93254171.000000</c:v>
                </c:pt>
              </c:numCache>
            </c:numRef>
          </c:val>
        </c:ser>
        <c:ser>
          <c:idx val="4"/>
          <c:order val="4"/>
          <c:tx>
            <c:strRef>
              <c:f>'net worth - Table 1-1'!$G$1</c:f>
              <c:strCache>
                <c:ptCount val="1"/>
                <c:pt idx="0">
                  <c:v>real estate</c:v>
                </c:pt>
              </c:strCache>
            </c:strRef>
          </c:tx>
          <c:spPr>
            <a:solidFill>
              <a:srgbClr val="2561D5">
                <a:alpha val="89519"/>
              </a:srgbClr>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1-1'!$G$2:$G$113</c:f>
              <c:numCache>
                <c:ptCount val="32"/>
                <c:pt idx="80">
                  <c:v>0.000000</c:v>
                </c:pt>
                <c:pt idx="81">
                  <c:v>0.000000</c:v>
                </c:pt>
                <c:pt idx="82">
                  <c:v>54029871.000000</c:v>
                </c:pt>
                <c:pt idx="83">
                  <c:v>53026600.000000</c:v>
                </c:pt>
                <c:pt idx="84">
                  <c:v>54142929.000000</c:v>
                </c:pt>
                <c:pt idx="85">
                  <c:v>56489773.000000</c:v>
                </c:pt>
                <c:pt idx="86">
                  <c:v>59144031.000000</c:v>
                </c:pt>
                <c:pt idx="87">
                  <c:v>61781675.000000</c:v>
                </c:pt>
                <c:pt idx="88">
                  <c:v>64287949.000000</c:v>
                </c:pt>
                <c:pt idx="89">
                  <c:v>86887926.000000</c:v>
                </c:pt>
                <c:pt idx="90">
                  <c:v>89886057.000000</c:v>
                </c:pt>
                <c:pt idx="91">
                  <c:v>89810530.000000</c:v>
                </c:pt>
                <c:pt idx="92">
                  <c:v>110473297.000000</c:v>
                </c:pt>
                <c:pt idx="93">
                  <c:v>113313871.000000</c:v>
                </c:pt>
                <c:pt idx="94">
                  <c:v>114850064.000000</c:v>
                </c:pt>
                <c:pt idx="95">
                  <c:v>116523901.000000</c:v>
                </c:pt>
                <c:pt idx="96">
                  <c:v>117887389.000000</c:v>
                </c:pt>
                <c:pt idx="97">
                  <c:v>118450554.000000</c:v>
                </c:pt>
                <c:pt idx="98">
                  <c:v>119160658.000000</c:v>
                </c:pt>
                <c:pt idx="99">
                  <c:v>120431233.000000</c:v>
                </c:pt>
                <c:pt idx="100">
                  <c:v>121168870.000000</c:v>
                </c:pt>
                <c:pt idx="101">
                  <c:v>121904039.000000</c:v>
                </c:pt>
                <c:pt idx="102">
                  <c:v>122600540.000000</c:v>
                </c:pt>
                <c:pt idx="103">
                  <c:v>122532988.000000</c:v>
                </c:pt>
                <c:pt idx="104">
                  <c:v>123828094.000000</c:v>
                </c:pt>
                <c:pt idx="105">
                  <c:v>136378208.000000</c:v>
                </c:pt>
                <c:pt idx="106">
                  <c:v>140164761.208140</c:v>
                </c:pt>
                <c:pt idx="107">
                  <c:v>144757880.688285</c:v>
                </c:pt>
                <c:pt idx="108">
                  <c:v>149916123.506765</c:v>
                </c:pt>
                <c:pt idx="109">
                  <c:v>150649199.099640</c:v>
                </c:pt>
                <c:pt idx="110">
                  <c:v>151432038.209622</c:v>
                </c:pt>
                <c:pt idx="111">
                  <c:v>152977967.160293</c:v>
                </c:pt>
              </c:numCache>
            </c:numRef>
          </c:val>
        </c:ser>
        <c:gapWidth val="200"/>
        <c:overlap val="-40"/>
        <c:axId val="2094734552"/>
        <c:axId val="2094734553"/>
      </c:bar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540000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
          <c:y val="0"/>
          <c:w val="1"/>
          <c:h val="0.060958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2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05"/>
          <c:y val="0.005"/>
          <c:w val="0.760985"/>
          <c:h val="0.9875"/>
        </c:manualLayout>
      </c:layout>
      <c:pieChart>
        <c:varyColors val="0"/>
        <c:ser>
          <c:idx val="0"/>
          <c:order val="0"/>
          <c:tx>
            <c:strRef>
              <c:f>'cripto - Bitcoin – BTC'!$A$122</c:f>
              <c:strCache>
                <c:ptCount val="1"/>
                <c:pt idx="0">
                  <c:v>Actual</c:v>
                </c:pt>
              </c:strCache>
            </c:strRef>
          </c:tx>
          <c:spPr>
            <a:solidFill>
              <a:srgbClr val="F4BB1B"/>
            </a:solidFill>
            <a:ln w="12700" cap="flat">
              <a:noFill/>
              <a:miter lim="400000"/>
            </a:ln>
            <a:effectLst/>
          </c:spPr>
          <c:explosion val="5"/>
          <c:dPt>
            <c:idx val="0"/>
            <c:explosion val="5"/>
            <c:spPr>
              <a:solidFill>
                <a:srgbClr val="F4BB1B"/>
              </a:solidFill>
              <a:ln w="12700" cap="flat">
                <a:noFill/>
                <a:miter lim="400000"/>
              </a:ln>
              <a:effectLst/>
            </c:spPr>
          </c:dPt>
          <c:dPt>
            <c:idx val="1"/>
            <c:explosion val="5"/>
            <c:spPr>
              <a:solidFill>
                <a:srgbClr val="5F9AD4"/>
              </a:solidFill>
              <a:ln w="12700" cap="flat">
                <a:noFill/>
                <a:miter lim="400000"/>
              </a:ln>
              <a:effectLst/>
            </c:spPr>
          </c:dPt>
          <c:dLbls>
            <c:dLbl>
              <c:idx val="0"/>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37066"/>
                          </a:srgbClr>
                        </a:outerShdw>
                      </a:effectLst>
                      <a:latin typeface="Helvetica"/>
                    </a:defRPr>
                  </a:pPr>
                </a:p>
              </c:txPr>
              <c:dLblPos val="ctr"/>
              <c:showLegendKey val="0"/>
              <c:showVal val="0"/>
              <c:showCatName val="0"/>
              <c:showSerName val="0"/>
              <c:showPercent val="1"/>
              <c:showBubbleSize val="0"/>
            </c:dLbl>
            <c:dLbl>
              <c:idx val="1"/>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37066"/>
                          </a:srgbClr>
                        </a:outerShdw>
                      </a:effectLst>
                      <a:latin typeface="Helvetica"/>
                    </a:defRPr>
                  </a:pPr>
                </a:p>
              </c:txPr>
              <c:dLblPos val="ctr"/>
              <c:showLegendKey val="0"/>
              <c:showVal val="0"/>
              <c:showCatName val="0"/>
              <c:showSerName val="0"/>
              <c:showPercent val="1"/>
              <c:showBubbleSize val="0"/>
            </c:dLbl>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37066"/>
                        </a:srgbClr>
                      </a:outerShdw>
                    </a:effectLst>
                    <a:latin typeface="Helvetica"/>
                  </a:defRPr>
                </a:pPr>
              </a:p>
            </c:txPr>
            <c:dLblPos val="ctr"/>
            <c:showLegendKey val="0"/>
            <c:showVal val="0"/>
            <c:showCatName val="0"/>
            <c:showSerName val="0"/>
            <c:showPercent val="1"/>
            <c:showBubbleSize val="0"/>
            <c:showLeaderLines val="1"/>
            <c:leaderLines>
              <c:spPr>
                <a:noFill/>
                <a:ln w="6350" cap="flat">
                  <a:solidFill>
                    <a:srgbClr val="000000"/>
                  </a:solidFill>
                  <a:prstDash val="solid"/>
                  <a:miter lim="400000"/>
                </a:ln>
                <a:effectLst/>
              </c:spPr>
            </c:leaderLines>
          </c:dLbls>
          <c:cat>
            <c:strLit>
              <c:ptCount val="2"/>
              <c:pt idx="0">
                <c:v>BTC</c:v>
              </c:pt>
              <c:pt idx="1">
                <c:v>ETH</c:v>
              </c:pt>
            </c:strLit>
          </c:cat>
          <c:val>
            <c:numLit>
              <c:ptCount val="2"/>
              <c:pt idx="0">
                <c:v>1551230.787219</c:v>
              </c:pt>
              <c:pt idx="1">
                <c:v>142225.998396</c:v>
              </c:pt>
            </c:numLit>
          </c:val>
        </c:ser>
        <c:firstSliceAng val="0"/>
      </c:pieChart>
      <c:spPr>
        <a:noFill/>
        <a:ln w="12700" cap="flat">
          <a:noFill/>
          <a:miter lim="400000"/>
        </a:ln>
        <a:effectLst/>
      </c:spPr>
    </c:plotArea>
    <c:legend>
      <c:legendPos val="r"/>
      <c:layout>
        <c:manualLayout>
          <c:xMode val="edge"/>
          <c:yMode val="edge"/>
          <c:x val="0.789908"/>
          <c:y val="0.351354"/>
          <c:w val="0.210092"/>
          <c:h val="0.11625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2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35429"/>
          <c:y val="0.125413"/>
          <c:w val="0.841452"/>
          <c:h val="0.810932"/>
        </c:manualLayout>
      </c:layout>
      <c:barChart>
        <c:barDir val="col"/>
        <c:grouping val="clustered"/>
        <c:varyColors val="0"/>
        <c:ser>
          <c:idx val="0"/>
          <c:order val="0"/>
          <c:tx>
            <c:strRef>
              <c:f>'net worth - resumen | depósitos'!$E$2</c:f>
              <c:strCache>
                <c:ptCount val="1"/>
                <c:pt idx="0">
                  <c:v>retiro</c:v>
                </c:pt>
              </c:strCache>
            </c:strRef>
          </c:tx>
          <c:spPr>
            <a:solidFill>
              <a:srgbClr val="83BC54">
                <a:alpha val="11702"/>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50800" cap="flat">
                <a:solidFill>
                  <a:srgbClr val="83BC54">
                    <a:alpha val="83620"/>
                  </a:srgbClr>
                </a:solidFill>
                <a:prstDash val="solid"/>
                <a:miter lim="400000"/>
              </a:ln>
              <a:effectLst/>
            </c:spPr>
            <c:trendlineType val="movingAvg"/>
            <c:period val="3"/>
            <c:forward val="0"/>
            <c:backward val="0"/>
            <c:dispRSqr val="0"/>
            <c:dispEq val="0"/>
          </c:trendline>
          <c:cat>
            <c:strRef>
              <c:f>'net worth - resumen | depósitos'!$A$3:$A$114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resumen | depósitos'!$E$3:$E$114</c:f>
              <c:numCache>
                <c:ptCount val="112"/>
                <c:pt idx="0">
                  <c:v>131724.000000</c:v>
                </c:pt>
                <c:pt idx="1">
                  <c:v>139702.000000</c:v>
                </c:pt>
                <c:pt idx="2">
                  <c:v>149219.000000</c:v>
                </c:pt>
                <c:pt idx="3">
                  <c:v>148639.000000</c:v>
                </c:pt>
                <c:pt idx="4">
                  <c:v>156386.000000</c:v>
                </c:pt>
                <c:pt idx="5">
                  <c:v>148639.000000</c:v>
                </c:pt>
                <c:pt idx="6">
                  <c:v>148649.000000</c:v>
                </c:pt>
                <c:pt idx="7">
                  <c:v>149740.000000</c:v>
                </c:pt>
                <c:pt idx="8">
                  <c:v>142283.000000</c:v>
                </c:pt>
                <c:pt idx="9">
                  <c:v>192283.000000</c:v>
                </c:pt>
                <c:pt idx="10">
                  <c:v>561344.000000</c:v>
                </c:pt>
                <c:pt idx="11">
                  <c:v>42379.000000</c:v>
                </c:pt>
                <c:pt idx="12">
                  <c:v>532842.000000</c:v>
                </c:pt>
                <c:pt idx="13">
                  <c:v>432842.000000</c:v>
                </c:pt>
                <c:pt idx="14">
                  <c:v>434029.000000</c:v>
                </c:pt>
                <c:pt idx="15">
                  <c:v>434029.000000</c:v>
                </c:pt>
                <c:pt idx="16">
                  <c:v>428918.000000</c:v>
                </c:pt>
                <c:pt idx="17">
                  <c:v>262687.000000</c:v>
                </c:pt>
                <c:pt idx="18">
                  <c:v>347596.000000</c:v>
                </c:pt>
                <c:pt idx="19">
                  <c:v>263630.000000</c:v>
                </c:pt>
                <c:pt idx="20">
                  <c:v>265490.000000</c:v>
                </c:pt>
                <c:pt idx="21">
                  <c:v>265490.000000</c:v>
                </c:pt>
                <c:pt idx="22">
                  <c:v>266005.000000</c:v>
                </c:pt>
                <c:pt idx="23">
                  <c:v>266223.000000</c:v>
                </c:pt>
                <c:pt idx="24">
                  <c:v>666223.000000</c:v>
                </c:pt>
                <c:pt idx="25">
                  <c:v>966223.000000</c:v>
                </c:pt>
                <c:pt idx="26">
                  <c:v>1066223.000000</c:v>
                </c:pt>
                <c:pt idx="27">
                  <c:v>266223.000000</c:v>
                </c:pt>
                <c:pt idx="28">
                  <c:v>266223.000000</c:v>
                </c:pt>
                <c:pt idx="29">
                  <c:v>351143.000000</c:v>
                </c:pt>
                <c:pt idx="30">
                  <c:v>2700823.000000</c:v>
                </c:pt>
                <c:pt idx="31">
                  <c:v>266223.000000</c:v>
                </c:pt>
                <c:pt idx="32">
                  <c:v>266223.000000</c:v>
                </c:pt>
                <c:pt idx="33">
                  <c:v>666223.000000</c:v>
                </c:pt>
                <c:pt idx="34">
                  <c:v>620974.000000</c:v>
                </c:pt>
                <c:pt idx="35">
                  <c:v>400000.000000</c:v>
                </c:pt>
                <c:pt idx="36">
                  <c:v>0.000000</c:v>
                </c:pt>
                <c:pt idx="37">
                  <c:v>50131.000000</c:v>
                </c:pt>
                <c:pt idx="38">
                  <c:v>278001.000000</c:v>
                </c:pt>
                <c:pt idx="39">
                  <c:v>278001.000000</c:v>
                </c:pt>
                <c:pt idx="40">
                  <c:v>878001.000000</c:v>
                </c:pt>
                <c:pt idx="41">
                  <c:v>2278001.000000</c:v>
                </c:pt>
                <c:pt idx="42">
                  <c:v>819422.000000</c:v>
                </c:pt>
                <c:pt idx="43">
                  <c:v>278053.000000</c:v>
                </c:pt>
                <c:pt idx="44">
                  <c:v>102304.000000</c:v>
                </c:pt>
                <c:pt idx="45">
                  <c:v>230355.000000</c:v>
                </c:pt>
                <c:pt idx="46">
                  <c:v>0.000000</c:v>
                </c:pt>
                <c:pt idx="47">
                  <c:v>-1020863.000000</c:v>
                </c:pt>
                <c:pt idx="48">
                  <c:v>0.000000</c:v>
                </c:pt>
                <c:pt idx="49">
                  <c:v>0.000000</c:v>
                </c:pt>
                <c:pt idx="50">
                  <c:v>0.000000</c:v>
                </c:pt>
                <c:pt idx="51">
                  <c:v>0.000000</c:v>
                </c:pt>
                <c:pt idx="52">
                  <c:v>0.000000</c:v>
                </c:pt>
                <c:pt idx="53">
                  <c:v>0.000000</c:v>
                </c:pt>
                <c:pt idx="54">
                  <c:v>166840.000000</c:v>
                </c:pt>
                <c:pt idx="55">
                  <c:v>0.000000</c:v>
                </c:pt>
                <c:pt idx="56">
                  <c:v>2200000.000000</c:v>
                </c:pt>
                <c:pt idx="57">
                  <c:v>0.000000</c:v>
                </c:pt>
                <c:pt idx="58">
                  <c:v>0.000000</c:v>
                </c:pt>
                <c:pt idx="59">
                  <c:v>0.000000</c:v>
                </c:pt>
                <c:pt idx="60">
                  <c:v>0.000000</c:v>
                </c:pt>
                <c:pt idx="61">
                  <c:v>0.000000</c:v>
                </c:pt>
                <c:pt idx="62">
                  <c:v>0.000000</c:v>
                </c:pt>
                <c:pt idx="63">
                  <c:v>361422.000000</c:v>
                </c:pt>
                <c:pt idx="64">
                  <c:v>567124.000000</c:v>
                </c:pt>
                <c:pt idx="65">
                  <c:v>411806.000000</c:v>
                </c:pt>
                <c:pt idx="66">
                  <c:v>867994.000000</c:v>
                </c:pt>
                <c:pt idx="67">
                  <c:v>769504.000000</c:v>
                </c:pt>
                <c:pt idx="68">
                  <c:v>871320.000000</c:v>
                </c:pt>
                <c:pt idx="69">
                  <c:v>371862.000000</c:v>
                </c:pt>
                <c:pt idx="70">
                  <c:v>974008.000000</c:v>
                </c:pt>
                <c:pt idx="71">
                  <c:v>977416.000000</c:v>
                </c:pt>
                <c:pt idx="72">
                  <c:v>376584.000000</c:v>
                </c:pt>
                <c:pt idx="73">
                  <c:v>975973.000000</c:v>
                </c:pt>
                <c:pt idx="74">
                  <c:v>976642.000000</c:v>
                </c:pt>
                <c:pt idx="75">
                  <c:v>379822.000000</c:v>
                </c:pt>
                <c:pt idx="76">
                  <c:v>378907.000000</c:v>
                </c:pt>
                <c:pt idx="77">
                  <c:v>380337.000000</c:v>
                </c:pt>
                <c:pt idx="78">
                  <c:v>384728.000000</c:v>
                </c:pt>
                <c:pt idx="79">
                  <c:v>1391643.000000</c:v>
                </c:pt>
                <c:pt idx="80">
                  <c:v>742681.000000</c:v>
                </c:pt>
                <c:pt idx="81">
                  <c:v>744683.000000</c:v>
                </c:pt>
                <c:pt idx="82">
                  <c:v>1096108.000000</c:v>
                </c:pt>
                <c:pt idx="83">
                  <c:v>397601.000000</c:v>
                </c:pt>
                <c:pt idx="84">
                  <c:v>598725.000000</c:v>
                </c:pt>
                <c:pt idx="85">
                  <c:v>401226.000000</c:v>
                </c:pt>
                <c:pt idx="86">
                  <c:v>400615.000000</c:v>
                </c:pt>
                <c:pt idx="87">
                  <c:v>401934.000000</c:v>
                </c:pt>
                <c:pt idx="88">
                  <c:v>452450.000000</c:v>
                </c:pt>
                <c:pt idx="89">
                  <c:v>446533.000000</c:v>
                </c:pt>
                <c:pt idx="90">
                  <c:v>406202.000000</c:v>
                </c:pt>
                <c:pt idx="91">
                  <c:v>406055.000000</c:v>
                </c:pt>
                <c:pt idx="92">
                  <c:v>421984.000000</c:v>
                </c:pt>
                <c:pt idx="93">
                  <c:v>427144.000000</c:v>
                </c:pt>
                <c:pt idx="94">
                  <c:v>428739.000000</c:v>
                </c:pt>
                <c:pt idx="95">
                  <c:v>429744.000000</c:v>
                </c:pt>
                <c:pt idx="96">
                  <c:v>430428.000000</c:v>
                </c:pt>
                <c:pt idx="97">
                  <c:v>430775.000000</c:v>
                </c:pt>
                <c:pt idx="98">
                  <c:v>435063.000000</c:v>
                </c:pt>
                <c:pt idx="99">
                  <c:v>435980.000000</c:v>
                </c:pt>
                <c:pt idx="100">
                  <c:v>436970.000000</c:v>
                </c:pt>
                <c:pt idx="101">
                  <c:v>437388.000000</c:v>
                </c:pt>
                <c:pt idx="102">
                  <c:v>438139.000000</c:v>
                </c:pt>
                <c:pt idx="103">
                  <c:v>446453.000000</c:v>
                </c:pt>
                <c:pt idx="104">
                  <c:v>447701.000000</c:v>
                </c:pt>
                <c:pt idx="105">
                  <c:v>448170.000000</c:v>
                </c:pt>
                <c:pt idx="106">
                  <c:v>0.000000</c:v>
                </c:pt>
                <c:pt idx="107">
                  <c:v>-2772870.000000</c:v>
                </c:pt>
                <c:pt idx="108">
                  <c:v>0.000000</c:v>
                </c:pt>
                <c:pt idx="109">
                  <c:v>0.000000</c:v>
                </c:pt>
                <c:pt idx="110">
                  <c:v>0.000000</c:v>
                </c:pt>
                <c:pt idx="111">
                  <c:v>0.000000</c:v>
                </c:pt>
              </c:numCache>
            </c:numRef>
          </c:val>
        </c:ser>
        <c:ser>
          <c:idx val="1"/>
          <c:order val="1"/>
          <c:tx>
            <c:strRef>
              <c:f>'net worth - resumen | depósitos'!$H$2</c:f>
              <c:strCache>
                <c:ptCount val="1"/>
                <c:pt idx="0">
                  <c:v>brokerage</c:v>
                </c:pt>
              </c:strCache>
            </c:strRef>
          </c:tx>
          <c:spPr>
            <a:solidFill>
              <a:srgbClr val="5088C7">
                <a:alpha val="9995"/>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50800" cap="flat">
                <a:solidFill>
                  <a:srgbClr val="65A7F3">
                    <a:alpha val="84132"/>
                  </a:srgbClr>
                </a:solidFill>
                <a:prstDash val="solid"/>
                <a:miter lim="400000"/>
              </a:ln>
              <a:effectLst/>
            </c:spPr>
            <c:trendlineType val="movingAvg"/>
            <c:period val="3"/>
            <c:forward val="0"/>
            <c:backward val="0"/>
            <c:dispRSqr val="0"/>
            <c:dispEq val="0"/>
          </c:trendline>
          <c:cat>
            <c:strRef>
              <c:f>'net worth - resumen | depósitos'!$A$3:$A$114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resumen | depósitos'!$H$3:$H$114</c:f>
              <c:numCache>
                <c:ptCount val="112"/>
                <c:pt idx="0">
                  <c:v>1000000.000000</c:v>
                </c:pt>
                <c:pt idx="1">
                  <c:v>0.000000</c:v>
                </c:pt>
                <c:pt idx="2">
                  <c:v>0.000000</c:v>
                </c:pt>
                <c:pt idx="3">
                  <c:v>0.000000</c:v>
                </c:pt>
                <c:pt idx="4">
                  <c:v>200000.000000</c:v>
                </c:pt>
                <c:pt idx="5">
                  <c:v>350000.000000</c:v>
                </c:pt>
                <c:pt idx="6">
                  <c:v>200000.000000</c:v>
                </c:pt>
                <c:pt idx="7">
                  <c:v>0.000000</c:v>
                </c:pt>
                <c:pt idx="8">
                  <c:v>200000.000000</c:v>
                </c:pt>
                <c:pt idx="9">
                  <c:v>150000.000000</c:v>
                </c:pt>
                <c:pt idx="10">
                  <c:v>250000.000000</c:v>
                </c:pt>
                <c:pt idx="11">
                  <c:v>0.000000</c:v>
                </c:pt>
                <c:pt idx="12">
                  <c:v>150000.000000</c:v>
                </c:pt>
                <c:pt idx="13">
                  <c:v>150000.000000</c:v>
                </c:pt>
                <c:pt idx="14">
                  <c:v>0.000000</c:v>
                </c:pt>
                <c:pt idx="15">
                  <c:v>150000.000000</c:v>
                </c:pt>
                <c:pt idx="16">
                  <c:v>250000.000000</c:v>
                </c:pt>
                <c:pt idx="17">
                  <c:v>450000.000000</c:v>
                </c:pt>
                <c:pt idx="18">
                  <c:v>600000.000000</c:v>
                </c:pt>
                <c:pt idx="19">
                  <c:v>300000.000000</c:v>
                </c:pt>
                <c:pt idx="20">
                  <c:v>700000.000000</c:v>
                </c:pt>
                <c:pt idx="21">
                  <c:v>1100000.000000</c:v>
                </c:pt>
                <c:pt idx="22">
                  <c:v>700000.000000</c:v>
                </c:pt>
                <c:pt idx="23">
                  <c:v>1000000.000000</c:v>
                </c:pt>
                <c:pt idx="24">
                  <c:v>1000000.000000</c:v>
                </c:pt>
                <c:pt idx="25">
                  <c:v>300000.000000</c:v>
                </c:pt>
                <c:pt idx="26">
                  <c:v>0.000000</c:v>
                </c:pt>
                <c:pt idx="27">
                  <c:v>600000.000000</c:v>
                </c:pt>
                <c:pt idx="28">
                  <c:v>300000.000000</c:v>
                </c:pt>
                <c:pt idx="29">
                  <c:v>300000.000000</c:v>
                </c:pt>
                <c:pt idx="30">
                  <c:v>0.000000</c:v>
                </c:pt>
                <c:pt idx="31">
                  <c:v>0.000000</c:v>
                </c:pt>
                <c:pt idx="32">
                  <c:v>0.000000</c:v>
                </c:pt>
                <c:pt idx="33">
                  <c:v>0.000000</c:v>
                </c:pt>
                <c:pt idx="34">
                  <c:v>0.000000</c:v>
                </c:pt>
                <c:pt idx="35">
                  <c:v>0.000000</c:v>
                </c:pt>
                <c:pt idx="36">
                  <c:v>0.000000</c:v>
                </c:pt>
                <c:pt idx="37">
                  <c:v>0.000000</c:v>
                </c:pt>
                <c:pt idx="38">
                  <c:v>0.000000</c:v>
                </c:pt>
                <c:pt idx="39">
                  <c:v>-3000000.000000</c:v>
                </c:pt>
                <c:pt idx="40">
                  <c:v>0.000000</c:v>
                </c:pt>
                <c:pt idx="41">
                  <c:v>0.000000</c:v>
                </c:pt>
                <c:pt idx="42">
                  <c:v>0.000000</c:v>
                </c:pt>
                <c:pt idx="43">
                  <c:v>0.000000</c:v>
                </c:pt>
                <c:pt idx="44">
                  <c:v>0.000000</c:v>
                </c:pt>
                <c:pt idx="45">
                  <c:v>0.000000</c:v>
                </c:pt>
                <c:pt idx="46">
                  <c:v>600000.000000</c:v>
                </c:pt>
                <c:pt idx="47">
                  <c:v>600000.000000</c:v>
                </c:pt>
                <c:pt idx="48">
                  <c:v>700000.000000</c:v>
                </c:pt>
                <c:pt idx="49">
                  <c:v>600000.000000</c:v>
                </c:pt>
                <c:pt idx="50">
                  <c:v>0.000000</c:v>
                </c:pt>
                <c:pt idx="51">
                  <c:v>0.000000</c:v>
                </c:pt>
                <c:pt idx="52">
                  <c:v>0.000000</c:v>
                </c:pt>
                <c:pt idx="53">
                  <c:v>0.000000</c:v>
                </c:pt>
                <c:pt idx="54">
                  <c:v>0.000000</c:v>
                </c:pt>
                <c:pt idx="55">
                  <c:v>0.000000</c:v>
                </c:pt>
                <c:pt idx="56">
                  <c:v>800000.000000</c:v>
                </c:pt>
                <c:pt idx="57">
                  <c:v>2000000.000000</c:v>
                </c:pt>
                <c:pt idx="58">
                  <c:v>0.000000</c:v>
                </c:pt>
                <c:pt idx="59">
                  <c:v>0.000000</c:v>
                </c:pt>
                <c:pt idx="60">
                  <c:v>0.000000</c:v>
                </c:pt>
                <c:pt idx="61">
                  <c:v>0.000000</c:v>
                </c:pt>
                <c:pt idx="62">
                  <c:v>0.000000</c:v>
                </c:pt>
                <c:pt idx="63">
                  <c:v>0.000000</c:v>
                </c:pt>
                <c:pt idx="64">
                  <c:v>0.000000</c:v>
                </c:pt>
                <c:pt idx="65">
                  <c:v>0.000000</c:v>
                </c:pt>
                <c:pt idx="66">
                  <c:v>1300000.000000</c:v>
                </c:pt>
                <c:pt idx="67">
                  <c:v>0.000000</c:v>
                </c:pt>
                <c:pt idx="68">
                  <c:v>0.000000</c:v>
                </c:pt>
                <c:pt idx="69">
                  <c:v>0.000000</c:v>
                </c:pt>
                <c:pt idx="70">
                  <c:v>0.000000</c:v>
                </c:pt>
                <c:pt idx="71">
                  <c:v>250000.000000</c:v>
                </c:pt>
                <c:pt idx="72">
                  <c:v>0.000000</c:v>
                </c:pt>
                <c:pt idx="73">
                  <c:v>0.000000</c:v>
                </c:pt>
                <c:pt idx="74">
                  <c:v>0.000000</c:v>
                </c:pt>
                <c:pt idx="75">
                  <c:v>0.000000</c:v>
                </c:pt>
                <c:pt idx="76">
                  <c:v>0.000000</c:v>
                </c:pt>
                <c:pt idx="77">
                  <c:v>0.000000</c:v>
                </c:pt>
                <c:pt idx="78">
                  <c:v>0.000000</c:v>
                </c:pt>
                <c:pt idx="79">
                  <c:v>0.000000</c:v>
                </c:pt>
                <c:pt idx="80">
                  <c:v>0.000000</c:v>
                </c:pt>
                <c:pt idx="81">
                  <c:v>0.000000</c:v>
                </c:pt>
                <c:pt idx="82">
                  <c:v>0.000000</c:v>
                </c:pt>
                <c:pt idx="83">
                  <c:v>0.000000</c:v>
                </c:pt>
                <c:pt idx="84">
                  <c:v>0.000000</c:v>
                </c:pt>
                <c:pt idx="85">
                  <c:v>0.000000</c:v>
                </c:pt>
                <c:pt idx="86">
                  <c:v>0.000000</c:v>
                </c:pt>
                <c:pt idx="87">
                  <c:v>0.000000</c:v>
                </c:pt>
                <c:pt idx="88">
                  <c:v>450000.000000</c:v>
                </c:pt>
                <c:pt idx="89">
                  <c:v>0.000000</c:v>
                </c:pt>
                <c:pt idx="90">
                  <c:v>-2900000.000000</c:v>
                </c:pt>
                <c:pt idx="91">
                  <c:v>-4000000.000000</c:v>
                </c:pt>
                <c:pt idx="92">
                  <c:v>-10000000.000000</c:v>
                </c:pt>
                <c:pt idx="93">
                  <c:v>-6500000.000000</c:v>
                </c:pt>
                <c:pt idx="94">
                  <c:v>-1100000.000000</c:v>
                </c:pt>
                <c:pt idx="95">
                  <c:v>0.000000</c:v>
                </c:pt>
                <c:pt idx="96">
                  <c:v>0.000000</c:v>
                </c:pt>
                <c:pt idx="97">
                  <c:v>0.000000</c:v>
                </c:pt>
                <c:pt idx="98">
                  <c:v>0.000000</c:v>
                </c:pt>
                <c:pt idx="99">
                  <c:v>0.000000</c:v>
                </c:pt>
                <c:pt idx="100">
                  <c:v>0.000000</c:v>
                </c:pt>
                <c:pt idx="101">
                  <c:v>0.000000</c:v>
                </c:pt>
                <c:pt idx="102">
                  <c:v>0.000000</c:v>
                </c:pt>
                <c:pt idx="103">
                  <c:v>0.000000</c:v>
                </c:pt>
                <c:pt idx="104">
                  <c:v>0.000000</c:v>
                </c:pt>
                <c:pt idx="105">
                  <c:v>400000.000000</c:v>
                </c:pt>
                <c:pt idx="106">
                  <c:v>0.000000</c:v>
                </c:pt>
                <c:pt idx="107">
                  <c:v>0.000000</c:v>
                </c:pt>
                <c:pt idx="108">
                  <c:v>0.000000</c:v>
                </c:pt>
                <c:pt idx="109">
                  <c:v>0.000000</c:v>
                </c:pt>
                <c:pt idx="110">
                  <c:v>0.000000</c:v>
                </c:pt>
                <c:pt idx="111">
                  <c:v>0.000000</c:v>
                </c:pt>
              </c:numCache>
            </c:numRef>
          </c:val>
        </c:ser>
        <c:ser>
          <c:idx val="2"/>
          <c:order val="2"/>
          <c:tx>
            <c:strRef>
              <c:f>'net worth - resumen | depósitos'!$K$2</c:f>
              <c:strCache>
                <c:ptCount val="1"/>
                <c:pt idx="0">
                  <c:v>cash and eqs</c:v>
                </c:pt>
              </c:strCache>
            </c:strRef>
          </c:tx>
          <c:spPr>
            <a:solidFill>
              <a:srgbClr val="BCD6EA">
                <a:alpha val="20229"/>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50800" cap="flat">
                <a:solidFill>
                  <a:srgbClr val="C3E5F9">
                    <a:alpha val="87979"/>
                  </a:srgbClr>
                </a:solidFill>
                <a:prstDash val="solid"/>
                <a:miter lim="400000"/>
              </a:ln>
              <a:effectLst/>
            </c:spPr>
            <c:trendlineType val="movingAvg"/>
            <c:period val="3"/>
            <c:forward val="0"/>
            <c:backward val="0"/>
            <c:dispRSqr val="0"/>
            <c:dispEq val="0"/>
          </c:trendline>
          <c:cat>
            <c:strRef>
              <c:f>'net worth - resumen | depósitos'!$A$3:$A$114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resumen | depósitos'!$K$3:$K$114</c:f>
              <c:numCache>
                <c:ptCount val="112"/>
                <c:pt idx="0">
                  <c:v>2811698.000000</c:v>
                </c:pt>
                <c:pt idx="1">
                  <c:v>53188.000000</c:v>
                </c:pt>
                <c:pt idx="2">
                  <c:v>53212.000000</c:v>
                </c:pt>
                <c:pt idx="3">
                  <c:v>353306.000000</c:v>
                </c:pt>
                <c:pt idx="4">
                  <c:v>653266.000000</c:v>
                </c:pt>
                <c:pt idx="5">
                  <c:v>553462.000000</c:v>
                </c:pt>
                <c:pt idx="6">
                  <c:v>60655.000000</c:v>
                </c:pt>
                <c:pt idx="7">
                  <c:v>146404.000000</c:v>
                </c:pt>
                <c:pt idx="8">
                  <c:v>200000.000000</c:v>
                </c:pt>
                <c:pt idx="9">
                  <c:v>403934.000000</c:v>
                </c:pt>
                <c:pt idx="10">
                  <c:v>254042.000000</c:v>
                </c:pt>
                <c:pt idx="11">
                  <c:v>54157.000000</c:v>
                </c:pt>
                <c:pt idx="12">
                  <c:v>688185.000000</c:v>
                </c:pt>
                <c:pt idx="13">
                  <c:v>354405.000000</c:v>
                </c:pt>
                <c:pt idx="14">
                  <c:v>354575.000000</c:v>
                </c:pt>
                <c:pt idx="15">
                  <c:v>354715.000000</c:v>
                </c:pt>
                <c:pt idx="16">
                  <c:v>704864.000000</c:v>
                </c:pt>
                <c:pt idx="17">
                  <c:v>867128.000000</c:v>
                </c:pt>
                <c:pt idx="18">
                  <c:v>655132.000000</c:v>
                </c:pt>
                <c:pt idx="19">
                  <c:v>100000.000000</c:v>
                </c:pt>
                <c:pt idx="20">
                  <c:v>110206.000000</c:v>
                </c:pt>
                <c:pt idx="21">
                  <c:v>405132.000000</c:v>
                </c:pt>
                <c:pt idx="22">
                  <c:v>500000.000000</c:v>
                </c:pt>
                <c:pt idx="23">
                  <c:v>175168.000000</c:v>
                </c:pt>
                <c:pt idx="24">
                  <c:v>139517.000000</c:v>
                </c:pt>
                <c:pt idx="25">
                  <c:v>279534.000000</c:v>
                </c:pt>
                <c:pt idx="26">
                  <c:v>559826.000000</c:v>
                </c:pt>
                <c:pt idx="27">
                  <c:v>0.000000</c:v>
                </c:pt>
                <c:pt idx="28">
                  <c:v>0.000000</c:v>
                </c:pt>
                <c:pt idx="29">
                  <c:v>282073.000000</c:v>
                </c:pt>
                <c:pt idx="30">
                  <c:v>283000.000000</c:v>
                </c:pt>
                <c:pt idx="31">
                  <c:v>300000.000000</c:v>
                </c:pt>
                <c:pt idx="32">
                  <c:v>300000.000000</c:v>
                </c:pt>
                <c:pt idx="33">
                  <c:v>0.000000</c:v>
                </c:pt>
                <c:pt idx="34">
                  <c:v>0.000000</c:v>
                </c:pt>
                <c:pt idx="35">
                  <c:v>150000.000000</c:v>
                </c:pt>
                <c:pt idx="36">
                  <c:v>0.000000</c:v>
                </c:pt>
                <c:pt idx="37">
                  <c:v>0.000000</c:v>
                </c:pt>
                <c:pt idx="38">
                  <c:v>0.000000</c:v>
                </c:pt>
                <c:pt idx="39">
                  <c:v>0.000000</c:v>
                </c:pt>
                <c:pt idx="40">
                  <c:v>0.000000</c:v>
                </c:pt>
                <c:pt idx="41">
                  <c:v>0.000000</c:v>
                </c:pt>
                <c:pt idx="42">
                  <c:v>0.000000</c:v>
                </c:pt>
                <c:pt idx="43">
                  <c:v>400000.000000</c:v>
                </c:pt>
                <c:pt idx="44">
                  <c:v>1000000.000000</c:v>
                </c:pt>
                <c:pt idx="45">
                  <c:v>1500000.000000</c:v>
                </c:pt>
                <c:pt idx="46">
                  <c:v>814182.000000</c:v>
                </c:pt>
                <c:pt idx="47">
                  <c:v>1000000.000000</c:v>
                </c:pt>
                <c:pt idx="48">
                  <c:v>1000000.000000</c:v>
                </c:pt>
                <c:pt idx="49">
                  <c:v>27729.000000</c:v>
                </c:pt>
                <c:pt idx="50">
                  <c:v>0.000000</c:v>
                </c:pt>
                <c:pt idx="51">
                  <c:v>0.000000</c:v>
                </c:pt>
                <c:pt idx="52">
                  <c:v>0.000000</c:v>
                </c:pt>
                <c:pt idx="53">
                  <c:v>-800000.000000</c:v>
                </c:pt>
                <c:pt idx="54">
                  <c:v>-800000.000000</c:v>
                </c:pt>
                <c:pt idx="55">
                  <c:v>-800000.000000</c:v>
                </c:pt>
                <c:pt idx="56">
                  <c:v>-5000000.000000</c:v>
                </c:pt>
                <c:pt idx="57">
                  <c:v>-4000000.000000</c:v>
                </c:pt>
                <c:pt idx="58">
                  <c:v>0.000000</c:v>
                </c:pt>
                <c:pt idx="59">
                  <c:v>-2000000.000000</c:v>
                </c:pt>
                <c:pt idx="60">
                  <c:v>0.000000</c:v>
                </c:pt>
                <c:pt idx="61">
                  <c:v>-900000.000000</c:v>
                </c:pt>
                <c:pt idx="62">
                  <c:v>-900000.000000</c:v>
                </c:pt>
                <c:pt idx="63">
                  <c:v>-900000.000000</c:v>
                </c:pt>
                <c:pt idx="64">
                  <c:v>0.000000</c:v>
                </c:pt>
                <c:pt idx="65">
                  <c:v>0.000000</c:v>
                </c:pt>
                <c:pt idx="66">
                  <c:v>774148.000000</c:v>
                </c:pt>
                <c:pt idx="67">
                  <c:v>600000.000000</c:v>
                </c:pt>
                <c:pt idx="68">
                  <c:v>500000.000000</c:v>
                </c:pt>
                <c:pt idx="69">
                  <c:v>600000.000000</c:v>
                </c:pt>
                <c:pt idx="70">
                  <c:v>0.000000</c:v>
                </c:pt>
                <c:pt idx="71">
                  <c:v>527950.000000</c:v>
                </c:pt>
                <c:pt idx="72">
                  <c:v>59935.000000</c:v>
                </c:pt>
                <c:pt idx="73">
                  <c:v>0.000000</c:v>
                </c:pt>
                <c:pt idx="74">
                  <c:v>0.000000</c:v>
                </c:pt>
                <c:pt idx="75">
                  <c:v>0.000000</c:v>
                </c:pt>
                <c:pt idx="76">
                  <c:v>0.000000</c:v>
                </c:pt>
                <c:pt idx="77">
                  <c:v>0.000000</c:v>
                </c:pt>
                <c:pt idx="78">
                  <c:v>0.000000</c:v>
                </c:pt>
                <c:pt idx="79">
                  <c:v>30014000.000000</c:v>
                </c:pt>
                <c:pt idx="80">
                  <c:v>12147361.000000</c:v>
                </c:pt>
                <c:pt idx="81">
                  <c:v>-10100000.000000</c:v>
                </c:pt>
                <c:pt idx="82">
                  <c:v>-38099733.000000</c:v>
                </c:pt>
                <c:pt idx="83">
                  <c:v>0.000000</c:v>
                </c:pt>
                <c:pt idx="84">
                  <c:v>377786.000000</c:v>
                </c:pt>
                <c:pt idx="85">
                  <c:v>-377786.000000</c:v>
                </c:pt>
                <c:pt idx="86">
                  <c:v>295600.000000</c:v>
                </c:pt>
                <c:pt idx="87">
                  <c:v>8300000.000000</c:v>
                </c:pt>
                <c:pt idx="88">
                  <c:v>6852410.000000</c:v>
                </c:pt>
                <c:pt idx="89">
                  <c:v>-13500000.000000</c:v>
                </c:pt>
                <c:pt idx="90">
                  <c:v>9000000.000000</c:v>
                </c:pt>
                <c:pt idx="91">
                  <c:v>20500000.000000</c:v>
                </c:pt>
                <c:pt idx="92">
                  <c:v>-15000000.000000</c:v>
                </c:pt>
                <c:pt idx="93">
                  <c:v>-3550000.000000</c:v>
                </c:pt>
                <c:pt idx="94">
                  <c:v>-3700000.000000</c:v>
                </c:pt>
                <c:pt idx="95">
                  <c:v>-1000000.000000</c:v>
                </c:pt>
                <c:pt idx="96">
                  <c:v>-1050000.000000</c:v>
                </c:pt>
                <c:pt idx="97">
                  <c:v>-4300000.000000</c:v>
                </c:pt>
                <c:pt idx="98">
                  <c:v>-4400000.000000</c:v>
                </c:pt>
                <c:pt idx="99">
                  <c:v>1750000.000000</c:v>
                </c:pt>
                <c:pt idx="100">
                  <c:v>-50000.000000</c:v>
                </c:pt>
                <c:pt idx="101">
                  <c:v>-550000.000000</c:v>
                </c:pt>
                <c:pt idx="102">
                  <c:v>650000.000000</c:v>
                </c:pt>
                <c:pt idx="103">
                  <c:v>-200000.000000</c:v>
                </c:pt>
                <c:pt idx="104">
                  <c:v>900000.000000</c:v>
                </c:pt>
                <c:pt idx="105">
                  <c:v>-400000.000000</c:v>
                </c:pt>
                <c:pt idx="106">
                  <c:v>24500000.000000</c:v>
                </c:pt>
                <c:pt idx="107">
                  <c:v>-2700000.000000</c:v>
                </c:pt>
                <c:pt idx="108">
                  <c:v>0.000000</c:v>
                </c:pt>
                <c:pt idx="109">
                  <c:v>0.000000</c:v>
                </c:pt>
                <c:pt idx="110">
                  <c:v>0.000000</c:v>
                </c:pt>
                <c:pt idx="111">
                  <c:v>0.000000</c:v>
                </c:pt>
              </c:numCache>
            </c:numRef>
          </c:val>
        </c:ser>
        <c:ser>
          <c:idx val="3"/>
          <c:order val="3"/>
          <c:tx>
            <c:strRef>
              <c:f>'net worth - resumen | depósitos'!$Q$2</c:f>
              <c:strCache>
                <c:ptCount val="1"/>
                <c:pt idx="0">
                  <c:v>total</c:v>
                </c:pt>
              </c:strCache>
            </c:strRef>
          </c:tx>
          <c:spPr>
            <a:solidFill>
              <a:srgbClr val="E7582E"/>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38100" cap="flat">
                <a:solidFill>
                  <a:srgbClr val="FB4912"/>
                </a:solidFill>
                <a:prstDash val="solid"/>
                <a:miter lim="400000"/>
              </a:ln>
              <a:effectLst/>
            </c:spPr>
            <c:trendlineType val="movingAvg"/>
            <c:period val="3"/>
            <c:forward val="0"/>
            <c:backward val="0"/>
            <c:dispRSqr val="0"/>
            <c:dispEq val="0"/>
          </c:trendline>
          <c:cat>
            <c:strRef>
              <c:f>'net worth - resumen | depósitos'!$A$3:$A$114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resumen | depósitos'!$Q$3:$Q$114</c:f>
              <c:numCache>
                <c:ptCount val="112"/>
                <c:pt idx="0">
                  <c:v>3943422.000000</c:v>
                </c:pt>
                <c:pt idx="1">
                  <c:v>192890.000000</c:v>
                </c:pt>
                <c:pt idx="2">
                  <c:v>202431.000000</c:v>
                </c:pt>
                <c:pt idx="3">
                  <c:v>501945.000000</c:v>
                </c:pt>
                <c:pt idx="4">
                  <c:v>1009652.000000</c:v>
                </c:pt>
                <c:pt idx="5">
                  <c:v>1992519.000000</c:v>
                </c:pt>
                <c:pt idx="6">
                  <c:v>861620.000000</c:v>
                </c:pt>
                <c:pt idx="7">
                  <c:v>550580.850000</c:v>
                </c:pt>
                <c:pt idx="8">
                  <c:v>813452.000000</c:v>
                </c:pt>
                <c:pt idx="9">
                  <c:v>946217.000000</c:v>
                </c:pt>
                <c:pt idx="10">
                  <c:v>1515386.000000</c:v>
                </c:pt>
                <c:pt idx="11">
                  <c:v>96536.000000</c:v>
                </c:pt>
                <c:pt idx="12">
                  <c:v>1371027.000000</c:v>
                </c:pt>
                <c:pt idx="13">
                  <c:v>937247.000000</c:v>
                </c:pt>
                <c:pt idx="14">
                  <c:v>788604.000000</c:v>
                </c:pt>
                <c:pt idx="15">
                  <c:v>938744.000000</c:v>
                </c:pt>
                <c:pt idx="16">
                  <c:v>1383782.000000</c:v>
                </c:pt>
                <c:pt idx="17">
                  <c:v>1579815.000000</c:v>
                </c:pt>
                <c:pt idx="18">
                  <c:v>1602728.000000</c:v>
                </c:pt>
                <c:pt idx="19">
                  <c:v>663630.000000</c:v>
                </c:pt>
                <c:pt idx="20">
                  <c:v>1075696.000000</c:v>
                </c:pt>
                <c:pt idx="21">
                  <c:v>1770622.000000</c:v>
                </c:pt>
                <c:pt idx="22">
                  <c:v>1466005.000000</c:v>
                </c:pt>
                <c:pt idx="23">
                  <c:v>1441391.000000</c:v>
                </c:pt>
                <c:pt idx="24">
                  <c:v>1805740.000000</c:v>
                </c:pt>
                <c:pt idx="25">
                  <c:v>1545757.000000</c:v>
                </c:pt>
                <c:pt idx="26">
                  <c:v>1626049.000000</c:v>
                </c:pt>
                <c:pt idx="27">
                  <c:v>866223.000000</c:v>
                </c:pt>
                <c:pt idx="28">
                  <c:v>566223.000000</c:v>
                </c:pt>
                <c:pt idx="29">
                  <c:v>933216.000000</c:v>
                </c:pt>
                <c:pt idx="30">
                  <c:v>2983823.000000</c:v>
                </c:pt>
                <c:pt idx="31">
                  <c:v>566223.000000</c:v>
                </c:pt>
                <c:pt idx="32">
                  <c:v>566223.000000</c:v>
                </c:pt>
                <c:pt idx="33">
                  <c:v>666223.000000</c:v>
                </c:pt>
                <c:pt idx="34">
                  <c:v>620974.000000</c:v>
                </c:pt>
                <c:pt idx="35">
                  <c:v>550000.000000</c:v>
                </c:pt>
                <c:pt idx="36">
                  <c:v>0.000000</c:v>
                </c:pt>
                <c:pt idx="37">
                  <c:v>50131.000000</c:v>
                </c:pt>
                <c:pt idx="38">
                  <c:v>278001.000000</c:v>
                </c:pt>
                <c:pt idx="39">
                  <c:v>-2721999.000000</c:v>
                </c:pt>
                <c:pt idx="40">
                  <c:v>878001.000000</c:v>
                </c:pt>
                <c:pt idx="41">
                  <c:v>2278001.000000</c:v>
                </c:pt>
                <c:pt idx="42">
                  <c:v>819422.000000</c:v>
                </c:pt>
                <c:pt idx="43">
                  <c:v>-1521947.000000</c:v>
                </c:pt>
                <c:pt idx="44">
                  <c:v>-397696.000000</c:v>
                </c:pt>
                <c:pt idx="45">
                  <c:v>1730355.000000</c:v>
                </c:pt>
                <c:pt idx="46">
                  <c:v>1414182.000000</c:v>
                </c:pt>
                <c:pt idx="47">
                  <c:v>-420863.000000</c:v>
                </c:pt>
                <c:pt idx="48">
                  <c:v>1700000.000000</c:v>
                </c:pt>
                <c:pt idx="49">
                  <c:v>627729.000000</c:v>
                </c:pt>
                <c:pt idx="50">
                  <c:v>0.000000</c:v>
                </c:pt>
                <c:pt idx="51">
                  <c:v>0.000000</c:v>
                </c:pt>
                <c:pt idx="52">
                  <c:v>0.000000</c:v>
                </c:pt>
                <c:pt idx="53">
                  <c:v>-800000.000000</c:v>
                </c:pt>
                <c:pt idx="54">
                  <c:v>-633160.000000</c:v>
                </c:pt>
                <c:pt idx="55">
                  <c:v>-800000.000000</c:v>
                </c:pt>
                <c:pt idx="56">
                  <c:v>-2000000.000000</c:v>
                </c:pt>
                <c:pt idx="57">
                  <c:v>-2000000.000000</c:v>
                </c:pt>
                <c:pt idx="58">
                  <c:v>0.000000</c:v>
                </c:pt>
                <c:pt idx="59">
                  <c:v>-2000000.000000</c:v>
                </c:pt>
                <c:pt idx="60">
                  <c:v>0.000000</c:v>
                </c:pt>
                <c:pt idx="61">
                  <c:v>-900000.000000</c:v>
                </c:pt>
                <c:pt idx="62">
                  <c:v>-900000.000000</c:v>
                </c:pt>
                <c:pt idx="63">
                  <c:v>-538578.000000</c:v>
                </c:pt>
                <c:pt idx="64">
                  <c:v>567124.000000</c:v>
                </c:pt>
                <c:pt idx="65">
                  <c:v>411806.000000</c:v>
                </c:pt>
                <c:pt idx="66">
                  <c:v>2942142.000000</c:v>
                </c:pt>
                <c:pt idx="67">
                  <c:v>1369504.000000</c:v>
                </c:pt>
                <c:pt idx="68">
                  <c:v>1371320.000000</c:v>
                </c:pt>
                <c:pt idx="69">
                  <c:v>971862.000000</c:v>
                </c:pt>
                <c:pt idx="70">
                  <c:v>974008.000000</c:v>
                </c:pt>
                <c:pt idx="71">
                  <c:v>1755366.000000</c:v>
                </c:pt>
                <c:pt idx="72">
                  <c:v>436519.000000</c:v>
                </c:pt>
                <c:pt idx="73">
                  <c:v>975973.000000</c:v>
                </c:pt>
                <c:pt idx="74">
                  <c:v>976642.000000</c:v>
                </c:pt>
                <c:pt idx="75">
                  <c:v>379822.000000</c:v>
                </c:pt>
                <c:pt idx="76">
                  <c:v>378907.000000</c:v>
                </c:pt>
                <c:pt idx="77">
                  <c:v>380337.000000</c:v>
                </c:pt>
                <c:pt idx="78">
                  <c:v>384728.000000</c:v>
                </c:pt>
                <c:pt idx="79">
                  <c:v>31405643.000000</c:v>
                </c:pt>
                <c:pt idx="80">
                  <c:v>12890042.000000</c:v>
                </c:pt>
                <c:pt idx="81">
                  <c:v>-9355317.000000</c:v>
                </c:pt>
                <c:pt idx="82">
                  <c:v>-37003625.000000</c:v>
                </c:pt>
                <c:pt idx="83">
                  <c:v>397601.000000</c:v>
                </c:pt>
                <c:pt idx="84">
                  <c:v>976511.000000</c:v>
                </c:pt>
                <c:pt idx="85">
                  <c:v>23440.000000</c:v>
                </c:pt>
                <c:pt idx="86">
                  <c:v>696215.000000</c:v>
                </c:pt>
                <c:pt idx="87">
                  <c:v>8701934.000000</c:v>
                </c:pt>
                <c:pt idx="88">
                  <c:v>7754860.000000</c:v>
                </c:pt>
                <c:pt idx="89">
                  <c:v>-13653467.000000</c:v>
                </c:pt>
                <c:pt idx="90">
                  <c:v>6506202.000000</c:v>
                </c:pt>
                <c:pt idx="91">
                  <c:v>16006055.000000</c:v>
                </c:pt>
                <c:pt idx="92">
                  <c:v>-27578016.000000</c:v>
                </c:pt>
                <c:pt idx="93">
                  <c:v>-12562437.000000</c:v>
                </c:pt>
                <c:pt idx="94">
                  <c:v>-4371261.000000</c:v>
                </c:pt>
                <c:pt idx="95">
                  <c:v>-570256.000000</c:v>
                </c:pt>
                <c:pt idx="96">
                  <c:v>-619572.000000</c:v>
                </c:pt>
                <c:pt idx="97">
                  <c:v>-3619225.000000</c:v>
                </c:pt>
                <c:pt idx="98">
                  <c:v>-3964937.000000</c:v>
                </c:pt>
                <c:pt idx="99">
                  <c:v>2185980.000000</c:v>
                </c:pt>
                <c:pt idx="100">
                  <c:v>386970.000000</c:v>
                </c:pt>
                <c:pt idx="101">
                  <c:v>-112612.000000</c:v>
                </c:pt>
                <c:pt idx="102">
                  <c:v>1088139.000000</c:v>
                </c:pt>
                <c:pt idx="103">
                  <c:v>246453.000000</c:v>
                </c:pt>
                <c:pt idx="104">
                  <c:v>1347701.000000</c:v>
                </c:pt>
                <c:pt idx="105">
                  <c:v>448170.000000</c:v>
                </c:pt>
                <c:pt idx="106">
                  <c:v>24500000.000000</c:v>
                </c:pt>
                <c:pt idx="107">
                  <c:v>-5472870.000000</c:v>
                </c:pt>
                <c:pt idx="108">
                  <c:v>0.000000</c:v>
                </c:pt>
                <c:pt idx="109">
                  <c:v>0.000000</c:v>
                </c:pt>
                <c:pt idx="110">
                  <c:v>0.000000</c:v>
                </c:pt>
                <c:pt idx="111">
                  <c:v>0.000000</c:v>
                </c:pt>
              </c:numCache>
            </c:numRef>
          </c:val>
        </c:ser>
        <c:ser>
          <c:idx val="4"/>
          <c:order val="4"/>
          <c:tx>
            <c:strRef>
              <c:f>'net worth - resumen | depósitos'!$R$2</c:f>
              <c:strCache>
                <c:ptCount val="1"/>
                <c:pt idx="0">
                  <c:v>+ real estate</c:v>
                </c:pt>
              </c:strCache>
            </c:strRef>
          </c:tx>
          <c:spPr>
            <a:gradFill flip="none" rotWithShape="1">
              <a:gsLst>
                <a:gs pos="0">
                  <a:srgbClr val="FB4912"/>
                </a:gs>
                <a:gs pos="100000">
                  <a:srgbClr val="C82506"/>
                </a:gs>
              </a:gsLst>
              <a:lin ang="5400000" scaled="0"/>
            </a:gra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38100" cap="flat">
                <a:solidFill>
                  <a:srgbClr val="FB4912">
                    <a:alpha val="48252"/>
                  </a:srgbClr>
                </a:solidFill>
                <a:prstDash val="solid"/>
                <a:miter lim="400000"/>
              </a:ln>
              <a:effectLst/>
            </c:spPr>
            <c:trendlineType val="movingAvg"/>
            <c:period val="4"/>
            <c:forward val="0"/>
            <c:backward val="0"/>
            <c:dispRSqr val="0"/>
            <c:dispEq val="0"/>
          </c:trendline>
          <c:cat>
            <c:strRef>
              <c:f>'net worth - resumen | depósitos'!$A$3:$A$114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resumen | depósitos'!$R$3:$R$114</c:f>
              <c:numCache>
                <c:ptCount val="112"/>
                <c:pt idx="0">
                  <c:v>3943422.000000</c:v>
                </c:pt>
                <c:pt idx="1">
                  <c:v>192890.000000</c:v>
                </c:pt>
                <c:pt idx="2">
                  <c:v>202431.000000</c:v>
                </c:pt>
                <c:pt idx="3">
                  <c:v>501945.000000</c:v>
                </c:pt>
                <c:pt idx="4">
                  <c:v>1009652.000000</c:v>
                </c:pt>
                <c:pt idx="5">
                  <c:v>1992519.000000</c:v>
                </c:pt>
                <c:pt idx="6">
                  <c:v>861620.000000</c:v>
                </c:pt>
                <c:pt idx="7">
                  <c:v>550580.850000</c:v>
                </c:pt>
                <c:pt idx="8">
                  <c:v>813452.000000</c:v>
                </c:pt>
                <c:pt idx="9">
                  <c:v>946217.000000</c:v>
                </c:pt>
                <c:pt idx="10">
                  <c:v>1515386.000000</c:v>
                </c:pt>
                <c:pt idx="11">
                  <c:v>96536.000000</c:v>
                </c:pt>
                <c:pt idx="12">
                  <c:v>1371027.000000</c:v>
                </c:pt>
                <c:pt idx="13">
                  <c:v>937247.000000</c:v>
                </c:pt>
                <c:pt idx="14">
                  <c:v>788604.000000</c:v>
                </c:pt>
                <c:pt idx="15">
                  <c:v>938744.000000</c:v>
                </c:pt>
                <c:pt idx="16">
                  <c:v>1383782.000000</c:v>
                </c:pt>
                <c:pt idx="17">
                  <c:v>1579815.000000</c:v>
                </c:pt>
                <c:pt idx="18">
                  <c:v>1602728.000000</c:v>
                </c:pt>
                <c:pt idx="19">
                  <c:v>663630.000000</c:v>
                </c:pt>
                <c:pt idx="20">
                  <c:v>1075696.000000</c:v>
                </c:pt>
                <c:pt idx="21">
                  <c:v>1770622.000000</c:v>
                </c:pt>
                <c:pt idx="22">
                  <c:v>1466005.000000</c:v>
                </c:pt>
                <c:pt idx="23">
                  <c:v>1441391.000000</c:v>
                </c:pt>
                <c:pt idx="24">
                  <c:v>1805740.000000</c:v>
                </c:pt>
                <c:pt idx="25">
                  <c:v>1545757.000000</c:v>
                </c:pt>
                <c:pt idx="26">
                  <c:v>1626049.000000</c:v>
                </c:pt>
                <c:pt idx="27">
                  <c:v>866223.000000</c:v>
                </c:pt>
                <c:pt idx="28">
                  <c:v>566223.000000</c:v>
                </c:pt>
                <c:pt idx="29">
                  <c:v>933216.000000</c:v>
                </c:pt>
                <c:pt idx="30">
                  <c:v>2983823.000000</c:v>
                </c:pt>
                <c:pt idx="31">
                  <c:v>566223.000000</c:v>
                </c:pt>
                <c:pt idx="32">
                  <c:v>566223.000000</c:v>
                </c:pt>
                <c:pt idx="33">
                  <c:v>666223.000000</c:v>
                </c:pt>
                <c:pt idx="34">
                  <c:v>620974.000000</c:v>
                </c:pt>
                <c:pt idx="35">
                  <c:v>550000.000000</c:v>
                </c:pt>
                <c:pt idx="36">
                  <c:v>0.000000</c:v>
                </c:pt>
                <c:pt idx="37">
                  <c:v>50131.000000</c:v>
                </c:pt>
                <c:pt idx="38">
                  <c:v>278001.000000</c:v>
                </c:pt>
                <c:pt idx="39">
                  <c:v>-2721999.000000</c:v>
                </c:pt>
                <c:pt idx="40">
                  <c:v>878001.000000</c:v>
                </c:pt>
                <c:pt idx="41">
                  <c:v>2278001.000000</c:v>
                </c:pt>
                <c:pt idx="42">
                  <c:v>819422.000000</c:v>
                </c:pt>
                <c:pt idx="43">
                  <c:v>-1521947.000000</c:v>
                </c:pt>
                <c:pt idx="44">
                  <c:v>-397696.000000</c:v>
                </c:pt>
                <c:pt idx="45">
                  <c:v>1730355.000000</c:v>
                </c:pt>
                <c:pt idx="46">
                  <c:v>1414182.000000</c:v>
                </c:pt>
                <c:pt idx="47">
                  <c:v>-420863.000000</c:v>
                </c:pt>
                <c:pt idx="48">
                  <c:v>1700000.000000</c:v>
                </c:pt>
                <c:pt idx="49">
                  <c:v>627729.000000</c:v>
                </c:pt>
                <c:pt idx="50">
                  <c:v>0.000000</c:v>
                </c:pt>
                <c:pt idx="51">
                  <c:v>0.000000</c:v>
                </c:pt>
                <c:pt idx="52">
                  <c:v>0.000000</c:v>
                </c:pt>
                <c:pt idx="53">
                  <c:v>-800000.000000</c:v>
                </c:pt>
                <c:pt idx="54">
                  <c:v>-633160.000000</c:v>
                </c:pt>
                <c:pt idx="55">
                  <c:v>-800000.000000</c:v>
                </c:pt>
                <c:pt idx="56">
                  <c:v>-2000000.000000</c:v>
                </c:pt>
                <c:pt idx="57">
                  <c:v>-2000000.000000</c:v>
                </c:pt>
                <c:pt idx="58">
                  <c:v>0.000000</c:v>
                </c:pt>
                <c:pt idx="59">
                  <c:v>-2000000.000000</c:v>
                </c:pt>
                <c:pt idx="60">
                  <c:v>0.000000</c:v>
                </c:pt>
                <c:pt idx="61">
                  <c:v>-900000.000000</c:v>
                </c:pt>
                <c:pt idx="62">
                  <c:v>-900000.000000</c:v>
                </c:pt>
                <c:pt idx="63">
                  <c:v>-538578.000000</c:v>
                </c:pt>
                <c:pt idx="64">
                  <c:v>567124.000000</c:v>
                </c:pt>
                <c:pt idx="65">
                  <c:v>411806.000000</c:v>
                </c:pt>
                <c:pt idx="66">
                  <c:v>2942142.000000</c:v>
                </c:pt>
                <c:pt idx="67">
                  <c:v>1369504.000000</c:v>
                </c:pt>
                <c:pt idx="68">
                  <c:v>1371320.000000</c:v>
                </c:pt>
                <c:pt idx="69">
                  <c:v>971862.000000</c:v>
                </c:pt>
                <c:pt idx="70">
                  <c:v>974008.000000</c:v>
                </c:pt>
                <c:pt idx="71">
                  <c:v>1755366.000000</c:v>
                </c:pt>
                <c:pt idx="72">
                  <c:v>436519.000000</c:v>
                </c:pt>
                <c:pt idx="73">
                  <c:v>975973.000000</c:v>
                </c:pt>
                <c:pt idx="74">
                  <c:v>976642.000000</c:v>
                </c:pt>
                <c:pt idx="75">
                  <c:v>379822.000000</c:v>
                </c:pt>
                <c:pt idx="76">
                  <c:v>378907.000000</c:v>
                </c:pt>
                <c:pt idx="77">
                  <c:v>380337.000000</c:v>
                </c:pt>
                <c:pt idx="78">
                  <c:v>384728.000000</c:v>
                </c:pt>
                <c:pt idx="79">
                  <c:v>31405643.000000</c:v>
                </c:pt>
                <c:pt idx="80">
                  <c:v>12890042.000000</c:v>
                </c:pt>
                <c:pt idx="81">
                  <c:v>-9355317.000000</c:v>
                </c:pt>
                <c:pt idx="82">
                  <c:v>16823507.000000</c:v>
                </c:pt>
                <c:pt idx="83">
                  <c:v>397601.000000</c:v>
                </c:pt>
                <c:pt idx="84">
                  <c:v>2176511.000000</c:v>
                </c:pt>
                <c:pt idx="85">
                  <c:v>3034581.000000</c:v>
                </c:pt>
                <c:pt idx="86">
                  <c:v>3705791.000000</c:v>
                </c:pt>
                <c:pt idx="87">
                  <c:v>11732019.000000</c:v>
                </c:pt>
                <c:pt idx="88">
                  <c:v>10793219.000000</c:v>
                </c:pt>
                <c:pt idx="89">
                  <c:v>9172242.000000</c:v>
                </c:pt>
                <c:pt idx="90">
                  <c:v>9577244.000000</c:v>
                </c:pt>
                <c:pt idx="91">
                  <c:v>19077677.000000</c:v>
                </c:pt>
                <c:pt idx="92">
                  <c:v>-8905201.000000</c:v>
                </c:pt>
                <c:pt idx="93">
                  <c:v>15096495.400000</c:v>
                </c:pt>
                <c:pt idx="94">
                  <c:v>-2852126.000000</c:v>
                </c:pt>
                <c:pt idx="95">
                  <c:v>995302.000000</c:v>
                </c:pt>
                <c:pt idx="96">
                  <c:v>949124.000000</c:v>
                </c:pt>
                <c:pt idx="97">
                  <c:v>-2819225.000000</c:v>
                </c:pt>
                <c:pt idx="98">
                  <c:v>-3143135.000000</c:v>
                </c:pt>
                <c:pt idx="99">
                  <c:v>3571571.000000</c:v>
                </c:pt>
                <c:pt idx="100">
                  <c:v>1203507.000000</c:v>
                </c:pt>
                <c:pt idx="101">
                  <c:v>903259.000000</c:v>
                </c:pt>
                <c:pt idx="102">
                  <c:v>1943230.000000</c:v>
                </c:pt>
                <c:pt idx="103">
                  <c:v>1219071.000000</c:v>
                </c:pt>
                <c:pt idx="104">
                  <c:v>2239279.000000</c:v>
                </c:pt>
                <c:pt idx="105">
                  <c:v>13290435.000000</c:v>
                </c:pt>
                <c:pt idx="106">
                  <c:v>27680160.000000</c:v>
                </c:pt>
                <c:pt idx="107">
                  <c:v>-2260475.000000</c:v>
                </c:pt>
                <c:pt idx="108">
                  <c:v>0.000000</c:v>
                </c:pt>
                <c:pt idx="109">
                  <c:v>0.000000</c:v>
                </c:pt>
                <c:pt idx="110">
                  <c:v>0.000000</c:v>
                </c:pt>
                <c:pt idx="111">
                  <c:v>0.000000</c:v>
                </c:pt>
              </c:numCache>
            </c:numRef>
          </c:val>
        </c:ser>
        <c:gapWidth val="10"/>
        <c:overlap val="-10"/>
        <c:axId val="2094734552"/>
        <c:axId val="2094734553"/>
      </c:barChart>
      <c:catAx>
        <c:axId val="2094734552"/>
        <c:scaling>
          <c:orientation val="minMax"/>
        </c:scaling>
        <c:delete val="0"/>
        <c:axPos val="b"/>
        <c:majorGridlines>
          <c:spPr>
            <a:ln w="9525" cap="flat">
              <a:solidFill>
                <a:srgbClr val="000000">
                  <a:alpha val="16804"/>
                </a:srgbClr>
              </a:solidFill>
              <a:custDash>
                <a:ds d="200000" sp="200000"/>
              </a:custDash>
              <a:miter lim="400000"/>
            </a:ln>
          </c:spPr>
        </c:majorGridlines>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4e+06"/>
          <c:min val="-2e+06"/>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between"/>
      </c:valAx>
      <c:spPr>
        <a:noFill/>
        <a:ln w="12700" cap="flat">
          <a:noFill/>
          <a:miter lim="400000"/>
        </a:ln>
        <a:effectLst/>
      </c:spPr>
    </c:plotArea>
    <c:legend>
      <c:legendPos val="t"/>
      <c:layout>
        <c:manualLayout>
          <c:xMode val="edge"/>
          <c:yMode val="edge"/>
          <c:x val="0.130311"/>
          <c:y val="0"/>
          <c:w val="0.816441"/>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2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45333"/>
          <c:y val="0.125413"/>
          <c:w val="0.831839"/>
          <c:h val="0.810932"/>
        </c:manualLayout>
      </c:layout>
      <c:areaChart>
        <c:grouping val="standard"/>
        <c:varyColors val="0"/>
        <c:ser>
          <c:idx val="2"/>
          <c:order val="0"/>
          <c:tx>
            <c:strRef>
              <c:f>'net worth - Table 1-3'!$BN$1</c:f>
              <c:strCache/>
            </c:strRef>
          </c:tx>
          <c:spPr>
            <a:solidFill>
              <a:srgbClr val="3199CD">
                <a:alpha val="16689"/>
              </a:srgbClr>
            </a:solidFill>
            <a:ln w="12700" cap="flat">
              <a:noFill/>
              <a:miter lim="400000"/>
            </a:ln>
            <a:effectLst/>
          </c:spP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'net worth - Table 1-3'!$A$3:$A$114</c:f>
              <c:strCache>
                <c:ptCount val="0"/>
              </c:strCache>
            </c:strRef>
          </c:cat>
          <c:val>
            <c:numRef>
              <c:f>'net worth - Table 1-3'!$BN$3:$BN$114</c:f>
              <c:numCache>
                <c:ptCount val="0"/>
              </c:numCache>
            </c:numRef>
          </c:val>
        </c:ser>
        <c:ser>
          <c:idx val="1"/>
          <c:order val="1"/>
          <c:tx>
            <c:strRef>
              <c:f>'net worth - Table 1-3'!$BM$1</c:f>
              <c:strCache/>
            </c:strRef>
          </c:tx>
          <c:spPr>
            <a:solidFill>
              <a:srgbClr val="898D85">
                <a:alpha val="16689"/>
              </a:srgbClr>
            </a:solidFill>
            <a:ln w="12700" cap="flat">
              <a:noFill/>
              <a:miter lim="400000"/>
            </a:ln>
            <a:effectLst/>
          </c:spP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'net worth - Table 1-3'!$A$3:$A$114</c:f>
              <c:strCache>
                <c:ptCount val="0"/>
              </c:strCache>
            </c:strRef>
          </c:cat>
          <c:val>
            <c:numRef>
              <c:f>'net worth - Table 1-3'!$BM$3:$BM$114</c:f>
              <c:numCache>
                <c:ptCount val="0"/>
              </c:numCache>
            </c:numRef>
          </c:val>
        </c:ser>
        <c:axId val="2094734552"/>
        <c:axId val="2094734553"/>
      </c:areaChart>
      <c:barChart>
        <c:barDir val="col"/>
        <c:grouping val="clustered"/>
        <c:varyColors val="0"/>
        <c:ser>
          <c:idx val="0"/>
          <c:order val="2"/>
          <c:tx>
            <c:strRef>
              <c:f>'net worth - Table 1-3'!$BL$1</c:f>
              <c:strCache/>
            </c:strRef>
          </c:tx>
          <c:spPr>
            <a:solidFill>
              <a:schemeClr val="accent1">
                <a:hueOff val="-53954"/>
                <a:satOff val="-4348"/>
                <a:lumOff val="-11375"/>
              </a:scheme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1-3'!$A$3:$A$114</c:f>
              <c:strCache>
                <c:ptCount val="0"/>
              </c:strCache>
            </c:strRef>
          </c:cat>
          <c:val>
            <c:numRef>
              <c:f>'net worth - Table 1-3'!$BL$3:$BL$114</c:f>
              <c:numCache>
                <c:ptCount val="0"/>
              </c:numCache>
            </c:numRef>
          </c:val>
        </c:ser>
        <c:gapWidth val="10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7e+07"/>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137272"/>
          <c:y val="0"/>
          <c:w val="0.793795"/>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2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42657"/>
          <c:y val="0.125413"/>
          <c:w val="0.852343"/>
          <c:h val="0.810932"/>
        </c:manualLayout>
      </c:layout>
      <c:areaChart>
        <c:grouping val="standard"/>
        <c:varyColors val="0"/>
        <c:ser>
          <c:idx val="6"/>
          <c:order val="0"/>
          <c:tx>
            <c:strRef>
              <c:f>'net worth - Table 1-3'!$BM$1:$BM$2</c:f>
              <c:strCache/>
            </c:strRef>
          </c:tx>
          <c:spPr>
            <a:solidFill>
              <a:srgbClr val="DDD8D7">
                <a:alpha val="36064"/>
              </a:srgbClr>
            </a:solidFill>
            <a:ln w="12700" cap="flat">
              <a:noFill/>
              <a:miter lim="400000"/>
            </a:ln>
            <a:effectLst/>
          </c:spP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'net worth - Table 1-3'!$A$3:$A$114</c:f>
              <c:strCache>
                <c:ptCount val="0"/>
              </c:strCache>
            </c:strRef>
          </c:cat>
          <c:val>
            <c:numRef>
              <c:f>'net worth - Table 1-3'!$BM$3:$BM$114</c:f>
              <c:numCache>
                <c:ptCount val="0"/>
              </c:numCache>
            </c:numRef>
          </c:val>
        </c:ser>
        <c:axId val="2094734552"/>
        <c:axId val="2094734553"/>
      </c:areaChart>
      <c:barChart>
        <c:barDir val="col"/>
        <c:grouping val="clustered"/>
        <c:varyColors val="0"/>
        <c:ser>
          <c:idx val="0"/>
          <c:order val="1"/>
          <c:tx>
            <c:strRef>
              <c:f>'net worth - Table 1-3'!$P$1</c:f>
              <c:strCache/>
            </c:strRef>
          </c:tx>
          <c:spPr>
            <a:solidFill>
              <a:srgbClr val="68A5F3"/>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1-3'!$A$3:$A$114</c:f>
              <c:strCache>
                <c:ptCount val="0"/>
              </c:strCache>
            </c:strRef>
          </c:cat>
          <c:val>
            <c:numRef>
              <c:f>'net worth - Table 1-3'!$P$3:$P$114</c:f>
              <c:numCache>
                <c:ptCount val="0"/>
              </c:numCache>
            </c:numRef>
          </c:val>
        </c:ser>
        <c:ser>
          <c:idx val="1"/>
          <c:order val="2"/>
          <c:tx>
            <c:strRef>
              <c:f>'net worth - Table 1-3'!$W$1</c:f>
              <c:strCache/>
            </c:strRef>
          </c:tx>
          <c:spPr>
            <a:solidFill>
              <a:srgbClr val="2E578C"/>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1-3'!$A$3:$A$114</c:f>
              <c:strCache>
                <c:ptCount val="0"/>
              </c:strCache>
            </c:strRef>
          </c:cat>
          <c:val>
            <c:numRef>
              <c:f>'net worth - Table 1-3'!$W$3:$W$114</c:f>
              <c:numCache>
                <c:ptCount val="0"/>
              </c:numCache>
            </c:numRef>
          </c:val>
        </c:ser>
        <c:ser>
          <c:idx val="2"/>
          <c:order val="3"/>
          <c:tx>
            <c:strRef>
              <c:f>'net worth - Table 1-3'!$AV$1</c:f>
              <c:strCache/>
            </c:strRef>
          </c:tx>
          <c:spPr>
            <a:solidFill>
              <a:srgbClr val="A3D57C"/>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1-3'!$A$3:$A$114</c:f>
              <c:strCache>
                <c:ptCount val="0"/>
              </c:strCache>
            </c:strRef>
          </c:cat>
          <c:val>
            <c:numRef>
              <c:f>'net worth - Table 1-3'!$AV$3:$AV$114</c:f>
              <c:numCache>
                <c:ptCount val="0"/>
              </c:numCache>
            </c:numRef>
          </c:val>
        </c:ser>
        <c:ser>
          <c:idx val="3"/>
          <c:order val="4"/>
          <c:tx>
            <c:strRef>
              <c:f>'net worth - Table 1-3'!$BC$1</c:f>
              <c:strCache/>
            </c:strRef>
          </c:tx>
          <c:spPr>
            <a:solidFill>
              <a:srgbClr val="8CC95B"/>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1-3'!$A$3:$A$114</c:f>
              <c:strCache>
                <c:ptCount val="0"/>
              </c:strCache>
            </c:strRef>
          </c:cat>
          <c:val>
            <c:numRef>
              <c:f>'net worth - Table 1-3'!$BC$3:$BC$114</c:f>
              <c:numCache>
                <c:ptCount val="0"/>
              </c:numCache>
            </c:numRef>
          </c:val>
        </c:ser>
        <c:ser>
          <c:idx val="4"/>
          <c:order val="5"/>
          <c:tx>
            <c:strRef>
              <c:f>'net worth - Table 1-3'!$BJ$1</c:f>
              <c:strCache/>
            </c:strRef>
          </c:tx>
          <c:spPr>
            <a:solidFill>
              <a:srgbClr val="B9DF9C"/>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1-3'!$A$3:$A$114</c:f>
              <c:strCache>
                <c:ptCount val="0"/>
              </c:strCache>
            </c:strRef>
          </c:cat>
          <c:val>
            <c:numRef>
              <c:f>'net worth - Table 1-3'!$BJ$3:$BJ$114</c:f>
              <c:numCache>
                <c:ptCount val="0"/>
              </c:numCache>
            </c:numRef>
          </c:val>
        </c:ser>
        <c:gapWidth val="100"/>
        <c:overlap val="-10"/>
        <c:axId val="2094734552"/>
        <c:axId val="2094734553"/>
      </c:barChart>
      <c:lineChart>
        <c:grouping val="standard"/>
        <c:varyColors val="0"/>
        <c:ser>
          <c:idx val="5"/>
          <c:order val="6"/>
          <c:tx>
            <c:strRef>
              <c:f>'net worth - Table 1-3'!$BL$1</c:f>
              <c:strCache/>
            </c:strRef>
          </c:tx>
          <c:spPr>
            <a:solidFill>
              <a:srgbClr val="5792C0">
                <a:alpha val="49068"/>
              </a:srgbClr>
            </a:solidFill>
            <a:ln w="50800" cap="flat">
              <a:noFill/>
              <a:miter lim="400000"/>
            </a:ln>
            <a:effectLst/>
          </c:spPr>
          <c:marker>
            <c:symbol val="diamond"/>
            <c:size val="9"/>
            <c:spPr>
              <a:solidFill>
                <a:srgbClr val="5792C0">
                  <a:alpha val="49068"/>
                </a:srgbClr>
              </a:solidFill>
              <a:ln w="6350" cap="flat">
                <a:solidFill>
                  <a:srgbClr val="000000"/>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1-3'!$A$3:$A$114</c:f>
              <c:strCache>
                <c:ptCount val="0"/>
              </c:strCache>
            </c:strRef>
          </c:cat>
          <c:val>
            <c:numRef>
              <c:f>'net worth - Table 1-3'!$BL$3:$BL$114</c:f>
              <c:numCache>
                <c:ptCount val="0"/>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23409"/>
          <c:y val="0"/>
          <c:w val="0.670215"/>
          <c:h val="0.10420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30.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35429"/>
          <c:y val="0.125413"/>
          <c:w val="0.841452"/>
          <c:h val="0.810932"/>
        </c:manualLayout>
      </c:layout>
      <c:barChart>
        <c:barDir val="col"/>
        <c:grouping val="clustered"/>
        <c:varyColors val="0"/>
        <c:ser>
          <c:idx val="0"/>
          <c:order val="0"/>
          <c:tx>
            <c:strRef>
              <c:f>'net worth - Table 1-3'!$BO$1</c:f>
              <c:strCache>
                <c:ptCount val="1"/>
                <c:pt idx="0">
                  <c:v>∆ total + cripto</c:v>
                </c:pt>
              </c:strCache>
            </c:strRef>
          </c:tx>
          <c:spPr>
            <a:solidFill>
              <a:srgbClr val="BFEAD2">
                <a:alpha val="60809"/>
              </a:srgbClr>
            </a:solidFill>
            <a:ln w="12700" cap="flat">
              <a:noFill/>
              <a:miter lim="400000"/>
            </a:ln>
            <a:effectLst/>
          </c:spPr>
          <c:invertIfNegative val="0"/>
          <c:dLbls>
            <c:numFmt formatCode="#,##0.0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50800" cap="flat">
                <a:solidFill>
                  <a:srgbClr val="ACD2BD"/>
                </a:solidFill>
                <a:prstDash val="solid"/>
                <a:miter lim="400000"/>
              </a:ln>
              <a:effectLst/>
            </c:spPr>
            <c:trendlineType val="movingAvg"/>
            <c:period val="3"/>
            <c:forward val="0"/>
            <c:backward val="0"/>
            <c:dispRSqr val="0"/>
            <c:dispEq val="0"/>
          </c:trendline>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1-3'!$BO$3:$BO$114</c:f>
              <c:numCache>
                <c:ptCount val="112"/>
                <c:pt idx="0">
                  <c:v>4351.955463</c:v>
                </c:pt>
                <c:pt idx="1">
                  <c:v>4122.000000</c:v>
                </c:pt>
                <c:pt idx="2">
                  <c:v>-906.000000</c:v>
                </c:pt>
                <c:pt idx="3">
                  <c:v>5888.000000</c:v>
                </c:pt>
                <c:pt idx="4">
                  <c:v>1486.000000</c:v>
                </c:pt>
                <c:pt idx="5">
                  <c:v>193651.016381</c:v>
                </c:pt>
                <c:pt idx="6">
                  <c:v>865758.547850</c:v>
                </c:pt>
                <c:pt idx="7">
                  <c:v>269324.431679</c:v>
                </c:pt>
                <c:pt idx="8">
                  <c:v>-726257.447900</c:v>
                </c:pt>
                <c:pt idx="9">
                  <c:v>-1629578.227836</c:v>
                </c:pt>
                <c:pt idx="10">
                  <c:v>577928.578874</c:v>
                </c:pt>
                <c:pt idx="11">
                  <c:v>423792.689168</c:v>
                </c:pt>
                <c:pt idx="12">
                  <c:v>-448097.542327</c:v>
                </c:pt>
                <c:pt idx="13">
                  <c:v>406420.095638</c:v>
                </c:pt>
                <c:pt idx="14">
                  <c:v>-351086.088315</c:v>
                </c:pt>
                <c:pt idx="15">
                  <c:v>-344175.881533</c:v>
                </c:pt>
                <c:pt idx="16">
                  <c:v>-385541.259185</c:v>
                </c:pt>
                <c:pt idx="17">
                  <c:v>-602384.819296</c:v>
                </c:pt>
                <c:pt idx="18">
                  <c:v>-366181.075517</c:v>
                </c:pt>
                <c:pt idx="19">
                  <c:v>148277.407403</c:v>
                </c:pt>
                <c:pt idx="20">
                  <c:v>-83171.416889</c:v>
                </c:pt>
                <c:pt idx="21">
                  <c:v>532072.494490</c:v>
                </c:pt>
                <c:pt idx="22">
                  <c:v>615314.363526</c:v>
                </c:pt>
                <c:pt idx="23">
                  <c:v>463859.410447</c:v>
                </c:pt>
                <c:pt idx="24">
                  <c:v>369520.145759</c:v>
                </c:pt>
                <c:pt idx="25">
                  <c:v>483990.699671</c:v>
                </c:pt>
                <c:pt idx="26">
                  <c:v>-152328.750447</c:v>
                </c:pt>
                <c:pt idx="27">
                  <c:v>506598.632116</c:v>
                </c:pt>
                <c:pt idx="28">
                  <c:v>547779.195445</c:v>
                </c:pt>
                <c:pt idx="29">
                  <c:v>3064228.139226</c:v>
                </c:pt>
                <c:pt idx="30">
                  <c:v>-1714694.119118</c:v>
                </c:pt>
                <c:pt idx="31">
                  <c:v>2510686.426989</c:v>
                </c:pt>
                <c:pt idx="32">
                  <c:v>-1580467.097046</c:v>
                </c:pt>
                <c:pt idx="33">
                  <c:v>-3552796.777627</c:v>
                </c:pt>
                <c:pt idx="34">
                  <c:v>3335098.842478</c:v>
                </c:pt>
                <c:pt idx="35">
                  <c:v>332104.772001</c:v>
                </c:pt>
                <c:pt idx="36">
                  <c:v>1650130.241072</c:v>
                </c:pt>
                <c:pt idx="37">
                  <c:v>-210424.696268</c:v>
                </c:pt>
                <c:pt idx="38">
                  <c:v>3757629.053253</c:v>
                </c:pt>
                <c:pt idx="39">
                  <c:v>-1092611.750679</c:v>
                </c:pt>
                <c:pt idx="40">
                  <c:v>-624587.931251</c:v>
                </c:pt>
                <c:pt idx="41">
                  <c:v>5098760.518628</c:v>
                </c:pt>
                <c:pt idx="42">
                  <c:v>309858.981536</c:v>
                </c:pt>
                <c:pt idx="43">
                  <c:v>4253879.353166</c:v>
                </c:pt>
                <c:pt idx="44">
                  <c:v>944314.380428</c:v>
                </c:pt>
                <c:pt idx="45">
                  <c:v>1027548.625713</c:v>
                </c:pt>
                <c:pt idx="46">
                  <c:v>2013859.955786</c:v>
                </c:pt>
                <c:pt idx="47">
                  <c:v>-1036647.422265</c:v>
                </c:pt>
                <c:pt idx="48">
                  <c:v>1397990.764979</c:v>
                </c:pt>
                <c:pt idx="49">
                  <c:v>1668489.353169</c:v>
                </c:pt>
                <c:pt idx="50">
                  <c:v>3789875.000000</c:v>
                </c:pt>
                <c:pt idx="51">
                  <c:v>-233885.000000</c:v>
                </c:pt>
                <c:pt idx="52">
                  <c:v>5438352.000000</c:v>
                </c:pt>
                <c:pt idx="53">
                  <c:v>2339009.000000</c:v>
                </c:pt>
                <c:pt idx="54">
                  <c:v>-1311007.000000</c:v>
                </c:pt>
                <c:pt idx="55">
                  <c:v>-9211902.000000</c:v>
                </c:pt>
                <c:pt idx="56">
                  <c:v>-1070252.000000</c:v>
                </c:pt>
                <c:pt idx="57">
                  <c:v>688794.000000</c:v>
                </c:pt>
                <c:pt idx="58">
                  <c:v>-2358039.000000</c:v>
                </c:pt>
                <c:pt idx="59">
                  <c:v>-2875045.000000</c:v>
                </c:pt>
                <c:pt idx="60">
                  <c:v>2130.000000</c:v>
                </c:pt>
                <c:pt idx="61">
                  <c:v>3758320.000000</c:v>
                </c:pt>
                <c:pt idx="62">
                  <c:v>-3104582.000000</c:v>
                </c:pt>
                <c:pt idx="63">
                  <c:v>-1808476.000000</c:v>
                </c:pt>
                <c:pt idx="64">
                  <c:v>1575614.000000</c:v>
                </c:pt>
                <c:pt idx="65">
                  <c:v>-754768.000000</c:v>
                </c:pt>
                <c:pt idx="66">
                  <c:v>-4869486.000000</c:v>
                </c:pt>
                <c:pt idx="67">
                  <c:v>1926948.000000</c:v>
                </c:pt>
                <c:pt idx="68">
                  <c:v>1099219.000000</c:v>
                </c:pt>
                <c:pt idx="69">
                  <c:v>260081.000000</c:v>
                </c:pt>
                <c:pt idx="70">
                  <c:v>366949.000000</c:v>
                </c:pt>
                <c:pt idx="71">
                  <c:v>1787565.000000</c:v>
                </c:pt>
                <c:pt idx="72">
                  <c:v>2745698.000000</c:v>
                </c:pt>
                <c:pt idx="73">
                  <c:v>4733089.000000</c:v>
                </c:pt>
                <c:pt idx="74">
                  <c:v>-1486352.850297</c:v>
                </c:pt>
                <c:pt idx="75">
                  <c:v>285341.228890</c:v>
                </c:pt>
                <c:pt idx="76">
                  <c:v>-1518273.846065</c:v>
                </c:pt>
                <c:pt idx="77">
                  <c:v>3974006.411438</c:v>
                </c:pt>
                <c:pt idx="78">
                  <c:v>5330349.209781</c:v>
                </c:pt>
                <c:pt idx="79">
                  <c:v>2845170.846254</c:v>
                </c:pt>
                <c:pt idx="80">
                  <c:v>10019959.000000</c:v>
                </c:pt>
                <c:pt idx="81">
                  <c:v>3622259.000000</c:v>
                </c:pt>
                <c:pt idx="82">
                  <c:v>-6673023.000000</c:v>
                </c:pt>
                <c:pt idx="83">
                  <c:v>1615241.000000</c:v>
                </c:pt>
                <c:pt idx="84">
                  <c:v>4641516.000000</c:v>
                </c:pt>
                <c:pt idx="85">
                  <c:v>-58649.000000</c:v>
                </c:pt>
                <c:pt idx="86">
                  <c:v>-3918168.000000</c:v>
                </c:pt>
                <c:pt idx="87">
                  <c:v>1233738.000000</c:v>
                </c:pt>
                <c:pt idx="88">
                  <c:v>6675480.000000</c:v>
                </c:pt>
                <c:pt idx="89">
                  <c:v>7176740.000000</c:v>
                </c:pt>
                <c:pt idx="90">
                  <c:v>765340.000000</c:v>
                </c:pt>
                <c:pt idx="91">
                  <c:v>570342.000000</c:v>
                </c:pt>
                <c:pt idx="92">
                  <c:v>-6180822.000000</c:v>
                </c:pt>
                <c:pt idx="93">
                  <c:v>-5082040.000000</c:v>
                </c:pt>
                <c:pt idx="94">
                  <c:v>597249.000000</c:v>
                </c:pt>
                <c:pt idx="95">
                  <c:v>4182086.000000</c:v>
                </c:pt>
                <c:pt idx="96">
                  <c:v>3983865.000000</c:v>
                </c:pt>
                <c:pt idx="97">
                  <c:v>4976964.000000</c:v>
                </c:pt>
                <c:pt idx="98">
                  <c:v>1120071.000000</c:v>
                </c:pt>
                <c:pt idx="99">
                  <c:v>3757118.000000</c:v>
                </c:pt>
                <c:pt idx="100">
                  <c:v>1639763.000000</c:v>
                </c:pt>
                <c:pt idx="101">
                  <c:v>-2364364.000000</c:v>
                </c:pt>
                <c:pt idx="102">
                  <c:v>-726448.000000</c:v>
                </c:pt>
                <c:pt idx="103">
                  <c:v>-1237152.000000</c:v>
                </c:pt>
                <c:pt idx="104">
                  <c:v>286540.000000</c:v>
                </c:pt>
                <c:pt idx="105">
                  <c:v>-438835.000000</c:v>
                </c:pt>
                <c:pt idx="106">
                  <c:v>9120048.000000</c:v>
                </c:pt>
                <c:pt idx="107">
                  <c:v>3782889.000000</c:v>
                </c:pt>
                <c:pt idx="108">
                  <c:v>0.000000</c:v>
                </c:pt>
                <c:pt idx="109">
                  <c:v>0.000000</c:v>
                </c:pt>
                <c:pt idx="110">
                  <c:v>0.000000</c:v>
                </c:pt>
                <c:pt idx="111">
                  <c:v>0.000000</c:v>
                </c:pt>
              </c:numCache>
            </c:numRef>
          </c:val>
        </c:ser>
        <c:gapWidth val="150"/>
        <c:overlap val="-10"/>
        <c:axId val="2094734552"/>
        <c:axId val="2094734553"/>
      </c:barChart>
      <c:catAx>
        <c:axId val="2094734552"/>
        <c:scaling>
          <c:orientation val="minMax"/>
        </c:scaling>
        <c:delete val="0"/>
        <c:axPos val="b"/>
        <c:majorGridlines>
          <c:spPr>
            <a:ln w="9525" cap="flat">
              <a:solidFill>
                <a:srgbClr val="000000">
                  <a:alpha val="16804"/>
                </a:srgbClr>
              </a:solidFill>
              <a:custDash>
                <a:ds d="200000" sp="200000"/>
              </a:custDash>
              <a:miter lim="400000"/>
            </a:ln>
          </c:spPr>
        </c:majorGridlines>
        <c:numFmt formatCode="#,##0.0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8e+06"/>
          <c:min val="-4e+06"/>
        </c:scaling>
        <c:delete val="0"/>
        <c:axPos val="l"/>
        <c:majorGridlines>
          <c:spPr>
            <a:ln w="3175" cap="flat">
              <a:solidFill>
                <a:srgbClr val="B8B8B8"/>
              </a:solidFill>
              <a:prstDash val="solid"/>
              <a:miter lim="400000"/>
            </a:ln>
          </c:spPr>
        </c:majorGridlines>
        <c:numFmt formatCode="#,##0.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between"/>
      </c:valAx>
      <c:spPr>
        <a:noFill/>
        <a:ln w="12700" cap="flat">
          <a:noFill/>
          <a:miter lim="400000"/>
        </a:ln>
        <a:effectLst/>
      </c:spPr>
    </c:plotArea>
    <c:legend>
      <c:legendPos val="t"/>
      <c:layout>
        <c:manualLayout>
          <c:xMode val="edge"/>
          <c:yMode val="edge"/>
          <c:x val="0.130311"/>
          <c:y val="0"/>
          <c:w val="0.816441"/>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3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31468"/>
          <c:y val="0.125413"/>
          <c:w val="0.845272"/>
          <c:h val="0.810932"/>
        </c:manualLayout>
      </c:layout>
      <c:barChart>
        <c:barDir val="col"/>
        <c:grouping val="clustered"/>
        <c:varyColors val="0"/>
        <c:ser>
          <c:idx val="0"/>
          <c:order val="0"/>
          <c:tx>
            <c:strRef>
              <c:f>'net worth - Table 1-1'!$C$1</c:f>
              <c:strCache>
                <c:ptCount val="1"/>
                <c:pt idx="0">
                  <c:v>∆</c:v>
                </c:pt>
              </c:strCache>
            </c:strRef>
          </c:tx>
          <c:spPr>
            <a:solidFill>
              <a:schemeClr val="accent1">
                <a:satOff val="11152"/>
                <a:lumOff val="9508"/>
                <a:alpha val="48456"/>
              </a:schemeClr>
            </a:solidFill>
            <a:ln w="12700" cap="flat">
              <a:noFill/>
              <a:miter lim="400000"/>
            </a:ln>
            <a:effectLst/>
          </c:spPr>
          <c:invertIfNegative val="0"/>
          <c:dLbls>
            <c:numFmt formatCode="[&l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50800" cap="flat">
                <a:solidFill>
                  <a:srgbClr val="5781A0"/>
                </a:solidFill>
                <a:prstDash val="solid"/>
                <a:miter lim="400000"/>
              </a:ln>
              <a:effectLst/>
            </c:spPr>
            <c:trendlineType val="movingAvg"/>
            <c:period val="3"/>
            <c:forward val="0"/>
            <c:backward val="0"/>
            <c:dispRSqr val="0"/>
            <c:dispEq val="0"/>
          </c:trendline>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1-1'!$C$2:$C$113</c:f>
              <c:numCache>
                <c:ptCount val="112"/>
                <c:pt idx="0">
                  <c:v>4252594.618636</c:v>
                </c:pt>
                <c:pt idx="1">
                  <c:v>183234.048031</c:v>
                </c:pt>
                <c:pt idx="2">
                  <c:v>194784.632085</c:v>
                </c:pt>
                <c:pt idx="3">
                  <c:v>492299.088377</c:v>
                </c:pt>
                <c:pt idx="4">
                  <c:v>1017656.612872</c:v>
                </c:pt>
                <c:pt idx="5">
                  <c:v>2480255.016381</c:v>
                </c:pt>
                <c:pt idx="6">
                  <c:v>2208700.410779</c:v>
                </c:pt>
                <c:pt idx="7">
                  <c:v>527082.119823</c:v>
                </c:pt>
                <c:pt idx="8">
                  <c:v>62452.571541</c:v>
                </c:pt>
                <c:pt idx="9">
                  <c:v>-613381.531996</c:v>
                </c:pt>
                <c:pt idx="10">
                  <c:v>1662891.180315</c:v>
                </c:pt>
                <c:pt idx="11">
                  <c:v>585132.529656</c:v>
                </c:pt>
                <c:pt idx="12">
                  <c:v>1070573.842553</c:v>
                </c:pt>
                <c:pt idx="13">
                  <c:v>1310545.224329</c:v>
                </c:pt>
                <c:pt idx="14">
                  <c:v>577348.646172</c:v>
                </c:pt>
                <c:pt idx="15">
                  <c:v>595008.118467</c:v>
                </c:pt>
                <c:pt idx="16">
                  <c:v>1000349.740815</c:v>
                </c:pt>
                <c:pt idx="17">
                  <c:v>978496.131164</c:v>
                </c:pt>
                <c:pt idx="18">
                  <c:v>1258710.480250</c:v>
                </c:pt>
                <c:pt idx="19">
                  <c:v>797677.901176</c:v>
                </c:pt>
                <c:pt idx="20">
                  <c:v>1368545.813397</c:v>
                </c:pt>
                <c:pt idx="21">
                  <c:v>2316843.820405</c:v>
                </c:pt>
                <c:pt idx="22">
                  <c:v>2085202.037611</c:v>
                </c:pt>
                <c:pt idx="23">
                  <c:v>1922089.410447</c:v>
                </c:pt>
                <c:pt idx="24">
                  <c:v>2493085.145759</c:v>
                </c:pt>
                <c:pt idx="25">
                  <c:v>2050573.699671</c:v>
                </c:pt>
                <c:pt idx="26">
                  <c:v>1493241.531562</c:v>
                </c:pt>
                <c:pt idx="27">
                  <c:v>1373111.350108</c:v>
                </c:pt>
                <c:pt idx="28">
                  <c:v>1097847.195445</c:v>
                </c:pt>
                <c:pt idx="29">
                  <c:v>3996853.342496</c:v>
                </c:pt>
                <c:pt idx="30">
                  <c:v>1969741.677612</c:v>
                </c:pt>
                <c:pt idx="31">
                  <c:v>3092513.426989</c:v>
                </c:pt>
                <c:pt idx="32">
                  <c:v>-1022173.097046</c:v>
                </c:pt>
                <c:pt idx="33">
                  <c:v>-2895828.777627</c:v>
                </c:pt>
                <c:pt idx="34">
                  <c:v>3996624.842477</c:v>
                </c:pt>
                <c:pt idx="35">
                  <c:v>900277.772002</c:v>
                </c:pt>
                <c:pt idx="36">
                  <c:v>2047538.241072</c:v>
                </c:pt>
                <c:pt idx="37">
                  <c:v>-223512.696268</c:v>
                </c:pt>
                <c:pt idx="38">
                  <c:v>4057661.053253</c:v>
                </c:pt>
                <c:pt idx="39">
                  <c:v>-3532949.750679</c:v>
                </c:pt>
                <c:pt idx="40">
                  <c:v>256553.068749</c:v>
                </c:pt>
                <c:pt idx="41">
                  <c:v>7379786.518628</c:v>
                </c:pt>
                <c:pt idx="42">
                  <c:v>1117843.981536</c:v>
                </c:pt>
                <c:pt idx="43">
                  <c:v>2753584.353166</c:v>
                </c:pt>
                <c:pt idx="44">
                  <c:v>522279.380429</c:v>
                </c:pt>
                <c:pt idx="45">
                  <c:v>2760067.625713</c:v>
                </c:pt>
                <c:pt idx="46">
                  <c:v>3428041.955785</c:v>
                </c:pt>
                <c:pt idx="47">
                  <c:v>-1457510.422265</c:v>
                </c:pt>
                <c:pt idx="48">
                  <c:v>3097990.764979</c:v>
                </c:pt>
                <c:pt idx="49">
                  <c:v>2868489.353169</c:v>
                </c:pt>
                <c:pt idx="50">
                  <c:v>3789875.000000</c:v>
                </c:pt>
                <c:pt idx="51">
                  <c:v>-233885.000000</c:v>
                </c:pt>
                <c:pt idx="52">
                  <c:v>5438352.000000</c:v>
                </c:pt>
                <c:pt idx="53">
                  <c:v>1864166.000000</c:v>
                </c:pt>
                <c:pt idx="54">
                  <c:v>-1649117.000000</c:v>
                </c:pt>
                <c:pt idx="55">
                  <c:v>-10011902.000000</c:v>
                </c:pt>
                <c:pt idx="56">
                  <c:v>-3070252.000000</c:v>
                </c:pt>
                <c:pt idx="57">
                  <c:v>-1311206.000000</c:v>
                </c:pt>
                <c:pt idx="58">
                  <c:v>-2358039.000000</c:v>
                </c:pt>
                <c:pt idx="59">
                  <c:v>-4875045.000000</c:v>
                </c:pt>
                <c:pt idx="60">
                  <c:v>1727982.000000</c:v>
                </c:pt>
                <c:pt idx="61">
                  <c:v>2858320.000000</c:v>
                </c:pt>
                <c:pt idx="62">
                  <c:v>-3859268.000000</c:v>
                </c:pt>
                <c:pt idx="63">
                  <c:v>-2708476.000000</c:v>
                </c:pt>
                <c:pt idx="64">
                  <c:v>1937093.000000</c:v>
                </c:pt>
                <c:pt idx="65">
                  <c:v>146284.000000</c:v>
                </c:pt>
                <c:pt idx="66">
                  <c:v>-1926744.000000</c:v>
                </c:pt>
                <c:pt idx="67">
                  <c:v>3213454.000000</c:v>
                </c:pt>
                <c:pt idx="68">
                  <c:v>2258999.000000</c:v>
                </c:pt>
                <c:pt idx="69">
                  <c:v>1239936.000000</c:v>
                </c:pt>
                <c:pt idx="70">
                  <c:v>1339980.000000</c:v>
                </c:pt>
                <c:pt idx="71">
                  <c:v>3539605.000000</c:v>
                </c:pt>
                <c:pt idx="72">
                  <c:v>3945636.000000</c:v>
                </c:pt>
                <c:pt idx="73">
                  <c:v>5776095.000000</c:v>
                </c:pt>
                <c:pt idx="74">
                  <c:v>-509445.850297</c:v>
                </c:pt>
                <c:pt idx="75">
                  <c:v>666788.228890</c:v>
                </c:pt>
                <c:pt idx="76">
                  <c:v>-772478.846065</c:v>
                </c:pt>
                <c:pt idx="77">
                  <c:v>4377924.411438</c:v>
                </c:pt>
                <c:pt idx="78">
                  <c:v>5746135.209781</c:v>
                </c:pt>
                <c:pt idx="79">
                  <c:v>34245275.846254</c:v>
                </c:pt>
                <c:pt idx="80">
                  <c:v>22941773.000000</c:v>
                </c:pt>
                <c:pt idx="81">
                  <c:v>10006451.000000</c:v>
                </c:pt>
                <c:pt idx="82">
                  <c:v>-9458892.000000</c:v>
                </c:pt>
                <c:pt idx="83">
                  <c:v>1007231.000000</c:v>
                </c:pt>
                <c:pt idx="84">
                  <c:v>8968197.000000</c:v>
                </c:pt>
                <c:pt idx="85">
                  <c:v>6716720.000000</c:v>
                </c:pt>
                <c:pt idx="86">
                  <c:v>3159175.000000</c:v>
                </c:pt>
                <c:pt idx="87">
                  <c:v>10299699.000000</c:v>
                </c:pt>
                <c:pt idx="88">
                  <c:v>13190097.000000</c:v>
                </c:pt>
                <c:pt idx="89">
                  <c:v>14298499.000000</c:v>
                </c:pt>
                <c:pt idx="90">
                  <c:v>11608342.000000</c:v>
                </c:pt>
                <c:pt idx="91">
                  <c:v>16810304.000000</c:v>
                </c:pt>
                <c:pt idx="92">
                  <c:v>-30128069.000000</c:v>
                </c:pt>
                <c:pt idx="93">
                  <c:v>-9546958.600000</c:v>
                </c:pt>
                <c:pt idx="94">
                  <c:v>2622171.600000</c:v>
                </c:pt>
                <c:pt idx="95">
                  <c:v>5938051.000000</c:v>
                </c:pt>
                <c:pt idx="96">
                  <c:v>3573250.750000</c:v>
                </c:pt>
                <c:pt idx="97">
                  <c:v>3296814.250000</c:v>
                </c:pt>
                <c:pt idx="98">
                  <c:v>3069621.000000</c:v>
                </c:pt>
                <c:pt idx="99">
                  <c:v>6534125.000000</c:v>
                </c:pt>
                <c:pt idx="100">
                  <c:v>-681927.000000</c:v>
                </c:pt>
                <c:pt idx="101">
                  <c:v>402605.000000</c:v>
                </c:pt>
                <c:pt idx="102">
                  <c:v>-1114660.000000</c:v>
                </c:pt>
                <c:pt idx="103">
                  <c:v>785570.000000</c:v>
                </c:pt>
                <c:pt idx="104">
                  <c:v>2252720.000000</c:v>
                </c:pt>
                <c:pt idx="105">
                  <c:v>14614065.000000</c:v>
                </c:pt>
                <c:pt idx="106">
                  <c:v>31829238.208140</c:v>
                </c:pt>
                <c:pt idx="107">
                  <c:v>2887918.480145</c:v>
                </c:pt>
                <c:pt idx="108">
                  <c:v>2158242.818480</c:v>
                </c:pt>
                <c:pt idx="109">
                  <c:v>-2266924.407125</c:v>
                </c:pt>
                <c:pt idx="110">
                  <c:v>-2217160.890018</c:v>
                </c:pt>
                <c:pt idx="111">
                  <c:v>-1454071.049329</c:v>
                </c:pt>
              </c:numCache>
            </c:numRef>
          </c:val>
        </c:ser>
        <c:gapWidth val="40"/>
        <c:overlap val="-10"/>
        <c:axId val="2094734552"/>
        <c:axId val="2094734553"/>
      </c:barChart>
      <c:catAx>
        <c:axId val="2094734552"/>
        <c:scaling>
          <c:orientation val="minMax"/>
        </c:scaling>
        <c:delete val="0"/>
        <c:axPos val="b"/>
        <c:numFmt formatCode="[&l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5e+07"/>
          <c:min val="-5e+06"/>
        </c:scaling>
        <c:delete val="0"/>
        <c:axPos val="l"/>
        <c:majorGridlines>
          <c:spPr>
            <a:ln w="3175" cap="flat">
              <a:solidFill>
                <a:srgbClr val="B8B8B8"/>
              </a:solidFill>
              <a:prstDash val="solid"/>
              <a:miter lim="400000"/>
            </a:ln>
          </c:spPr>
        </c:majorGridlines>
        <c:numFmt formatCode="[&l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between"/>
      </c:valAx>
      <c:spPr>
        <a:noFill/>
        <a:ln w="12700" cap="flat">
          <a:noFill/>
          <a:miter lim="400000"/>
        </a:ln>
        <a:effectLst/>
      </c:spPr>
    </c:plotArea>
    <c:legend>
      <c:legendPos val="t"/>
      <c:layout>
        <c:manualLayout>
          <c:xMode val="edge"/>
          <c:yMode val="edge"/>
          <c:x val="0.12141"/>
          <c:y val="0"/>
          <c:w val="0.808229"/>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3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38959"/>
          <c:y val="0.125413"/>
          <c:w val="0.834457"/>
          <c:h val="0.810932"/>
        </c:manualLayout>
      </c:layout>
      <c:lineChart>
        <c:grouping val="standard"/>
        <c:varyColors val="0"/>
        <c:ser>
          <c:idx val="0"/>
          <c:order val="0"/>
          <c:tx>
            <c:strRef>
              <c:f>'net worth - Table 1-2'!$I$1</c:f>
              <c:strCache>
                <c:ptCount val="1"/>
                <c:pt idx="0">
                  <c:v>ETH</c:v>
                </c:pt>
              </c:strCache>
            </c:strRef>
          </c:tx>
          <c:spPr>
            <a:solidFill>
              <a:srgbClr val="FFFFFF"/>
            </a:solidFill>
            <a:ln w="38100" cap="flat">
              <a:solidFill>
                <a:srgbClr val="51A7F9"/>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1-2'!$A$2:$A$113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1-2'!$I$2:$I$113</c:f>
              <c:numCache>
                <c:ptCount val="107"/>
                <c:pt idx="5">
                  <c:v>647895.016381</c:v>
                </c:pt>
                <c:pt idx="6">
                  <c:v>1658682.607160</c:v>
                </c:pt>
                <c:pt idx="7">
                  <c:v>2741592.206863</c:v>
                </c:pt>
                <c:pt idx="8">
                  <c:v>2614910.704885</c:v>
                </c:pt>
                <c:pt idx="9">
                  <c:v>1533348.922122</c:v>
                </c:pt>
                <c:pt idx="10">
                  <c:v>2021363.483737</c:v>
                </c:pt>
                <c:pt idx="11">
                  <c:v>2251170.852854</c:v>
                </c:pt>
                <c:pt idx="12">
                  <c:v>1848264.793296</c:v>
                </c:pt>
                <c:pt idx="13">
                  <c:v>1995217.355143</c:v>
                </c:pt>
                <c:pt idx="14">
                  <c:v>1464618.115970</c:v>
                </c:pt>
                <c:pt idx="15">
                  <c:v>1272406.493936</c:v>
                </c:pt>
                <c:pt idx="16">
                  <c:v>1211308.020673</c:v>
                </c:pt>
                <c:pt idx="17">
                  <c:v>888158.750960</c:v>
                </c:pt>
                <c:pt idx="18">
                  <c:v>947646.751359</c:v>
                </c:pt>
                <c:pt idx="19">
                  <c:v>807700.965230</c:v>
                </c:pt>
                <c:pt idx="20">
                  <c:v>905645.793270</c:v>
                </c:pt>
                <c:pt idx="21">
                  <c:v>917226.411246</c:v>
                </c:pt>
                <c:pt idx="22">
                  <c:v>1031730.679025</c:v>
                </c:pt>
                <c:pt idx="23">
                  <c:v>1404750.281107</c:v>
                </c:pt>
                <c:pt idx="24">
                  <c:v>1460551.327453</c:v>
                </c:pt>
                <c:pt idx="25">
                  <c:v>1217459.090056</c:v>
                </c:pt>
                <c:pt idx="26">
                  <c:v>1015254.164078</c:v>
                </c:pt>
                <c:pt idx="27">
                  <c:v>1131139.992944</c:v>
                </c:pt>
                <c:pt idx="28">
                  <c:v>1134177.872258</c:v>
                </c:pt>
                <c:pt idx="29">
                  <c:v>1076901.929888</c:v>
                </c:pt>
                <c:pt idx="30">
                  <c:v>962958.042739</c:v>
                </c:pt>
                <c:pt idx="31">
                  <c:v>1184310.617473</c:v>
                </c:pt>
                <c:pt idx="32">
                  <c:v>1396601.131164</c:v>
                </c:pt>
                <c:pt idx="33">
                  <c:v>1036099.242317</c:v>
                </c:pt>
                <c:pt idx="34">
                  <c:v>1347958.958312</c:v>
                </c:pt>
                <c:pt idx="35">
                  <c:v>1410516.578345</c:v>
                </c:pt>
                <c:pt idx="36">
                  <c:v>1422007.911301</c:v>
                </c:pt>
                <c:pt idx="37">
                  <c:v>1816767.176046</c:v>
                </c:pt>
                <c:pt idx="38">
                  <c:v>2228608.709530</c:v>
                </c:pt>
                <c:pt idx="39">
                  <c:v>1903344.157650</c:v>
                </c:pt>
                <c:pt idx="40">
                  <c:v>2003465.232765</c:v>
                </c:pt>
                <c:pt idx="41">
                  <c:v>2815667.282157</c:v>
                </c:pt>
                <c:pt idx="42">
                  <c:v>3235384.608023</c:v>
                </c:pt>
                <c:pt idx="43">
                  <c:v>3032649.308498</c:v>
                </c:pt>
                <c:pt idx="44">
                  <c:v>2653569.344177</c:v>
                </c:pt>
                <c:pt idx="45">
                  <c:v>3268884.166092</c:v>
                </c:pt>
                <c:pt idx="46">
                  <c:v>4764468.147710</c:v>
                </c:pt>
                <c:pt idx="47">
                  <c:v>3423294.659280</c:v>
                </c:pt>
                <c:pt idx="48">
                  <c:v>2893194.721115</c:v>
                </c:pt>
                <c:pt idx="49">
                  <c:v>3322709.621916</c:v>
                </c:pt>
                <c:pt idx="50">
                  <c:v>4795882.446415</c:v>
                </c:pt>
                <c:pt idx="51">
                  <c:v>4931408.531975</c:v>
                </c:pt>
                <c:pt idx="52">
                  <c:v>6299943.792816</c:v>
                </c:pt>
                <c:pt idx="53">
                  <c:v>6935375.655571</c:v>
                </c:pt>
                <c:pt idx="54">
                  <c:v>5689846.622388</c:v>
                </c:pt>
                <c:pt idx="55">
                  <c:v>3875270.251194</c:v>
                </c:pt>
                <c:pt idx="56">
                  <c:v>4202541.964150</c:v>
                </c:pt>
                <c:pt idx="57">
                  <c:v>4671340.618025</c:v>
                </c:pt>
                <c:pt idx="58">
                  <c:v>4251518.352009</c:v>
                </c:pt>
                <c:pt idx="59">
                  <c:v>2896718.521586</c:v>
                </c:pt>
                <c:pt idx="60">
                  <c:v>1838420.783710</c:v>
                </c:pt>
                <c:pt idx="61">
                  <c:v>2775283.038470</c:v>
                </c:pt>
                <c:pt idx="62">
                  <c:v>2525504.618140</c:v>
                </c:pt>
                <c:pt idx="63">
                  <c:v>2325163.818115</c:v>
                </c:pt>
                <c:pt idx="64">
                  <c:v>2711499.955445</c:v>
                </c:pt>
                <c:pt idx="65">
                  <c:v>2086999.445070</c:v>
                </c:pt>
                <c:pt idx="66">
                  <c:v>1825897.254055</c:v>
                </c:pt>
                <c:pt idx="67">
                  <c:v>2282562.861111</c:v>
                </c:pt>
                <c:pt idx="68">
                  <c:v>2412012.950842</c:v>
                </c:pt>
                <c:pt idx="69">
                  <c:v>2714732.409476</c:v>
                </c:pt>
                <c:pt idx="70">
                  <c:v>2761554.396512</c:v>
                </c:pt>
                <c:pt idx="71">
                  <c:v>2709334.586850</c:v>
                </c:pt>
                <c:pt idx="72">
                  <c:v>2780605.858527</c:v>
                </c:pt>
                <c:pt idx="73">
                  <c:v>2761203.357178</c:v>
                </c:pt>
                <c:pt idx="74">
                  <c:v>2537090.845023</c:v>
                </c:pt>
                <c:pt idx="75">
                  <c:v>2767284.293815</c:v>
                </c:pt>
                <c:pt idx="76">
                  <c:v>2911330.949389</c:v>
                </c:pt>
                <c:pt idx="77">
                  <c:v>3189398.955848</c:v>
                </c:pt>
                <c:pt idx="78">
                  <c:v>3699078.625388</c:v>
                </c:pt>
                <c:pt idx="79">
                  <c:v>3823614.215485</c:v>
                </c:pt>
                <c:pt idx="80">
                  <c:v>5948047.031472</c:v>
                </c:pt>
                <c:pt idx="81">
                  <c:v>6236473.580057</c:v>
                </c:pt>
                <c:pt idx="82">
                  <c:v>5479034.866737</c:v>
                </c:pt>
                <c:pt idx="83">
                  <c:v>6247777.154055</c:v>
                </c:pt>
                <c:pt idx="84">
                  <c:v>5783507.300488</c:v>
                </c:pt>
                <c:pt idx="85">
                  <c:v>5434706.340730</c:v>
                </c:pt>
                <c:pt idx="86">
                  <c:v>4011282.776809</c:v>
                </c:pt>
                <c:pt idx="87">
                  <c:v>4235436.560450</c:v>
                </c:pt>
                <c:pt idx="88">
                  <c:v>4346181.389059</c:v>
                </c:pt>
                <c:pt idx="89">
                  <c:v>5730728.061317</c:v>
                </c:pt>
                <c:pt idx="90">
                  <c:v>5409374.833669</c:v>
                </c:pt>
                <c:pt idx="91">
                  <c:v>5196812.025987</c:v>
                </c:pt>
                <c:pt idx="92">
                  <c:v>1198862.303349</c:v>
                </c:pt>
                <c:pt idx="93">
                  <c:v>0.000000</c:v>
                </c:pt>
                <c:pt idx="94">
                  <c:v>0.000000</c:v>
                </c:pt>
                <c:pt idx="95">
                  <c:v>0.000000</c:v>
                </c:pt>
                <c:pt idx="96">
                  <c:v>0.000000</c:v>
                </c:pt>
                <c:pt idx="97">
                  <c:v>254201.747757</c:v>
                </c:pt>
                <c:pt idx="98">
                  <c:v>299172.347700</c:v>
                </c:pt>
                <c:pt idx="99">
                  <c:v>283539.172176</c:v>
                </c:pt>
                <c:pt idx="100">
                  <c:v>255846.240618</c:v>
                </c:pt>
                <c:pt idx="101">
                  <c:v>187566.966009</c:v>
                </c:pt>
                <c:pt idx="102">
                  <c:v>189604.599960</c:v>
                </c:pt>
                <c:pt idx="103">
                  <c:v>150252.672346</c:v>
                </c:pt>
                <c:pt idx="104">
                  <c:v>121683.900583</c:v>
                </c:pt>
                <c:pt idx="105">
                  <c:v>138258.939653</c:v>
                </c:pt>
                <c:pt idx="106">
                  <c:v>142225.998396</c:v>
                </c:pt>
                <c:pt idx="107">
                  <c:v>142225.998396</c:v>
                </c:pt>
                <c:pt idx="108">
                  <c:v>142225.998396</c:v>
                </c:pt>
                <c:pt idx="109">
                  <c:v>142225.998396</c:v>
                </c:pt>
                <c:pt idx="110">
                  <c:v>142225.998396</c:v>
                </c:pt>
                <c:pt idx="111">
                  <c:v>142225.998396</c:v>
                </c:pt>
              </c:numCache>
            </c:numRef>
          </c:val>
          <c:smooth val="0"/>
        </c:ser>
        <c:ser>
          <c:idx val="1"/>
          <c:order val="1"/>
          <c:tx>
            <c:strRef>
              <c:f>'net worth - Table 1-2'!$F$1</c:f>
              <c:strCache>
                <c:ptCount val="1"/>
                <c:pt idx="0">
                  <c:v>BTC</c:v>
                </c:pt>
              </c:strCache>
            </c:strRef>
          </c:tx>
          <c:spPr>
            <a:solidFill>
              <a:srgbClr val="FFFFFF"/>
            </a:solidFill>
            <a:ln w="38100" cap="flat">
              <a:solidFill>
                <a:srgbClr val="FBE12B"/>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1-2'!$A$2:$A$113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1-2'!$F$2:$F$113</c:f>
              <c:numCache>
                <c:ptCount val="107"/>
                <c:pt idx="5">
                  <c:v>624323.000000</c:v>
                </c:pt>
                <c:pt idx="6">
                  <c:v>1426999.820000</c:v>
                </c:pt>
                <c:pt idx="7">
                  <c:v>515847.340120</c:v>
                </c:pt>
                <c:pt idx="8">
                  <c:v>230971.413640</c:v>
                </c:pt>
                <c:pt idx="9">
                  <c:v>-1416.335594</c:v>
                </c:pt>
                <c:pt idx="10">
                  <c:v>58540.283107</c:v>
                </c:pt>
                <c:pt idx="11">
                  <c:v>77172.443646</c:v>
                </c:pt>
                <c:pt idx="12">
                  <c:v>13144.345757</c:v>
                </c:pt>
                <c:pt idx="13">
                  <c:v>141949.008238</c:v>
                </c:pt>
                <c:pt idx="14">
                  <c:v>87516.893584</c:v>
                </c:pt>
                <c:pt idx="15">
                  <c:v>37023.634085</c:v>
                </c:pt>
                <c:pt idx="16">
                  <c:v>35708.848164</c:v>
                </c:pt>
                <c:pt idx="17">
                  <c:v>-157623.750960</c:v>
                </c:pt>
                <c:pt idx="18">
                  <c:v>-147970.271109</c:v>
                </c:pt>
                <c:pt idx="19">
                  <c:v>-195451.583804</c:v>
                </c:pt>
                <c:pt idx="20">
                  <c:v>-170854.598448</c:v>
                </c:pt>
                <c:pt idx="21">
                  <c:v>-142179.396018</c:v>
                </c:pt>
                <c:pt idx="22">
                  <c:v>-56758.626187</c:v>
                </c:pt>
                <c:pt idx="23">
                  <c:v>223655.182179</c:v>
                </c:pt>
                <c:pt idx="24">
                  <c:v>381199.281592</c:v>
                </c:pt>
                <c:pt idx="25">
                  <c:v>339481.218660</c:v>
                </c:pt>
                <c:pt idx="26">
                  <c:v>383023.676200</c:v>
                </c:pt>
                <c:pt idx="27">
                  <c:v>218516.197442</c:v>
                </c:pt>
                <c:pt idx="28">
                  <c:v>306469.513573</c:v>
                </c:pt>
                <c:pt idx="29">
                  <c:v>235255.798439</c:v>
                </c:pt>
                <c:pt idx="30">
                  <c:v>172131.363200</c:v>
                </c:pt>
                <c:pt idx="31">
                  <c:v>381792.215454</c:v>
                </c:pt>
                <c:pt idx="32">
                  <c:v>363674.604717</c:v>
                </c:pt>
                <c:pt idx="33">
                  <c:v>167812.715937</c:v>
                </c:pt>
                <c:pt idx="34">
                  <c:v>364779.842421</c:v>
                </c:pt>
                <c:pt idx="35">
                  <c:v>401880.994389</c:v>
                </c:pt>
                <c:pt idx="36">
                  <c:v>395890.902504</c:v>
                </c:pt>
                <c:pt idx="37">
                  <c:v>517582.941492</c:v>
                </c:pt>
                <c:pt idx="38">
                  <c:v>578623.461261</c:v>
                </c:pt>
                <c:pt idx="39">
                  <c:v>506302.262462</c:v>
                </c:pt>
                <c:pt idx="40">
                  <c:v>754356.256095</c:v>
                </c:pt>
                <c:pt idx="41">
                  <c:v>1213559.725331</c:v>
                </c:pt>
                <c:pt idx="42">
                  <c:v>1974983.381001</c:v>
                </c:pt>
                <c:pt idx="43">
                  <c:v>2333646.033692</c:v>
                </c:pt>
                <c:pt idx="44">
                  <c:v>2736193.378442</c:v>
                </c:pt>
                <c:pt idx="45">
                  <c:v>3280671.182239</c:v>
                </c:pt>
                <c:pt idx="46">
                  <c:v>3165777.156406</c:v>
                </c:pt>
                <c:pt idx="47">
                  <c:v>2055267.222572</c:v>
                </c:pt>
                <c:pt idx="48">
                  <c:v>1929827.925716</c:v>
                </c:pt>
                <c:pt idx="49">
                  <c:v>2419943.876353</c:v>
                </c:pt>
                <c:pt idx="50">
                  <c:v>2798449.941363</c:v>
                </c:pt>
                <c:pt idx="51">
                  <c:v>2958850.152756</c:v>
                </c:pt>
                <c:pt idx="52">
                  <c:v>3832448.564517</c:v>
                </c:pt>
                <c:pt idx="53">
                  <c:v>3646764.799154</c:v>
                </c:pt>
                <c:pt idx="54">
                  <c:v>3040288.954864</c:v>
                </c:pt>
                <c:pt idx="55">
                  <c:v>2363116.867156</c:v>
                </c:pt>
                <c:pt idx="56">
                  <c:v>2644711.312853</c:v>
                </c:pt>
                <c:pt idx="57">
                  <c:v>2766499.278016</c:v>
                </c:pt>
                <c:pt idx="58">
                  <c:v>2471954.772172</c:v>
                </c:pt>
                <c:pt idx="59">
                  <c:v>2008106.714593</c:v>
                </c:pt>
                <c:pt idx="60">
                  <c:v>1419696.551017</c:v>
                </c:pt>
                <c:pt idx="61">
                  <c:v>1642867.599604</c:v>
                </c:pt>
                <c:pt idx="62">
                  <c:v>1383570.974923</c:v>
                </c:pt>
                <c:pt idx="63">
                  <c:v>1445242.189670</c:v>
                </c:pt>
                <c:pt idx="64">
                  <c:v>1499164.409618</c:v>
                </c:pt>
                <c:pt idx="65">
                  <c:v>1172478.693451</c:v>
                </c:pt>
                <c:pt idx="66">
                  <c:v>1075579.600160</c:v>
                </c:pt>
                <c:pt idx="67">
                  <c:v>1414879.607069</c:v>
                </c:pt>
                <c:pt idx="68">
                  <c:v>1494679.721439</c:v>
                </c:pt>
                <c:pt idx="69">
                  <c:v>1744555.949641</c:v>
                </c:pt>
                <c:pt idx="70">
                  <c:v>1824248.827766</c:v>
                </c:pt>
                <c:pt idx="71">
                  <c:v>1663698.664960</c:v>
                </c:pt>
                <c:pt idx="72">
                  <c:v>1870603.509903</c:v>
                </c:pt>
                <c:pt idx="73">
                  <c:v>1859397.853172</c:v>
                </c:pt>
                <c:pt idx="74">
                  <c:v>1702699.944486</c:v>
                </c:pt>
                <c:pt idx="75">
                  <c:v>1913010.387123</c:v>
                </c:pt>
                <c:pt idx="76">
                  <c:v>2370139.488419</c:v>
                </c:pt>
                <c:pt idx="77">
                  <c:v>2511724.353460</c:v>
                </c:pt>
                <c:pt idx="78">
                  <c:v>2236534.911258</c:v>
                </c:pt>
                <c:pt idx="79">
                  <c:v>2314643.491884</c:v>
                </c:pt>
                <c:pt idx="80">
                  <c:v>3474507.516842</c:v>
                </c:pt>
                <c:pt idx="81">
                  <c:v>4002202.479958</c:v>
                </c:pt>
                <c:pt idx="82">
                  <c:v>3519774.214332</c:v>
                </c:pt>
                <c:pt idx="83">
                  <c:v>3607171.488271</c:v>
                </c:pt>
                <c:pt idx="84">
                  <c:v>3390947.358720</c:v>
                </c:pt>
                <c:pt idx="85">
                  <c:v>3546869.462016</c:v>
                </c:pt>
                <c:pt idx="86">
                  <c:v>3069129.070030</c:v>
                </c:pt>
                <c:pt idx="87">
                  <c:v>3345621.415301</c:v>
                </c:pt>
                <c:pt idx="88">
                  <c:v>3901559.069966</c:v>
                </c:pt>
                <c:pt idx="89">
                  <c:v>5444730.910353</c:v>
                </c:pt>
                <c:pt idx="90">
                  <c:v>5446091.201528</c:v>
                </c:pt>
                <c:pt idx="91">
                  <c:v>4961896.700365</c:v>
                </c:pt>
                <c:pt idx="92">
                  <c:v>4088809.572431</c:v>
                </c:pt>
                <c:pt idx="93">
                  <c:v>1721792.783438</c:v>
                </c:pt>
                <c:pt idx="94">
                  <c:v>1974510.205861</c:v>
                </c:pt>
                <c:pt idx="95">
                  <c:v>2164794.889857</c:v>
                </c:pt>
                <c:pt idx="96">
                  <c:v>2528175.254296</c:v>
                </c:pt>
                <c:pt idx="97">
                  <c:v>2476228.997223</c:v>
                </c:pt>
                <c:pt idx="98">
                  <c:v>2318517.221800</c:v>
                </c:pt>
                <c:pt idx="99">
                  <c:v>2417338.778136</c:v>
                </c:pt>
                <c:pt idx="100">
                  <c:v>2264487.807441</c:v>
                </c:pt>
                <c:pt idx="101">
                  <c:v>1784283.638340</c:v>
                </c:pt>
                <c:pt idx="102">
                  <c:v>1733060.734217</c:v>
                </c:pt>
                <c:pt idx="103">
                  <c:v>1503895.152716</c:v>
                </c:pt>
                <c:pt idx="104">
                  <c:v>1287104.926217</c:v>
                </c:pt>
                <c:pt idx="105">
                  <c:v>1386052.317952</c:v>
                </c:pt>
                <c:pt idx="106">
                  <c:v>1551230.787219</c:v>
                </c:pt>
                <c:pt idx="107">
                  <c:v>1551230.787219</c:v>
                </c:pt>
                <c:pt idx="108">
                  <c:v>1551230.787219</c:v>
                </c:pt>
                <c:pt idx="109">
                  <c:v>1551230.787219</c:v>
                </c:pt>
                <c:pt idx="110">
                  <c:v>1551230.787219</c:v>
                </c:pt>
                <c:pt idx="111">
                  <c:v>1551230.787219</c:v>
                </c:pt>
              </c:numCache>
            </c:numRef>
          </c:val>
          <c:smooth val="0"/>
        </c:ser>
        <c:ser>
          <c:idx val="2"/>
          <c:order val="2"/>
          <c:tx>
            <c:strRef>
              <c:f>'net worth - Table 1-2'!$C$1</c:f>
              <c:strCache>
                <c:ptCount val="1"/>
                <c:pt idx="0">
                  <c:v>Cripto total</c:v>
                </c:pt>
              </c:strCache>
            </c:strRef>
          </c:tx>
          <c:spPr>
            <a:solidFill>
              <a:srgbClr val="FFFFFF"/>
            </a:solidFill>
            <a:ln w="50800" cap="flat">
              <a:solidFill>
                <a:srgbClr val="9C8B1A"/>
              </a:solidFill>
              <a:prstDash val="solid"/>
              <a:miter lim="400000"/>
            </a:ln>
            <a:effectLst/>
          </c:spPr>
          <c:marker>
            <c:symbol val="none"/>
            <c:size val="4"/>
            <c:spPr>
              <a:solidFill>
                <a:srgbClr val="FFFFFF"/>
              </a:solidFill>
              <a:ln w="50800" cap="flat">
                <a:solidFill>
                  <a:srgbClr val="FBE12B"/>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1-2'!$A$2:$A$113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1-2'!$C$2:$C$113</c:f>
              <c:numCache>
                <c:ptCount val="107"/>
                <c:pt idx="5">
                  <c:v>1272218.016381</c:v>
                </c:pt>
                <c:pt idx="6">
                  <c:v>3085682.427160</c:v>
                </c:pt>
                <c:pt idx="7">
                  <c:v>3257439.546983</c:v>
                </c:pt>
                <c:pt idx="8">
                  <c:v>2845882.118525</c:v>
                </c:pt>
                <c:pt idx="9">
                  <c:v>1531932.586529</c:v>
                </c:pt>
                <c:pt idx="10">
                  <c:v>2079903.766844</c:v>
                </c:pt>
                <c:pt idx="11">
                  <c:v>2328343.296500</c:v>
                </c:pt>
                <c:pt idx="12">
                  <c:v>1861409.139053</c:v>
                </c:pt>
                <c:pt idx="13">
                  <c:v>2137166.363382</c:v>
                </c:pt>
                <c:pt idx="14">
                  <c:v>1552135.009554</c:v>
                </c:pt>
                <c:pt idx="15">
                  <c:v>1309430.128021</c:v>
                </c:pt>
                <c:pt idx="16">
                  <c:v>1247016.868837</c:v>
                </c:pt>
                <c:pt idx="17">
                  <c:v>730535.000000</c:v>
                </c:pt>
                <c:pt idx="18">
                  <c:v>799676.480250</c:v>
                </c:pt>
                <c:pt idx="19">
                  <c:v>612249.381426</c:v>
                </c:pt>
                <c:pt idx="20">
                  <c:v>734791.194822</c:v>
                </c:pt>
                <c:pt idx="21">
                  <c:v>775047.015228</c:v>
                </c:pt>
                <c:pt idx="22">
                  <c:v>974972.052839</c:v>
                </c:pt>
                <c:pt idx="23">
                  <c:v>1628405.463286</c:v>
                </c:pt>
                <c:pt idx="24">
                  <c:v>1841750.609045</c:v>
                </c:pt>
                <c:pt idx="25">
                  <c:v>1556940.308716</c:v>
                </c:pt>
                <c:pt idx="26">
                  <c:v>1398277.840278</c:v>
                </c:pt>
                <c:pt idx="27">
                  <c:v>1349656.190386</c:v>
                </c:pt>
                <c:pt idx="28">
                  <c:v>1440647.385831</c:v>
                </c:pt>
                <c:pt idx="29">
                  <c:v>1312157.728327</c:v>
                </c:pt>
                <c:pt idx="30">
                  <c:v>1135089.405939</c:v>
                </c:pt>
                <c:pt idx="31">
                  <c:v>1566102.832928</c:v>
                </c:pt>
                <c:pt idx="32">
                  <c:v>1760275.735882</c:v>
                </c:pt>
                <c:pt idx="33">
                  <c:v>1203911.958255</c:v>
                </c:pt>
                <c:pt idx="34">
                  <c:v>1712738.800732</c:v>
                </c:pt>
                <c:pt idx="35">
                  <c:v>1812397.572734</c:v>
                </c:pt>
                <c:pt idx="36">
                  <c:v>1817898.813805</c:v>
                </c:pt>
                <c:pt idx="37">
                  <c:v>2334350.117538</c:v>
                </c:pt>
                <c:pt idx="38">
                  <c:v>2807232.170791</c:v>
                </c:pt>
                <c:pt idx="39">
                  <c:v>2409646.420111</c:v>
                </c:pt>
                <c:pt idx="40">
                  <c:v>2757821.488860</c:v>
                </c:pt>
                <c:pt idx="41">
                  <c:v>4029227.007488</c:v>
                </c:pt>
                <c:pt idx="42">
                  <c:v>5210367.989024</c:v>
                </c:pt>
                <c:pt idx="43">
                  <c:v>5366295.342190</c:v>
                </c:pt>
                <c:pt idx="44">
                  <c:v>5389762.722618</c:v>
                </c:pt>
                <c:pt idx="45">
                  <c:v>6549555.348331</c:v>
                </c:pt>
                <c:pt idx="46">
                  <c:v>7930245.304117</c:v>
                </c:pt>
                <c:pt idx="47">
                  <c:v>5478561.881851</c:v>
                </c:pt>
                <c:pt idx="48">
                  <c:v>4823022.646831</c:v>
                </c:pt>
                <c:pt idx="49">
                  <c:v>5742654.000000</c:v>
                </c:pt>
                <c:pt idx="50">
                  <c:v>7594332.000000</c:v>
                </c:pt>
                <c:pt idx="51">
                  <c:v>7890259.000000</c:v>
                </c:pt>
                <c:pt idx="52">
                  <c:v>10132393.000000</c:v>
                </c:pt>
                <c:pt idx="53">
                  <c:v>10582141.000000</c:v>
                </c:pt>
                <c:pt idx="54">
                  <c:v>8730136.000000</c:v>
                </c:pt>
                <c:pt idx="55">
                  <c:v>6238387.000000</c:v>
                </c:pt>
                <c:pt idx="56">
                  <c:v>6847253.000000</c:v>
                </c:pt>
                <c:pt idx="57">
                  <c:v>7437840.000000</c:v>
                </c:pt>
                <c:pt idx="58">
                  <c:v>6723473.000000</c:v>
                </c:pt>
                <c:pt idx="59">
                  <c:v>4904826.000000</c:v>
                </c:pt>
                <c:pt idx="60">
                  <c:v>3258118.000000</c:v>
                </c:pt>
                <c:pt idx="61">
                  <c:v>4418151.000000</c:v>
                </c:pt>
                <c:pt idx="62">
                  <c:v>3909076.000000</c:v>
                </c:pt>
                <c:pt idx="63">
                  <c:v>3770406.000000</c:v>
                </c:pt>
                <c:pt idx="64">
                  <c:v>4210664.000000</c:v>
                </c:pt>
                <c:pt idx="65">
                  <c:v>3259478.000000</c:v>
                </c:pt>
                <c:pt idx="66">
                  <c:v>2901477.000000</c:v>
                </c:pt>
                <c:pt idx="67">
                  <c:v>3697443.000000</c:v>
                </c:pt>
                <c:pt idx="68">
                  <c:v>3906693.000000</c:v>
                </c:pt>
                <c:pt idx="69">
                  <c:v>4459288.000000</c:v>
                </c:pt>
                <c:pt idx="70">
                  <c:v>4585803.000000</c:v>
                </c:pt>
                <c:pt idx="71">
                  <c:v>4373034.000000</c:v>
                </c:pt>
                <c:pt idx="72">
                  <c:v>4651210.000000</c:v>
                </c:pt>
                <c:pt idx="73">
                  <c:v>4620601.000000</c:v>
                </c:pt>
                <c:pt idx="74">
                  <c:v>4239791.000000</c:v>
                </c:pt>
                <c:pt idx="75">
                  <c:v>4680294.000000</c:v>
                </c:pt>
                <c:pt idx="76">
                  <c:v>5281470.000000</c:v>
                </c:pt>
                <c:pt idx="77">
                  <c:v>5701123.000000</c:v>
                </c:pt>
                <c:pt idx="78">
                  <c:v>5935614.000000</c:v>
                </c:pt>
                <c:pt idx="79">
                  <c:v>6138257.000000</c:v>
                </c:pt>
                <c:pt idx="80">
                  <c:v>9422555.000000</c:v>
                </c:pt>
                <c:pt idx="81">
                  <c:v>10238676.000000</c:v>
                </c:pt>
                <c:pt idx="82">
                  <c:v>8998809.000000</c:v>
                </c:pt>
                <c:pt idx="83">
                  <c:v>9854948.000000</c:v>
                </c:pt>
                <c:pt idx="84">
                  <c:v>9174454.000000</c:v>
                </c:pt>
                <c:pt idx="85">
                  <c:v>8981575.000000</c:v>
                </c:pt>
                <c:pt idx="86">
                  <c:v>7080412.000000</c:v>
                </c:pt>
                <c:pt idx="87">
                  <c:v>7581058.000000</c:v>
                </c:pt>
                <c:pt idx="88">
                  <c:v>8247740.000000</c:v>
                </c:pt>
                <c:pt idx="89">
                  <c:v>11175459.000000</c:v>
                </c:pt>
                <c:pt idx="90">
                  <c:v>10855466.000000</c:v>
                </c:pt>
                <c:pt idx="91">
                  <c:v>10158709.000000</c:v>
                </c:pt>
                <c:pt idx="92">
                  <c:v>5287672.000000</c:v>
                </c:pt>
                <c:pt idx="93">
                  <c:v>1721793.000000</c:v>
                </c:pt>
                <c:pt idx="94">
                  <c:v>1974510.000000</c:v>
                </c:pt>
                <c:pt idx="95">
                  <c:v>2164795.000000</c:v>
                </c:pt>
                <c:pt idx="96">
                  <c:v>2528175.000000</c:v>
                </c:pt>
                <c:pt idx="97">
                  <c:v>2730431.000000</c:v>
                </c:pt>
                <c:pt idx="98">
                  <c:v>2617689.000000</c:v>
                </c:pt>
                <c:pt idx="99">
                  <c:v>2700878.000000</c:v>
                </c:pt>
                <c:pt idx="100">
                  <c:v>2520334.000000</c:v>
                </c:pt>
                <c:pt idx="101">
                  <c:v>1971851.000000</c:v>
                </c:pt>
                <c:pt idx="102">
                  <c:v>1922666.000000</c:v>
                </c:pt>
                <c:pt idx="103">
                  <c:v>1654148.000000</c:v>
                </c:pt>
                <c:pt idx="104">
                  <c:v>1408789.000000</c:v>
                </c:pt>
                <c:pt idx="105">
                  <c:v>1524311.000000</c:v>
                </c:pt>
                <c:pt idx="106">
                  <c:v>1693457.000000</c:v>
                </c:pt>
                <c:pt idx="107">
                  <c:v>1693457.000000</c:v>
                </c:pt>
                <c:pt idx="108">
                  <c:v>1693457.000000</c:v>
                </c:pt>
                <c:pt idx="109">
                  <c:v>1693457.000000</c:v>
                </c:pt>
                <c:pt idx="110">
                  <c:v>1693457.000000</c:v>
                </c:pt>
                <c:pt idx="111">
                  <c:v>1693457.000000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133883"/>
          <c:y val="0"/>
          <c:w val="0.809654"/>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3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34529"/>
          <c:y val="0.109676"/>
          <c:w val="0.807858"/>
          <c:h val="0.825847"/>
        </c:manualLayout>
      </c:layout>
      <c:lineChart>
        <c:grouping val="standard"/>
        <c:varyColors val="0"/>
        <c:ser>
          <c:idx val="0"/>
          <c:order val="0"/>
          <c:tx>
            <c:strRef>
              <c:f>'net worth - Table 1-3'!$AY$1:$AY$2</c:f>
              <c:strCache>
                <c:ptCount val="1"/>
                <c:pt idx="0">
                  <c:v>Total APV-a</c:v>
                </c:pt>
              </c:strCache>
            </c:strRef>
          </c:tx>
          <c:spPr>
            <a:solidFill>
              <a:srgbClr val="FFFFFF"/>
            </a:solidFill>
            <a:ln w="50800" cap="flat">
              <a:solidFill>
                <a:srgbClr val="B7D0E4"/>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1-3'!$A$3:$A$114,'net worth - Table 1-3'!$A$113:$A$114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1-3'!$AY$3:$AY$114</c:f>
              <c:numCache>
                <c:ptCount val="103"/>
                <c:pt idx="9">
                  <c:v>48031.000000</c:v>
                </c:pt>
                <c:pt idx="10">
                  <c:v>511750.000000</c:v>
                </c:pt>
                <c:pt idx="11">
                  <c:v>541096.000000</c:v>
                </c:pt>
                <c:pt idx="12">
                  <c:v>916967.000000</c:v>
                </c:pt>
                <c:pt idx="13">
                  <c:v>1175056.000000</c:v>
                </c:pt>
                <c:pt idx="14">
                  <c:v>1556987.000000</c:v>
                </c:pt>
                <c:pt idx="15">
                  <c:v>1771958.000000</c:v>
                </c:pt>
                <c:pt idx="16">
                  <c:v>1929044.000000</c:v>
                </c:pt>
                <c:pt idx="17">
                  <c:v>1909854.000000</c:v>
                </c:pt>
                <c:pt idx="18">
                  <c:v>1877531.000000</c:v>
                </c:pt>
                <c:pt idx="19">
                  <c:v>1928188.000000</c:v>
                </c:pt>
                <c:pt idx="20">
                  <c:v>1964655.000000</c:v>
                </c:pt>
                <c:pt idx="21">
                  <c:v>2078742.000000</c:v>
                </c:pt>
                <c:pt idx="22">
                  <c:v>2160452.000000</c:v>
                </c:pt>
                <c:pt idx="23">
                  <c:v>2111409.000000</c:v>
                </c:pt>
                <c:pt idx="24">
                  <c:v>2546267.000000</c:v>
                </c:pt>
                <c:pt idx="25">
                  <c:v>3400003.000000</c:v>
                </c:pt>
                <c:pt idx="26">
                  <c:v>4249099.000000</c:v>
                </c:pt>
                <c:pt idx="27">
                  <c:v>4350224.000000</c:v>
                </c:pt>
                <c:pt idx="28">
                  <c:v>4448098.000000</c:v>
                </c:pt>
                <c:pt idx="29">
                  <c:v>5295172.000000</c:v>
                </c:pt>
                <c:pt idx="30">
                  <c:v>5530845.000000</c:v>
                </c:pt>
                <c:pt idx="31">
                  <c:v>6011921.000000</c:v>
                </c:pt>
                <c:pt idx="32">
                  <c:v>5561143.000000</c:v>
                </c:pt>
                <c:pt idx="33">
                  <c:v>5444992.000000</c:v>
                </c:pt>
                <c:pt idx="34">
                  <c:v>6764693.000000</c:v>
                </c:pt>
                <c:pt idx="35">
                  <c:v>7232092.000000</c:v>
                </c:pt>
                <c:pt idx="36">
                  <c:v>7642169.000000</c:v>
                </c:pt>
                <c:pt idx="37">
                  <c:v>7397745.000000</c:v>
                </c:pt>
                <c:pt idx="38">
                  <c:v>8329129.000000</c:v>
                </c:pt>
                <c:pt idx="39">
                  <c:v>8446077.000000</c:v>
                </c:pt>
                <c:pt idx="40">
                  <c:v>8660694.000000</c:v>
                </c:pt>
                <c:pt idx="41">
                  <c:v>9779139.000000</c:v>
                </c:pt>
                <c:pt idx="42">
                  <c:v>9599786.000000</c:v>
                </c:pt>
                <c:pt idx="43">
                  <c:v>10024006.000000</c:v>
                </c:pt>
                <c:pt idx="44">
                  <c:v>9907052.000000</c:v>
                </c:pt>
                <c:pt idx="45">
                  <c:v>11824605.000000</c:v>
                </c:pt>
                <c:pt idx="46">
                  <c:v>12058691.000000</c:v>
                </c:pt>
                <c:pt idx="47">
                  <c:v>12178409.000000</c:v>
                </c:pt>
                <c:pt idx="48">
                  <c:v>12832262.000000</c:v>
                </c:pt>
                <c:pt idx="49">
                  <c:v>13094278.000000</c:v>
                </c:pt>
                <c:pt idx="50">
                  <c:v>13621797.000000</c:v>
                </c:pt>
                <c:pt idx="51">
                  <c:v>13494024.000000</c:v>
                </c:pt>
                <c:pt idx="52">
                  <c:v>14498264.000000</c:v>
                </c:pt>
                <c:pt idx="53">
                  <c:v>15425547.000000</c:v>
                </c:pt>
                <c:pt idx="54">
                  <c:v>16020785.000000</c:v>
                </c:pt>
                <c:pt idx="55">
                  <c:v>13925635.000000</c:v>
                </c:pt>
                <c:pt idx="56">
                  <c:v>15566987.000000</c:v>
                </c:pt>
                <c:pt idx="57">
                  <c:v>15610549.000000</c:v>
                </c:pt>
                <c:pt idx="58">
                  <c:v>15054398.000000</c:v>
                </c:pt>
                <c:pt idx="59">
                  <c:v>14691339.000000</c:v>
                </c:pt>
                <c:pt idx="60">
                  <c:v>15199607.000000</c:v>
                </c:pt>
                <c:pt idx="61">
                  <c:v>16071847.000000</c:v>
                </c:pt>
                <c:pt idx="62">
                  <c:v>15298560.000000</c:v>
                </c:pt>
                <c:pt idx="63">
                  <c:v>14743036.000000</c:v>
                </c:pt>
                <c:pt idx="64">
                  <c:v>15141642.000000</c:v>
                </c:pt>
                <c:pt idx="65">
                  <c:v>15551924.000000</c:v>
                </c:pt>
                <c:pt idx="66">
                  <c:v>14076465.000000</c:v>
                </c:pt>
                <c:pt idx="67">
                  <c:v>14884862.000000</c:v>
                </c:pt>
                <c:pt idx="68">
                  <c:v>15668307.000000</c:v>
                </c:pt>
                <c:pt idx="69">
                  <c:v>15619824.000000</c:v>
                </c:pt>
                <c:pt idx="70">
                  <c:v>16268785.000000</c:v>
                </c:pt>
                <c:pt idx="71">
                  <c:v>17634447.000000</c:v>
                </c:pt>
                <c:pt idx="72">
                  <c:v>18493826.000000</c:v>
                </c:pt>
                <c:pt idx="73">
                  <c:v>20513370.000000</c:v>
                </c:pt>
                <c:pt idx="74">
                  <c:v>20165952.000000</c:v>
                </c:pt>
                <c:pt idx="75">
                  <c:v>20029183.000000</c:v>
                </c:pt>
                <c:pt idx="76">
                  <c:v>19788947.000000</c:v>
                </c:pt>
                <c:pt idx="77">
                  <c:v>20992622.000000</c:v>
                </c:pt>
                <c:pt idx="78">
                  <c:v>22665568.000000</c:v>
                </c:pt>
                <c:pt idx="79">
                  <c:v>24702422.000000</c:v>
                </c:pt>
                <c:pt idx="80">
                  <c:v>27304612.000000</c:v>
                </c:pt>
                <c:pt idx="81">
                  <c:v>28679908.000000</c:v>
                </c:pt>
                <c:pt idx="82">
                  <c:v>27482302.000000</c:v>
                </c:pt>
                <c:pt idx="83">
                  <c:v>27827538.000000</c:v>
                </c:pt>
                <c:pt idx="84">
                  <c:v>30028318.000000</c:v>
                </c:pt>
                <c:pt idx="85">
                  <c:v>30009548.000000</c:v>
                </c:pt>
                <c:pt idx="86">
                  <c:v>29275869.000000</c:v>
                </c:pt>
                <c:pt idx="87">
                  <c:v>29458865.000000</c:v>
                </c:pt>
                <c:pt idx="88">
                  <c:v>31785466.000000</c:v>
                </c:pt>
                <c:pt idx="89">
                  <c:v>33145501.000000</c:v>
                </c:pt>
                <c:pt idx="90">
                  <c:v>34045209.000000</c:v>
                </c:pt>
                <c:pt idx="91">
                  <c:v>34049917.000000</c:v>
                </c:pt>
                <c:pt idx="92">
                  <c:v>32137542.000000</c:v>
                </c:pt>
                <c:pt idx="93">
                  <c:v>30035063.000000</c:v>
                </c:pt>
                <c:pt idx="94">
                  <c:v>30209153.000000</c:v>
                </c:pt>
                <c:pt idx="95">
                  <c:v>32076440.000000</c:v>
                </c:pt>
                <c:pt idx="96">
                  <c:v>33913859.000000</c:v>
                </c:pt>
                <c:pt idx="97">
                  <c:v>36337965.000000</c:v>
                </c:pt>
                <c:pt idx="98">
                  <c:v>36647289.000000</c:v>
                </c:pt>
                <c:pt idx="99">
                  <c:v>38569992.000000</c:v>
                </c:pt>
                <c:pt idx="100">
                  <c:v>39416092.000000</c:v>
                </c:pt>
                <c:pt idx="101">
                  <c:v>38800923.000000</c:v>
                </c:pt>
                <c:pt idx="102">
                  <c:v>38424773.000000</c:v>
                </c:pt>
                <c:pt idx="103">
                  <c:v>37593719.000000</c:v>
                </c:pt>
                <c:pt idx="104">
                  <c:v>37728646.000000</c:v>
                </c:pt>
                <c:pt idx="105">
                  <c:v>37721805.000000</c:v>
                </c:pt>
                <c:pt idx="106">
                  <c:v>42137038.000000</c:v>
                </c:pt>
                <c:pt idx="107">
                  <c:v>44047447.000000</c:v>
                </c:pt>
                <c:pt idx="108">
                  <c:v>44047447.000000</c:v>
                </c:pt>
                <c:pt idx="109">
                  <c:v>44047447.000000</c:v>
                </c:pt>
                <c:pt idx="110">
                  <c:v>44047447.000000</c:v>
                </c:pt>
                <c:pt idx="111">
                  <c:v>44047447.000000</c:v>
                </c:pt>
              </c:numCache>
            </c:numRef>
          </c:val>
          <c:smooth val="0"/>
        </c:ser>
        <c:ser>
          <c:idx val="1"/>
          <c:order val="1"/>
          <c:tx>
            <c:strRef>
              <c:f>'net worth - Table 1-3'!$AR$1:$AR$2</c:f>
              <c:strCache>
                <c:ptCount val="1"/>
                <c:pt idx="0">
                  <c:v>Total AFP</c:v>
                </c:pt>
              </c:strCache>
            </c:strRef>
          </c:tx>
          <c:spPr>
            <a:solidFill>
              <a:srgbClr val="FFFFFF"/>
            </a:solidFill>
            <a:ln w="50800" cap="flat">
              <a:solidFill>
                <a:srgbClr val="8CC95B"/>
              </a:solidFill>
              <a:prstDash val="solid"/>
              <a:miter lim="400000"/>
            </a:ln>
            <a:effectLst/>
          </c:spPr>
          <c:marker>
            <c:symbol val="none"/>
            <c:size val="4"/>
            <c:spPr>
              <a:solidFill>
                <a:srgbClr val="FFFFFF"/>
              </a:solidFill>
              <a:ln w="50800" cap="flat">
                <a:solidFill>
                  <a:srgbClr val="52A7F9">
                    <a:alpha val="50423"/>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1-3'!$A$3:$A$114,'net worth - Table 1-3'!$A$113:$A$114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1-3'!$AR$3:$AR$114</c:f>
              <c:numCache>
                <c:ptCount val="112"/>
                <c:pt idx="0">
                  <c:v>97716.618636</c:v>
                </c:pt>
                <c:pt idx="1">
                  <c:v>201666.666667</c:v>
                </c:pt>
                <c:pt idx="2">
                  <c:v>318529.298751</c:v>
                </c:pt>
                <c:pt idx="3">
                  <c:v>434917.387128</c:v>
                </c:pt>
                <c:pt idx="4">
                  <c:v>572598.000000</c:v>
                </c:pt>
                <c:pt idx="5">
                  <c:v>695937.000000</c:v>
                </c:pt>
                <c:pt idx="6">
                  <c:v>809744.000000</c:v>
                </c:pt>
                <c:pt idx="7">
                  <c:v>970089.000000</c:v>
                </c:pt>
                <c:pt idx="8">
                  <c:v>1163536.000000</c:v>
                </c:pt>
                <c:pt idx="9">
                  <c:v>1151971.000000</c:v>
                </c:pt>
                <c:pt idx="10">
                  <c:v>1239942.000000</c:v>
                </c:pt>
                <c:pt idx="11">
                  <c:v>1378845.000000</c:v>
                </c:pt>
                <c:pt idx="12">
                  <c:v>1496675.000000</c:v>
                </c:pt>
                <c:pt idx="13">
                  <c:v>1701157.000000</c:v>
                </c:pt>
                <c:pt idx="14">
                  <c:v>1841962.000000</c:v>
                </c:pt>
                <c:pt idx="15">
                  <c:v>2003838.000000</c:v>
                </c:pt>
                <c:pt idx="16">
                  <c:v>2056497.000000</c:v>
                </c:pt>
                <c:pt idx="17">
                  <c:v>2261682.000000</c:v>
                </c:pt>
                <c:pt idx="18">
                  <c:v>2435155.000000</c:v>
                </c:pt>
                <c:pt idx="19">
                  <c:v>2765850.000000</c:v>
                </c:pt>
                <c:pt idx="20">
                  <c:v>3015847.000000</c:v>
                </c:pt>
                <c:pt idx="21">
                  <c:v>3291261.000000</c:v>
                </c:pt>
                <c:pt idx="22">
                  <c:v>3563940.000000</c:v>
                </c:pt>
                <c:pt idx="23">
                  <c:v>3742959.000000</c:v>
                </c:pt>
                <c:pt idx="24">
                  <c:v>4015381.000000</c:v>
                </c:pt>
                <c:pt idx="25">
                  <c:v>4357708.000000</c:v>
                </c:pt>
                <c:pt idx="26">
                  <c:v>4417812.000000</c:v>
                </c:pt>
                <c:pt idx="27">
                  <c:v>4832261.000000</c:v>
                </c:pt>
                <c:pt idx="28">
                  <c:v>5147616.000000</c:v>
                </c:pt>
                <c:pt idx="29">
                  <c:v>5706580.000000</c:v>
                </c:pt>
                <c:pt idx="30">
                  <c:v>5866002.000000</c:v>
                </c:pt>
                <c:pt idx="31">
                  <c:v>6306015.000000</c:v>
                </c:pt>
                <c:pt idx="32">
                  <c:v>6418492.000000</c:v>
                </c:pt>
                <c:pt idx="33">
                  <c:v>5515029.000000</c:v>
                </c:pt>
                <c:pt idx="34">
                  <c:v>5946335.000000</c:v>
                </c:pt>
                <c:pt idx="35">
                  <c:v>5991474.000000</c:v>
                </c:pt>
                <c:pt idx="36">
                  <c:v>6297554.000000</c:v>
                </c:pt>
                <c:pt idx="37">
                  <c:v>6381454.000000</c:v>
                </c:pt>
                <c:pt idx="38">
                  <c:v>6846580.000000</c:v>
                </c:pt>
                <c:pt idx="39">
                  <c:v>6875018.000000</c:v>
                </c:pt>
                <c:pt idx="40">
                  <c:v>7181459.000000</c:v>
                </c:pt>
                <c:pt idx="41">
                  <c:v>7934599.000000</c:v>
                </c:pt>
                <c:pt idx="42">
                  <c:v>7963522.000000</c:v>
                </c:pt>
                <c:pt idx="43">
                  <c:v>8821699.000000</c:v>
                </c:pt>
                <c:pt idx="44">
                  <c:v>8685346.000000</c:v>
                </c:pt>
                <c:pt idx="45">
                  <c:v>6765171.000000</c:v>
                </c:pt>
                <c:pt idx="46">
                  <c:v>6737772.000000</c:v>
                </c:pt>
                <c:pt idx="47">
                  <c:v>5781626.000000</c:v>
                </c:pt>
                <c:pt idx="48">
                  <c:v>5890711.000000</c:v>
                </c:pt>
                <c:pt idx="49">
                  <c:v>5859486.000000</c:v>
                </c:pt>
                <c:pt idx="50">
                  <c:v>6103959.000000</c:v>
                </c:pt>
                <c:pt idx="51">
                  <c:v>6077254.000000</c:v>
                </c:pt>
                <c:pt idx="52">
                  <c:v>6237306.000000</c:v>
                </c:pt>
                <c:pt idx="53">
                  <c:v>6315200.000000</c:v>
                </c:pt>
                <c:pt idx="54">
                  <c:v>6477409.000000</c:v>
                </c:pt>
                <c:pt idx="55">
                  <c:v>5901811.000000</c:v>
                </c:pt>
                <c:pt idx="56">
                  <c:v>5737277.000000</c:v>
                </c:pt>
                <c:pt idx="57">
                  <c:v>5704057.000000</c:v>
                </c:pt>
                <c:pt idx="58">
                  <c:v>5654182.000000</c:v>
                </c:pt>
                <c:pt idx="59">
                  <c:v>5642564.000000</c:v>
                </c:pt>
                <c:pt idx="60">
                  <c:v>5856880.000000</c:v>
                </c:pt>
                <c:pt idx="61">
                  <c:v>5986946.000000</c:v>
                </c:pt>
                <c:pt idx="62">
                  <c:v>5998237.000000</c:v>
                </c:pt>
                <c:pt idx="63">
                  <c:v>5909948.000000</c:v>
                </c:pt>
                <c:pt idx="64">
                  <c:v>6208389.000000</c:v>
                </c:pt>
                <c:pt idx="65">
                  <c:v>6538943.000000</c:v>
                </c:pt>
                <c:pt idx="66">
                  <c:v>6620063.000000</c:v>
                </c:pt>
                <c:pt idx="67">
                  <c:v>6888238.000000</c:v>
                </c:pt>
                <c:pt idx="68">
                  <c:v>6998157.000000</c:v>
                </c:pt>
                <c:pt idx="69">
                  <c:v>7143328.000000</c:v>
                </c:pt>
                <c:pt idx="70">
                  <c:v>7538750.000000</c:v>
                </c:pt>
                <c:pt idx="71">
                  <c:v>7790913.000000</c:v>
                </c:pt>
                <c:pt idx="72">
                  <c:v>8264918.000000</c:v>
                </c:pt>
                <c:pt idx="73">
                  <c:v>9095701.000000</c:v>
                </c:pt>
                <c:pt idx="74">
                  <c:v>9228463.000000</c:v>
                </c:pt>
                <c:pt idx="75">
                  <c:v>9748313.000000</c:v>
                </c:pt>
                <c:pt idx="76">
                  <c:v>9783981.000000</c:v>
                </c:pt>
                <c:pt idx="77">
                  <c:v>10258053.000000</c:v>
                </c:pt>
                <c:pt idx="78">
                  <c:v>11239859.000000</c:v>
                </c:pt>
                <c:pt idx="79">
                  <c:v>11583000.000000</c:v>
                </c:pt>
                <c:pt idx="80">
                  <c:v>12884435.000000</c:v>
                </c:pt>
                <c:pt idx="81">
                  <c:v>13413008.000000</c:v>
                </c:pt>
                <c:pt idx="82">
                  <c:v>13111493.000000</c:v>
                </c:pt>
                <c:pt idx="83">
                  <c:v>13342068.000000</c:v>
                </c:pt>
                <c:pt idx="84">
                  <c:v>14035230.000000</c:v>
                </c:pt>
                <c:pt idx="85">
                  <c:v>14550832.000000</c:v>
                </c:pt>
                <c:pt idx="86">
                  <c:v>14686433.000000</c:v>
                </c:pt>
                <c:pt idx="87">
                  <c:v>15302015.000000</c:v>
                </c:pt>
                <c:pt idx="88">
                  <c:v>15997286.000000</c:v>
                </c:pt>
                <c:pt idx="89">
                  <c:v>16701312.000000</c:v>
                </c:pt>
                <c:pt idx="90">
                  <c:v>16878847.000000</c:v>
                </c:pt>
                <c:pt idx="91">
                  <c:v>17532836.000000</c:v>
                </c:pt>
                <c:pt idx="92">
                  <c:v>17456580.000000</c:v>
                </c:pt>
                <c:pt idx="93">
                  <c:v>17540235.000000</c:v>
                </c:pt>
                <c:pt idx="94">
                  <c:v>17987650.000000</c:v>
                </c:pt>
                <c:pt idx="95">
                  <c:v>19129012.000000</c:v>
                </c:pt>
                <c:pt idx="96">
                  <c:v>19939517.000000</c:v>
                </c:pt>
                <c:pt idx="97">
                  <c:v>21187056.000000</c:v>
                </c:pt>
                <c:pt idx="98">
                  <c:v>22234111.000000</c:v>
                </c:pt>
                <c:pt idx="99">
                  <c:v>23005130.000000</c:v>
                </c:pt>
                <c:pt idx="100">
                  <c:v>23748195.000000</c:v>
                </c:pt>
                <c:pt idx="101">
                  <c:v>24044745.000000</c:v>
                </c:pt>
                <c:pt idx="102">
                  <c:v>24358831.000000</c:v>
                </c:pt>
                <c:pt idx="103">
                  <c:v>25148903.000000</c:v>
                </c:pt>
                <c:pt idx="104">
                  <c:v>25818638.000000</c:v>
                </c:pt>
                <c:pt idx="105">
                  <c:v>25642700.000000</c:v>
                </c:pt>
                <c:pt idx="106">
                  <c:v>27519927.000000</c:v>
                </c:pt>
                <c:pt idx="107">
                  <c:v>28084955.000000</c:v>
                </c:pt>
                <c:pt idx="108">
                  <c:v>28084955.000000</c:v>
                </c:pt>
                <c:pt idx="109">
                  <c:v>28084955.000000</c:v>
                </c:pt>
                <c:pt idx="110">
                  <c:v>28084955.000000</c:v>
                </c:pt>
                <c:pt idx="111">
                  <c:v>28084955.000000</c:v>
                </c:pt>
              </c:numCache>
            </c:numRef>
          </c:val>
          <c:smooth val="0"/>
        </c:ser>
        <c:ser>
          <c:idx val="2"/>
          <c:order val="2"/>
          <c:tx>
            <c:strRef>
              <c:f>'net worth - Table 1-3'!$L$1:$L$2</c:f>
              <c:strCache>
                <c:ptCount val="1"/>
                <c:pt idx="0">
                  <c:v>Fintual total</c:v>
                </c:pt>
              </c:strCache>
            </c:strRef>
          </c:tx>
          <c:spPr>
            <a:solidFill>
              <a:srgbClr val="FFFFFF"/>
            </a:solidFill>
            <a:ln w="50800" cap="flat">
              <a:solidFill>
                <a:srgbClr val="68A5F3"/>
              </a:solidFill>
              <a:prstDash val="solid"/>
              <a:miter lim="400000"/>
            </a:ln>
            <a:effectLst/>
          </c:spPr>
          <c:marker>
            <c:symbol val="none"/>
            <c:size val="4"/>
            <c:spPr>
              <a:solidFill>
                <a:srgbClr val="FFFFFF"/>
              </a:solidFill>
              <a:ln w="50800" cap="flat">
                <a:solidFill>
                  <a:srgbClr val="6FC041"/>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1-3'!$A$3:$A$114,'net worth - Table 1-3'!$A$113:$A$114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1-3'!$L$3:$L$114</c:f>
              <c:numCache>
                <c:ptCount val="103"/>
                <c:pt idx="9">
                  <c:v>1615951.000000</c:v>
                </c:pt>
                <c:pt idx="10">
                  <c:v>1802485.000000</c:v>
                </c:pt>
                <c:pt idx="11">
                  <c:v>1907969.000000</c:v>
                </c:pt>
                <c:pt idx="12">
                  <c:v>2113928.000000</c:v>
                </c:pt>
                <c:pt idx="13">
                  <c:v>2981456.000000</c:v>
                </c:pt>
                <c:pt idx="14">
                  <c:v>3229751.000000</c:v>
                </c:pt>
                <c:pt idx="15">
                  <c:v>3303248.000000</c:v>
                </c:pt>
                <c:pt idx="16">
                  <c:v>3417029.000000</c:v>
                </c:pt>
                <c:pt idx="17">
                  <c:v>3809924.000000</c:v>
                </c:pt>
                <c:pt idx="18">
                  <c:v>4148904.000000</c:v>
                </c:pt>
                <c:pt idx="19">
                  <c:v>4603346.000000</c:v>
                </c:pt>
                <c:pt idx="20">
                  <c:v>5403216.000000</c:v>
                </c:pt>
                <c:pt idx="21">
                  <c:v>6824490.000000</c:v>
                </c:pt>
                <c:pt idx="22">
                  <c:v>7804460.000000</c:v>
                </c:pt>
                <c:pt idx="23">
                  <c:v>8700750.000000</c:v>
                </c:pt>
                <c:pt idx="24">
                  <c:v>9778523.000000</c:v>
                </c:pt>
                <c:pt idx="25">
                  <c:v>10571456.000000</c:v>
                </c:pt>
                <c:pt idx="26">
                  <c:v>10684713.000000</c:v>
                </c:pt>
                <c:pt idx="27">
                  <c:v>11544666.000000</c:v>
                </c:pt>
                <c:pt idx="28">
                  <c:v>12106440.000000</c:v>
                </c:pt>
                <c:pt idx="29">
                  <c:v>14496255.000000</c:v>
                </c:pt>
                <c:pt idx="30">
                  <c:v>13411060.000000</c:v>
                </c:pt>
                <c:pt idx="31">
                  <c:v>14574351.000000</c:v>
                </c:pt>
                <c:pt idx="32">
                  <c:v>13559687.000000</c:v>
                </c:pt>
                <c:pt idx="33">
                  <c:v>12412477.000000</c:v>
                </c:pt>
                <c:pt idx="34">
                  <c:v>13839283.000000</c:v>
                </c:pt>
                <c:pt idx="35">
                  <c:v>13939112.000000</c:v>
                </c:pt>
                <c:pt idx="36">
                  <c:v>14721044.000000</c:v>
                </c:pt>
                <c:pt idx="37">
                  <c:v>14242037.000000</c:v>
                </c:pt>
                <c:pt idx="38">
                  <c:v>16025314.000000</c:v>
                </c:pt>
                <c:pt idx="39">
                  <c:v>12781177.000000</c:v>
                </c:pt>
                <c:pt idx="40">
                  <c:v>12237434.000000</c:v>
                </c:pt>
                <c:pt idx="41">
                  <c:v>13809591.000000</c:v>
                </c:pt>
                <c:pt idx="42">
                  <c:v>13490786.000000</c:v>
                </c:pt>
                <c:pt idx="43">
                  <c:v>14079388.000000</c:v>
                </c:pt>
                <c:pt idx="44">
                  <c:v>13907650.000000</c:v>
                </c:pt>
                <c:pt idx="45">
                  <c:v>13815520.000000</c:v>
                </c:pt>
                <c:pt idx="46">
                  <c:v>14686023.000000</c:v>
                </c:pt>
                <c:pt idx="47">
                  <c:v>15436852.000000</c:v>
                </c:pt>
                <c:pt idx="48">
                  <c:v>16991759.000000</c:v>
                </c:pt>
                <c:pt idx="49">
                  <c:v>17935236.000000</c:v>
                </c:pt>
                <c:pt idx="50">
                  <c:v>18749937.000000</c:v>
                </c:pt>
                <c:pt idx="51">
                  <c:v>18459742.000000</c:v>
                </c:pt>
                <c:pt idx="52">
                  <c:v>19822509.000000</c:v>
                </c:pt>
                <c:pt idx="53">
                  <c:v>20631759.000000</c:v>
                </c:pt>
                <c:pt idx="54">
                  <c:v>20792432.000000</c:v>
                </c:pt>
                <c:pt idx="55">
                  <c:v>18067651.000000</c:v>
                </c:pt>
                <c:pt idx="56">
                  <c:v>18212076.000000</c:v>
                </c:pt>
                <c:pt idx="57">
                  <c:v>20276098.000000</c:v>
                </c:pt>
                <c:pt idx="58">
                  <c:v>19542857.000000</c:v>
                </c:pt>
                <c:pt idx="59">
                  <c:v>19059853.000000</c:v>
                </c:pt>
                <c:pt idx="60">
                  <c:v>19707911.000000</c:v>
                </c:pt>
                <c:pt idx="61">
                  <c:v>20826478.000000</c:v>
                </c:pt>
                <c:pt idx="62">
                  <c:v>19636133.000000</c:v>
                </c:pt>
                <c:pt idx="63">
                  <c:v>18911493.000000</c:v>
                </c:pt>
                <c:pt idx="64">
                  <c:v>19413118.000000</c:v>
                </c:pt>
                <c:pt idx="65">
                  <c:v>19600732.000000</c:v>
                </c:pt>
                <c:pt idx="66">
                  <c:v>18905117.000000</c:v>
                </c:pt>
                <c:pt idx="67">
                  <c:v>19423234.000000</c:v>
                </c:pt>
                <c:pt idx="68">
                  <c:v>19770460.000000</c:v>
                </c:pt>
                <c:pt idx="69">
                  <c:v>19696814.000000</c:v>
                </c:pt>
                <c:pt idx="70">
                  <c:v>19754277.000000</c:v>
                </c:pt>
                <c:pt idx="71">
                  <c:v>20900676.000000</c:v>
                </c:pt>
                <c:pt idx="72">
                  <c:v>21905792.000000</c:v>
                </c:pt>
                <c:pt idx="73">
                  <c:v>23745157.000000</c:v>
                </c:pt>
                <c:pt idx="74">
                  <c:v>23329779.149703</c:v>
                </c:pt>
                <c:pt idx="75">
                  <c:v>23157780.378592</c:v>
                </c:pt>
                <c:pt idx="76">
                  <c:v>22298128.532527</c:v>
                </c:pt>
                <c:pt idx="77">
                  <c:v>23791012.943965</c:v>
                </c:pt>
                <c:pt idx="78">
                  <c:v>25673178.153746</c:v>
                </c:pt>
                <c:pt idx="79">
                  <c:v>26745235.000000</c:v>
                </c:pt>
                <c:pt idx="80">
                  <c:v>29143747.000000</c:v>
                </c:pt>
                <c:pt idx="81">
                  <c:v>30214405.000000</c:v>
                </c:pt>
                <c:pt idx="82">
                  <c:v>28198430.000000</c:v>
                </c:pt>
                <c:pt idx="83">
                  <c:v>28535192.000000</c:v>
                </c:pt>
                <c:pt idx="84">
                  <c:v>30554913.000000</c:v>
                </c:pt>
                <c:pt idx="85">
                  <c:v>30517714.000000</c:v>
                </c:pt>
                <c:pt idx="86">
                  <c:v>29754534.000000</c:v>
                </c:pt>
                <c:pt idx="87">
                  <c:v>29922775.000000</c:v>
                </c:pt>
                <c:pt idx="88">
                  <c:v>32678334.000000</c:v>
                </c:pt>
                <c:pt idx="89">
                  <c:v>34016988.000000</c:v>
                </c:pt>
                <c:pt idx="90">
                  <c:v>31031547.000000</c:v>
                </c:pt>
                <c:pt idx="91">
                  <c:v>27053800.000000</c:v>
                </c:pt>
                <c:pt idx="92">
                  <c:v>15956487.000000</c:v>
                </c:pt>
                <c:pt idx="93">
                  <c:v>8350201.000000</c:v>
                </c:pt>
                <c:pt idx="94">
                  <c:v>7237941.000000</c:v>
                </c:pt>
                <c:pt idx="95">
                  <c:v>7680617.000000</c:v>
                </c:pt>
                <c:pt idx="96">
                  <c:v>8116222.000000</c:v>
                </c:pt>
                <c:pt idx="97">
                  <c:v>8691021.000000</c:v>
                </c:pt>
                <c:pt idx="98">
                  <c:v>8759793.000000</c:v>
                </c:pt>
                <c:pt idx="99">
                  <c:v>9214074.000000</c:v>
                </c:pt>
                <c:pt idx="100">
                  <c:v>9410243.000000</c:v>
                </c:pt>
                <c:pt idx="101">
                  <c:v>9156056.000000</c:v>
                </c:pt>
                <c:pt idx="102">
                  <c:v>9061731.000000</c:v>
                </c:pt>
                <c:pt idx="103">
                  <c:v>8860473.000000</c:v>
                </c:pt>
                <c:pt idx="104">
                  <c:v>8887501.000000</c:v>
                </c:pt>
                <c:pt idx="105">
                  <c:v>8880779.000000</c:v>
                </c:pt>
                <c:pt idx="106">
                  <c:v>9913972.000000</c:v>
                </c:pt>
                <c:pt idx="107">
                  <c:v>10361465.000000</c:v>
                </c:pt>
                <c:pt idx="108">
                  <c:v>10361465.000000</c:v>
                </c:pt>
                <c:pt idx="109">
                  <c:v>10361465.000000</c:v>
                </c:pt>
                <c:pt idx="110">
                  <c:v>10361465.000000</c:v>
                </c:pt>
                <c:pt idx="111">
                  <c:v>10361465.000000</c:v>
                </c:pt>
              </c:numCache>
            </c:numRef>
          </c:val>
          <c:smooth val="0"/>
        </c:ser>
        <c:ser>
          <c:idx val="3"/>
          <c:order val="3"/>
          <c:tx>
            <c:strRef>
              <c:f>'net worth - Table 1-3'!$AJ$1:$AJ$2</c:f>
              <c:strCache>
                <c:ptCount val="1"/>
                <c:pt idx="0">
                  <c:v>AFC</c:v>
                </c:pt>
              </c:strCache>
            </c:strRef>
          </c:tx>
          <c:spPr>
            <a:solidFill>
              <a:srgbClr val="FFFFFF"/>
            </a:solidFill>
            <a:ln w="50800" cap="flat">
              <a:solidFill>
                <a:srgbClr val="78CC47">
                  <a:alpha val="25427"/>
                </a:srgbClr>
              </a:solidFill>
              <a:prstDash val="solid"/>
              <a:miter lim="400000"/>
            </a:ln>
            <a:effectLst/>
          </c:spPr>
          <c:marker>
            <c:symbol val="none"/>
            <c:size val="4"/>
            <c:spPr>
              <a:solidFill>
                <a:srgbClr val="FFFFFF"/>
              </a:solidFill>
              <a:ln w="50800" cap="flat">
                <a:solidFill>
                  <a:srgbClr val="6FC041">
                    <a:alpha val="49958"/>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1-3'!$A$3:$A$114,'net worth - Table 1-3'!$A$113:$A$114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1-3'!$AJ$3:$AJ$114</c:f>
              <c:numCache>
                <c:ptCount val="112"/>
                <c:pt idx="0">
                  <c:v>27361.000000</c:v>
                </c:pt>
                <c:pt idx="1">
                  <c:v>56467.000000</c:v>
                </c:pt>
                <c:pt idx="2">
                  <c:v>82177.000000</c:v>
                </c:pt>
                <c:pt idx="3">
                  <c:v>107782.000000</c:v>
                </c:pt>
                <c:pt idx="4">
                  <c:v>134784.000000</c:v>
                </c:pt>
                <c:pt idx="5">
                  <c:v>160389.000000</c:v>
                </c:pt>
                <c:pt idx="6">
                  <c:v>185994.000000</c:v>
                </c:pt>
                <c:pt idx="7">
                  <c:v>212996.000000</c:v>
                </c:pt>
                <c:pt idx="8">
                  <c:v>242029.000000</c:v>
                </c:pt>
                <c:pt idx="9">
                  <c:v>266653.000000</c:v>
                </c:pt>
                <c:pt idx="10">
                  <c:v>286582.000000</c:v>
                </c:pt>
                <c:pt idx="11">
                  <c:v>296675.000000</c:v>
                </c:pt>
                <c:pt idx="12">
                  <c:v>331579.000000</c:v>
                </c:pt>
                <c:pt idx="13">
                  <c:v>366201.000000</c:v>
                </c:pt>
                <c:pt idx="14">
                  <c:v>402975.000000</c:v>
                </c:pt>
                <c:pt idx="15">
                  <c:v>435629.000000</c:v>
                </c:pt>
                <c:pt idx="16">
                  <c:v>470002.000000</c:v>
                </c:pt>
                <c:pt idx="17">
                  <c:v>518962.000000</c:v>
                </c:pt>
                <c:pt idx="18">
                  <c:v>573269.000000</c:v>
                </c:pt>
                <c:pt idx="19">
                  <c:v>622580.000000</c:v>
                </c:pt>
                <c:pt idx="20">
                  <c:v>672044.000000</c:v>
                </c:pt>
                <c:pt idx="21">
                  <c:v>732581.000000</c:v>
                </c:pt>
                <c:pt idx="22">
                  <c:v>783643.000000</c:v>
                </c:pt>
                <c:pt idx="23">
                  <c:v>839365.000000</c:v>
                </c:pt>
                <c:pt idx="24">
                  <c:v>903378.000000</c:v>
                </c:pt>
                <c:pt idx="25">
                  <c:v>970232.000000</c:v>
                </c:pt>
                <c:pt idx="26">
                  <c:v>1039853.000000</c:v>
                </c:pt>
                <c:pt idx="27">
                  <c:v>1086059.000000</c:v>
                </c:pt>
                <c:pt idx="28">
                  <c:v>1117912.000000</c:v>
                </c:pt>
                <c:pt idx="29">
                  <c:v>1165329.000000</c:v>
                </c:pt>
                <c:pt idx="30">
                  <c:v>1219239.000000</c:v>
                </c:pt>
                <c:pt idx="31">
                  <c:v>1282851.000000</c:v>
                </c:pt>
                <c:pt idx="32">
                  <c:v>1322930.000000</c:v>
                </c:pt>
                <c:pt idx="33">
                  <c:v>1361683.000000</c:v>
                </c:pt>
                <c:pt idx="34">
                  <c:v>1406017.000000</c:v>
                </c:pt>
                <c:pt idx="35">
                  <c:v>1424190.000000</c:v>
                </c:pt>
                <c:pt idx="36">
                  <c:v>1433091.000000</c:v>
                </c:pt>
                <c:pt idx="37">
                  <c:v>1420003.000000</c:v>
                </c:pt>
                <c:pt idx="38">
                  <c:v>1492165.000000</c:v>
                </c:pt>
                <c:pt idx="39">
                  <c:v>1521753.000000</c:v>
                </c:pt>
                <c:pt idx="40">
                  <c:v>1575024.000000</c:v>
                </c:pt>
                <c:pt idx="41">
                  <c:v>1628180.000000</c:v>
                </c:pt>
                <c:pt idx="42">
                  <c:v>1671344.000000</c:v>
                </c:pt>
                <c:pt idx="43">
                  <c:v>1738970.000000</c:v>
                </c:pt>
                <c:pt idx="44">
                  <c:v>1733079.000000</c:v>
                </c:pt>
                <c:pt idx="45">
                  <c:v>0.000000</c:v>
                </c:pt>
                <c:pt idx="46">
                  <c:v>0.000000</c:v>
                </c:pt>
                <c:pt idx="47">
                  <c:v>0.000000</c:v>
                </c:pt>
                <c:pt idx="48">
                  <c:v>0.000000</c:v>
                </c:pt>
                <c:pt idx="49">
                  <c:v>0.000000</c:v>
                </c:pt>
                <c:pt idx="50">
                  <c:v>0.000000</c:v>
                </c:pt>
                <c:pt idx="51">
                  <c:v>0.000000</c:v>
                </c:pt>
                <c:pt idx="52">
                  <c:v>0.000000</c:v>
                </c:pt>
                <c:pt idx="53">
                  <c:v>0.000000</c:v>
                </c:pt>
                <c:pt idx="54">
                  <c:v>0.000000</c:v>
                </c:pt>
                <c:pt idx="55">
                  <c:v>0.000000</c:v>
                </c:pt>
                <c:pt idx="56">
                  <c:v>0.000000</c:v>
                </c:pt>
                <c:pt idx="57">
                  <c:v>0.000000</c:v>
                </c:pt>
                <c:pt idx="58">
                  <c:v>0.000000</c:v>
                </c:pt>
                <c:pt idx="59">
                  <c:v>0.000000</c:v>
                </c:pt>
                <c:pt idx="60">
                  <c:v>0.000000</c:v>
                </c:pt>
                <c:pt idx="61">
                  <c:v>0.000000</c:v>
                </c:pt>
                <c:pt idx="62">
                  <c:v>0.000000</c:v>
                </c:pt>
                <c:pt idx="63">
                  <c:v>0.000000</c:v>
                </c:pt>
                <c:pt idx="64">
                  <c:v>81932.000000</c:v>
                </c:pt>
                <c:pt idx="65">
                  <c:v>166322.000000</c:v>
                </c:pt>
                <c:pt idx="66">
                  <c:v>248410.000000</c:v>
                </c:pt>
                <c:pt idx="67">
                  <c:v>248410.000000</c:v>
                </c:pt>
                <c:pt idx="68">
                  <c:v>406750.000000</c:v>
                </c:pt>
                <c:pt idx="69">
                  <c:v>496846.000000</c:v>
                </c:pt>
                <c:pt idx="70">
                  <c:v>579581.000000</c:v>
                </c:pt>
                <c:pt idx="71">
                  <c:v>661228.000000</c:v>
                </c:pt>
                <c:pt idx="72">
                  <c:v>753185.000000</c:v>
                </c:pt>
                <c:pt idx="73">
                  <c:v>841766.000000</c:v>
                </c:pt>
                <c:pt idx="74">
                  <c:v>924513.000000</c:v>
                </c:pt>
                <c:pt idx="75">
                  <c:v>1011137.000000</c:v>
                </c:pt>
                <c:pt idx="76">
                  <c:v>1083977.000000</c:v>
                </c:pt>
                <c:pt idx="77">
                  <c:v>1190968.000000</c:v>
                </c:pt>
                <c:pt idx="78">
                  <c:v>1308393.000000</c:v>
                </c:pt>
                <c:pt idx="79">
                  <c:v>1391749.000000</c:v>
                </c:pt>
                <c:pt idx="80">
                  <c:v>1506542.000000</c:v>
                </c:pt>
                <c:pt idx="81">
                  <c:v>1591394.000000</c:v>
                </c:pt>
                <c:pt idx="82">
                  <c:v>1662955.000000</c:v>
                </c:pt>
                <c:pt idx="83">
                  <c:v>1744097.000000</c:v>
                </c:pt>
                <c:pt idx="84">
                  <c:v>1848659.000000</c:v>
                </c:pt>
                <c:pt idx="85">
                  <c:v>1960453.000000</c:v>
                </c:pt>
                <c:pt idx="86">
                  <c:v>2066747.000000</c:v>
                </c:pt>
                <c:pt idx="87">
                  <c:v>2184005.000000</c:v>
                </c:pt>
                <c:pt idx="88">
                  <c:v>2266997.000000</c:v>
                </c:pt>
                <c:pt idx="89">
                  <c:v>2383414.000000</c:v>
                </c:pt>
                <c:pt idx="90">
                  <c:v>2461550.000000</c:v>
                </c:pt>
                <c:pt idx="91">
                  <c:v>2554592.000000</c:v>
                </c:pt>
                <c:pt idx="92">
                  <c:v>2623798.000000</c:v>
                </c:pt>
                <c:pt idx="93">
                  <c:v>2713231.000000</c:v>
                </c:pt>
                <c:pt idx="94">
                  <c:v>2824225.000000</c:v>
                </c:pt>
                <c:pt idx="95">
                  <c:v>2922980.000000</c:v>
                </c:pt>
                <c:pt idx="96">
                  <c:v>3027522.000000</c:v>
                </c:pt>
                <c:pt idx="97">
                  <c:v>3157227.000000</c:v>
                </c:pt>
                <c:pt idx="98">
                  <c:v>3270524.000000</c:v>
                </c:pt>
                <c:pt idx="99">
                  <c:v>3361675.000000</c:v>
                </c:pt>
                <c:pt idx="100">
                  <c:v>3466508.000000</c:v>
                </c:pt>
                <c:pt idx="101">
                  <c:v>3559533.000000</c:v>
                </c:pt>
                <c:pt idx="102">
                  <c:v>3644292.000000</c:v>
                </c:pt>
                <c:pt idx="103">
                  <c:v>3732249.000000</c:v>
                </c:pt>
                <c:pt idx="104">
                  <c:v>3818905.000000</c:v>
                </c:pt>
                <c:pt idx="105">
                  <c:v>3956683.000000</c:v>
                </c:pt>
                <c:pt idx="106">
                  <c:v>4055233.000000</c:v>
                </c:pt>
                <c:pt idx="107">
                  <c:v>1294075.000000</c:v>
                </c:pt>
                <c:pt idx="108">
                  <c:v>1294075.000000</c:v>
                </c:pt>
                <c:pt idx="109">
                  <c:v>1294075.000000</c:v>
                </c:pt>
                <c:pt idx="110">
                  <c:v>1294075.000000</c:v>
                </c:pt>
                <c:pt idx="111">
                  <c:v>1294075.000000</c:v>
                </c:pt>
              </c:numCache>
            </c:numRef>
          </c:val>
          <c:smooth val="0"/>
        </c:ser>
        <c:ser>
          <c:idx val="4"/>
          <c:order val="4"/>
          <c:tx>
            <c:strRef>
              <c:f>'net worth - Table 1-3'!$BF$1:$BF$2</c:f>
              <c:strCache>
                <c:ptCount val="1"/>
                <c:pt idx="0">
                  <c:v>Total APV-b</c:v>
                </c:pt>
              </c:strCache>
            </c:strRef>
          </c:tx>
          <c:spPr>
            <a:solidFill>
              <a:srgbClr val="FFFFFF"/>
            </a:solidFill>
            <a:ln w="50800" cap="flat">
              <a:solidFill>
                <a:srgbClr val="4B81B6">
                  <a:alpha val="20012"/>
                </a:srgbClr>
              </a:solidFill>
              <a:prstDash val="solid"/>
              <a:miter lim="400000"/>
            </a:ln>
            <a:effectLst/>
          </c:spPr>
          <c:marker>
            <c:symbol val="none"/>
            <c:size val="4"/>
            <c:spPr>
              <a:solidFill>
                <a:srgbClr val="FFFFFF"/>
              </a:solidFill>
              <a:ln w="50800" cap="flat">
                <a:solidFill>
                  <a:srgbClr val="FCE12B"/>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1-3'!$A$3:$A$114,'net worth - Table 1-3'!$A$113:$A$114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1-3'!$BF$3:$BF$114</c:f>
              <c:numCache>
                <c:ptCount val="82"/>
                <c:pt idx="30">
                  <c:v>2500000.000000</c:v>
                </c:pt>
                <c:pt idx="31">
                  <c:v>2713508.000000</c:v>
                </c:pt>
                <c:pt idx="32">
                  <c:v>2510048.000000</c:v>
                </c:pt>
                <c:pt idx="33">
                  <c:v>2298654.000000</c:v>
                </c:pt>
                <c:pt idx="34">
                  <c:v>2564305.000000</c:v>
                </c:pt>
                <c:pt idx="35">
                  <c:v>2584384.000000</c:v>
                </c:pt>
                <c:pt idx="36">
                  <c:v>2730924.000000</c:v>
                </c:pt>
                <c:pt idx="37">
                  <c:v>2643579.000000</c:v>
                </c:pt>
                <c:pt idx="38">
                  <c:v>2976409.000000</c:v>
                </c:pt>
                <c:pt idx="39">
                  <c:v>2910208.000000</c:v>
                </c:pt>
                <c:pt idx="40">
                  <c:v>2788000.000000</c:v>
                </c:pt>
                <c:pt idx="41">
                  <c:v>5399483.000000</c:v>
                </c:pt>
                <c:pt idx="42">
                  <c:v>5766466.000000</c:v>
                </c:pt>
                <c:pt idx="43">
                  <c:v>6021289.000000</c:v>
                </c:pt>
                <c:pt idx="44">
                  <c:v>5951037.000000</c:v>
                </c:pt>
                <c:pt idx="45">
                  <c:v>7879143.000000</c:v>
                </c:pt>
                <c:pt idx="46">
                  <c:v>8035123.000000</c:v>
                </c:pt>
                <c:pt idx="47">
                  <c:v>8114895.000000</c:v>
                </c:pt>
                <c:pt idx="48">
                  <c:v>8550580.000000</c:v>
                </c:pt>
                <c:pt idx="49">
                  <c:v>8725170.000000</c:v>
                </c:pt>
                <c:pt idx="50">
                  <c:v>9076674.000000</c:v>
                </c:pt>
                <c:pt idx="51">
                  <c:v>8991535.000000</c:v>
                </c:pt>
                <c:pt idx="52">
                  <c:v>9660694.000000</c:v>
                </c:pt>
                <c:pt idx="53">
                  <c:v>10060685.000000</c:v>
                </c:pt>
                <c:pt idx="54">
                  <c:v>10145453.000000</c:v>
                </c:pt>
                <c:pt idx="55">
                  <c:v>8820829.000000</c:v>
                </c:pt>
                <c:pt idx="56">
                  <c:v>8520468.000000</c:v>
                </c:pt>
                <c:pt idx="57">
                  <c:v>8544311.000000</c:v>
                </c:pt>
                <c:pt idx="58">
                  <c:v>8239906.000000</c:v>
                </c:pt>
                <c:pt idx="59">
                  <c:v>8041189.000000</c:v>
                </c:pt>
                <c:pt idx="60">
                  <c:v>8319385.000000</c:v>
                </c:pt>
                <c:pt idx="61">
                  <c:v>8796799.000000</c:v>
                </c:pt>
                <c:pt idx="62">
                  <c:v>8298947.000000</c:v>
                </c:pt>
                <c:pt idx="63">
                  <c:v>7997594.000000</c:v>
                </c:pt>
                <c:pt idx="64">
                  <c:v>8213825.000000</c:v>
                </c:pt>
                <c:pt idx="65">
                  <c:v>8298455.000000</c:v>
                </c:pt>
                <c:pt idx="66">
                  <c:v>7963430.000000</c:v>
                </c:pt>
                <c:pt idx="67">
                  <c:v>8186229.000000</c:v>
                </c:pt>
                <c:pt idx="68">
                  <c:v>8337048.000000</c:v>
                </c:pt>
                <c:pt idx="69">
                  <c:v>8311251.000000</c:v>
                </c:pt>
                <c:pt idx="70">
                  <c:v>8340135.000000</c:v>
                </c:pt>
                <c:pt idx="71">
                  <c:v>8718688.000000</c:v>
                </c:pt>
                <c:pt idx="72">
                  <c:v>9143576.000000</c:v>
                </c:pt>
                <c:pt idx="73">
                  <c:v>10112072.000000</c:v>
                </c:pt>
                <c:pt idx="74">
                  <c:v>10530723.000000</c:v>
                </c:pt>
                <c:pt idx="75">
                  <c:v>10459302.000000</c:v>
                </c:pt>
                <c:pt idx="76">
                  <c:v>10077027.000000</c:v>
                </c:pt>
                <c:pt idx="77">
                  <c:v>10757676.000000</c:v>
                </c:pt>
                <c:pt idx="78">
                  <c:v>11614978.000000</c:v>
                </c:pt>
                <c:pt idx="79">
                  <c:v>12108203.000000</c:v>
                </c:pt>
                <c:pt idx="80">
                  <c:v>13201387.000000</c:v>
                </c:pt>
                <c:pt idx="81">
                  <c:v>13693699.000000</c:v>
                </c:pt>
                <c:pt idx="82">
                  <c:v>12788338.000000</c:v>
                </c:pt>
                <c:pt idx="83">
                  <c:v>12948986.000000</c:v>
                </c:pt>
                <c:pt idx="84">
                  <c:v>13872943.000000</c:v>
                </c:pt>
                <c:pt idx="85">
                  <c:v>13864271.000000</c:v>
                </c:pt>
                <c:pt idx="86">
                  <c:v>13525315.000000</c:v>
                </c:pt>
                <c:pt idx="87">
                  <c:v>13609858.000000</c:v>
                </c:pt>
                <c:pt idx="88">
                  <c:v>14660810.000000</c:v>
                </c:pt>
                <c:pt idx="89">
                  <c:v>15268975.000000</c:v>
                </c:pt>
                <c:pt idx="90">
                  <c:v>15496554.000000</c:v>
                </c:pt>
                <c:pt idx="91">
                  <c:v>15498697.000000</c:v>
                </c:pt>
                <c:pt idx="92">
                  <c:v>14628231.000000</c:v>
                </c:pt>
                <c:pt idx="93">
                  <c:v>13671233.000000</c:v>
                </c:pt>
                <c:pt idx="94">
                  <c:v>13750474.000000</c:v>
                </c:pt>
                <c:pt idx="95">
                  <c:v>14600418.000000</c:v>
                </c:pt>
                <c:pt idx="96">
                  <c:v>15436767.000000</c:v>
                </c:pt>
                <c:pt idx="97">
                  <c:v>16540161.000000</c:v>
                </c:pt>
                <c:pt idx="98">
                  <c:v>16680958.000000</c:v>
                </c:pt>
                <c:pt idx="99">
                  <c:v>17556126.000000</c:v>
                </c:pt>
                <c:pt idx="100">
                  <c:v>17941250.000000</c:v>
                </c:pt>
                <c:pt idx="101">
                  <c:v>17466003.000000</c:v>
                </c:pt>
                <c:pt idx="102">
                  <c:v>17296681.000000</c:v>
                </c:pt>
                <c:pt idx="103">
                  <c:v>16922587.000000</c:v>
                </c:pt>
                <c:pt idx="104">
                  <c:v>16983324.000000</c:v>
                </c:pt>
                <c:pt idx="105">
                  <c:v>16980244.000000</c:v>
                </c:pt>
                <c:pt idx="106">
                  <c:v>18967735.000000</c:v>
                </c:pt>
                <c:pt idx="107">
                  <c:v>19827694.000000</c:v>
                </c:pt>
                <c:pt idx="108">
                  <c:v>19827694.000000</c:v>
                </c:pt>
                <c:pt idx="109">
                  <c:v>19827694.000000</c:v>
                </c:pt>
                <c:pt idx="110">
                  <c:v>19827694.000000</c:v>
                </c:pt>
                <c:pt idx="111">
                  <c:v>19827694.000000</c:v>
                </c:pt>
              </c:numCache>
            </c:numRef>
          </c:val>
          <c:smooth val="0"/>
        </c:ser>
        <c:ser>
          <c:idx val="5"/>
          <c:order val="5"/>
          <c:tx>
            <c:strRef>
              <c:f>'net worth - Table 1-2'!$C$1</c:f>
              <c:strCache>
                <c:ptCount val="1"/>
                <c:pt idx="0">
                  <c:v>Cripto total</c:v>
                </c:pt>
              </c:strCache>
            </c:strRef>
          </c:tx>
          <c:spPr>
            <a:solidFill>
              <a:srgbClr val="FFFFFF"/>
            </a:solidFill>
            <a:ln w="50800" cap="flat">
              <a:solidFill>
                <a:srgbClr val="F4BB1C">
                  <a:alpha val="75713"/>
                </a:srgbClr>
              </a:solidFill>
              <a:prstDash val="solid"/>
              <a:miter lim="400000"/>
            </a:ln>
            <a:effectLst/>
          </c:spPr>
          <c:marker>
            <c:symbol val="none"/>
            <c:size val="4"/>
            <c:spPr>
              <a:solidFill>
                <a:srgbClr val="FFFFFF"/>
              </a:solidFill>
              <a:ln w="50800" cap="flat">
                <a:solidFill>
                  <a:srgbClr val="FCE12B">
                    <a:alpha val="48580"/>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1-3'!$A$3:$A$114,'net worth - Table 1-3'!$A$113:$A$114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1-2'!$C$2:$C$113</c:f>
              <c:numCache>
                <c:ptCount val="107"/>
                <c:pt idx="5">
                  <c:v>1272218.016381</c:v>
                </c:pt>
                <c:pt idx="6">
                  <c:v>3085682.427160</c:v>
                </c:pt>
                <c:pt idx="7">
                  <c:v>3257439.546983</c:v>
                </c:pt>
                <c:pt idx="8">
                  <c:v>2845882.118525</c:v>
                </c:pt>
                <c:pt idx="9">
                  <c:v>1531932.586529</c:v>
                </c:pt>
                <c:pt idx="10">
                  <c:v>2079903.766844</c:v>
                </c:pt>
                <c:pt idx="11">
                  <c:v>2328343.296500</c:v>
                </c:pt>
                <c:pt idx="12">
                  <c:v>1861409.139053</c:v>
                </c:pt>
                <c:pt idx="13">
                  <c:v>2137166.363382</c:v>
                </c:pt>
                <c:pt idx="14">
                  <c:v>1552135.009554</c:v>
                </c:pt>
                <c:pt idx="15">
                  <c:v>1309430.128021</c:v>
                </c:pt>
                <c:pt idx="16">
                  <c:v>1247016.868837</c:v>
                </c:pt>
                <c:pt idx="17">
                  <c:v>730535.000000</c:v>
                </c:pt>
                <c:pt idx="18">
                  <c:v>799676.480250</c:v>
                </c:pt>
                <c:pt idx="19">
                  <c:v>612249.381426</c:v>
                </c:pt>
                <c:pt idx="20">
                  <c:v>734791.194822</c:v>
                </c:pt>
                <c:pt idx="21">
                  <c:v>775047.015228</c:v>
                </c:pt>
                <c:pt idx="22">
                  <c:v>974972.052839</c:v>
                </c:pt>
                <c:pt idx="23">
                  <c:v>1628405.463286</c:v>
                </c:pt>
                <c:pt idx="24">
                  <c:v>1841750.609045</c:v>
                </c:pt>
                <c:pt idx="25">
                  <c:v>1556940.308716</c:v>
                </c:pt>
                <c:pt idx="26">
                  <c:v>1398277.840278</c:v>
                </c:pt>
                <c:pt idx="27">
                  <c:v>1349656.190386</c:v>
                </c:pt>
                <c:pt idx="28">
                  <c:v>1440647.385831</c:v>
                </c:pt>
                <c:pt idx="29">
                  <c:v>1312157.728327</c:v>
                </c:pt>
                <c:pt idx="30">
                  <c:v>1135089.405939</c:v>
                </c:pt>
                <c:pt idx="31">
                  <c:v>1566102.832928</c:v>
                </c:pt>
                <c:pt idx="32">
                  <c:v>1760275.735882</c:v>
                </c:pt>
                <c:pt idx="33">
                  <c:v>1203911.958255</c:v>
                </c:pt>
                <c:pt idx="34">
                  <c:v>1712738.800732</c:v>
                </c:pt>
                <c:pt idx="35">
                  <c:v>1812397.572734</c:v>
                </c:pt>
                <c:pt idx="36">
                  <c:v>1817898.813805</c:v>
                </c:pt>
                <c:pt idx="37">
                  <c:v>2334350.117538</c:v>
                </c:pt>
                <c:pt idx="38">
                  <c:v>2807232.170791</c:v>
                </c:pt>
                <c:pt idx="39">
                  <c:v>2409646.420111</c:v>
                </c:pt>
                <c:pt idx="40">
                  <c:v>2757821.488860</c:v>
                </c:pt>
                <c:pt idx="41">
                  <c:v>4029227.007488</c:v>
                </c:pt>
                <c:pt idx="42">
                  <c:v>5210367.989024</c:v>
                </c:pt>
                <c:pt idx="43">
                  <c:v>5366295.342190</c:v>
                </c:pt>
                <c:pt idx="44">
                  <c:v>5389762.722618</c:v>
                </c:pt>
                <c:pt idx="45">
                  <c:v>6549555.348331</c:v>
                </c:pt>
                <c:pt idx="46">
                  <c:v>7930245.304117</c:v>
                </c:pt>
                <c:pt idx="47">
                  <c:v>5478561.881851</c:v>
                </c:pt>
                <c:pt idx="48">
                  <c:v>4823022.646831</c:v>
                </c:pt>
                <c:pt idx="49">
                  <c:v>5742654.000000</c:v>
                </c:pt>
                <c:pt idx="50">
                  <c:v>7594332.000000</c:v>
                </c:pt>
                <c:pt idx="51">
                  <c:v>7890259.000000</c:v>
                </c:pt>
                <c:pt idx="52">
                  <c:v>10132393.000000</c:v>
                </c:pt>
                <c:pt idx="53">
                  <c:v>10582141.000000</c:v>
                </c:pt>
                <c:pt idx="54">
                  <c:v>8730136.000000</c:v>
                </c:pt>
                <c:pt idx="55">
                  <c:v>6238387.000000</c:v>
                </c:pt>
                <c:pt idx="56">
                  <c:v>6847253.000000</c:v>
                </c:pt>
                <c:pt idx="57">
                  <c:v>7437840.000000</c:v>
                </c:pt>
                <c:pt idx="58">
                  <c:v>6723473.000000</c:v>
                </c:pt>
                <c:pt idx="59">
                  <c:v>4904826.000000</c:v>
                </c:pt>
                <c:pt idx="60">
                  <c:v>3258118.000000</c:v>
                </c:pt>
                <c:pt idx="61">
                  <c:v>4418151.000000</c:v>
                </c:pt>
                <c:pt idx="62">
                  <c:v>3909076.000000</c:v>
                </c:pt>
                <c:pt idx="63">
                  <c:v>3770406.000000</c:v>
                </c:pt>
                <c:pt idx="64">
                  <c:v>4210664.000000</c:v>
                </c:pt>
                <c:pt idx="65">
                  <c:v>3259478.000000</c:v>
                </c:pt>
                <c:pt idx="66">
                  <c:v>2901477.000000</c:v>
                </c:pt>
                <c:pt idx="67">
                  <c:v>3697443.000000</c:v>
                </c:pt>
                <c:pt idx="68">
                  <c:v>3906693.000000</c:v>
                </c:pt>
                <c:pt idx="69">
                  <c:v>4459288.000000</c:v>
                </c:pt>
                <c:pt idx="70">
                  <c:v>4585803.000000</c:v>
                </c:pt>
                <c:pt idx="71">
                  <c:v>4373034.000000</c:v>
                </c:pt>
                <c:pt idx="72">
                  <c:v>4651210.000000</c:v>
                </c:pt>
                <c:pt idx="73">
                  <c:v>4620601.000000</c:v>
                </c:pt>
                <c:pt idx="74">
                  <c:v>4239791.000000</c:v>
                </c:pt>
                <c:pt idx="75">
                  <c:v>4680294.000000</c:v>
                </c:pt>
                <c:pt idx="76">
                  <c:v>5281470.000000</c:v>
                </c:pt>
                <c:pt idx="77">
                  <c:v>5701123.000000</c:v>
                </c:pt>
                <c:pt idx="78">
                  <c:v>5935614.000000</c:v>
                </c:pt>
                <c:pt idx="79">
                  <c:v>6138257.000000</c:v>
                </c:pt>
                <c:pt idx="80">
                  <c:v>9422555.000000</c:v>
                </c:pt>
                <c:pt idx="81">
                  <c:v>10238676.000000</c:v>
                </c:pt>
                <c:pt idx="82">
                  <c:v>8998809.000000</c:v>
                </c:pt>
                <c:pt idx="83">
                  <c:v>9854948.000000</c:v>
                </c:pt>
                <c:pt idx="84">
                  <c:v>9174454.000000</c:v>
                </c:pt>
                <c:pt idx="85">
                  <c:v>8981575.000000</c:v>
                </c:pt>
                <c:pt idx="86">
                  <c:v>7080412.000000</c:v>
                </c:pt>
                <c:pt idx="87">
                  <c:v>7581058.000000</c:v>
                </c:pt>
                <c:pt idx="88">
                  <c:v>8247740.000000</c:v>
                </c:pt>
                <c:pt idx="89">
                  <c:v>11175459.000000</c:v>
                </c:pt>
                <c:pt idx="90">
                  <c:v>10855466.000000</c:v>
                </c:pt>
                <c:pt idx="91">
                  <c:v>10158709.000000</c:v>
                </c:pt>
                <c:pt idx="92">
                  <c:v>5287672.000000</c:v>
                </c:pt>
                <c:pt idx="93">
                  <c:v>1721793.000000</c:v>
                </c:pt>
                <c:pt idx="94">
                  <c:v>1974510.000000</c:v>
                </c:pt>
                <c:pt idx="95">
                  <c:v>2164795.000000</c:v>
                </c:pt>
                <c:pt idx="96">
                  <c:v>2528175.000000</c:v>
                </c:pt>
                <c:pt idx="97">
                  <c:v>2730431.000000</c:v>
                </c:pt>
                <c:pt idx="98">
                  <c:v>2617689.000000</c:v>
                </c:pt>
                <c:pt idx="99">
                  <c:v>2700878.000000</c:v>
                </c:pt>
                <c:pt idx="100">
                  <c:v>2520334.000000</c:v>
                </c:pt>
                <c:pt idx="101">
                  <c:v>1971851.000000</c:v>
                </c:pt>
                <c:pt idx="102">
                  <c:v>1922666.000000</c:v>
                </c:pt>
                <c:pt idx="103">
                  <c:v>1654148.000000</c:v>
                </c:pt>
                <c:pt idx="104">
                  <c:v>1408789.000000</c:v>
                </c:pt>
                <c:pt idx="105">
                  <c:v>1524311.000000</c:v>
                </c:pt>
                <c:pt idx="106">
                  <c:v>1693457.000000</c:v>
                </c:pt>
                <c:pt idx="107">
                  <c:v>1693457.000000</c:v>
                </c:pt>
                <c:pt idx="108">
                  <c:v>1693457.000000</c:v>
                </c:pt>
                <c:pt idx="109">
                  <c:v>1693457.000000</c:v>
                </c:pt>
                <c:pt idx="110">
                  <c:v>1693457.000000</c:v>
                </c:pt>
                <c:pt idx="111">
                  <c:v>1693457.000000</c:v>
                </c:pt>
              </c:numCache>
            </c:numRef>
          </c:val>
          <c:smooth val="0"/>
        </c:ser>
        <c:ser>
          <c:idx val="6"/>
          <c:order val="6"/>
          <c:tx>
            <c:strRef>
              <c:f>'net worth - Table 1-3'!$S$1:$S$2</c:f>
              <c:strCache>
                <c:ptCount val="1"/>
                <c:pt idx="0">
                  <c:v>stocks total</c:v>
                </c:pt>
              </c:strCache>
            </c:strRef>
          </c:tx>
          <c:spPr>
            <a:solidFill>
              <a:srgbClr val="FFFFFF"/>
            </a:solidFill>
            <a:ln w="50800" cap="flat">
              <a:solidFill>
                <a:srgbClr val="2E578C"/>
              </a:solidFill>
              <a:prstDash val="solid"/>
              <a:miter lim="400000"/>
            </a:ln>
            <a:effectLst/>
          </c:spPr>
          <c:marker>
            <c:symbol val="none"/>
            <c:size val="4"/>
            <c:spPr>
              <a:solidFill>
                <a:srgbClr val="FFFFFF"/>
              </a:solidFill>
              <a:ln w="50800" cap="flat">
                <a:solidFill>
                  <a:srgbClr val="68B3FA"/>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1-3'!$A$3:$A$114,'net worth - Table 1-3'!$A$113:$A$114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1-3'!$S$3:$S$114</c:f>
              <c:numCache>
                <c:ptCount val="22"/>
                <c:pt idx="90">
                  <c:v>589475.000000</c:v>
                </c:pt>
                <c:pt idx="91">
                  <c:v>597334.000000</c:v>
                </c:pt>
                <c:pt idx="92">
                  <c:v>567540.000000</c:v>
                </c:pt>
                <c:pt idx="93">
                  <c:v>533235.000000</c:v>
                </c:pt>
                <c:pt idx="94">
                  <c:v>530771.000000</c:v>
                </c:pt>
                <c:pt idx="95">
                  <c:v>564385.000000</c:v>
                </c:pt>
                <c:pt idx="96">
                  <c:v>609075.000000</c:v>
                </c:pt>
                <c:pt idx="97">
                  <c:v>628710.000000</c:v>
                </c:pt>
                <c:pt idx="98">
                  <c:v>639567.000000</c:v>
                </c:pt>
                <c:pt idx="99">
                  <c:v>651167.000000</c:v>
                </c:pt>
                <c:pt idx="100">
                  <c:v>652448.000000</c:v>
                </c:pt>
                <c:pt idx="101">
                  <c:v>648119.000000</c:v>
                </c:pt>
                <c:pt idx="102">
                  <c:v>631600.000000</c:v>
                </c:pt>
                <c:pt idx="103">
                  <c:v>617379.000000</c:v>
                </c:pt>
                <c:pt idx="104">
                  <c:v>614002.000000</c:v>
                </c:pt>
                <c:pt idx="105">
                  <c:v>982184.000000</c:v>
                </c:pt>
                <c:pt idx="106">
                  <c:v>1056272.000000</c:v>
                </c:pt>
                <c:pt idx="107">
                  <c:v>1086006.000000</c:v>
                </c:pt>
                <c:pt idx="108">
                  <c:v>1086006.000000</c:v>
                </c:pt>
                <c:pt idx="109">
                  <c:v>1086006.000000</c:v>
                </c:pt>
                <c:pt idx="110">
                  <c:v>1086006.000000</c:v>
                </c:pt>
                <c:pt idx="111">
                  <c:v>1086006.000000</c:v>
                </c:pt>
              </c:numCache>
            </c:numRef>
          </c:val>
          <c:smooth val="0"/>
        </c:ser>
        <c:ser>
          <c:idx val="7"/>
          <c:order val="7"/>
          <c:tx>
            <c:strRef>
              <c:f>'net worth - Table 1-3'!$Z$1:$Z$2</c:f>
              <c:strCache>
                <c:ptCount val="1"/>
                <c:pt idx="0">
                  <c:v>Reserva total</c:v>
                </c:pt>
              </c:strCache>
            </c:strRef>
          </c:tx>
          <c:spPr>
            <a:solidFill>
              <a:srgbClr val="FFFFFF"/>
            </a:solidFill>
            <a:ln w="19050" cap="flat">
              <a:solidFill>
                <a:srgbClr val="3DA9F1">
                  <a:alpha val="59463"/>
                </a:srgbClr>
              </a:solidFill>
              <a:prstDash val="solid"/>
              <a:miter lim="400000"/>
            </a:ln>
            <a:effectLst/>
          </c:spPr>
          <c:marker>
            <c:symbol val="none"/>
            <c:size val="4"/>
            <c:spPr>
              <a:solidFill>
                <a:srgbClr val="FFFFFF"/>
              </a:solidFill>
              <a:ln w="50800" cap="flat">
                <a:solidFill>
                  <a:srgbClr val="68B3FA">
                    <a:alpha val="50423"/>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1-3'!$A$3:$A$114,'net worth - Table 1-3'!$A$113:$A$114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1-3'!$Z$3:$Z$114</c:f>
              <c:numCache>
                <c:ptCount val="30"/>
                <c:pt idx="82">
                  <c:v>4070932.000000</c:v>
                </c:pt>
                <c:pt idx="83">
                  <c:v>4092177.000000</c:v>
                </c:pt>
                <c:pt idx="84">
                  <c:v>4109117.000000</c:v>
                </c:pt>
                <c:pt idx="85">
                  <c:v>4126000.000000</c:v>
                </c:pt>
                <c:pt idx="86">
                  <c:v>4440767.000000</c:v>
                </c:pt>
                <c:pt idx="87">
                  <c:v>12772416.000000</c:v>
                </c:pt>
                <c:pt idx="88">
                  <c:v>19688735.000000</c:v>
                </c:pt>
                <c:pt idx="89">
                  <c:v>6232241.000000</c:v>
                </c:pt>
                <c:pt idx="90">
                  <c:v>15274709.000000</c:v>
                </c:pt>
                <c:pt idx="91">
                  <c:v>35882284.000000</c:v>
                </c:pt>
                <c:pt idx="92">
                  <c:v>21000880.000000</c:v>
                </c:pt>
                <c:pt idx="93">
                  <c:v>17512382.000000</c:v>
                </c:pt>
                <c:pt idx="94">
                  <c:v>13867816.000000</c:v>
                </c:pt>
                <c:pt idx="95">
                  <c:v>12913339.000000</c:v>
                </c:pt>
                <c:pt idx="96">
                  <c:v>11900951.000000</c:v>
                </c:pt>
                <c:pt idx="97">
                  <c:v>7638617.000000</c:v>
                </c:pt>
                <c:pt idx="98">
                  <c:v>3252088.000000</c:v>
                </c:pt>
                <c:pt idx="99">
                  <c:v>5015591.000000</c:v>
                </c:pt>
                <c:pt idx="100">
                  <c:v>4981601.000000</c:v>
                </c:pt>
                <c:pt idx="101">
                  <c:v>5095564.000000</c:v>
                </c:pt>
                <c:pt idx="102">
                  <c:v>5113006.000000</c:v>
                </c:pt>
                <c:pt idx="103">
                  <c:v>4928542.000000</c:v>
                </c:pt>
                <c:pt idx="104">
                  <c:v>5845655.000000</c:v>
                </c:pt>
                <c:pt idx="105">
                  <c:v>6966795.000000</c:v>
                </c:pt>
                <c:pt idx="106">
                  <c:v>30010849.000000</c:v>
                </c:pt>
                <c:pt idx="107">
                  <c:v>27351662.000000</c:v>
                </c:pt>
                <c:pt idx="108">
                  <c:v>23851662.000000</c:v>
                </c:pt>
                <c:pt idx="109">
                  <c:v>20351662.000000</c:v>
                </c:pt>
                <c:pt idx="110">
                  <c:v>16851662.000000</c:v>
                </c:pt>
                <c:pt idx="111">
                  <c:v>13351662.000000</c:v>
                </c:pt>
              </c:numCache>
            </c:numRef>
          </c:val>
          <c:smooth val="0"/>
        </c:ser>
        <c:ser>
          <c:idx val="8"/>
          <c:order val="8"/>
          <c:tx>
            <c:strRef>
              <c:f>'net worth - Table 1-2-1'!$F$1</c:f>
              <c:strCache>
                <c:ptCount val="1"/>
                <c:pt idx="0">
                  <c:v>deuda tc</c:v>
                </c:pt>
              </c:strCache>
            </c:strRef>
          </c:tx>
          <c:spPr>
            <a:solidFill>
              <a:srgbClr val="FFFFFF"/>
            </a:solidFill>
            <a:ln w="19050" cap="flat">
              <a:solidFill>
                <a:srgbClr val="EC4613">
                  <a:alpha val="39154"/>
                </a:srgbClr>
              </a:solidFill>
              <a:prstDash val="solid"/>
              <a:miter lim="400000"/>
            </a:ln>
            <a:effectLst/>
          </c:spPr>
          <c:marker>
            <c:symbol val="none"/>
            <c:size val="4"/>
            <c:spPr>
              <a:solidFill>
                <a:srgbClr val="FFFFFF"/>
              </a:solidFill>
              <a:ln w="50800" cap="flat">
                <a:solidFill>
                  <a:srgbClr val="80C855"/>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1-3'!$A$3:$A$114,'net worth - Table 1-3'!$A$113:$A$114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1-2-1'!$F$2:$F$113</c:f>
              <c:numCache>
                <c:ptCount val="31"/>
                <c:pt idx="81">
                  <c:v>0.000000</c:v>
                </c:pt>
                <c:pt idx="82">
                  <c:v>0.000000</c:v>
                </c:pt>
                <c:pt idx="83">
                  <c:v>0.000000</c:v>
                </c:pt>
                <c:pt idx="84">
                  <c:v>0.000000</c:v>
                </c:pt>
                <c:pt idx="85">
                  <c:v>0.000000</c:v>
                </c:pt>
                <c:pt idx="86">
                  <c:v>0.000000</c:v>
                </c:pt>
                <c:pt idx="87">
                  <c:v>0.000000</c:v>
                </c:pt>
                <c:pt idx="88">
                  <c:v>0.000000</c:v>
                </c:pt>
                <c:pt idx="89">
                  <c:v>0.000000</c:v>
                </c:pt>
                <c:pt idx="90">
                  <c:v>0.000000</c:v>
                </c:pt>
                <c:pt idx="91">
                  <c:v>0.000000</c:v>
                </c:pt>
                <c:pt idx="92">
                  <c:v>0.000000</c:v>
                </c:pt>
                <c:pt idx="93">
                  <c:v>5570207.000000</c:v>
                </c:pt>
                <c:pt idx="94">
                  <c:v>4870207.000000</c:v>
                </c:pt>
                <c:pt idx="95">
                  <c:v>4170207.000000</c:v>
                </c:pt>
                <c:pt idx="96">
                  <c:v>3970423.000000</c:v>
                </c:pt>
                <c:pt idx="97">
                  <c:v>3470207.000000</c:v>
                </c:pt>
                <c:pt idx="98">
                  <c:v>2998443.000000</c:v>
                </c:pt>
                <c:pt idx="99">
                  <c:v>2765960.000000</c:v>
                </c:pt>
                <c:pt idx="100">
                  <c:v>5824709.000000</c:v>
                </c:pt>
                <c:pt idx="101">
                  <c:v>5096529.000000</c:v>
                </c:pt>
                <c:pt idx="102">
                  <c:v>6776991.000000</c:v>
                </c:pt>
                <c:pt idx="103">
                  <c:v>6121064.000000</c:v>
                </c:pt>
                <c:pt idx="104">
                  <c:v>5741896.000000</c:v>
                </c:pt>
                <c:pt idx="105">
                  <c:v>5138899.000000</c:v>
                </c:pt>
                <c:pt idx="106">
                  <c:v>4845217.000000</c:v>
                </c:pt>
                <c:pt idx="107">
                  <c:v>4399322.000000</c:v>
                </c:pt>
                <c:pt idx="108">
                  <c:v>3910057.000000</c:v>
                </c:pt>
                <c:pt idx="109">
                  <c:v>3462440.000000</c:v>
                </c:pt>
                <c:pt idx="110">
                  <c:v>3109580.000000</c:v>
                </c:pt>
                <c:pt idx="111">
                  <c:v>2790064.000000</c:v>
                </c:pt>
              </c:numCache>
            </c:numRef>
          </c:val>
          <c:smooth val="0"/>
        </c:ser>
        <c:ser>
          <c:idx val="9"/>
          <c:order val="9"/>
          <c:tx>
            <c:strRef>
              <c:f>'net worth - Table 1-2-1'!$G$1</c:f>
              <c:strCache>
                <c:ptCount val="1"/>
                <c:pt idx="0">
                  <c:v>deuda hip</c:v>
                </c:pt>
              </c:strCache>
            </c:strRef>
          </c:tx>
          <c:spPr>
            <a:solidFill>
              <a:srgbClr val="FFFFFF"/>
            </a:solidFill>
            <a:ln w="50800" cap="flat">
              <a:solidFill>
                <a:srgbClr val="EC4613">
                  <a:alpha val="55650"/>
                </a:srgbClr>
              </a:solidFill>
              <a:prstDash val="solid"/>
              <a:miter lim="400000"/>
            </a:ln>
            <a:effectLst/>
          </c:spPr>
          <c:marker>
            <c:symbol val="none"/>
            <c:size val="4"/>
            <c:spPr>
              <a:solidFill>
                <a:srgbClr val="FFFFFF"/>
              </a:solidFill>
              <a:ln w="50800" cap="flat">
                <a:solidFill>
                  <a:srgbClr val="80C855">
                    <a:alpha val="49958"/>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1-3'!$A$3:$A$114,'net worth - Table 1-3'!$A$113:$A$114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1-2-1'!$G$2:$G$113</c:f>
              <c:numCache>
                <c:ptCount val="31"/>
                <c:pt idx="81">
                  <c:v>0.000000</c:v>
                </c:pt>
                <c:pt idx="82">
                  <c:v>146632532.000000</c:v>
                </c:pt>
                <c:pt idx="83">
                  <c:v>148537645.000000</c:v>
                </c:pt>
                <c:pt idx="84">
                  <c:v>148507657.000000</c:v>
                </c:pt>
                <c:pt idx="85">
                  <c:v>146514662.000000</c:v>
                </c:pt>
                <c:pt idx="86">
                  <c:v>144080221.000000</c:v>
                </c:pt>
                <c:pt idx="87">
                  <c:v>142677909.000000</c:v>
                </c:pt>
                <c:pt idx="88">
                  <c:v>140667010.000000</c:v>
                </c:pt>
                <c:pt idx="89">
                  <c:v>118820206.000000</c:v>
                </c:pt>
                <c:pt idx="90">
                  <c:v>117412648.000000</c:v>
                </c:pt>
                <c:pt idx="91">
                  <c:v>117412648.000000</c:v>
                </c:pt>
                <c:pt idx="92">
                  <c:v>96843989.000000</c:v>
                </c:pt>
                <c:pt idx="93">
                  <c:v>96174107.000000</c:v>
                </c:pt>
                <c:pt idx="94">
                  <c:v>95491654.000000</c:v>
                </c:pt>
                <c:pt idx="95">
                  <c:v>94826483.000000</c:v>
                </c:pt>
                <c:pt idx="96">
                  <c:v>93886625.000000</c:v>
                </c:pt>
                <c:pt idx="97">
                  <c:v>93663876.000000</c:v>
                </c:pt>
                <c:pt idx="98">
                  <c:v>93199928.000000</c:v>
                </c:pt>
                <c:pt idx="99">
                  <c:v>92791278.000000</c:v>
                </c:pt>
                <c:pt idx="100">
                  <c:v>92808548.000000</c:v>
                </c:pt>
                <c:pt idx="101">
                  <c:v>92440135.000000</c:v>
                </c:pt>
                <c:pt idx="102">
                  <c:v>91930444.000000</c:v>
                </c:pt>
                <c:pt idx="103">
                  <c:v>91879790.000000</c:v>
                </c:pt>
                <c:pt idx="104">
                  <c:v>91041308.000000</c:v>
                </c:pt>
                <c:pt idx="105">
                  <c:v>78767080.000000</c:v>
                </c:pt>
                <c:pt idx="106">
                  <c:v>76484318.791860</c:v>
                </c:pt>
                <c:pt idx="107">
                  <c:v>74539845.311715</c:v>
                </c:pt>
                <c:pt idx="108">
                  <c:v>72745289.738784</c:v>
                </c:pt>
                <c:pt idx="109">
                  <c:v>72012214.145908</c:v>
                </c:pt>
                <c:pt idx="110">
                  <c:v>71441083.497574</c:v>
                </c:pt>
                <c:pt idx="111">
                  <c:v>70801680.793481</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5e+07"/>
          <c:min val="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328337"/>
          <c:y val="0"/>
          <c:w val="0.967166"/>
          <c:h val="0.105481"/>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3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41567"/>
          <c:y val="0.126667"/>
          <c:w val="0.835443"/>
          <c:h val="0.809167"/>
        </c:manualLayout>
      </c:layout>
      <c:barChart>
        <c:barDir val="col"/>
        <c:grouping val="clustered"/>
        <c:varyColors val="0"/>
        <c:ser>
          <c:idx val="0"/>
          <c:order val="0"/>
          <c:tx>
            <c:strRef>
              <c:f>'net worth - Table 1-1'!$C$1</c:f>
              <c:strCache>
                <c:ptCount val="1"/>
                <c:pt idx="0">
                  <c:v>∆</c:v>
                </c:pt>
              </c:strCache>
            </c:strRef>
          </c:tx>
          <c:spPr>
            <a:solidFill>
              <a:schemeClr val="accent1">
                <a:satOff val="11152"/>
                <a:lumOff val="9508"/>
                <a:alpha val="48456"/>
              </a:schemeClr>
            </a:solidFill>
            <a:ln w="12700" cap="flat">
              <a:noFill/>
              <a:miter lim="400000"/>
            </a:ln>
            <a:effectLst/>
          </c:spPr>
          <c:invertIfNegative val="0"/>
          <c:dLbls>
            <c:numFmt formatCode="[&l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50800" cap="flat">
                <a:solidFill>
                  <a:srgbClr val="4883A3"/>
                </a:solidFill>
                <a:prstDash val="solid"/>
                <a:miter lim="400000"/>
              </a:ln>
              <a:effectLst/>
            </c:spPr>
            <c:trendlineType val="movingAvg"/>
            <c:period val="3"/>
            <c:forward val="0"/>
            <c:backward val="0"/>
            <c:dispRSqr val="0"/>
            <c:dispEq val="0"/>
          </c:trendline>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1-1'!$C$2:$C$113</c:f>
              <c:numCache>
                <c:ptCount val="112"/>
                <c:pt idx="0">
                  <c:v>4252594.618636</c:v>
                </c:pt>
                <c:pt idx="1">
                  <c:v>183234.048031</c:v>
                </c:pt>
                <c:pt idx="2">
                  <c:v>194784.632085</c:v>
                </c:pt>
                <c:pt idx="3">
                  <c:v>492299.088377</c:v>
                </c:pt>
                <c:pt idx="4">
                  <c:v>1017656.612872</c:v>
                </c:pt>
                <c:pt idx="5">
                  <c:v>2480255.016381</c:v>
                </c:pt>
                <c:pt idx="6">
                  <c:v>2208700.410779</c:v>
                </c:pt>
                <c:pt idx="7">
                  <c:v>527082.119823</c:v>
                </c:pt>
                <c:pt idx="8">
                  <c:v>62452.571541</c:v>
                </c:pt>
                <c:pt idx="9">
                  <c:v>-613381.531996</c:v>
                </c:pt>
                <c:pt idx="10">
                  <c:v>1662891.180315</c:v>
                </c:pt>
                <c:pt idx="11">
                  <c:v>585132.529656</c:v>
                </c:pt>
                <c:pt idx="12">
                  <c:v>1070573.842553</c:v>
                </c:pt>
                <c:pt idx="13">
                  <c:v>1310545.224329</c:v>
                </c:pt>
                <c:pt idx="14">
                  <c:v>577348.646172</c:v>
                </c:pt>
                <c:pt idx="15">
                  <c:v>595008.118467</c:v>
                </c:pt>
                <c:pt idx="16">
                  <c:v>1000349.740815</c:v>
                </c:pt>
                <c:pt idx="17">
                  <c:v>978496.131164</c:v>
                </c:pt>
                <c:pt idx="18">
                  <c:v>1258710.480250</c:v>
                </c:pt>
                <c:pt idx="19">
                  <c:v>797677.901176</c:v>
                </c:pt>
                <c:pt idx="20">
                  <c:v>1368545.813397</c:v>
                </c:pt>
                <c:pt idx="21">
                  <c:v>2316843.820405</c:v>
                </c:pt>
                <c:pt idx="22">
                  <c:v>2085202.037611</c:v>
                </c:pt>
                <c:pt idx="23">
                  <c:v>1922089.410447</c:v>
                </c:pt>
                <c:pt idx="24">
                  <c:v>2493085.145759</c:v>
                </c:pt>
                <c:pt idx="25">
                  <c:v>2050573.699671</c:v>
                </c:pt>
                <c:pt idx="26">
                  <c:v>1493241.531562</c:v>
                </c:pt>
                <c:pt idx="27">
                  <c:v>1373111.350108</c:v>
                </c:pt>
                <c:pt idx="28">
                  <c:v>1097847.195445</c:v>
                </c:pt>
                <c:pt idx="29">
                  <c:v>3996853.342496</c:v>
                </c:pt>
                <c:pt idx="30">
                  <c:v>1969741.677612</c:v>
                </c:pt>
                <c:pt idx="31">
                  <c:v>3092513.426989</c:v>
                </c:pt>
                <c:pt idx="32">
                  <c:v>-1022173.097046</c:v>
                </c:pt>
                <c:pt idx="33">
                  <c:v>-2895828.777627</c:v>
                </c:pt>
                <c:pt idx="34">
                  <c:v>3996624.842477</c:v>
                </c:pt>
                <c:pt idx="35">
                  <c:v>900277.772002</c:v>
                </c:pt>
                <c:pt idx="36">
                  <c:v>2047538.241072</c:v>
                </c:pt>
                <c:pt idx="37">
                  <c:v>-223512.696268</c:v>
                </c:pt>
                <c:pt idx="38">
                  <c:v>4057661.053253</c:v>
                </c:pt>
                <c:pt idx="39">
                  <c:v>-3532949.750679</c:v>
                </c:pt>
                <c:pt idx="40">
                  <c:v>256553.068749</c:v>
                </c:pt>
                <c:pt idx="41">
                  <c:v>7379786.518628</c:v>
                </c:pt>
                <c:pt idx="42">
                  <c:v>1117843.981536</c:v>
                </c:pt>
                <c:pt idx="43">
                  <c:v>2753584.353166</c:v>
                </c:pt>
                <c:pt idx="44">
                  <c:v>522279.380429</c:v>
                </c:pt>
                <c:pt idx="45">
                  <c:v>2760067.625713</c:v>
                </c:pt>
                <c:pt idx="46">
                  <c:v>3428041.955785</c:v>
                </c:pt>
                <c:pt idx="47">
                  <c:v>-1457510.422265</c:v>
                </c:pt>
                <c:pt idx="48">
                  <c:v>3097990.764979</c:v>
                </c:pt>
                <c:pt idx="49">
                  <c:v>2868489.353169</c:v>
                </c:pt>
                <c:pt idx="50">
                  <c:v>3789875.000000</c:v>
                </c:pt>
                <c:pt idx="51">
                  <c:v>-233885.000000</c:v>
                </c:pt>
                <c:pt idx="52">
                  <c:v>5438352.000000</c:v>
                </c:pt>
                <c:pt idx="53">
                  <c:v>1864166.000000</c:v>
                </c:pt>
                <c:pt idx="54">
                  <c:v>-1649117.000000</c:v>
                </c:pt>
                <c:pt idx="55">
                  <c:v>-10011902.000000</c:v>
                </c:pt>
                <c:pt idx="56">
                  <c:v>-3070252.000000</c:v>
                </c:pt>
                <c:pt idx="57">
                  <c:v>-1311206.000000</c:v>
                </c:pt>
                <c:pt idx="58">
                  <c:v>-2358039.000000</c:v>
                </c:pt>
                <c:pt idx="59">
                  <c:v>-4875045.000000</c:v>
                </c:pt>
                <c:pt idx="60">
                  <c:v>1727982.000000</c:v>
                </c:pt>
                <c:pt idx="61">
                  <c:v>2858320.000000</c:v>
                </c:pt>
                <c:pt idx="62">
                  <c:v>-3859268.000000</c:v>
                </c:pt>
                <c:pt idx="63">
                  <c:v>-2708476.000000</c:v>
                </c:pt>
                <c:pt idx="64">
                  <c:v>1937093.000000</c:v>
                </c:pt>
                <c:pt idx="65">
                  <c:v>146284.000000</c:v>
                </c:pt>
                <c:pt idx="66">
                  <c:v>-1926744.000000</c:v>
                </c:pt>
                <c:pt idx="67">
                  <c:v>3213454.000000</c:v>
                </c:pt>
                <c:pt idx="68">
                  <c:v>2258999.000000</c:v>
                </c:pt>
                <c:pt idx="69">
                  <c:v>1239936.000000</c:v>
                </c:pt>
                <c:pt idx="70">
                  <c:v>1339980.000000</c:v>
                </c:pt>
                <c:pt idx="71">
                  <c:v>3539605.000000</c:v>
                </c:pt>
                <c:pt idx="72">
                  <c:v>3945636.000000</c:v>
                </c:pt>
                <c:pt idx="73">
                  <c:v>5776095.000000</c:v>
                </c:pt>
                <c:pt idx="74">
                  <c:v>-509445.850297</c:v>
                </c:pt>
                <c:pt idx="75">
                  <c:v>666788.228890</c:v>
                </c:pt>
                <c:pt idx="76">
                  <c:v>-772478.846065</c:v>
                </c:pt>
                <c:pt idx="77">
                  <c:v>4377924.411438</c:v>
                </c:pt>
                <c:pt idx="78">
                  <c:v>5746135.209781</c:v>
                </c:pt>
                <c:pt idx="79">
                  <c:v>34245275.846254</c:v>
                </c:pt>
                <c:pt idx="80">
                  <c:v>22941773.000000</c:v>
                </c:pt>
                <c:pt idx="81">
                  <c:v>10006451.000000</c:v>
                </c:pt>
                <c:pt idx="82">
                  <c:v>-9458892.000000</c:v>
                </c:pt>
                <c:pt idx="83">
                  <c:v>1007231.000000</c:v>
                </c:pt>
                <c:pt idx="84">
                  <c:v>8968197.000000</c:v>
                </c:pt>
                <c:pt idx="85">
                  <c:v>6716720.000000</c:v>
                </c:pt>
                <c:pt idx="86">
                  <c:v>3159175.000000</c:v>
                </c:pt>
                <c:pt idx="87">
                  <c:v>10299699.000000</c:v>
                </c:pt>
                <c:pt idx="88">
                  <c:v>13190097.000000</c:v>
                </c:pt>
                <c:pt idx="89">
                  <c:v>14298499.000000</c:v>
                </c:pt>
                <c:pt idx="90">
                  <c:v>11608342.000000</c:v>
                </c:pt>
                <c:pt idx="91">
                  <c:v>16810304.000000</c:v>
                </c:pt>
                <c:pt idx="92">
                  <c:v>-30128069.000000</c:v>
                </c:pt>
                <c:pt idx="93">
                  <c:v>-9546958.600000</c:v>
                </c:pt>
                <c:pt idx="94">
                  <c:v>2622171.600000</c:v>
                </c:pt>
                <c:pt idx="95">
                  <c:v>5938051.000000</c:v>
                </c:pt>
                <c:pt idx="96">
                  <c:v>3573250.750000</c:v>
                </c:pt>
                <c:pt idx="97">
                  <c:v>3296814.250000</c:v>
                </c:pt>
                <c:pt idx="98">
                  <c:v>3069621.000000</c:v>
                </c:pt>
                <c:pt idx="99">
                  <c:v>6534125.000000</c:v>
                </c:pt>
                <c:pt idx="100">
                  <c:v>-681927.000000</c:v>
                </c:pt>
                <c:pt idx="101">
                  <c:v>402605.000000</c:v>
                </c:pt>
                <c:pt idx="102">
                  <c:v>-1114660.000000</c:v>
                </c:pt>
                <c:pt idx="103">
                  <c:v>785570.000000</c:v>
                </c:pt>
                <c:pt idx="104">
                  <c:v>2252720.000000</c:v>
                </c:pt>
                <c:pt idx="105">
                  <c:v>14614065.000000</c:v>
                </c:pt>
                <c:pt idx="106">
                  <c:v>31829238.208140</c:v>
                </c:pt>
                <c:pt idx="107">
                  <c:v>2887918.480145</c:v>
                </c:pt>
                <c:pt idx="108">
                  <c:v>2158242.818480</c:v>
                </c:pt>
                <c:pt idx="109">
                  <c:v>-2266924.407125</c:v>
                </c:pt>
                <c:pt idx="110">
                  <c:v>-2217160.890018</c:v>
                </c:pt>
                <c:pt idx="111">
                  <c:v>-1454071.049329</c:v>
                </c:pt>
              </c:numCache>
            </c:numRef>
          </c:val>
        </c:ser>
        <c:gapWidth val="40"/>
        <c:overlap val="-10"/>
        <c:axId val="2094734552"/>
        <c:axId val="2094734553"/>
      </c:barChart>
      <c:catAx>
        <c:axId val="2094734552"/>
        <c:scaling>
          <c:orientation val="minMax"/>
        </c:scaling>
        <c:delete val="0"/>
        <c:axPos val="b"/>
        <c:numFmt formatCode="[&l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5e+07"/>
          <c:min val="-1e+07"/>
        </c:scaling>
        <c:delete val="0"/>
        <c:axPos val="l"/>
        <c:majorGridlines>
          <c:spPr>
            <a:ln w="3175" cap="flat">
              <a:solidFill>
                <a:srgbClr val="B8B8B8"/>
              </a:solidFill>
              <a:prstDash val="solid"/>
              <a:miter lim="400000"/>
            </a:ln>
          </c:spPr>
        </c:majorGridlines>
        <c:numFmt formatCode="[&l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between"/>
      </c:valAx>
      <c:spPr>
        <a:noFill/>
        <a:ln w="12700" cap="flat">
          <a:noFill/>
          <a:miter lim="400000"/>
        </a:ln>
        <a:effectLst/>
      </c:spPr>
    </c:plotArea>
    <c:legend>
      <c:legendPos val="t"/>
      <c:layout>
        <c:manualLayout>
          <c:xMode val="edge"/>
          <c:yMode val="edge"/>
          <c:x val="0.131626"/>
          <c:y val="0"/>
          <c:w val="0.798831"/>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3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25925"/>
          <c:y val="0.0931575"/>
          <c:w val="0.756187"/>
          <c:h val="0.843012"/>
        </c:manualLayout>
      </c:layout>
      <c:lineChart>
        <c:grouping val="standard"/>
        <c:varyColors val="0"/>
        <c:ser>
          <c:idx val="0"/>
          <c:order val="0"/>
          <c:tx>
            <c:strRef>
              <c:f>'net worth - Table 1-2-1'!$C$1</c:f>
              <c:strCache>
                <c:ptCount val="1"/>
                <c:pt idx="0">
                  <c:v>cuenta corriente</c:v>
                </c:pt>
              </c:strCache>
            </c:strRef>
          </c:tx>
          <c:spPr>
            <a:solidFill>
              <a:srgbClr val="D16157"/>
            </a:solidFill>
            <a:ln w="50800" cap="flat">
              <a:solidFill>
                <a:srgbClr val="F97368">
                  <a:alpha val="75666"/>
                </a:srgbClr>
              </a:solidFill>
              <a:prstDash val="solid"/>
              <a:miter lim="400000"/>
            </a:ln>
            <a:effectLst/>
          </c:spPr>
          <c:marker>
            <c:symbol val="circle"/>
            <c:size val="3"/>
            <c:spPr>
              <a:solidFill>
                <a:srgbClr val="D16157"/>
              </a:solidFill>
              <a:ln w="1143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1-2-1'!$A$2:$A$106</c:f>
              <c:strCache>
                <c:ptCount val="12"/>
                <c:pt idx="0">
                  <c:v>Oct 25</c:v>
                </c:pt>
                <c:pt idx="1">
                  <c:v>Nov 25</c:v>
                </c:pt>
                <c:pt idx="2">
                  <c:v>Dec 25</c:v>
                </c:pt>
                <c:pt idx="3">
                  <c:v>Jan 26</c:v>
                </c:pt>
                <c:pt idx="4">
                  <c:v>Feb 26</c:v>
                </c:pt>
                <c:pt idx="5">
                  <c:v/>
                </c:pt>
                <c:pt idx="6">
                  <c:v/>
                </c:pt>
                <c:pt idx="7">
                  <c:v/>
                </c:pt>
                <c:pt idx="8">
                  <c:v/>
                </c:pt>
                <c:pt idx="9">
                  <c:v/>
                </c:pt>
                <c:pt idx="10">
                  <c:v/>
                </c:pt>
                <c:pt idx="11">
                  <c:v/>
                </c:pt>
              </c:strCache>
            </c:strRef>
          </c:cat>
          <c:val>
            <c:numRef>
              <c:f>'net worth - Table 1-2-1'!$C$2:$C$113</c:f>
              <c:numCache>
                <c:ptCount val="12"/>
                <c:pt idx="0">
                  <c:v>0.000000</c:v>
                </c:pt>
                <c:pt idx="1">
                  <c:v>0.000000</c:v>
                </c:pt>
                <c:pt idx="2">
                  <c:v>0.000000</c:v>
                </c:pt>
                <c:pt idx="3">
                  <c:v>0.000000</c:v>
                </c:pt>
                <c:pt idx="4">
                  <c:v>0.000000</c:v>
                </c:pt>
                <c:pt idx="5">
                  <c:v>0.000000</c:v>
                </c:pt>
                <c:pt idx="6">
                  <c:v>50000.000000</c:v>
                </c:pt>
                <c:pt idx="7">
                  <c:v>280744.000000</c:v>
                </c:pt>
                <c:pt idx="8">
                  <c:v>280744.000000</c:v>
                </c:pt>
                <c:pt idx="9">
                  <c:v>280744.000000</c:v>
                </c:pt>
                <c:pt idx="10">
                  <c:v>280744.000000</c:v>
                </c:pt>
                <c:pt idx="11">
                  <c:v>280744.000000</c:v>
                </c:pt>
              </c:numCache>
            </c:numRef>
          </c:val>
          <c:smooth val="0"/>
        </c:ser>
        <c:ser>
          <c:idx val="1"/>
          <c:order val="1"/>
          <c:tx>
            <c:strRef>
              <c:f>'net worth - Table 1-2-1'!$D$1</c:f>
              <c:strCache>
                <c:ptCount val="1"/>
                <c:pt idx="0">
                  <c:v>reserva</c:v>
                </c:pt>
              </c:strCache>
            </c:strRef>
          </c:tx>
          <c:spPr>
            <a:solidFill>
              <a:srgbClr val="72A84B"/>
            </a:solidFill>
            <a:ln w="50800" cap="flat">
              <a:solidFill>
                <a:srgbClr val="78CC47">
                  <a:alpha val="50000"/>
                </a:srgbClr>
              </a:solidFill>
              <a:prstDash val="solid"/>
              <a:miter lim="400000"/>
            </a:ln>
            <a:effectLst/>
          </c:spPr>
          <c:marker>
            <c:symbol val="circle"/>
            <c:size val="4"/>
            <c:spPr>
              <a:solidFill>
                <a:srgbClr val="72A84B"/>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1-2-1'!$A$2:$A$106</c:f>
              <c:strCache>
                <c:ptCount val="12"/>
                <c:pt idx="0">
                  <c:v>Oct 25</c:v>
                </c:pt>
                <c:pt idx="1">
                  <c:v>Nov 25</c:v>
                </c:pt>
                <c:pt idx="2">
                  <c:v>Dec 25</c:v>
                </c:pt>
                <c:pt idx="3">
                  <c:v>Jan 26</c:v>
                </c:pt>
                <c:pt idx="4">
                  <c:v>Feb 26</c:v>
                </c:pt>
                <c:pt idx="5">
                  <c:v/>
                </c:pt>
                <c:pt idx="6">
                  <c:v/>
                </c:pt>
                <c:pt idx="7">
                  <c:v/>
                </c:pt>
                <c:pt idx="8">
                  <c:v/>
                </c:pt>
                <c:pt idx="9">
                  <c:v/>
                </c:pt>
                <c:pt idx="10">
                  <c:v/>
                </c:pt>
                <c:pt idx="11">
                  <c:v/>
                </c:pt>
              </c:strCache>
            </c:strRef>
          </c:cat>
          <c:val>
            <c:numRef>
              <c:f>'net worth - Table 1-2-1'!$D$2:$D$113</c:f>
              <c:numCache>
                <c:ptCount val="12"/>
                <c:pt idx="0">
                  <c:v>-1316399.000000</c:v>
                </c:pt>
                <c:pt idx="1">
                  <c:v>-141123.000000</c:v>
                </c:pt>
                <c:pt idx="2">
                  <c:v>-1645628.000000</c:v>
                </c:pt>
                <c:pt idx="3">
                  <c:v>18610.000000</c:v>
                </c:pt>
                <c:pt idx="4">
                  <c:v>245877.000000</c:v>
                </c:pt>
                <c:pt idx="5">
                  <c:v>1880927.000000</c:v>
                </c:pt>
                <c:pt idx="6">
                  <c:v>20268684.000000</c:v>
                </c:pt>
                <c:pt idx="7">
                  <c:v>17512018.000000</c:v>
                </c:pt>
                <c:pt idx="8">
                  <c:v>17512018.000000</c:v>
                </c:pt>
                <c:pt idx="9">
                  <c:v>17512018.000000</c:v>
                </c:pt>
                <c:pt idx="10">
                  <c:v>17512018.000000</c:v>
                </c:pt>
                <c:pt idx="11">
                  <c:v>17512018.000000</c:v>
                </c:pt>
              </c:numCache>
            </c:numRef>
          </c:val>
          <c:smooth val="0"/>
        </c:ser>
        <c:ser>
          <c:idx val="2"/>
          <c:order val="2"/>
          <c:tx>
            <c:strRef>
              <c:f>'net worth - Table 1-2-1'!$E$1</c:f>
              <c:strCache>
                <c:ptCount val="1"/>
                <c:pt idx="0">
                  <c:v>Foreign money</c:v>
                </c:pt>
              </c:strCache>
            </c:strRef>
          </c:tx>
          <c:spPr>
            <a:solidFill>
              <a:srgbClr val="FFFFFF"/>
            </a:solidFill>
            <a:ln w="50800" cap="flat">
              <a:solidFill>
                <a:srgbClr val="6FC041"/>
              </a:solidFill>
              <a:prstDash val="solid"/>
              <a:miter lim="400000"/>
            </a:ln>
            <a:effectLst/>
          </c:spPr>
          <c:marker>
            <c:symbol val="none"/>
            <c:size val="4"/>
            <c:spPr>
              <a:solidFill>
                <a:srgbClr val="FFFFFF"/>
              </a:solidFill>
              <a:ln w="50800" cap="flat">
                <a:solidFill>
                  <a:srgbClr val="6FC041"/>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1-2-1'!$A$2:$A$106</c:f>
              <c:strCache>
                <c:ptCount val="12"/>
                <c:pt idx="0">
                  <c:v>Oct 25</c:v>
                </c:pt>
                <c:pt idx="1">
                  <c:v>Nov 25</c:v>
                </c:pt>
                <c:pt idx="2">
                  <c:v>Dec 25</c:v>
                </c:pt>
                <c:pt idx="3">
                  <c:v>Jan 26</c:v>
                </c:pt>
                <c:pt idx="4">
                  <c:v>Feb 26</c:v>
                </c:pt>
                <c:pt idx="5">
                  <c:v/>
                </c:pt>
                <c:pt idx="6">
                  <c:v/>
                </c:pt>
                <c:pt idx="7">
                  <c:v/>
                </c:pt>
                <c:pt idx="8">
                  <c:v/>
                </c:pt>
                <c:pt idx="9">
                  <c:v/>
                </c:pt>
                <c:pt idx="10">
                  <c:v/>
                </c:pt>
                <c:pt idx="11">
                  <c:v/>
                </c:pt>
              </c:strCache>
            </c:strRef>
          </c:cat>
          <c:val>
            <c:numRef>
              <c:f>'net worth - Table 1-2-1'!$E$2:$E$113</c:f>
              <c:numCache>
                <c:ptCount val="0"/>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e+07"/>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0449194"/>
          <c:y val="0"/>
          <c:w val="0.917379"/>
          <c:h val="0.0660646"/>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3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45427"/>
          <c:y val="0.125413"/>
          <c:w val="0.831721"/>
          <c:h val="0.810932"/>
        </c:manualLayout>
      </c:layout>
      <c:barChart>
        <c:barDir val="col"/>
        <c:grouping val="clustered"/>
        <c:varyColors val="0"/>
        <c:ser>
          <c:idx val="2"/>
          <c:order val="0"/>
          <c:tx>
            <c:strRef>
              <c:f>'net worth - Table 1-3'!$BL$1:$BL$2</c:f>
              <c:strCache/>
            </c:strRef>
          </c:tx>
          <c:spPr>
            <a:solidFill>
              <a:srgbClr val="BFEAD2">
                <a:alpha val="60809"/>
              </a:srgbClr>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50800" cap="flat">
                <a:solidFill>
                  <a:srgbClr val="ACD2BD"/>
                </a:solidFill>
                <a:prstDash val="solid"/>
                <a:miter lim="400000"/>
              </a:ln>
              <a:effectLst/>
            </c:spPr>
            <c:trendlineType val="movingAvg"/>
            <c:period val="3"/>
            <c:forward val="0"/>
            <c:backward val="0"/>
            <c:dispRSqr val="0"/>
            <c:dispEq val="0"/>
          </c:trendline>
          <c:cat>
            <c:strRef>
              <c:f>'net worth - resumen | depósitos'!$A$3:$A$114</c:f>
              <c:strCache>
                <c:ptCount val="0"/>
              </c:strCache>
            </c:strRef>
          </c:cat>
          <c:val>
            <c:numRef>
              <c:f>'net worth - Table 1-3'!$BL$3:$BL$114</c:f>
              <c:numCache>
                <c:ptCount val="0"/>
              </c:numCache>
            </c:numRef>
          </c:val>
        </c:ser>
        <c:gapWidth val="150"/>
        <c:overlap val="-10"/>
        <c:axId val="2094734552"/>
        <c:axId val="2094734553"/>
      </c:barChart>
      <c:lineChart>
        <c:grouping val="standard"/>
        <c:varyColors val="0"/>
        <c:ser>
          <c:idx val="0"/>
          <c:order val="1"/>
          <c:tx>
            <c:strRef>
              <c:f>'net worth - resumen | depósitos'!$R$2</c:f>
              <c:strCache/>
            </c:strRef>
          </c:tx>
          <c:spPr>
            <a:solidFill>
              <a:srgbClr val="FB573E">
                <a:alpha val="84692"/>
              </a:srgbClr>
            </a:solidFill>
            <a:ln w="25400" cap="flat">
              <a:solidFill>
                <a:srgbClr val="FB573E">
                  <a:alpha val="24170"/>
                </a:srgbClr>
              </a:solidFill>
              <a:prstDash val="solid"/>
              <a:miter lim="400000"/>
            </a:ln>
            <a:effectLst/>
          </c:spPr>
          <c:marker>
            <c:symbol val="circle"/>
            <c:size val="2"/>
            <c:spPr>
              <a:solidFill>
                <a:srgbClr val="FB573E">
                  <a:alpha val="84692"/>
                </a:srgbClr>
              </a:solidFill>
              <a:ln w="50800" cap="flat">
                <a:noFill/>
                <a:miter lim="400000"/>
              </a:ln>
              <a:effectLst/>
            </c:spPr>
          </c:marke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trendline>
            <c:spPr>
              <a:noFill/>
              <a:ln w="50800" cap="flat">
                <a:solidFill>
                  <a:srgbClr val="FB4912"/>
                </a:solidFill>
                <a:prstDash val="solid"/>
                <a:miter lim="400000"/>
              </a:ln>
              <a:effectLst/>
            </c:spPr>
            <c:trendlineType val="movingAvg"/>
            <c:period val="3"/>
            <c:forward val="0"/>
            <c:backward val="0"/>
            <c:dispRSqr val="0"/>
            <c:dispEq val="0"/>
          </c:trendline>
          <c:cat>
            <c:strRef>
              <c:f>'net worth - resumen | depósitos'!$A$3:$A$114</c:f>
              <c:strCache>
                <c:ptCount val="0"/>
              </c:strCache>
            </c:strRef>
          </c:cat>
          <c:val>
            <c:numRef>
              <c:f>'net worth - resumen | depósitos'!$R$3:$R$114</c:f>
              <c:numCache>
                <c:ptCount val="0"/>
              </c:numCache>
            </c:numRef>
          </c:val>
          <c:smooth val="0"/>
        </c:ser>
        <c:ser>
          <c:idx val="1"/>
          <c:order val="2"/>
          <c:tx>
            <c:strRef>
              <c:f>'net worth - Table 1-1'!$C$1</c:f>
              <c:strCache/>
            </c:strRef>
          </c:tx>
          <c:spPr>
            <a:solidFill>
              <a:srgbClr val="4D8BAD">
                <a:alpha val="89948"/>
              </a:srgbClr>
            </a:solidFill>
            <a:ln w="25400" cap="flat">
              <a:solidFill>
                <a:schemeClr val="accent1">
                  <a:satOff val="11152"/>
                  <a:lumOff val="9508"/>
                  <a:alpha val="48456"/>
                </a:schemeClr>
              </a:solidFill>
              <a:prstDash val="solid"/>
              <a:miter lim="400000"/>
            </a:ln>
            <a:effectLst/>
          </c:spPr>
          <c:marker>
            <c:symbol val="circle"/>
            <c:size val="2"/>
            <c:spPr>
              <a:solidFill>
                <a:srgbClr val="4D8BAD">
                  <a:alpha val="89948"/>
                </a:srgbClr>
              </a:solidFill>
              <a:ln w="12700" cap="flat">
                <a:noFill/>
                <a:miter lim="400000"/>
              </a:ln>
              <a:effectLst/>
            </c:spPr>
          </c:marker>
          <c:dLbls>
            <c:numFmt formatCode="[&l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trendline>
            <c:spPr>
              <a:noFill/>
              <a:ln w="50800" cap="flat">
                <a:solidFill>
                  <a:srgbClr val="4883A3"/>
                </a:solidFill>
                <a:prstDash val="solid"/>
                <a:miter lim="400000"/>
              </a:ln>
              <a:effectLst/>
            </c:spPr>
            <c:trendlineType val="movingAvg"/>
            <c:period val="3"/>
            <c:forward val="0"/>
            <c:backward val="0"/>
            <c:dispRSqr val="0"/>
            <c:dispEq val="0"/>
          </c:trendline>
          <c:cat>
            <c:strRef>
              <c:f>'net worth - resumen | depósitos'!$A$3:$A$114</c:f>
              <c:strCache>
                <c:ptCount val="0"/>
              </c:strCache>
            </c:strRef>
          </c:cat>
          <c:val>
            <c:numRef>
              <c:f>'net worth - Table 1-1'!$C$2:$C$113</c:f>
              <c:numCache>
                <c:ptCount val="0"/>
              </c:numCache>
            </c:numRef>
          </c:val>
          <c:smooth val="0"/>
        </c:ser>
        <c:marker val="1"/>
        <c:axId val="2094734552"/>
        <c:axId val="2094734553"/>
      </c:lineChart>
      <c:catAx>
        <c:axId val="2094734552"/>
        <c:scaling>
          <c:orientation val="minMax"/>
        </c:scaling>
        <c:delete val="0"/>
        <c:axPos val="b"/>
        <c:majorGridlines>
          <c:spPr>
            <a:ln w="9525" cap="flat">
              <a:solidFill>
                <a:srgbClr val="000000">
                  <a:alpha val="16804"/>
                </a:srgbClr>
              </a:solidFill>
              <a:custDash>
                <a:ds d="200000" sp="200000"/>
              </a:custDash>
              <a:miter lim="400000"/>
            </a:ln>
          </c:spPr>
        </c:majorGridlines>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5e+07"/>
          <c:min val="-1e+07"/>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between"/>
      </c:valAx>
      <c:spPr>
        <a:noFill/>
        <a:ln w="12700" cap="flat">
          <a:noFill/>
          <a:miter lim="400000"/>
        </a:ln>
        <a:effectLst/>
      </c:spPr>
    </c:plotArea>
    <c:legend>
      <c:legendPos val="t"/>
      <c:layout>
        <c:manualLayout>
          <c:xMode val="edge"/>
          <c:yMode val="edge"/>
          <c:x val="0.140369"/>
          <c:y val="0"/>
          <c:w val="0.807"/>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3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99111"/>
          <c:y val="0.109676"/>
          <c:w val="0.636511"/>
          <c:h val="0.825847"/>
        </c:manualLayout>
      </c:layout>
      <c:lineChart>
        <c:grouping val="standard"/>
        <c:varyColors val="0"/>
        <c:ser>
          <c:idx val="0"/>
          <c:order val="0"/>
          <c:tx>
            <c:strRef>
              <c:f>'net worth - Table 1-3'!$B$1</c:f>
              <c:strCache>
                <c:ptCount val="1"/>
                <c:pt idx="0">
                  <c:v>Total</c:v>
                </c:pt>
              </c:strCache>
            </c:strRef>
          </c:tx>
          <c:spPr>
            <a:solidFill>
              <a:srgbClr val="FFFFFF"/>
            </a:solidFill>
            <a:ln w="50800" cap="flat">
              <a:solidFill>
                <a:srgbClr val="C3E5F9"/>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1-3'!$A$3:$A$113,'net worth - Table 1-3'!$A$93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Dec 24</c:v>
                </c:pt>
              </c:strCache>
            </c:strRef>
          </c:cat>
          <c:val>
            <c:numRef>
              <c:f>'net worth - Table 1-3'!$B$3:$B$114</c:f>
              <c:numCache>
                <c:ptCount val="112"/>
                <c:pt idx="0">
                  <c:v>1126087.618636</c:v>
                </c:pt>
                <c:pt idx="1">
                  <c:v>1256133.666667</c:v>
                </c:pt>
                <c:pt idx="2">
                  <c:v>1397706.298751</c:v>
                </c:pt>
                <c:pt idx="3">
                  <c:v>1536699.387128</c:v>
                </c:pt>
                <c:pt idx="4">
                  <c:v>1901090.000000</c:v>
                </c:pt>
                <c:pt idx="5">
                  <c:v>2555665.000000</c:v>
                </c:pt>
                <c:pt idx="6">
                  <c:v>2890246.000000</c:v>
                </c:pt>
                <c:pt idx="7">
                  <c:v>3099167.000000</c:v>
                </c:pt>
                <c:pt idx="8">
                  <c:v>3493177.000000</c:v>
                </c:pt>
                <c:pt idx="9">
                  <c:v>3669811.000000</c:v>
                </c:pt>
                <c:pt idx="10">
                  <c:v>4530689.000000</c:v>
                </c:pt>
                <c:pt idx="11">
                  <c:v>4813225.000000</c:v>
                </c:pt>
                <c:pt idx="12">
                  <c:v>5543487.000000</c:v>
                </c:pt>
                <c:pt idx="13">
                  <c:v>6223870.000000</c:v>
                </c:pt>
                <c:pt idx="14">
                  <c:v>7031675.000000</c:v>
                </c:pt>
                <c:pt idx="15">
                  <c:v>7514673.000000</c:v>
                </c:pt>
                <c:pt idx="16">
                  <c:v>7872572.000000</c:v>
                </c:pt>
                <c:pt idx="17">
                  <c:v>8500422.000000</c:v>
                </c:pt>
                <c:pt idx="18">
                  <c:v>9034859.000000</c:v>
                </c:pt>
                <c:pt idx="19">
                  <c:v>9919964.000000</c:v>
                </c:pt>
                <c:pt idx="20">
                  <c:v>11055762.000000</c:v>
                </c:pt>
                <c:pt idx="21">
                  <c:v>12927074.000000</c:v>
                </c:pt>
                <c:pt idx="22">
                  <c:v>14312495.000000</c:v>
                </c:pt>
                <c:pt idx="23">
                  <c:v>15394483.000000</c:v>
                </c:pt>
                <c:pt idx="24">
                  <c:v>17243549.000000</c:v>
                </c:pt>
                <c:pt idx="25">
                  <c:v>19299399.000000</c:v>
                </c:pt>
                <c:pt idx="26">
                  <c:v>20391477.000000</c:v>
                </c:pt>
                <c:pt idx="27">
                  <c:v>21813210.000000</c:v>
                </c:pt>
                <c:pt idx="28">
                  <c:v>22820066.000000</c:v>
                </c:pt>
                <c:pt idx="29">
                  <c:v>26663336.000000</c:v>
                </c:pt>
                <c:pt idx="30">
                  <c:v>28527146.000000</c:v>
                </c:pt>
                <c:pt idx="31">
                  <c:v>30888646.000000</c:v>
                </c:pt>
                <c:pt idx="32">
                  <c:v>29372300.000000</c:v>
                </c:pt>
                <c:pt idx="33">
                  <c:v>27032835.000000</c:v>
                </c:pt>
                <c:pt idx="34">
                  <c:v>30520633.000000</c:v>
                </c:pt>
                <c:pt idx="35">
                  <c:v>31171252.000000</c:v>
                </c:pt>
                <c:pt idx="36">
                  <c:v>32824782.000000</c:v>
                </c:pt>
                <c:pt idx="37">
                  <c:v>32084818.000000</c:v>
                </c:pt>
                <c:pt idx="38">
                  <c:v>35669597.000000</c:v>
                </c:pt>
                <c:pt idx="39">
                  <c:v>32534233.000000</c:v>
                </c:pt>
                <c:pt idx="40">
                  <c:v>32442611.000000</c:v>
                </c:pt>
                <c:pt idx="41">
                  <c:v>38550992.000000</c:v>
                </c:pt>
                <c:pt idx="42">
                  <c:v>38491904.000000</c:v>
                </c:pt>
                <c:pt idx="43">
                  <c:v>40685352.000000</c:v>
                </c:pt>
                <c:pt idx="44">
                  <c:v>40184164.000000</c:v>
                </c:pt>
                <c:pt idx="45">
                  <c:v>40284439.000000</c:v>
                </c:pt>
                <c:pt idx="46">
                  <c:v>41517609.000000</c:v>
                </c:pt>
                <c:pt idx="47">
                  <c:v>41511782.000000</c:v>
                </c:pt>
                <c:pt idx="48">
                  <c:v>44265312.000000</c:v>
                </c:pt>
                <c:pt idx="49">
                  <c:v>45614170.000000</c:v>
                </c:pt>
                <c:pt idx="50">
                  <c:v>47552367.000000</c:v>
                </c:pt>
                <c:pt idx="51">
                  <c:v>47022555.000000</c:v>
                </c:pt>
                <c:pt idx="52">
                  <c:v>50218773.000000</c:v>
                </c:pt>
                <c:pt idx="53">
                  <c:v>52433191.000000</c:v>
                </c:pt>
                <c:pt idx="54">
                  <c:v>53436079.000000</c:v>
                </c:pt>
                <c:pt idx="55">
                  <c:v>46715926.000000</c:v>
                </c:pt>
                <c:pt idx="56">
                  <c:v>48036808.000000</c:v>
                </c:pt>
                <c:pt idx="57">
                  <c:v>50135015.000000</c:v>
                </c:pt>
                <c:pt idx="58">
                  <c:v>48491343.000000</c:v>
                </c:pt>
                <c:pt idx="59">
                  <c:v>47434945.000000</c:v>
                </c:pt>
                <c:pt idx="60">
                  <c:v>49083783.000000</c:v>
                </c:pt>
                <c:pt idx="61">
                  <c:v>51682070.000000</c:v>
                </c:pt>
                <c:pt idx="62">
                  <c:v>49231877.000000</c:v>
                </c:pt>
                <c:pt idx="63">
                  <c:v>47562071.000000</c:v>
                </c:pt>
                <c:pt idx="64">
                  <c:v>49058906.000000</c:v>
                </c:pt>
                <c:pt idx="65">
                  <c:v>50156376.000000</c:v>
                </c:pt>
                <c:pt idx="66">
                  <c:v>47813485.000000</c:v>
                </c:pt>
                <c:pt idx="67">
                  <c:v>49630973.000000</c:v>
                </c:pt>
                <c:pt idx="68">
                  <c:v>51180722.000000</c:v>
                </c:pt>
                <c:pt idx="69">
                  <c:v>51268063.000000</c:v>
                </c:pt>
                <c:pt idx="70">
                  <c:v>52481528.000000</c:v>
                </c:pt>
                <c:pt idx="71">
                  <c:v>55705952.000000</c:v>
                </c:pt>
                <c:pt idx="72">
                  <c:v>58561297.000000</c:v>
                </c:pt>
                <c:pt idx="73">
                  <c:v>64308066.000000</c:v>
                </c:pt>
                <c:pt idx="74">
                  <c:v>64179430.149703</c:v>
                </c:pt>
                <c:pt idx="75">
                  <c:v>64405715.378592</c:v>
                </c:pt>
                <c:pt idx="76">
                  <c:v>63032060.532527</c:v>
                </c:pt>
                <c:pt idx="77">
                  <c:v>66990331.943965</c:v>
                </c:pt>
                <c:pt idx="78">
                  <c:v>72501976.153746</c:v>
                </c:pt>
                <c:pt idx="79">
                  <c:v>76530609.000000</c:v>
                </c:pt>
                <c:pt idx="80">
                  <c:v>84040723.000000</c:v>
                </c:pt>
                <c:pt idx="81">
                  <c:v>87592414.000000</c:v>
                </c:pt>
                <c:pt idx="82">
                  <c:v>83243518.000000</c:v>
                </c:pt>
                <c:pt idx="83">
                  <c:v>84397881.000000</c:v>
                </c:pt>
                <c:pt idx="84">
                  <c:v>90340063.000000</c:v>
                </c:pt>
                <c:pt idx="85">
                  <c:v>90902818.000000</c:v>
                </c:pt>
                <c:pt idx="86">
                  <c:v>89308898.000000</c:v>
                </c:pt>
                <c:pt idx="87">
                  <c:v>90477518.000000</c:v>
                </c:pt>
                <c:pt idx="88">
                  <c:v>97388893.000000</c:v>
                </c:pt>
                <c:pt idx="89">
                  <c:v>101516190.000000</c:v>
                </c:pt>
                <c:pt idx="90">
                  <c:v>100503182.000000</c:v>
                </c:pt>
                <c:pt idx="91">
                  <c:v>97287176.000000</c:v>
                </c:pt>
                <c:pt idx="92">
                  <c:v>83370178.000000</c:v>
                </c:pt>
                <c:pt idx="93">
                  <c:v>72843198.000000</c:v>
                </c:pt>
                <c:pt idx="94">
                  <c:v>72540214.000000</c:v>
                </c:pt>
                <c:pt idx="95">
                  <c:v>76973852.000000</c:v>
                </c:pt>
                <c:pt idx="96">
                  <c:v>81042962.000000</c:v>
                </c:pt>
                <c:pt idx="97">
                  <c:v>86542140.000000</c:v>
                </c:pt>
                <c:pt idx="98">
                  <c:v>88232242.000000</c:v>
                </c:pt>
                <c:pt idx="99">
                  <c:v>92358164.000000</c:v>
                </c:pt>
                <c:pt idx="100">
                  <c:v>94634736.000000</c:v>
                </c:pt>
                <c:pt idx="101">
                  <c:v>93675379.000000</c:v>
                </c:pt>
                <c:pt idx="102">
                  <c:v>93417908.000000</c:v>
                </c:pt>
                <c:pt idx="103">
                  <c:v>92875310.000000</c:v>
                </c:pt>
                <c:pt idx="104">
                  <c:v>93851016.000000</c:v>
                </c:pt>
                <c:pt idx="105">
                  <c:v>94164395.000000</c:v>
                </c:pt>
                <c:pt idx="106">
                  <c:v>103650177.000000</c:v>
                </c:pt>
                <c:pt idx="107">
                  <c:v>104701642.000000</c:v>
                </c:pt>
                <c:pt idx="108">
                  <c:v>104701642.000000</c:v>
                </c:pt>
                <c:pt idx="109">
                  <c:v>104701642.000000</c:v>
                </c:pt>
                <c:pt idx="110">
                  <c:v>104701642.000000</c:v>
                </c:pt>
                <c:pt idx="111">
                  <c:v>104701642.000000</c:v>
                </c:pt>
              </c:numCache>
            </c:numRef>
          </c:val>
          <c:smooth val="0"/>
        </c:ser>
        <c:ser>
          <c:idx val="1"/>
          <c:order val="1"/>
          <c:tx>
            <c:strRef>
              <c:f>'net worth - Table 1-3'!$C$1</c:f>
              <c:strCache>
                <c:ptCount val="1"/>
                <c:pt idx="0">
                  <c:v>Depositado</c:v>
                </c:pt>
              </c:strCache>
            </c:strRef>
          </c:tx>
          <c:spPr>
            <a:solidFill>
              <a:srgbClr val="FFFFFF"/>
            </a:solidFill>
            <a:ln w="25400" cap="flat">
              <a:solidFill>
                <a:srgbClr val="C3E5F9">
                  <a:alpha val="40983"/>
                </a:srgbClr>
              </a:solidFill>
              <a:prstDash val="solid"/>
              <a:miter lim="400000"/>
            </a:ln>
            <a:effectLst/>
          </c:spPr>
          <c:marker>
            <c:symbol val="none"/>
            <c:size val="4"/>
            <c:spPr>
              <a:solidFill>
                <a:srgbClr val="FFFFFF"/>
              </a:solidFill>
              <a:ln w="50800" cap="flat">
                <a:solidFill>
                  <a:srgbClr val="52A7F9">
                    <a:alpha val="50423"/>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1-3'!$A$3:$A$113,'net worth - Table 1-3'!$A$93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Dec 24</c:v>
                </c:pt>
              </c:strCache>
            </c:strRef>
          </c:cat>
          <c:val>
            <c:numRef>
              <c:f>'net worth - Table 1-3'!$C$3:$C$114</c:f>
              <c:numCache>
                <c:ptCount val="112"/>
                <c:pt idx="0">
                  <c:v>1125078.000000</c:v>
                </c:pt>
                <c:pt idx="1">
                  <c:v>1258134.000000</c:v>
                </c:pt>
                <c:pt idx="2">
                  <c:v>1400707.000000</c:v>
                </c:pt>
                <c:pt idx="3">
                  <c:v>1542700.000000</c:v>
                </c:pt>
                <c:pt idx="4">
                  <c:v>1892440.000000</c:v>
                </c:pt>
                <c:pt idx="5">
                  <c:v>2534433.000000</c:v>
                </c:pt>
                <c:pt idx="6">
                  <c:v>2876436.000000</c:v>
                </c:pt>
                <c:pt idx="7">
                  <c:v>3019530.000000</c:v>
                </c:pt>
                <c:pt idx="8">
                  <c:v>3411710.000000</c:v>
                </c:pt>
                <c:pt idx="9">
                  <c:v>3699791.000000</c:v>
                </c:pt>
                <c:pt idx="10">
                  <c:v>4504339.000000</c:v>
                </c:pt>
                <c:pt idx="11">
                  <c:v>4615629.000000</c:v>
                </c:pt>
                <c:pt idx="12">
                  <c:v>5350404.000000</c:v>
                </c:pt>
                <c:pt idx="13">
                  <c:v>5934897.000000</c:v>
                </c:pt>
                <c:pt idx="14">
                  <c:v>6371542.000000</c:v>
                </c:pt>
                <c:pt idx="15">
                  <c:v>6956011.000000</c:v>
                </c:pt>
                <c:pt idx="16">
                  <c:v>7637038.000000</c:v>
                </c:pt>
                <c:pt idx="17">
                  <c:v>8350791.000000</c:v>
                </c:pt>
                <c:pt idx="18">
                  <c:v>9304800.000000</c:v>
                </c:pt>
                <c:pt idx="19">
                  <c:v>9869951.000000</c:v>
                </c:pt>
                <c:pt idx="20">
                  <c:v>10835102.000000</c:v>
                </c:pt>
                <c:pt idx="21">
                  <c:v>12211563.000000</c:v>
                </c:pt>
                <c:pt idx="22">
                  <c:v>13184629.000000</c:v>
                </c:pt>
                <c:pt idx="23">
                  <c:v>14456191.000000</c:v>
                </c:pt>
                <c:pt idx="24">
                  <c:v>16138814.000000</c:v>
                </c:pt>
                <c:pt idx="25">
                  <c:v>17425863.000000</c:v>
                </c:pt>
                <c:pt idx="26">
                  <c:v>18513699.000000</c:v>
                </c:pt>
                <c:pt idx="27">
                  <c:v>19378120.000000</c:v>
                </c:pt>
                <c:pt idx="28">
                  <c:v>19928188.000000</c:v>
                </c:pt>
                <c:pt idx="29">
                  <c:v>20578740.000000</c:v>
                </c:pt>
                <c:pt idx="30">
                  <c:v>23980176.000000</c:v>
                </c:pt>
                <c:pt idx="31">
                  <c:v>24262003.000000</c:v>
                </c:pt>
                <c:pt idx="32">
                  <c:v>24520297.000000</c:v>
                </c:pt>
                <c:pt idx="33">
                  <c:v>25177265.000000</c:v>
                </c:pt>
                <c:pt idx="34">
                  <c:v>25838791.000000</c:v>
                </c:pt>
                <c:pt idx="35">
                  <c:v>26256964.000000</c:v>
                </c:pt>
                <c:pt idx="36">
                  <c:v>26265865.000000</c:v>
                </c:pt>
                <c:pt idx="37">
                  <c:v>26252777.000000</c:v>
                </c:pt>
                <c:pt idx="38">
                  <c:v>26552809.000000</c:v>
                </c:pt>
                <c:pt idx="39">
                  <c:v>24112471.000000</c:v>
                </c:pt>
                <c:pt idx="40">
                  <c:v>24993612.000000</c:v>
                </c:pt>
                <c:pt idx="41">
                  <c:v>27274638.000000</c:v>
                </c:pt>
                <c:pt idx="42">
                  <c:v>28086832.000000</c:v>
                </c:pt>
                <c:pt idx="43">
                  <c:v>28382328.000000</c:v>
                </c:pt>
                <c:pt idx="44">
                  <c:v>28460293.000000</c:v>
                </c:pt>
                <c:pt idx="45">
                  <c:v>28692812.000000</c:v>
                </c:pt>
                <c:pt idx="46">
                  <c:v>29292812.000000</c:v>
                </c:pt>
                <c:pt idx="47">
                  <c:v>28871949.000000</c:v>
                </c:pt>
                <c:pt idx="48">
                  <c:v>29571949.000000</c:v>
                </c:pt>
                <c:pt idx="49">
                  <c:v>30171949.000000</c:v>
                </c:pt>
                <c:pt idx="50">
                  <c:v>30171949.000000</c:v>
                </c:pt>
                <c:pt idx="51">
                  <c:v>30171949.000000</c:v>
                </c:pt>
                <c:pt idx="52">
                  <c:v>30171949.000000</c:v>
                </c:pt>
                <c:pt idx="53">
                  <c:v>30497106.000000</c:v>
                </c:pt>
                <c:pt idx="54">
                  <c:v>30958996.000000</c:v>
                </c:pt>
                <c:pt idx="55">
                  <c:v>30958996.000000</c:v>
                </c:pt>
                <c:pt idx="56">
                  <c:v>33958996.000000</c:v>
                </c:pt>
                <c:pt idx="57">
                  <c:v>35958996.000000</c:v>
                </c:pt>
                <c:pt idx="58">
                  <c:v>35958996.000000</c:v>
                </c:pt>
                <c:pt idx="59">
                  <c:v>35958996.000000</c:v>
                </c:pt>
                <c:pt idx="60">
                  <c:v>35958996.000000</c:v>
                </c:pt>
                <c:pt idx="61">
                  <c:v>35958996.000000</c:v>
                </c:pt>
                <c:pt idx="62">
                  <c:v>36104310.000000</c:v>
                </c:pt>
                <c:pt idx="63">
                  <c:v>36104310.000000</c:v>
                </c:pt>
                <c:pt idx="64">
                  <c:v>36465789.000000</c:v>
                </c:pt>
                <c:pt idx="65">
                  <c:v>37366841.000000</c:v>
                </c:pt>
                <c:pt idx="66">
                  <c:v>37772999.000000</c:v>
                </c:pt>
                <c:pt idx="67">
                  <c:v>38459505.000000</c:v>
                </c:pt>
                <c:pt idx="68">
                  <c:v>39119285.000000</c:v>
                </c:pt>
                <c:pt idx="69">
                  <c:v>39499140.000000</c:v>
                </c:pt>
                <c:pt idx="70">
                  <c:v>40472171.000000</c:v>
                </c:pt>
                <c:pt idx="71">
                  <c:v>41696261.000000</c:v>
                </c:pt>
                <c:pt idx="72">
                  <c:v>42084084.000000</c:v>
                </c:pt>
                <c:pt idx="73">
                  <c:v>43067155.000000</c:v>
                </c:pt>
                <c:pt idx="74">
                  <c:v>44044062.000000</c:v>
                </c:pt>
                <c:pt idx="75">
                  <c:v>44425509.000000</c:v>
                </c:pt>
                <c:pt idx="76">
                  <c:v>44793721.000000</c:v>
                </c:pt>
                <c:pt idx="77">
                  <c:v>45197639.000000</c:v>
                </c:pt>
                <c:pt idx="78">
                  <c:v>45613425.000000</c:v>
                </c:pt>
                <c:pt idx="79">
                  <c:v>46999530.000000</c:v>
                </c:pt>
                <c:pt idx="80">
                  <c:v>47773983.000000</c:v>
                </c:pt>
                <c:pt idx="81">
                  <c:v>48519536.000000</c:v>
                </c:pt>
                <c:pt idx="82">
                  <c:v>49603796.000000</c:v>
                </c:pt>
                <c:pt idx="83">
                  <c:v>49999057.000000</c:v>
                </c:pt>
                <c:pt idx="84">
                  <c:v>50619229.000000</c:v>
                </c:pt>
                <c:pt idx="85">
                  <c:v>51047754.000000</c:v>
                </c:pt>
                <c:pt idx="86">
                  <c:v>51470839.000000</c:v>
                </c:pt>
                <c:pt idx="87">
                  <c:v>51906367.000000</c:v>
                </c:pt>
                <c:pt idx="88">
                  <c:v>52808944.000000</c:v>
                </c:pt>
                <c:pt idx="89">
                  <c:v>53287220.000000</c:v>
                </c:pt>
                <c:pt idx="90">
                  <c:v>50787786.000000</c:v>
                </c:pt>
                <c:pt idx="91">
                  <c:v>47204681.000000</c:v>
                </c:pt>
                <c:pt idx="92">
                  <c:v>37597468.000000</c:v>
                </c:pt>
                <c:pt idx="93">
                  <c:v>31526230.000000</c:v>
                </c:pt>
                <c:pt idx="94">
                  <c:v>30878714.000000</c:v>
                </c:pt>
                <c:pt idx="95">
                  <c:v>31320551.000000</c:v>
                </c:pt>
                <c:pt idx="96">
                  <c:v>31769176.000000</c:v>
                </c:pt>
                <c:pt idx="97">
                  <c:v>32243646.000000</c:v>
                </c:pt>
                <c:pt idx="98">
                  <c:v>32700935.000000</c:v>
                </c:pt>
                <c:pt idx="99">
                  <c:v>33141328.000000</c:v>
                </c:pt>
                <c:pt idx="100">
                  <c:v>33596312.000000</c:v>
                </c:pt>
                <c:pt idx="101">
                  <c:v>34040481.000000</c:v>
                </c:pt>
                <c:pt idx="102">
                  <c:v>34476792.000000</c:v>
                </c:pt>
                <c:pt idx="103">
                  <c:v>34917049.000000</c:v>
                </c:pt>
                <c:pt idx="104">
                  <c:v>35364233.000000</c:v>
                </c:pt>
                <c:pt idx="105">
                  <c:v>36263787.000000</c:v>
                </c:pt>
                <c:pt idx="106">
                  <c:v>36724579.000000</c:v>
                </c:pt>
                <c:pt idx="107">
                  <c:v>33963421.000000</c:v>
                </c:pt>
                <c:pt idx="108">
                  <c:v>33963421.000000</c:v>
                </c:pt>
                <c:pt idx="109">
                  <c:v>33963421.000000</c:v>
                </c:pt>
                <c:pt idx="110">
                  <c:v>33963421.000000</c:v>
                </c:pt>
                <c:pt idx="111">
                  <c:v>33963421.000000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
          <c:y val="0"/>
          <c:w val="1"/>
          <c:h val="0.065240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3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527"/>
          <c:y val="0.126472"/>
          <c:w val="0.822123"/>
          <c:h val="0.810031"/>
        </c:manualLayout>
      </c:layout>
      <c:barChart>
        <c:barDir val="col"/>
        <c:grouping val="stacked"/>
        <c:varyColors val="0"/>
        <c:ser>
          <c:idx val="0"/>
          <c:order val="0"/>
          <c:tx>
            <c:strRef>
              <c:f>'net worth - Table 1-1'!$G$1</c:f>
              <c:strCache>
                <c:ptCount val="1"/>
                <c:pt idx="0">
                  <c:v>real estate</c:v>
                </c:pt>
              </c:strCache>
            </c:strRef>
          </c:tx>
          <c:spPr>
            <a:solidFill>
              <a:srgbClr val="4871D3"/>
            </a:solidFill>
            <a:ln w="12700" cap="flat">
              <a:noFill/>
              <a:miter lim="400000"/>
            </a:ln>
            <a:effectLst/>
          </c:spPr>
          <c:invertIfNegative val="0"/>
          <c:dLbls>
            <c:numFmt formatCode="&quot;$&quot;#,##0" sourceLinked="1"/>
            <c:txPr>
              <a:bodyPr/>
              <a:lstStyle/>
              <a:p>
                <a:pPr>
                  <a:defRPr b="1" i="0" strike="noStrike" sz="900" u="none">
                    <a:solidFill>
                      <a:srgbClr val="FFFFFF"/>
                    </a:solidFill>
                    <a:latin typeface="Helvetica"/>
                  </a:defRPr>
                </a:pPr>
              </a:p>
            </c:txPr>
            <c:dLblPos val="ctr"/>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1-1'!$G$2:$G$113</c:f>
              <c:numCache>
                <c:ptCount val="32"/>
                <c:pt idx="80">
                  <c:v>0.000000</c:v>
                </c:pt>
                <c:pt idx="81">
                  <c:v>0.000000</c:v>
                </c:pt>
                <c:pt idx="82">
                  <c:v>54029871.000000</c:v>
                </c:pt>
                <c:pt idx="83">
                  <c:v>53026600.000000</c:v>
                </c:pt>
                <c:pt idx="84">
                  <c:v>54142929.000000</c:v>
                </c:pt>
                <c:pt idx="85">
                  <c:v>56489773.000000</c:v>
                </c:pt>
                <c:pt idx="86">
                  <c:v>59144031.000000</c:v>
                </c:pt>
                <c:pt idx="87">
                  <c:v>61781675.000000</c:v>
                </c:pt>
                <c:pt idx="88">
                  <c:v>64287949.000000</c:v>
                </c:pt>
                <c:pt idx="89">
                  <c:v>86887926.000000</c:v>
                </c:pt>
                <c:pt idx="90">
                  <c:v>89886057.000000</c:v>
                </c:pt>
                <c:pt idx="91">
                  <c:v>89810530.000000</c:v>
                </c:pt>
                <c:pt idx="92">
                  <c:v>110473297.000000</c:v>
                </c:pt>
                <c:pt idx="93">
                  <c:v>113313871.000000</c:v>
                </c:pt>
                <c:pt idx="94">
                  <c:v>114850064.000000</c:v>
                </c:pt>
                <c:pt idx="95">
                  <c:v>116523901.000000</c:v>
                </c:pt>
                <c:pt idx="96">
                  <c:v>117887389.000000</c:v>
                </c:pt>
                <c:pt idx="97">
                  <c:v>118450554.000000</c:v>
                </c:pt>
                <c:pt idx="98">
                  <c:v>119160658.000000</c:v>
                </c:pt>
                <c:pt idx="99">
                  <c:v>120431233.000000</c:v>
                </c:pt>
                <c:pt idx="100">
                  <c:v>121168870.000000</c:v>
                </c:pt>
                <c:pt idx="101">
                  <c:v>121904039.000000</c:v>
                </c:pt>
                <c:pt idx="102">
                  <c:v>122600540.000000</c:v>
                </c:pt>
                <c:pt idx="103">
                  <c:v>122532988.000000</c:v>
                </c:pt>
                <c:pt idx="104">
                  <c:v>123828094.000000</c:v>
                </c:pt>
                <c:pt idx="105">
                  <c:v>136378208.000000</c:v>
                </c:pt>
                <c:pt idx="106">
                  <c:v>140164761.208140</c:v>
                </c:pt>
                <c:pt idx="107">
                  <c:v>144757880.688285</c:v>
                </c:pt>
                <c:pt idx="108">
                  <c:v>149916123.506765</c:v>
                </c:pt>
                <c:pt idx="109">
                  <c:v>150649199.099640</c:v>
                </c:pt>
                <c:pt idx="110">
                  <c:v>151432038.209622</c:v>
                </c:pt>
                <c:pt idx="111">
                  <c:v>152977967.160293</c:v>
                </c:pt>
              </c:numCache>
            </c:numRef>
          </c:val>
        </c:ser>
        <c:ser>
          <c:idx val="1"/>
          <c:order val="1"/>
          <c:tx>
            <c:strRef>
              <c:f>'net worth - Table 1-1'!$K$1</c:f>
              <c:strCache>
                <c:ptCount val="1"/>
                <c:pt idx="0">
                  <c:v>cash and eqs</c:v>
                </c:pt>
              </c:strCache>
            </c:strRef>
          </c:tx>
          <c:spPr>
            <a:solidFill>
              <a:srgbClr val="C9E4F7"/>
            </a:solidFill>
            <a:ln w="12700" cap="flat">
              <a:noFill/>
              <a:miter lim="400000"/>
            </a:ln>
            <a:effectLst/>
          </c:spPr>
          <c:invertIfNegative val="0"/>
          <c:dLbls>
            <c:numFmt formatCode="&quot;$&quot;#,##0" sourceLinked="1"/>
            <c:txPr>
              <a:bodyPr/>
              <a:lstStyle/>
              <a:p>
                <a:pPr>
                  <a:defRPr b="0" i="0" strike="noStrike" sz="900" u="none">
                    <a:solidFill>
                      <a:srgbClr val="000000"/>
                    </a:solidFill>
                    <a:latin typeface="Helvetica"/>
                  </a:defRPr>
                </a:pPr>
              </a:p>
            </c:txPr>
            <c:dLblPos val="ctr"/>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1-1'!$K$2:$K$113</c:f>
              <c:numCache>
                <c:ptCount val="112"/>
                <c:pt idx="0">
                  <c:v>3126507.000000</c:v>
                </c:pt>
                <c:pt idx="1">
                  <c:v>3179695.000000</c:v>
                </c:pt>
                <c:pt idx="2">
                  <c:v>3232907.000000</c:v>
                </c:pt>
                <c:pt idx="3">
                  <c:v>3586213.000000</c:v>
                </c:pt>
                <c:pt idx="4">
                  <c:v>4239479.000000</c:v>
                </c:pt>
                <c:pt idx="5">
                  <c:v>4792941.000000</c:v>
                </c:pt>
                <c:pt idx="6">
                  <c:v>4853596.000000</c:v>
                </c:pt>
                <c:pt idx="7">
                  <c:v>5000000.000000</c:v>
                </c:pt>
                <c:pt idx="8">
                  <c:v>5200000.000000</c:v>
                </c:pt>
                <c:pt idx="9">
                  <c:v>5603934.000000</c:v>
                </c:pt>
                <c:pt idx="10">
                  <c:v>5857976.000000</c:v>
                </c:pt>
                <c:pt idx="11">
                  <c:v>5912133.000000</c:v>
                </c:pt>
                <c:pt idx="12">
                  <c:v>6719379.000000</c:v>
                </c:pt>
                <c:pt idx="13">
                  <c:v>7073784.000000</c:v>
                </c:pt>
                <c:pt idx="14">
                  <c:v>7428359.000000</c:v>
                </c:pt>
                <c:pt idx="15">
                  <c:v>7783074.000000</c:v>
                </c:pt>
                <c:pt idx="16">
                  <c:v>8487938.000000</c:v>
                </c:pt>
                <c:pt idx="17">
                  <c:v>9355066.000000</c:v>
                </c:pt>
                <c:pt idx="18">
                  <c:v>10010198.000000</c:v>
                </c:pt>
                <c:pt idx="19">
                  <c:v>10110198.000000</c:v>
                </c:pt>
                <c:pt idx="20">
                  <c:v>10220404.000000</c:v>
                </c:pt>
                <c:pt idx="21">
                  <c:v>10625536.000000</c:v>
                </c:pt>
                <c:pt idx="22">
                  <c:v>11125536.000000</c:v>
                </c:pt>
                <c:pt idx="23">
                  <c:v>11300704.000000</c:v>
                </c:pt>
                <c:pt idx="24">
                  <c:v>11742878.000000</c:v>
                </c:pt>
                <c:pt idx="25">
                  <c:v>12022412.000000</c:v>
                </c:pt>
                <c:pt idx="26">
                  <c:v>12582238.000000</c:v>
                </c:pt>
                <c:pt idx="27">
                  <c:v>12582238.000000</c:v>
                </c:pt>
                <c:pt idx="28">
                  <c:v>12582238.000000</c:v>
                </c:pt>
                <c:pt idx="29">
                  <c:v>12864311.000000</c:v>
                </c:pt>
                <c:pt idx="30">
                  <c:v>13147311.000000</c:v>
                </c:pt>
                <c:pt idx="31">
                  <c:v>13447311.000000</c:v>
                </c:pt>
                <c:pt idx="32">
                  <c:v>13747311.000000</c:v>
                </c:pt>
                <c:pt idx="33">
                  <c:v>13747311.000000</c:v>
                </c:pt>
                <c:pt idx="34">
                  <c:v>13747311.000000</c:v>
                </c:pt>
                <c:pt idx="35">
                  <c:v>13897311.000000</c:v>
                </c:pt>
                <c:pt idx="36">
                  <c:v>14285818.000000</c:v>
                </c:pt>
                <c:pt idx="37">
                  <c:v>14285818.000000</c:v>
                </c:pt>
                <c:pt idx="38">
                  <c:v>14285818.000000</c:v>
                </c:pt>
                <c:pt idx="39">
                  <c:v>14285818.000000</c:v>
                </c:pt>
                <c:pt idx="40">
                  <c:v>14285818.000000</c:v>
                </c:pt>
                <c:pt idx="41">
                  <c:v>14285818.000000</c:v>
                </c:pt>
                <c:pt idx="42">
                  <c:v>14285818.000000</c:v>
                </c:pt>
                <c:pt idx="43">
                  <c:v>14685818.000000</c:v>
                </c:pt>
                <c:pt idx="44">
                  <c:v>15685818.000000</c:v>
                </c:pt>
                <c:pt idx="45">
                  <c:v>17185818.000000</c:v>
                </c:pt>
                <c:pt idx="46">
                  <c:v>18000000.000000</c:v>
                </c:pt>
                <c:pt idx="47">
                  <c:v>19000000.000000</c:v>
                </c:pt>
                <c:pt idx="48">
                  <c:v>20000000.000000</c:v>
                </c:pt>
                <c:pt idx="49">
                  <c:v>20600000.000000</c:v>
                </c:pt>
                <c:pt idx="50">
                  <c:v>20600000.000000</c:v>
                </c:pt>
                <c:pt idx="51">
                  <c:v>20600000.000000</c:v>
                </c:pt>
                <c:pt idx="52">
                  <c:v>20600000.000000</c:v>
                </c:pt>
                <c:pt idx="53">
                  <c:v>19800000.000000</c:v>
                </c:pt>
                <c:pt idx="54">
                  <c:v>19000000.000000</c:v>
                </c:pt>
                <c:pt idx="55">
                  <c:v>18200000.000000</c:v>
                </c:pt>
                <c:pt idx="56">
                  <c:v>13200000.000000</c:v>
                </c:pt>
                <c:pt idx="57">
                  <c:v>9200000.000000</c:v>
                </c:pt>
                <c:pt idx="58">
                  <c:v>9200000.000000</c:v>
                </c:pt>
                <c:pt idx="59">
                  <c:v>7200000.000000</c:v>
                </c:pt>
                <c:pt idx="60">
                  <c:v>8925852.000000</c:v>
                </c:pt>
                <c:pt idx="61">
                  <c:v>8025852.000000</c:v>
                </c:pt>
                <c:pt idx="62">
                  <c:v>7125852.000000</c:v>
                </c:pt>
                <c:pt idx="63">
                  <c:v>6225852.000000</c:v>
                </c:pt>
                <c:pt idx="64">
                  <c:v>6225852.000000</c:v>
                </c:pt>
                <c:pt idx="65">
                  <c:v>6225852.000000</c:v>
                </c:pt>
                <c:pt idx="66">
                  <c:v>7000000.000000</c:v>
                </c:pt>
                <c:pt idx="67">
                  <c:v>7600000.000000</c:v>
                </c:pt>
                <c:pt idx="68">
                  <c:v>8100000.000000</c:v>
                </c:pt>
                <c:pt idx="69">
                  <c:v>8700000.000000</c:v>
                </c:pt>
                <c:pt idx="70">
                  <c:v>8700000.000000</c:v>
                </c:pt>
                <c:pt idx="71">
                  <c:v>9227950.000000</c:v>
                </c:pt>
                <c:pt idx="72">
                  <c:v>10040065.000000</c:v>
                </c:pt>
                <c:pt idx="73">
                  <c:v>10100000.000000</c:v>
                </c:pt>
                <c:pt idx="74">
                  <c:v>10100000.000000</c:v>
                </c:pt>
                <c:pt idx="75">
                  <c:v>10100000.000000</c:v>
                </c:pt>
                <c:pt idx="76">
                  <c:v>10100000.000000</c:v>
                </c:pt>
                <c:pt idx="77">
                  <c:v>10100000.000000</c:v>
                </c:pt>
                <c:pt idx="78">
                  <c:v>10100000.000000</c:v>
                </c:pt>
                <c:pt idx="79">
                  <c:v>40114000.000000</c:v>
                </c:pt>
                <c:pt idx="80">
                  <c:v>52261361.000000</c:v>
                </c:pt>
                <c:pt idx="81">
                  <c:v>57900000.000000</c:v>
                </c:pt>
                <c:pt idx="82">
                  <c:v>0.000000</c:v>
                </c:pt>
                <c:pt idx="83">
                  <c:v>0.000000</c:v>
                </c:pt>
                <c:pt idx="84">
                  <c:v>2590180.000000</c:v>
                </c:pt>
                <c:pt idx="85">
                  <c:v>6590180.000000</c:v>
                </c:pt>
                <c:pt idx="86">
                  <c:v>10590180.000000</c:v>
                </c:pt>
                <c:pt idx="87">
                  <c:v>16582969.000000</c:v>
                </c:pt>
                <c:pt idx="88">
                  <c:v>19688735.000000</c:v>
                </c:pt>
                <c:pt idx="89">
                  <c:v>4332241.000000</c:v>
                </c:pt>
                <c:pt idx="90">
                  <c:v>14275453.000000</c:v>
                </c:pt>
                <c:pt idx="91">
                  <c:v>35074047.000000</c:v>
                </c:pt>
                <c:pt idx="92">
                  <c:v>3071246.000000</c:v>
                </c:pt>
                <c:pt idx="93">
                  <c:v>4776572.400000</c:v>
                </c:pt>
                <c:pt idx="94">
                  <c:v>5912818.000000</c:v>
                </c:pt>
                <c:pt idx="95">
                  <c:v>5553109.000000</c:v>
                </c:pt>
                <c:pt idx="96">
                  <c:v>3330381.750000</c:v>
                </c:pt>
                <c:pt idx="97">
                  <c:v>362597.000000</c:v>
                </c:pt>
                <c:pt idx="98">
                  <c:v>1144754.000000</c:v>
                </c:pt>
                <c:pt idx="99">
                  <c:v>2199193.000000</c:v>
                </c:pt>
                <c:pt idx="100">
                  <c:v>-1316399.000000</c:v>
                </c:pt>
                <c:pt idx="101">
                  <c:v>-141123.000000</c:v>
                </c:pt>
                <c:pt idx="102">
                  <c:v>-1645628.000000</c:v>
                </c:pt>
                <c:pt idx="103">
                  <c:v>18610.000000</c:v>
                </c:pt>
                <c:pt idx="104">
                  <c:v>245877.000000</c:v>
                </c:pt>
                <c:pt idx="105">
                  <c:v>1880927.000000</c:v>
                </c:pt>
                <c:pt idx="106">
                  <c:v>20268684.000000</c:v>
                </c:pt>
                <c:pt idx="107">
                  <c:v>17512018.000000</c:v>
                </c:pt>
                <c:pt idx="108">
                  <c:v>14512018.000000</c:v>
                </c:pt>
                <c:pt idx="109">
                  <c:v>11512018.000000</c:v>
                </c:pt>
                <c:pt idx="110">
                  <c:v>8512018.000000</c:v>
                </c:pt>
                <c:pt idx="111">
                  <c:v>5512018.000000</c:v>
                </c:pt>
              </c:numCache>
            </c:numRef>
          </c:val>
        </c:ser>
        <c:ser>
          <c:idx val="2"/>
          <c:order val="2"/>
          <c:tx>
            <c:strRef>
              <c:f>'net worth - Table 1-1'!$J$1</c:f>
              <c:strCache>
                <c:ptCount val="1"/>
                <c:pt idx="0">
                  <c:v>retiro</c:v>
                </c:pt>
              </c:strCache>
            </c:strRef>
          </c:tx>
          <c:spPr>
            <a:solidFill>
              <a:srgbClr val="8ACA5A"/>
            </a:solidFill>
            <a:ln w="12700" cap="flat">
              <a:noFill/>
              <a:miter lim="400000"/>
            </a:ln>
            <a:effectLst/>
          </c:spPr>
          <c:invertIfNegative val="0"/>
          <c:dLbls>
            <c:numFmt formatCode="&quot;$&quot;#,##0" sourceLinked="1"/>
            <c:txPr>
              <a:bodyPr/>
              <a:lstStyle/>
              <a:p>
                <a:pPr>
                  <a:defRPr b="0" i="0" strike="noStrike" sz="500" u="none">
                    <a:solidFill>
                      <a:srgbClr val="000000"/>
                    </a:solidFill>
                    <a:latin typeface="Helvetica"/>
                  </a:defRPr>
                </a:pPr>
              </a:p>
            </c:txPr>
            <c:dLblPos val="ctr"/>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1-1'!$J$2:$J$113</c:f>
              <c:numCache>
                <c:ptCount val="112"/>
                <c:pt idx="0">
                  <c:v>125077.618636</c:v>
                </c:pt>
                <c:pt idx="1">
                  <c:v>258133.666667</c:v>
                </c:pt>
                <c:pt idx="2">
                  <c:v>400706.298751</c:v>
                </c:pt>
                <c:pt idx="3">
                  <c:v>542699.387128</c:v>
                </c:pt>
                <c:pt idx="4">
                  <c:v>707382.000000</c:v>
                </c:pt>
                <c:pt idx="5">
                  <c:v>856326.000000</c:v>
                </c:pt>
                <c:pt idx="6">
                  <c:v>995738.000000</c:v>
                </c:pt>
                <c:pt idx="7">
                  <c:v>1183085.000000</c:v>
                </c:pt>
                <c:pt idx="8">
                  <c:v>1285565.000000</c:v>
                </c:pt>
                <c:pt idx="9">
                  <c:v>1466655.000000</c:v>
                </c:pt>
                <c:pt idx="10">
                  <c:v>2038274.000000</c:v>
                </c:pt>
                <c:pt idx="11">
                  <c:v>2216616.000000</c:v>
                </c:pt>
                <c:pt idx="12">
                  <c:v>2745221.000000</c:v>
                </c:pt>
                <c:pt idx="13">
                  <c:v>3242414.000000</c:v>
                </c:pt>
                <c:pt idx="14">
                  <c:v>3801924.000000</c:v>
                </c:pt>
                <c:pt idx="15">
                  <c:v>4211425.000000</c:v>
                </c:pt>
                <c:pt idx="16">
                  <c:v>4455543.000000</c:v>
                </c:pt>
                <c:pt idx="17">
                  <c:v>4690498.000000</c:v>
                </c:pt>
                <c:pt idx="18">
                  <c:v>4885955.000000</c:v>
                </c:pt>
                <c:pt idx="19">
                  <c:v>5316618.000000</c:v>
                </c:pt>
                <c:pt idx="20">
                  <c:v>5652546.000000</c:v>
                </c:pt>
                <c:pt idx="21">
                  <c:v>6102728.000000</c:v>
                </c:pt>
                <c:pt idx="22">
                  <c:v>6508035.000000</c:v>
                </c:pt>
                <c:pt idx="23">
                  <c:v>6705233.000000</c:v>
                </c:pt>
                <c:pt idx="24">
                  <c:v>7465026.000000</c:v>
                </c:pt>
                <c:pt idx="25">
                  <c:v>8727943.000000</c:v>
                </c:pt>
                <c:pt idx="26">
                  <c:v>9706764.000000</c:v>
                </c:pt>
                <c:pt idx="27">
                  <c:v>10268544.000000</c:v>
                </c:pt>
                <c:pt idx="28">
                  <c:v>10713626.000000</c:v>
                </c:pt>
                <c:pt idx="29">
                  <c:v>12167081.000000</c:v>
                </c:pt>
                <c:pt idx="30">
                  <c:v>15116086.000000</c:v>
                </c:pt>
                <c:pt idx="31">
                  <c:v>16314295.000000</c:v>
                </c:pt>
                <c:pt idx="32">
                  <c:v>15812613.000000</c:v>
                </c:pt>
                <c:pt idx="33">
                  <c:v>14620358.000000</c:v>
                </c:pt>
                <c:pt idx="34">
                  <c:v>16681350.000000</c:v>
                </c:pt>
                <c:pt idx="35">
                  <c:v>17232140.000000</c:v>
                </c:pt>
                <c:pt idx="36">
                  <c:v>18103738.000000</c:v>
                </c:pt>
                <c:pt idx="37">
                  <c:v>17842781.000000</c:v>
                </c:pt>
                <c:pt idx="38">
                  <c:v>19644283.000000</c:v>
                </c:pt>
                <c:pt idx="39">
                  <c:v>19753056.000000</c:v>
                </c:pt>
                <c:pt idx="40">
                  <c:v>20205177.000000</c:v>
                </c:pt>
                <c:pt idx="41">
                  <c:v>24741401.000000</c:v>
                </c:pt>
                <c:pt idx="42">
                  <c:v>24996909.000000</c:v>
                </c:pt>
                <c:pt idx="43">
                  <c:v>26605964.000000</c:v>
                </c:pt>
                <c:pt idx="44">
                  <c:v>26276514.000000</c:v>
                </c:pt>
                <c:pt idx="45">
                  <c:v>26468919.000000</c:v>
                </c:pt>
                <c:pt idx="46">
                  <c:v>26831586.000000</c:v>
                </c:pt>
                <c:pt idx="47">
                  <c:v>26074930.000000</c:v>
                </c:pt>
                <c:pt idx="48">
                  <c:v>27273553.000000</c:v>
                </c:pt>
                <c:pt idx="49">
                  <c:v>27678934.000000</c:v>
                </c:pt>
                <c:pt idx="50">
                  <c:v>28802430.000000</c:v>
                </c:pt>
                <c:pt idx="51">
                  <c:v>28562813.000000</c:v>
                </c:pt>
                <c:pt idx="52">
                  <c:v>30396264.000000</c:v>
                </c:pt>
                <c:pt idx="53">
                  <c:v>31801432.000000</c:v>
                </c:pt>
                <c:pt idx="54">
                  <c:v>32643647.000000</c:v>
                </c:pt>
                <c:pt idx="55">
                  <c:v>28648275.000000</c:v>
                </c:pt>
                <c:pt idx="56">
                  <c:v>29824732.000000</c:v>
                </c:pt>
                <c:pt idx="57">
                  <c:v>29858917.000000</c:v>
                </c:pt>
                <c:pt idx="58">
                  <c:v>28948486.000000</c:v>
                </c:pt>
                <c:pt idx="59">
                  <c:v>28375092.000000</c:v>
                </c:pt>
                <c:pt idx="60">
                  <c:v>29375872.000000</c:v>
                </c:pt>
                <c:pt idx="61">
                  <c:v>30855592.000000</c:v>
                </c:pt>
                <c:pt idx="62">
                  <c:v>29595744.000000</c:v>
                </c:pt>
                <c:pt idx="63">
                  <c:v>28650578.000000</c:v>
                </c:pt>
                <c:pt idx="64">
                  <c:v>29645788.000000</c:v>
                </c:pt>
                <c:pt idx="65">
                  <c:v>30555644.000000</c:v>
                </c:pt>
                <c:pt idx="66">
                  <c:v>28908368.000000</c:v>
                </c:pt>
                <c:pt idx="67">
                  <c:v>30207739.000000</c:v>
                </c:pt>
                <c:pt idx="68">
                  <c:v>31410262.000000</c:v>
                </c:pt>
                <c:pt idx="69">
                  <c:v>31571249.000000</c:v>
                </c:pt>
                <c:pt idx="70">
                  <c:v>32727251.000000</c:v>
                </c:pt>
                <c:pt idx="71">
                  <c:v>34805276.000000</c:v>
                </c:pt>
                <c:pt idx="72">
                  <c:v>36655505.000000</c:v>
                </c:pt>
                <c:pt idx="73">
                  <c:v>40562909.000000</c:v>
                </c:pt>
                <c:pt idx="74">
                  <c:v>40849651.000000</c:v>
                </c:pt>
                <c:pt idx="75">
                  <c:v>41247935.000000</c:v>
                </c:pt>
                <c:pt idx="76">
                  <c:v>40733932.000000</c:v>
                </c:pt>
                <c:pt idx="77">
                  <c:v>43199319.000000</c:v>
                </c:pt>
                <c:pt idx="78">
                  <c:v>46828798.000000</c:v>
                </c:pt>
                <c:pt idx="79">
                  <c:v>49785374.000000</c:v>
                </c:pt>
                <c:pt idx="80">
                  <c:v>54896976.000000</c:v>
                </c:pt>
                <c:pt idx="81">
                  <c:v>57378009.000000</c:v>
                </c:pt>
                <c:pt idx="82">
                  <c:v>55045088.000000</c:v>
                </c:pt>
                <c:pt idx="83">
                  <c:v>55862689.000000</c:v>
                </c:pt>
                <c:pt idx="84">
                  <c:v>59785150.000000</c:v>
                </c:pt>
                <c:pt idx="85">
                  <c:v>60385104.000000</c:v>
                </c:pt>
                <c:pt idx="86">
                  <c:v>59554364.000000</c:v>
                </c:pt>
                <c:pt idx="87">
                  <c:v>60554743.000000</c:v>
                </c:pt>
                <c:pt idx="88">
                  <c:v>64710559.000000</c:v>
                </c:pt>
                <c:pt idx="89">
                  <c:v>67499202.000000</c:v>
                </c:pt>
                <c:pt idx="90">
                  <c:v>68882160.000000</c:v>
                </c:pt>
                <c:pt idx="91">
                  <c:v>69636042.000000</c:v>
                </c:pt>
                <c:pt idx="92">
                  <c:v>66846151.000000</c:v>
                </c:pt>
                <c:pt idx="93">
                  <c:v>63959762.000000</c:v>
                </c:pt>
                <c:pt idx="94">
                  <c:v>64771502.000000</c:v>
                </c:pt>
                <c:pt idx="95">
                  <c:v>68728850.000000</c:v>
                </c:pt>
                <c:pt idx="96">
                  <c:v>72317665.000000</c:v>
                </c:pt>
                <c:pt idx="97">
                  <c:v>77222409.000000</c:v>
                </c:pt>
                <c:pt idx="98">
                  <c:v>78832882.000000</c:v>
                </c:pt>
                <c:pt idx="99">
                  <c:v>82492923.000000</c:v>
                </c:pt>
                <c:pt idx="100">
                  <c:v>84572045.000000</c:v>
                </c:pt>
                <c:pt idx="101">
                  <c:v>83871204.000000</c:v>
                </c:pt>
                <c:pt idx="102">
                  <c:v>83724577.000000</c:v>
                </c:pt>
                <c:pt idx="103">
                  <c:v>83397458.000000</c:v>
                </c:pt>
                <c:pt idx="104">
                  <c:v>84349513.000000</c:v>
                </c:pt>
                <c:pt idx="105">
                  <c:v>84301432.000000</c:v>
                </c:pt>
                <c:pt idx="106">
                  <c:v>92679933.000000</c:v>
                </c:pt>
                <c:pt idx="107">
                  <c:v>93254171.000000</c:v>
                </c:pt>
                <c:pt idx="108">
                  <c:v>93254171.000000</c:v>
                </c:pt>
                <c:pt idx="109">
                  <c:v>93254171.000000</c:v>
                </c:pt>
                <c:pt idx="110">
                  <c:v>93254171.000000</c:v>
                </c:pt>
                <c:pt idx="111">
                  <c:v>93254171.000000</c:v>
                </c:pt>
              </c:numCache>
            </c:numRef>
          </c:val>
        </c:ser>
        <c:ser>
          <c:idx val="3"/>
          <c:order val="3"/>
          <c:tx>
            <c:strRef>
              <c:f>'net worth - Table 1-1'!$H$1</c:f>
              <c:strCache>
                <c:ptCount val="1"/>
                <c:pt idx="0">
                  <c:v>brokerage</c:v>
                </c:pt>
              </c:strCache>
            </c:strRef>
          </c:tx>
          <c:spPr>
            <a:solidFill>
              <a:srgbClr val="68A5F3"/>
            </a:solidFill>
            <a:ln w="12700" cap="flat">
              <a:noFill/>
              <a:miter lim="400000"/>
            </a:ln>
            <a:effectLst/>
          </c:spPr>
          <c:invertIfNegative val="0"/>
          <c:dLbls>
            <c:numFmt formatCode="&quot;$&quot;#,##0" sourceLinked="1"/>
            <c:txPr>
              <a:bodyPr/>
              <a:lstStyle/>
              <a:p>
                <a:pPr>
                  <a:defRPr b="0" i="0" strike="noStrike" sz="900" u="none">
                    <a:solidFill>
                      <a:srgbClr val="000000"/>
                    </a:solidFill>
                    <a:latin typeface="Helvetica"/>
                  </a:defRPr>
                </a:pPr>
              </a:p>
            </c:txPr>
            <c:dLblPos val="ctr"/>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1-1'!$H$2:$H$113</c:f>
              <c:numCache>
                <c:ptCount val="112"/>
                <c:pt idx="0">
                  <c:v>1001010.000000</c:v>
                </c:pt>
                <c:pt idx="1">
                  <c:v>998000.000000</c:v>
                </c:pt>
                <c:pt idx="2">
                  <c:v>997000.000000</c:v>
                </c:pt>
                <c:pt idx="3">
                  <c:v>994000.000000</c:v>
                </c:pt>
                <c:pt idx="4">
                  <c:v>1193708.000000</c:v>
                </c:pt>
                <c:pt idx="5">
                  <c:v>1699339.000000</c:v>
                </c:pt>
                <c:pt idx="6">
                  <c:v>1894508.000000</c:v>
                </c:pt>
                <c:pt idx="7">
                  <c:v>1916082.000000</c:v>
                </c:pt>
                <c:pt idx="8">
                  <c:v>2087612.000000</c:v>
                </c:pt>
                <c:pt idx="9">
                  <c:v>2203156.000000</c:v>
                </c:pt>
                <c:pt idx="10">
                  <c:v>2492415.000000</c:v>
                </c:pt>
                <c:pt idx="11">
                  <c:v>2596609.000000</c:v>
                </c:pt>
                <c:pt idx="12">
                  <c:v>2798266.000000</c:v>
                </c:pt>
                <c:pt idx="13">
                  <c:v>2981456.000000</c:v>
                </c:pt>
                <c:pt idx="14">
                  <c:v>3229751.000000</c:v>
                </c:pt>
                <c:pt idx="15">
                  <c:v>3303248.000000</c:v>
                </c:pt>
                <c:pt idx="16">
                  <c:v>3417029.000000</c:v>
                </c:pt>
                <c:pt idx="17">
                  <c:v>3809924.000000</c:v>
                </c:pt>
                <c:pt idx="18">
                  <c:v>4148904.000000</c:v>
                </c:pt>
                <c:pt idx="19">
                  <c:v>4603346.000000</c:v>
                </c:pt>
                <c:pt idx="20">
                  <c:v>5403216.000000</c:v>
                </c:pt>
                <c:pt idx="21">
                  <c:v>6824490.000000</c:v>
                </c:pt>
                <c:pt idx="22">
                  <c:v>7804460.000000</c:v>
                </c:pt>
                <c:pt idx="23">
                  <c:v>8700750.000000</c:v>
                </c:pt>
                <c:pt idx="24">
                  <c:v>9778523.000000</c:v>
                </c:pt>
                <c:pt idx="25">
                  <c:v>10571456.000000</c:v>
                </c:pt>
                <c:pt idx="26">
                  <c:v>10684713.000000</c:v>
                </c:pt>
                <c:pt idx="27">
                  <c:v>11544666.000000</c:v>
                </c:pt>
                <c:pt idx="28">
                  <c:v>12106440.000000</c:v>
                </c:pt>
                <c:pt idx="29">
                  <c:v>14496255.000000</c:v>
                </c:pt>
                <c:pt idx="30">
                  <c:v>13411060.000000</c:v>
                </c:pt>
                <c:pt idx="31">
                  <c:v>14574351.000000</c:v>
                </c:pt>
                <c:pt idx="32">
                  <c:v>13559687.000000</c:v>
                </c:pt>
                <c:pt idx="33">
                  <c:v>12412477.000000</c:v>
                </c:pt>
                <c:pt idx="34">
                  <c:v>13839283.000000</c:v>
                </c:pt>
                <c:pt idx="35">
                  <c:v>13939112.000000</c:v>
                </c:pt>
                <c:pt idx="36">
                  <c:v>14721044.000000</c:v>
                </c:pt>
                <c:pt idx="37">
                  <c:v>14242037.000000</c:v>
                </c:pt>
                <c:pt idx="38">
                  <c:v>16025314.000000</c:v>
                </c:pt>
                <c:pt idx="39">
                  <c:v>12781177.000000</c:v>
                </c:pt>
                <c:pt idx="40">
                  <c:v>12237434.000000</c:v>
                </c:pt>
                <c:pt idx="41">
                  <c:v>13809591.000000</c:v>
                </c:pt>
                <c:pt idx="42">
                  <c:v>13490786.000000</c:v>
                </c:pt>
                <c:pt idx="43">
                  <c:v>14079388.000000</c:v>
                </c:pt>
                <c:pt idx="44">
                  <c:v>13907650.000000</c:v>
                </c:pt>
                <c:pt idx="45">
                  <c:v>13815520.000000</c:v>
                </c:pt>
                <c:pt idx="46">
                  <c:v>14686023.000000</c:v>
                </c:pt>
                <c:pt idx="47">
                  <c:v>15436852.000000</c:v>
                </c:pt>
                <c:pt idx="48">
                  <c:v>16991759.000000</c:v>
                </c:pt>
                <c:pt idx="49">
                  <c:v>17935236.000000</c:v>
                </c:pt>
                <c:pt idx="50">
                  <c:v>18749937.000000</c:v>
                </c:pt>
                <c:pt idx="51">
                  <c:v>18459742.000000</c:v>
                </c:pt>
                <c:pt idx="52">
                  <c:v>19822509.000000</c:v>
                </c:pt>
                <c:pt idx="53">
                  <c:v>20631759.000000</c:v>
                </c:pt>
                <c:pt idx="54">
                  <c:v>20792432.000000</c:v>
                </c:pt>
                <c:pt idx="55">
                  <c:v>18067651.000000</c:v>
                </c:pt>
                <c:pt idx="56">
                  <c:v>18212076.000000</c:v>
                </c:pt>
                <c:pt idx="57">
                  <c:v>20276098.000000</c:v>
                </c:pt>
                <c:pt idx="58">
                  <c:v>19542857.000000</c:v>
                </c:pt>
                <c:pt idx="59">
                  <c:v>19059853.000000</c:v>
                </c:pt>
                <c:pt idx="60">
                  <c:v>19707911.000000</c:v>
                </c:pt>
                <c:pt idx="61">
                  <c:v>20826478.000000</c:v>
                </c:pt>
                <c:pt idx="62">
                  <c:v>19636133.000000</c:v>
                </c:pt>
                <c:pt idx="63">
                  <c:v>18911493.000000</c:v>
                </c:pt>
                <c:pt idx="64">
                  <c:v>19413118.000000</c:v>
                </c:pt>
                <c:pt idx="65">
                  <c:v>19600732.000000</c:v>
                </c:pt>
                <c:pt idx="66">
                  <c:v>18905117.000000</c:v>
                </c:pt>
                <c:pt idx="67">
                  <c:v>19423234.000000</c:v>
                </c:pt>
                <c:pt idx="68">
                  <c:v>19770460.000000</c:v>
                </c:pt>
                <c:pt idx="69">
                  <c:v>19696814.000000</c:v>
                </c:pt>
                <c:pt idx="70">
                  <c:v>19754277.000000</c:v>
                </c:pt>
                <c:pt idx="71">
                  <c:v>20900676.000000</c:v>
                </c:pt>
                <c:pt idx="72">
                  <c:v>21905792.000000</c:v>
                </c:pt>
                <c:pt idx="73">
                  <c:v>23745157.000000</c:v>
                </c:pt>
                <c:pt idx="74">
                  <c:v>23329779.149703</c:v>
                </c:pt>
                <c:pt idx="75">
                  <c:v>23157780.378592</c:v>
                </c:pt>
                <c:pt idx="76">
                  <c:v>22298128.532527</c:v>
                </c:pt>
                <c:pt idx="77">
                  <c:v>23791012.943965</c:v>
                </c:pt>
                <c:pt idx="78">
                  <c:v>25673178.153746</c:v>
                </c:pt>
                <c:pt idx="79">
                  <c:v>26745235.000000</c:v>
                </c:pt>
                <c:pt idx="80">
                  <c:v>29143747.000000</c:v>
                </c:pt>
                <c:pt idx="81">
                  <c:v>30214405.000000</c:v>
                </c:pt>
                <c:pt idx="82">
                  <c:v>28198430.000000</c:v>
                </c:pt>
                <c:pt idx="83">
                  <c:v>28535192.000000</c:v>
                </c:pt>
                <c:pt idx="84">
                  <c:v>30554913.000000</c:v>
                </c:pt>
                <c:pt idx="85">
                  <c:v>30517714.000000</c:v>
                </c:pt>
                <c:pt idx="86">
                  <c:v>29754534.000000</c:v>
                </c:pt>
                <c:pt idx="87">
                  <c:v>29922775.000000</c:v>
                </c:pt>
                <c:pt idx="88">
                  <c:v>32678334.000000</c:v>
                </c:pt>
                <c:pt idx="89">
                  <c:v>34016988.000000</c:v>
                </c:pt>
                <c:pt idx="90">
                  <c:v>31621022.000000</c:v>
                </c:pt>
                <c:pt idx="91">
                  <c:v>27651134.000000</c:v>
                </c:pt>
                <c:pt idx="92">
                  <c:v>16524027.000000</c:v>
                </c:pt>
                <c:pt idx="93">
                  <c:v>8883436.000000</c:v>
                </c:pt>
                <c:pt idx="94">
                  <c:v>7768712.000000</c:v>
                </c:pt>
                <c:pt idx="95">
                  <c:v>8245002.000000</c:v>
                </c:pt>
                <c:pt idx="96">
                  <c:v>8725297.000000</c:v>
                </c:pt>
                <c:pt idx="97">
                  <c:v>9319731.000000</c:v>
                </c:pt>
                <c:pt idx="98">
                  <c:v>9399360.000000</c:v>
                </c:pt>
                <c:pt idx="99">
                  <c:v>9865241.000000</c:v>
                </c:pt>
                <c:pt idx="100">
                  <c:v>10062691.000000</c:v>
                </c:pt>
                <c:pt idx="101">
                  <c:v>9804175.000000</c:v>
                </c:pt>
                <c:pt idx="102">
                  <c:v>9693331.000000</c:v>
                </c:pt>
                <c:pt idx="103">
                  <c:v>9477852.000000</c:v>
                </c:pt>
                <c:pt idx="104">
                  <c:v>9501503.000000</c:v>
                </c:pt>
                <c:pt idx="105">
                  <c:v>9862963.000000</c:v>
                </c:pt>
                <c:pt idx="106">
                  <c:v>10970244.000000</c:v>
                </c:pt>
                <c:pt idx="107">
                  <c:v>11447471.000000</c:v>
                </c:pt>
                <c:pt idx="108">
                  <c:v>11447471.000000</c:v>
                </c:pt>
                <c:pt idx="109">
                  <c:v>11447471.000000</c:v>
                </c:pt>
                <c:pt idx="110">
                  <c:v>11447471.000000</c:v>
                </c:pt>
                <c:pt idx="111">
                  <c:v>11447471.000000</c:v>
                </c:pt>
              </c:numCache>
            </c:numRef>
          </c:val>
        </c:ser>
        <c:ser>
          <c:idx val="4"/>
          <c:order val="4"/>
          <c:tx>
            <c:strRef>
              <c:f>'net worth - Table 1-1'!$I$1</c:f>
              <c:strCache>
                <c:ptCount val="1"/>
                <c:pt idx="0">
                  <c:v>cripto</c:v>
                </c:pt>
              </c:strCache>
            </c:strRef>
          </c:tx>
          <c:spPr>
            <a:solidFill>
              <a:srgbClr val="EBBD47"/>
            </a:solidFill>
            <a:ln w="12700" cap="flat">
              <a:noFill/>
              <a:miter lim="400000"/>
            </a:ln>
            <a:effectLst/>
          </c:spPr>
          <c:invertIfNegative val="0"/>
          <c:dLbls>
            <c:numFmt formatCode="&quot;$&quot;#,##0" sourceLinked="1"/>
            <c:txPr>
              <a:bodyPr/>
              <a:lstStyle/>
              <a:p>
                <a:pPr>
                  <a:defRPr b="0" i="0" strike="noStrike" sz="300" u="none">
                    <a:solidFill>
                      <a:srgbClr val="000000"/>
                    </a:solidFill>
                    <a:latin typeface="Helvetica"/>
                  </a:defRPr>
                </a:pPr>
              </a:p>
            </c:txPr>
            <c:dLblPos val="ctr"/>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1-1'!$I$2:$I$113</c:f>
              <c:numCache>
                <c:ptCount val="107"/>
                <c:pt idx="5">
                  <c:v>1272218.016381</c:v>
                </c:pt>
                <c:pt idx="6">
                  <c:v>3085682.427160</c:v>
                </c:pt>
                <c:pt idx="7">
                  <c:v>3257439.546983</c:v>
                </c:pt>
                <c:pt idx="8">
                  <c:v>2845882.118525</c:v>
                </c:pt>
                <c:pt idx="9">
                  <c:v>1531932.586529</c:v>
                </c:pt>
                <c:pt idx="10">
                  <c:v>2079903.766844</c:v>
                </c:pt>
                <c:pt idx="11">
                  <c:v>2328343.296500</c:v>
                </c:pt>
                <c:pt idx="12">
                  <c:v>1861409.139053</c:v>
                </c:pt>
                <c:pt idx="13">
                  <c:v>2137166.363382</c:v>
                </c:pt>
                <c:pt idx="14">
                  <c:v>1552135.009554</c:v>
                </c:pt>
                <c:pt idx="15">
                  <c:v>1309430.128021</c:v>
                </c:pt>
                <c:pt idx="16">
                  <c:v>1247016.868837</c:v>
                </c:pt>
                <c:pt idx="17">
                  <c:v>730535.000000</c:v>
                </c:pt>
                <c:pt idx="18">
                  <c:v>799676.480250</c:v>
                </c:pt>
                <c:pt idx="19">
                  <c:v>612249.381426</c:v>
                </c:pt>
                <c:pt idx="20">
                  <c:v>734791.194822</c:v>
                </c:pt>
                <c:pt idx="21">
                  <c:v>775047.015228</c:v>
                </c:pt>
                <c:pt idx="22">
                  <c:v>974972.052839</c:v>
                </c:pt>
                <c:pt idx="23">
                  <c:v>1628405.463286</c:v>
                </c:pt>
                <c:pt idx="24">
                  <c:v>1841750.609045</c:v>
                </c:pt>
                <c:pt idx="25">
                  <c:v>1556940.308716</c:v>
                </c:pt>
                <c:pt idx="26">
                  <c:v>1398277.840278</c:v>
                </c:pt>
                <c:pt idx="27">
                  <c:v>1349656.190386</c:v>
                </c:pt>
                <c:pt idx="28">
                  <c:v>1440647.385831</c:v>
                </c:pt>
                <c:pt idx="29">
                  <c:v>1312157.728327</c:v>
                </c:pt>
                <c:pt idx="30">
                  <c:v>1135089.405939</c:v>
                </c:pt>
                <c:pt idx="31">
                  <c:v>1566102.832928</c:v>
                </c:pt>
                <c:pt idx="32">
                  <c:v>1760275.735882</c:v>
                </c:pt>
                <c:pt idx="33">
                  <c:v>1203911.958255</c:v>
                </c:pt>
                <c:pt idx="34">
                  <c:v>1712738.800732</c:v>
                </c:pt>
                <c:pt idx="35">
                  <c:v>1812397.572734</c:v>
                </c:pt>
                <c:pt idx="36">
                  <c:v>1817898.813805</c:v>
                </c:pt>
                <c:pt idx="37">
                  <c:v>2334350.117538</c:v>
                </c:pt>
                <c:pt idx="38">
                  <c:v>2807232.170791</c:v>
                </c:pt>
                <c:pt idx="39">
                  <c:v>2409646.420111</c:v>
                </c:pt>
                <c:pt idx="40">
                  <c:v>2757821.488860</c:v>
                </c:pt>
                <c:pt idx="41">
                  <c:v>4029227.007488</c:v>
                </c:pt>
                <c:pt idx="42">
                  <c:v>5210367.989024</c:v>
                </c:pt>
                <c:pt idx="43">
                  <c:v>5366295.342190</c:v>
                </c:pt>
                <c:pt idx="44">
                  <c:v>5389762.722618</c:v>
                </c:pt>
                <c:pt idx="45">
                  <c:v>6549555.348331</c:v>
                </c:pt>
                <c:pt idx="46">
                  <c:v>7930245.304117</c:v>
                </c:pt>
                <c:pt idx="47">
                  <c:v>5478561.881851</c:v>
                </c:pt>
                <c:pt idx="48">
                  <c:v>4823022.646831</c:v>
                </c:pt>
                <c:pt idx="49">
                  <c:v>5742654.000000</c:v>
                </c:pt>
                <c:pt idx="50">
                  <c:v>7594332.000000</c:v>
                </c:pt>
                <c:pt idx="51">
                  <c:v>7890259.000000</c:v>
                </c:pt>
                <c:pt idx="52">
                  <c:v>10132393.000000</c:v>
                </c:pt>
                <c:pt idx="53">
                  <c:v>10582141.000000</c:v>
                </c:pt>
                <c:pt idx="54">
                  <c:v>8730136.000000</c:v>
                </c:pt>
                <c:pt idx="55">
                  <c:v>6238387.000000</c:v>
                </c:pt>
                <c:pt idx="56">
                  <c:v>6847253.000000</c:v>
                </c:pt>
                <c:pt idx="57">
                  <c:v>7437840.000000</c:v>
                </c:pt>
                <c:pt idx="58">
                  <c:v>6723473.000000</c:v>
                </c:pt>
                <c:pt idx="59">
                  <c:v>4904826.000000</c:v>
                </c:pt>
                <c:pt idx="60">
                  <c:v>3258118.000000</c:v>
                </c:pt>
                <c:pt idx="61">
                  <c:v>4418151.000000</c:v>
                </c:pt>
                <c:pt idx="62">
                  <c:v>3909076.000000</c:v>
                </c:pt>
                <c:pt idx="63">
                  <c:v>3770406.000000</c:v>
                </c:pt>
                <c:pt idx="64">
                  <c:v>4210664.000000</c:v>
                </c:pt>
                <c:pt idx="65">
                  <c:v>3259478.000000</c:v>
                </c:pt>
                <c:pt idx="66">
                  <c:v>2901477.000000</c:v>
                </c:pt>
                <c:pt idx="67">
                  <c:v>3697443.000000</c:v>
                </c:pt>
                <c:pt idx="68">
                  <c:v>3906693.000000</c:v>
                </c:pt>
                <c:pt idx="69">
                  <c:v>4459288.000000</c:v>
                </c:pt>
                <c:pt idx="70">
                  <c:v>4585803.000000</c:v>
                </c:pt>
                <c:pt idx="71">
                  <c:v>4373034.000000</c:v>
                </c:pt>
                <c:pt idx="72">
                  <c:v>4651210.000000</c:v>
                </c:pt>
                <c:pt idx="73">
                  <c:v>4620601.000000</c:v>
                </c:pt>
                <c:pt idx="74">
                  <c:v>4239791.000000</c:v>
                </c:pt>
                <c:pt idx="75">
                  <c:v>4680294.000000</c:v>
                </c:pt>
                <c:pt idx="76">
                  <c:v>5281470.000000</c:v>
                </c:pt>
                <c:pt idx="77">
                  <c:v>5701123.000000</c:v>
                </c:pt>
                <c:pt idx="78">
                  <c:v>5935614.000000</c:v>
                </c:pt>
                <c:pt idx="79">
                  <c:v>6138257.000000</c:v>
                </c:pt>
                <c:pt idx="80">
                  <c:v>9422555.000000</c:v>
                </c:pt>
                <c:pt idx="81">
                  <c:v>10238676.000000</c:v>
                </c:pt>
                <c:pt idx="82">
                  <c:v>8998809.000000</c:v>
                </c:pt>
                <c:pt idx="83">
                  <c:v>9854948.000000</c:v>
                </c:pt>
                <c:pt idx="84">
                  <c:v>9174454.000000</c:v>
                </c:pt>
                <c:pt idx="85">
                  <c:v>8981575.000000</c:v>
                </c:pt>
                <c:pt idx="86">
                  <c:v>7080412.000000</c:v>
                </c:pt>
                <c:pt idx="87">
                  <c:v>7581058.000000</c:v>
                </c:pt>
                <c:pt idx="88">
                  <c:v>8247740.000000</c:v>
                </c:pt>
                <c:pt idx="89">
                  <c:v>11175459.000000</c:v>
                </c:pt>
                <c:pt idx="90">
                  <c:v>10855466.000000</c:v>
                </c:pt>
                <c:pt idx="91">
                  <c:v>10158709.000000</c:v>
                </c:pt>
                <c:pt idx="92">
                  <c:v>5287672.000000</c:v>
                </c:pt>
                <c:pt idx="93">
                  <c:v>1721793.000000</c:v>
                </c:pt>
                <c:pt idx="94">
                  <c:v>1974510.000000</c:v>
                </c:pt>
                <c:pt idx="95">
                  <c:v>2164795.000000</c:v>
                </c:pt>
                <c:pt idx="96">
                  <c:v>2528175.000000</c:v>
                </c:pt>
                <c:pt idx="97">
                  <c:v>2730431.000000</c:v>
                </c:pt>
                <c:pt idx="98">
                  <c:v>2617689.000000</c:v>
                </c:pt>
                <c:pt idx="99">
                  <c:v>2700878.000000</c:v>
                </c:pt>
                <c:pt idx="100">
                  <c:v>2520334.000000</c:v>
                </c:pt>
                <c:pt idx="101">
                  <c:v>1971851.000000</c:v>
                </c:pt>
                <c:pt idx="102">
                  <c:v>1922666.000000</c:v>
                </c:pt>
                <c:pt idx="103">
                  <c:v>1654148.000000</c:v>
                </c:pt>
                <c:pt idx="104">
                  <c:v>1408789.000000</c:v>
                </c:pt>
                <c:pt idx="105">
                  <c:v>1524311.000000</c:v>
                </c:pt>
                <c:pt idx="106">
                  <c:v>1693457.000000</c:v>
                </c:pt>
                <c:pt idx="107">
                  <c:v>1693457.000000</c:v>
                </c:pt>
                <c:pt idx="108">
                  <c:v>1693457.000000</c:v>
                </c:pt>
                <c:pt idx="109">
                  <c:v>1693457.000000</c:v>
                </c:pt>
                <c:pt idx="110">
                  <c:v>1693457.000000</c:v>
                </c:pt>
                <c:pt idx="111">
                  <c:v>1693457.000000</c:v>
                </c:pt>
              </c:numCache>
            </c:numRef>
          </c:val>
        </c:ser>
        <c:ser>
          <c:idx val="5"/>
          <c:order val="5"/>
          <c:tx>
            <c:strRef>
              <c:f>'net worth - Table 1-1'!$M$1</c:f>
              <c:strCache>
                <c:ptCount val="1"/>
                <c:pt idx="0">
                  <c:v>-liabilities</c:v>
                </c:pt>
              </c:strCache>
            </c:strRef>
          </c:tx>
          <c:spPr>
            <a:solidFill>
              <a:srgbClr val="EC4613">
                <a:alpha val="50583"/>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1-1'!$M$2:$M$113</c:f>
              <c:numCache>
                <c:ptCount val="30"/>
                <c:pt idx="82">
                  <c:v>-146632532.000000</c:v>
                </c:pt>
                <c:pt idx="83">
                  <c:v>-148537645.000000</c:v>
                </c:pt>
                <c:pt idx="84">
                  <c:v>-148507657.000000</c:v>
                </c:pt>
                <c:pt idx="85">
                  <c:v>-146514662.000000</c:v>
                </c:pt>
                <c:pt idx="86">
                  <c:v>-144080221.000000</c:v>
                </c:pt>
                <c:pt idx="87">
                  <c:v>-142677909.000000</c:v>
                </c:pt>
                <c:pt idx="88">
                  <c:v>-140667010.000000</c:v>
                </c:pt>
                <c:pt idx="89">
                  <c:v>-118820206.000000</c:v>
                </c:pt>
                <c:pt idx="90">
                  <c:v>-117412648.000000</c:v>
                </c:pt>
                <c:pt idx="91">
                  <c:v>-117412648.000000</c:v>
                </c:pt>
                <c:pt idx="92">
                  <c:v>-96843989.000000</c:v>
                </c:pt>
                <c:pt idx="93">
                  <c:v>-101744314.000000</c:v>
                </c:pt>
                <c:pt idx="94">
                  <c:v>-100361861.000000</c:v>
                </c:pt>
                <c:pt idx="95">
                  <c:v>-98996690.000000</c:v>
                </c:pt>
                <c:pt idx="96">
                  <c:v>-97857048.000000</c:v>
                </c:pt>
                <c:pt idx="97">
                  <c:v>-97134083.000000</c:v>
                </c:pt>
                <c:pt idx="98">
                  <c:v>-96198371.000000</c:v>
                </c:pt>
                <c:pt idx="99">
                  <c:v>-95557238.000000</c:v>
                </c:pt>
                <c:pt idx="100">
                  <c:v>-98633257.000000</c:v>
                </c:pt>
                <c:pt idx="101">
                  <c:v>-97536664.000000</c:v>
                </c:pt>
                <c:pt idx="102">
                  <c:v>-98707435.000000</c:v>
                </c:pt>
                <c:pt idx="103">
                  <c:v>-98000854.000000</c:v>
                </c:pt>
                <c:pt idx="104">
                  <c:v>-96783204.000000</c:v>
                </c:pt>
                <c:pt idx="105">
                  <c:v>-83905979.000000</c:v>
                </c:pt>
                <c:pt idx="106">
                  <c:v>-81329535.791860</c:v>
                </c:pt>
                <c:pt idx="107">
                  <c:v>-78939167.311715</c:v>
                </c:pt>
                <c:pt idx="108">
                  <c:v>-76655346.738784</c:v>
                </c:pt>
                <c:pt idx="109">
                  <c:v>-75474654.145908</c:v>
                </c:pt>
                <c:pt idx="110">
                  <c:v>-74550663.497574</c:v>
                </c:pt>
                <c:pt idx="111">
                  <c:v>-73591744.793481</c:v>
                </c:pt>
              </c:numCache>
            </c:numRef>
          </c:val>
        </c:ser>
        <c:gapWidth val="0"/>
        <c:overlap val="100"/>
        <c:axId val="2094734552"/>
        <c:axId val="2094734553"/>
      </c:bar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1.5e+08"/>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between"/>
      </c:valAx>
      <c:spPr>
        <a:noFill/>
        <a:ln w="12700" cap="flat">
          <a:noFill/>
          <a:miter lim="400000"/>
        </a:ln>
        <a:effectLst/>
      </c:spPr>
    </c:plotArea>
    <c:legend>
      <c:legendPos val="t"/>
      <c:layout>
        <c:manualLayout>
          <c:xMode val="edge"/>
          <c:yMode val="edge"/>
          <c:x val="0.14421"/>
          <c:y val="0"/>
          <c:w val="0.85044"/>
          <c:h val="0.064481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3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0163"/>
          <c:y val="0.126667"/>
          <c:w val="0.710226"/>
          <c:h val="0.809167"/>
        </c:manualLayout>
      </c:layout>
      <c:lineChart>
        <c:grouping val="standard"/>
        <c:varyColors val="0"/>
        <c:ser>
          <c:idx val="0"/>
          <c:order val="0"/>
          <c:tx>
            <c:strRef>
              <c:f>'net worth - Table 1-1'!$P$1</c:f>
              <c:strCache/>
            </c:strRef>
          </c:tx>
          <c:spPr>
            <a:solidFill>
              <a:srgbClr val="FFFFFF"/>
            </a:solidFill>
            <a:ln w="25400" cap="flat">
              <a:solidFill>
                <a:srgbClr val="467B9F"/>
              </a:solidFill>
              <a:prstDash val="solid"/>
              <a:miter lim="400000"/>
            </a:ln>
            <a:effectLst/>
          </c:spPr>
          <c:marker>
            <c:symbol val="none"/>
            <c:size val="4"/>
            <c:spPr>
              <a:solidFill>
                <a:srgbClr val="FFFFFF"/>
              </a:solidFill>
              <a:ln w="50800" cap="flat">
                <a:solidFill>
                  <a:srgbClr val="567691"/>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0"/>
              </c:strCache>
            </c:strRef>
          </c:cat>
          <c:val>
            <c:numRef>
              <c:f>'net worth - Table 1-1'!$P$2:$P$113</c:f>
              <c:numCache>
                <c:ptCount val="0"/>
              </c:numCache>
            </c:numRef>
          </c:val>
          <c:smooth val="0"/>
        </c:ser>
        <c:ser>
          <c:idx val="2"/>
          <c:order val="1"/>
          <c:tx>
            <c:strRef>
              <c:f>'net worth - Table 1-1'!$L$1</c:f>
              <c:strCache/>
            </c:strRef>
          </c:tx>
          <c:spPr>
            <a:solidFill>
              <a:srgbClr val="FFFFFF"/>
            </a:solidFill>
            <a:ln w="25400" cap="flat">
              <a:solidFill>
                <a:srgbClr val="CD5248">
                  <a:alpha val="71734"/>
                </a:srgbClr>
              </a:solidFill>
              <a:prstDash val="solid"/>
              <a:miter lim="400000"/>
            </a:ln>
            <a:effectLst/>
          </c:spPr>
          <c:marker>
            <c:symbol val="none"/>
            <c:size val="4"/>
            <c:spPr>
              <a:solidFill>
                <a:srgbClr val="FFFFFF"/>
              </a:solidFill>
              <a:ln w="50800" cap="flat">
                <a:solidFill>
                  <a:srgbClr val="BA9844"/>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0"/>
              </c:strCache>
            </c:strRef>
          </c:cat>
          <c:val>
            <c:numRef>
              <c:f>'net worth - Table 1-1'!$L$2:$L$113</c:f>
              <c:numCache>
                <c:ptCount val="0"/>
              </c:numCache>
            </c:numRef>
          </c:val>
          <c:smooth val="0"/>
        </c:ser>
        <c:ser>
          <c:idx val="3"/>
          <c:order val="2"/>
          <c:tx>
            <c:strRef>
              <c:f>'net worth - Table 1-3'!$BR$1:$BR$2</c:f>
              <c:strCache/>
            </c:strRef>
          </c:tx>
          <c:spPr>
            <a:solidFill>
              <a:srgbClr val="FFFFFF"/>
            </a:solidFill>
            <a:ln w="25400" cap="flat">
              <a:solidFill>
                <a:srgbClr val="1B478D">
                  <a:alpha val="25453"/>
                </a:srgbClr>
              </a:solidFill>
              <a:prstDash val="solid"/>
              <a:miter lim="400000"/>
            </a:ln>
            <a:effectLst/>
          </c:spPr>
          <c:marker>
            <c:symbol val="none"/>
            <c:size val="4"/>
            <c:spPr>
              <a:solidFill>
                <a:srgbClr val="FFFFFF"/>
              </a:solidFill>
              <a:ln w="50800" cap="flat">
                <a:solidFill>
                  <a:srgbClr val="AC5A49"/>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0"/>
              </c:strCache>
            </c:strRef>
          </c:cat>
          <c:val>
            <c:numRef>
              <c:f>'net worth - Table 1-3'!$BR$3:$BR$114</c:f>
              <c:numCache>
                <c:ptCount val="0"/>
              </c:numCache>
            </c:numRef>
          </c:val>
          <c:smooth val="0"/>
        </c:ser>
        <c:marker val="1"/>
        <c:axId val="2094734552"/>
        <c:axId val="2094734553"/>
      </c:lineChart>
      <c:lineChart>
        <c:grouping val="standard"/>
        <c:varyColors val="0"/>
        <c:ser>
          <c:idx val="1"/>
          <c:order val="3"/>
          <c:tx>
            <c:strRef>
              <c:f>'net worth - Table 1-1'!$Q$1</c:f>
              <c:strCache/>
            </c:strRef>
          </c:tx>
          <c:spPr>
            <a:solidFill>
              <a:srgbClr val="2A5D1B">
                <a:alpha val="43400"/>
              </a:srgbClr>
            </a:solidFill>
            <a:ln w="38100" cap="flat">
              <a:solidFill>
                <a:srgbClr val="00BB00">
                  <a:alpha val="49894"/>
                </a:srgbClr>
              </a:solidFill>
              <a:prstDash val="solid"/>
              <a:miter lim="400000"/>
            </a:ln>
            <a:effectLst/>
          </c:spPr>
          <c:marker>
            <c:symbol val="circle"/>
            <c:size val="4"/>
            <c:spPr>
              <a:solidFill>
                <a:srgbClr val="2A5D1B">
                  <a:alpha val="43400"/>
                </a:srgbClr>
              </a:solidFill>
              <a:ln w="50800" cap="flat">
                <a:noFill/>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0"/>
              </c:strCache>
            </c:strRef>
          </c:cat>
          <c:val>
            <c:numRef>
              <c:f>'net worth - Table 1-1'!$Q$2:$Q$113</c:f>
              <c:numCache>
                <c:ptCount val="0"/>
              </c:numCache>
            </c:numRef>
          </c:val>
          <c:smooth val="0"/>
        </c:ser>
        <c:marker val="1"/>
        <c:axId val="2094734555"/>
        <c:axId val="2094734556"/>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4e+08"/>
          <c:min val="0"/>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catAx>
        <c:axId val="2094734555"/>
        <c:scaling>
          <c:orientation val="minMax"/>
        </c:scaling>
        <c:delete val="0"/>
        <c:axPos val="b"/>
        <c:majorTickMark val="out"/>
        <c:minorTickMark val="none"/>
        <c:tickLblPos val="none"/>
        <c:spPr>
          <a:ln w="12700" cap="flat">
            <a:noFill/>
            <a:prstDash val="solid"/>
            <a:miter lim="400000"/>
          </a:ln>
        </c:spPr>
        <c:crossAx val="2094734556"/>
        <c:crosses val="autoZero"/>
        <c:auto val="1"/>
        <c:lblAlgn val="ctr"/>
        <c:noMultiLvlLbl val="1"/>
      </c:catAx>
      <c:valAx>
        <c:axId val="2094734556"/>
        <c:scaling>
          <c:orientation val="minMax"/>
          <c:min val="0"/>
        </c:scaling>
        <c:delete val="0"/>
        <c:axPos val="r"/>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5"/>
        <c:crosses val="max"/>
        <c:crossBetween val="between"/>
      </c:valAx>
      <c:spPr>
        <a:noFill/>
        <a:ln w="12700" cap="flat">
          <a:noFill/>
          <a:miter lim="400000"/>
        </a:ln>
        <a:effectLst/>
      </c:spPr>
    </c:plotArea>
    <c:legend>
      <c:legendPos val="t"/>
      <c:layout>
        <c:manualLayout>
          <c:xMode val="edge"/>
          <c:yMode val="edge"/>
          <c:x val="0.134174"/>
          <c:y val="0"/>
          <c:w val="0.749025"/>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40.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0163"/>
          <c:y val="0.126667"/>
          <c:w val="0.710226"/>
          <c:h val="0.809167"/>
        </c:manualLayout>
      </c:layout>
      <c:lineChart>
        <c:grouping val="standard"/>
        <c:varyColors val="0"/>
        <c:ser>
          <c:idx val="0"/>
          <c:order val="0"/>
          <c:tx>
            <c:strRef>
              <c:f>'net worth - Table 1-1'!$F$1</c:f>
              <c:strCache/>
            </c:strRef>
          </c:tx>
          <c:spPr>
            <a:solidFill>
              <a:srgbClr val="2F526A"/>
            </a:solidFill>
            <a:ln w="50800" cap="flat">
              <a:solidFill>
                <a:srgbClr val="467B9F"/>
              </a:solidFill>
              <a:prstDash val="solid"/>
              <a:miter lim="400000"/>
            </a:ln>
            <a:effectLst/>
          </c:spPr>
          <c:marker>
            <c:symbol val="circle"/>
            <c:size val="3"/>
            <c:spPr>
              <a:solidFill>
                <a:srgbClr val="2F526A"/>
              </a:solidFill>
              <a:ln w="50800" cap="flat">
                <a:noFill/>
                <a:miter lim="400000"/>
              </a:ln>
              <a:effectLst/>
            </c:spPr>
          </c:marke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0"/>
              </c:strCache>
            </c:strRef>
          </c:cat>
          <c:val>
            <c:numRef>
              <c:f>'net worth - Table 1-1'!$F$2:$F$113</c:f>
              <c:numCache>
                <c:ptCount val="0"/>
              </c:numCache>
            </c:numRef>
          </c:val>
          <c:smooth val="0"/>
        </c:ser>
        <c:marker val="1"/>
        <c:axId val="2094734552"/>
        <c:axId val="2094734553"/>
      </c:lineChart>
      <c:lineChart>
        <c:grouping val="standard"/>
        <c:varyColors val="0"/>
        <c:ser>
          <c:idx val="1"/>
          <c:order val="1"/>
          <c:tx>
            <c:strRef>
              <c:f>'net worth - Table 1-1'!$E$1</c:f>
              <c:strCache/>
            </c:strRef>
          </c:tx>
          <c:spPr>
            <a:solidFill>
              <a:srgbClr val="008F00"/>
            </a:solidFill>
            <a:ln w="50800" cap="flat">
              <a:solidFill>
                <a:srgbClr val="00BB00">
                  <a:alpha val="71000"/>
                </a:srgbClr>
              </a:solidFill>
              <a:prstDash val="solid"/>
              <a:miter lim="400000"/>
            </a:ln>
            <a:effectLst/>
          </c:spPr>
          <c:marker>
            <c:symbol val="circle"/>
            <c:size val="3"/>
            <c:spPr>
              <a:solidFill>
                <a:srgbClr val="008F00"/>
              </a:solidFill>
              <a:ln w="50800" cap="flat">
                <a:noFill/>
                <a:miter lim="400000"/>
              </a:ln>
              <a:effectLst/>
            </c:spPr>
          </c:marker>
          <c:dLbls>
            <c:numFmt formatCode="[$$-409]#,##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'net worth - Table 1-1'!$A$2:$A$113</c:f>
              <c:strCache>
                <c:ptCount val="0"/>
              </c:strCache>
            </c:strRef>
          </c:cat>
          <c:val>
            <c:numRef>
              <c:f>'net worth - Table 1-1'!$E$2:$E$113</c:f>
              <c:numCache>
                <c:ptCount val="0"/>
              </c:numCache>
            </c:numRef>
          </c:val>
          <c:smooth val="0"/>
        </c:ser>
        <c:marker val="1"/>
        <c:axId val="2094734555"/>
        <c:axId val="2094734556"/>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3.5e+08"/>
          <c:min val="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catAx>
        <c:axId val="2094734555"/>
        <c:scaling>
          <c:orientation val="minMax"/>
        </c:scaling>
        <c:delete val="0"/>
        <c:axPos val="b"/>
        <c:majorTickMark val="out"/>
        <c:minorTickMark val="none"/>
        <c:tickLblPos val="none"/>
        <c:spPr>
          <a:ln w="12700" cap="flat">
            <a:noFill/>
            <a:prstDash val="solid"/>
            <a:miter lim="400000"/>
          </a:ln>
        </c:spPr>
        <c:crossAx val="2094734556"/>
        <c:crosses val="autoZero"/>
        <c:auto val="1"/>
        <c:lblAlgn val="ctr"/>
        <c:noMultiLvlLbl val="1"/>
      </c:catAx>
      <c:valAx>
        <c:axId val="2094734556"/>
        <c:scaling>
          <c:orientation val="minMax"/>
          <c:max val="350000"/>
          <c:min val="0"/>
        </c:scaling>
        <c:delete val="0"/>
        <c:axPos val="r"/>
        <c:numFmt formatCode="[$$-409]#,##0"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5"/>
        <c:crosses val="max"/>
        <c:crossBetween val="between"/>
      </c:valAx>
      <c:spPr>
        <a:noFill/>
        <a:ln w="12700" cap="flat">
          <a:noFill/>
          <a:miter lim="400000"/>
        </a:ln>
        <a:effectLst/>
      </c:spPr>
    </c:plotArea>
    <c:legend>
      <c:legendPos val="t"/>
      <c:layout>
        <c:manualLayout>
          <c:xMode val="edge"/>
          <c:yMode val="edge"/>
          <c:x val="0.134174"/>
          <c:y val="0"/>
          <c:w val="0.749025"/>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4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83946"/>
          <c:y val="0.0923077"/>
          <c:w val="0.695351"/>
          <c:h val="0.842201"/>
        </c:manualLayout>
      </c:layout>
      <c:lineChart>
        <c:grouping val="standard"/>
        <c:varyColors val="0"/>
        <c:ser>
          <c:idx val="0"/>
          <c:order val="0"/>
          <c:tx>
            <c:strRef>
              <c:f>'net worth - Table 1-1'!$H$1</c:f>
              <c:strCache>
                <c:ptCount val="1"/>
                <c:pt idx="0">
                  <c:v>brokerage</c:v>
                </c:pt>
              </c:strCache>
            </c:strRef>
          </c:tx>
          <c:spPr>
            <a:solidFill>
              <a:srgbClr val="2D4F1B"/>
            </a:solidFill>
            <a:ln w="25400" cap="flat">
              <a:solidFill>
                <a:srgbClr val="68A5F3">
                  <a:alpha val="49917"/>
                </a:srgbClr>
              </a:solidFill>
              <a:prstDash val="solid"/>
              <a:miter lim="400000"/>
            </a:ln>
            <a:effectLst/>
          </c:spPr>
          <c:marker>
            <c:symbol val="none"/>
            <c:size val="2"/>
            <c:spPr>
              <a:solidFill>
                <a:srgbClr val="2D4F1B"/>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1-1'!$H$2:$H$113</c:f>
              <c:numCache>
                <c:ptCount val="112"/>
                <c:pt idx="0">
                  <c:v>1001010.000000</c:v>
                </c:pt>
                <c:pt idx="1">
                  <c:v>998000.000000</c:v>
                </c:pt>
                <c:pt idx="2">
                  <c:v>997000.000000</c:v>
                </c:pt>
                <c:pt idx="3">
                  <c:v>994000.000000</c:v>
                </c:pt>
                <c:pt idx="4">
                  <c:v>1193708.000000</c:v>
                </c:pt>
                <c:pt idx="5">
                  <c:v>1699339.000000</c:v>
                </c:pt>
                <c:pt idx="6">
                  <c:v>1894508.000000</c:v>
                </c:pt>
                <c:pt idx="7">
                  <c:v>1916082.000000</c:v>
                </c:pt>
                <c:pt idx="8">
                  <c:v>2087612.000000</c:v>
                </c:pt>
                <c:pt idx="9">
                  <c:v>2203156.000000</c:v>
                </c:pt>
                <c:pt idx="10">
                  <c:v>2492415.000000</c:v>
                </c:pt>
                <c:pt idx="11">
                  <c:v>2596609.000000</c:v>
                </c:pt>
                <c:pt idx="12">
                  <c:v>2798266.000000</c:v>
                </c:pt>
                <c:pt idx="13">
                  <c:v>2981456.000000</c:v>
                </c:pt>
                <c:pt idx="14">
                  <c:v>3229751.000000</c:v>
                </c:pt>
                <c:pt idx="15">
                  <c:v>3303248.000000</c:v>
                </c:pt>
                <c:pt idx="16">
                  <c:v>3417029.000000</c:v>
                </c:pt>
                <c:pt idx="17">
                  <c:v>3809924.000000</c:v>
                </c:pt>
                <c:pt idx="18">
                  <c:v>4148904.000000</c:v>
                </c:pt>
                <c:pt idx="19">
                  <c:v>4603346.000000</c:v>
                </c:pt>
                <c:pt idx="20">
                  <c:v>5403216.000000</c:v>
                </c:pt>
                <c:pt idx="21">
                  <c:v>6824490.000000</c:v>
                </c:pt>
                <c:pt idx="22">
                  <c:v>7804460.000000</c:v>
                </c:pt>
                <c:pt idx="23">
                  <c:v>8700750.000000</c:v>
                </c:pt>
                <c:pt idx="24">
                  <c:v>9778523.000000</c:v>
                </c:pt>
                <c:pt idx="25">
                  <c:v>10571456.000000</c:v>
                </c:pt>
                <c:pt idx="26">
                  <c:v>10684713.000000</c:v>
                </c:pt>
                <c:pt idx="27">
                  <c:v>11544666.000000</c:v>
                </c:pt>
                <c:pt idx="28">
                  <c:v>12106440.000000</c:v>
                </c:pt>
                <c:pt idx="29">
                  <c:v>14496255.000000</c:v>
                </c:pt>
                <c:pt idx="30">
                  <c:v>13411060.000000</c:v>
                </c:pt>
                <c:pt idx="31">
                  <c:v>14574351.000000</c:v>
                </c:pt>
                <c:pt idx="32">
                  <c:v>13559687.000000</c:v>
                </c:pt>
                <c:pt idx="33">
                  <c:v>12412477.000000</c:v>
                </c:pt>
                <c:pt idx="34">
                  <c:v>13839283.000000</c:v>
                </c:pt>
                <c:pt idx="35">
                  <c:v>13939112.000000</c:v>
                </c:pt>
                <c:pt idx="36">
                  <c:v>14721044.000000</c:v>
                </c:pt>
                <c:pt idx="37">
                  <c:v>14242037.000000</c:v>
                </c:pt>
                <c:pt idx="38">
                  <c:v>16025314.000000</c:v>
                </c:pt>
                <c:pt idx="39">
                  <c:v>12781177.000000</c:v>
                </c:pt>
                <c:pt idx="40">
                  <c:v>12237434.000000</c:v>
                </c:pt>
                <c:pt idx="41">
                  <c:v>13809591.000000</c:v>
                </c:pt>
                <c:pt idx="42">
                  <c:v>13490786.000000</c:v>
                </c:pt>
                <c:pt idx="43">
                  <c:v>14079388.000000</c:v>
                </c:pt>
                <c:pt idx="44">
                  <c:v>13907650.000000</c:v>
                </c:pt>
                <c:pt idx="45">
                  <c:v>13815520.000000</c:v>
                </c:pt>
                <c:pt idx="46">
                  <c:v>14686023.000000</c:v>
                </c:pt>
                <c:pt idx="47">
                  <c:v>15436852.000000</c:v>
                </c:pt>
                <c:pt idx="48">
                  <c:v>16991759.000000</c:v>
                </c:pt>
                <c:pt idx="49">
                  <c:v>17935236.000000</c:v>
                </c:pt>
                <c:pt idx="50">
                  <c:v>18749937.000000</c:v>
                </c:pt>
                <c:pt idx="51">
                  <c:v>18459742.000000</c:v>
                </c:pt>
                <c:pt idx="52">
                  <c:v>19822509.000000</c:v>
                </c:pt>
                <c:pt idx="53">
                  <c:v>20631759.000000</c:v>
                </c:pt>
                <c:pt idx="54">
                  <c:v>20792432.000000</c:v>
                </c:pt>
                <c:pt idx="55">
                  <c:v>18067651.000000</c:v>
                </c:pt>
                <c:pt idx="56">
                  <c:v>18212076.000000</c:v>
                </c:pt>
                <c:pt idx="57">
                  <c:v>20276098.000000</c:v>
                </c:pt>
                <c:pt idx="58">
                  <c:v>19542857.000000</c:v>
                </c:pt>
                <c:pt idx="59">
                  <c:v>19059853.000000</c:v>
                </c:pt>
                <c:pt idx="60">
                  <c:v>19707911.000000</c:v>
                </c:pt>
                <c:pt idx="61">
                  <c:v>20826478.000000</c:v>
                </c:pt>
                <c:pt idx="62">
                  <c:v>19636133.000000</c:v>
                </c:pt>
                <c:pt idx="63">
                  <c:v>18911493.000000</c:v>
                </c:pt>
                <c:pt idx="64">
                  <c:v>19413118.000000</c:v>
                </c:pt>
                <c:pt idx="65">
                  <c:v>19600732.000000</c:v>
                </c:pt>
                <c:pt idx="66">
                  <c:v>18905117.000000</c:v>
                </c:pt>
                <c:pt idx="67">
                  <c:v>19423234.000000</c:v>
                </c:pt>
                <c:pt idx="68">
                  <c:v>19770460.000000</c:v>
                </c:pt>
                <c:pt idx="69">
                  <c:v>19696814.000000</c:v>
                </c:pt>
                <c:pt idx="70">
                  <c:v>19754277.000000</c:v>
                </c:pt>
                <c:pt idx="71">
                  <c:v>20900676.000000</c:v>
                </c:pt>
                <c:pt idx="72">
                  <c:v>21905792.000000</c:v>
                </c:pt>
                <c:pt idx="73">
                  <c:v>23745157.000000</c:v>
                </c:pt>
                <c:pt idx="74">
                  <c:v>23329779.149703</c:v>
                </c:pt>
                <c:pt idx="75">
                  <c:v>23157780.378592</c:v>
                </c:pt>
                <c:pt idx="76">
                  <c:v>22298128.532527</c:v>
                </c:pt>
                <c:pt idx="77">
                  <c:v>23791012.943965</c:v>
                </c:pt>
                <c:pt idx="78">
                  <c:v>25673178.153746</c:v>
                </c:pt>
                <c:pt idx="79">
                  <c:v>26745235.000000</c:v>
                </c:pt>
                <c:pt idx="80">
                  <c:v>29143747.000000</c:v>
                </c:pt>
                <c:pt idx="81">
                  <c:v>30214405.000000</c:v>
                </c:pt>
                <c:pt idx="82">
                  <c:v>28198430.000000</c:v>
                </c:pt>
                <c:pt idx="83">
                  <c:v>28535192.000000</c:v>
                </c:pt>
                <c:pt idx="84">
                  <c:v>30554913.000000</c:v>
                </c:pt>
                <c:pt idx="85">
                  <c:v>30517714.000000</c:v>
                </c:pt>
                <c:pt idx="86">
                  <c:v>29754534.000000</c:v>
                </c:pt>
                <c:pt idx="87">
                  <c:v>29922775.000000</c:v>
                </c:pt>
                <c:pt idx="88">
                  <c:v>32678334.000000</c:v>
                </c:pt>
                <c:pt idx="89">
                  <c:v>34016988.000000</c:v>
                </c:pt>
                <c:pt idx="90">
                  <c:v>31621022.000000</c:v>
                </c:pt>
                <c:pt idx="91">
                  <c:v>27651134.000000</c:v>
                </c:pt>
                <c:pt idx="92">
                  <c:v>16524027.000000</c:v>
                </c:pt>
                <c:pt idx="93">
                  <c:v>8883436.000000</c:v>
                </c:pt>
                <c:pt idx="94">
                  <c:v>7768712.000000</c:v>
                </c:pt>
                <c:pt idx="95">
                  <c:v>8245002.000000</c:v>
                </c:pt>
                <c:pt idx="96">
                  <c:v>8725297.000000</c:v>
                </c:pt>
                <c:pt idx="97">
                  <c:v>9319731.000000</c:v>
                </c:pt>
                <c:pt idx="98">
                  <c:v>9399360.000000</c:v>
                </c:pt>
                <c:pt idx="99">
                  <c:v>9865241.000000</c:v>
                </c:pt>
                <c:pt idx="100">
                  <c:v>10062691.000000</c:v>
                </c:pt>
                <c:pt idx="101">
                  <c:v>9804175.000000</c:v>
                </c:pt>
                <c:pt idx="102">
                  <c:v>9693331.000000</c:v>
                </c:pt>
                <c:pt idx="103">
                  <c:v>9477852.000000</c:v>
                </c:pt>
                <c:pt idx="104">
                  <c:v>9501503.000000</c:v>
                </c:pt>
                <c:pt idx="105">
                  <c:v>9862963.000000</c:v>
                </c:pt>
                <c:pt idx="106">
                  <c:v>10970244.000000</c:v>
                </c:pt>
                <c:pt idx="107">
                  <c:v>11447471.000000</c:v>
                </c:pt>
                <c:pt idx="108">
                  <c:v>11447471.000000</c:v>
                </c:pt>
                <c:pt idx="109">
                  <c:v>11447471.000000</c:v>
                </c:pt>
                <c:pt idx="110">
                  <c:v>11447471.000000</c:v>
                </c:pt>
                <c:pt idx="111">
                  <c:v>11447471.000000</c:v>
                </c:pt>
              </c:numCache>
            </c:numRef>
          </c:val>
          <c:smooth val="0"/>
        </c:ser>
        <c:ser>
          <c:idx val="1"/>
          <c:order val="1"/>
          <c:tx>
            <c:strRef>
              <c:f>'net worth - Table 1-1'!$I$1</c:f>
              <c:strCache>
                <c:ptCount val="1"/>
                <c:pt idx="0">
                  <c:v>cripto</c:v>
                </c:pt>
              </c:strCache>
            </c:strRef>
          </c:tx>
          <c:spPr>
            <a:solidFill>
              <a:srgbClr val="2D4F1B"/>
            </a:solidFill>
            <a:ln w="25400" cap="flat">
              <a:solidFill>
                <a:srgbClr val="EABD45">
                  <a:alpha val="50408"/>
                </a:srgbClr>
              </a:solidFill>
              <a:prstDash val="solid"/>
              <a:miter lim="400000"/>
            </a:ln>
            <a:effectLst/>
          </c:spPr>
          <c:marker>
            <c:symbol val="none"/>
            <c:size val="2"/>
            <c:spPr>
              <a:solidFill>
                <a:srgbClr val="2D4F1B"/>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1-1'!$I$2:$I$113</c:f>
              <c:numCache>
                <c:ptCount val="107"/>
                <c:pt idx="5">
                  <c:v>1272218.016381</c:v>
                </c:pt>
                <c:pt idx="6">
                  <c:v>3085682.427160</c:v>
                </c:pt>
                <c:pt idx="7">
                  <c:v>3257439.546983</c:v>
                </c:pt>
                <c:pt idx="8">
                  <c:v>2845882.118525</c:v>
                </c:pt>
                <c:pt idx="9">
                  <c:v>1531932.586529</c:v>
                </c:pt>
                <c:pt idx="10">
                  <c:v>2079903.766844</c:v>
                </c:pt>
                <c:pt idx="11">
                  <c:v>2328343.296500</c:v>
                </c:pt>
                <c:pt idx="12">
                  <c:v>1861409.139053</c:v>
                </c:pt>
                <c:pt idx="13">
                  <c:v>2137166.363382</c:v>
                </c:pt>
                <c:pt idx="14">
                  <c:v>1552135.009554</c:v>
                </c:pt>
                <c:pt idx="15">
                  <c:v>1309430.128021</c:v>
                </c:pt>
                <c:pt idx="16">
                  <c:v>1247016.868837</c:v>
                </c:pt>
                <c:pt idx="17">
                  <c:v>730535.000000</c:v>
                </c:pt>
                <c:pt idx="18">
                  <c:v>799676.480250</c:v>
                </c:pt>
                <c:pt idx="19">
                  <c:v>612249.381426</c:v>
                </c:pt>
                <c:pt idx="20">
                  <c:v>734791.194822</c:v>
                </c:pt>
                <c:pt idx="21">
                  <c:v>775047.015228</c:v>
                </c:pt>
                <c:pt idx="22">
                  <c:v>974972.052839</c:v>
                </c:pt>
                <c:pt idx="23">
                  <c:v>1628405.463286</c:v>
                </c:pt>
                <c:pt idx="24">
                  <c:v>1841750.609045</c:v>
                </c:pt>
                <c:pt idx="25">
                  <c:v>1556940.308716</c:v>
                </c:pt>
                <c:pt idx="26">
                  <c:v>1398277.840278</c:v>
                </c:pt>
                <c:pt idx="27">
                  <c:v>1349656.190386</c:v>
                </c:pt>
                <c:pt idx="28">
                  <c:v>1440647.385831</c:v>
                </c:pt>
                <c:pt idx="29">
                  <c:v>1312157.728327</c:v>
                </c:pt>
                <c:pt idx="30">
                  <c:v>1135089.405939</c:v>
                </c:pt>
                <c:pt idx="31">
                  <c:v>1566102.832928</c:v>
                </c:pt>
                <c:pt idx="32">
                  <c:v>1760275.735882</c:v>
                </c:pt>
                <c:pt idx="33">
                  <c:v>1203911.958255</c:v>
                </c:pt>
                <c:pt idx="34">
                  <c:v>1712738.800732</c:v>
                </c:pt>
                <c:pt idx="35">
                  <c:v>1812397.572734</c:v>
                </c:pt>
                <c:pt idx="36">
                  <c:v>1817898.813805</c:v>
                </c:pt>
                <c:pt idx="37">
                  <c:v>2334350.117538</c:v>
                </c:pt>
                <c:pt idx="38">
                  <c:v>2807232.170791</c:v>
                </c:pt>
                <c:pt idx="39">
                  <c:v>2409646.420111</c:v>
                </c:pt>
                <c:pt idx="40">
                  <c:v>2757821.488860</c:v>
                </c:pt>
                <c:pt idx="41">
                  <c:v>4029227.007488</c:v>
                </c:pt>
                <c:pt idx="42">
                  <c:v>5210367.989024</c:v>
                </c:pt>
                <c:pt idx="43">
                  <c:v>5366295.342190</c:v>
                </c:pt>
                <c:pt idx="44">
                  <c:v>5389762.722618</c:v>
                </c:pt>
                <c:pt idx="45">
                  <c:v>6549555.348331</c:v>
                </c:pt>
                <c:pt idx="46">
                  <c:v>7930245.304117</c:v>
                </c:pt>
                <c:pt idx="47">
                  <c:v>5478561.881851</c:v>
                </c:pt>
                <c:pt idx="48">
                  <c:v>4823022.646831</c:v>
                </c:pt>
                <c:pt idx="49">
                  <c:v>5742654.000000</c:v>
                </c:pt>
                <c:pt idx="50">
                  <c:v>7594332.000000</c:v>
                </c:pt>
                <c:pt idx="51">
                  <c:v>7890259.000000</c:v>
                </c:pt>
                <c:pt idx="52">
                  <c:v>10132393.000000</c:v>
                </c:pt>
                <c:pt idx="53">
                  <c:v>10582141.000000</c:v>
                </c:pt>
                <c:pt idx="54">
                  <c:v>8730136.000000</c:v>
                </c:pt>
                <c:pt idx="55">
                  <c:v>6238387.000000</c:v>
                </c:pt>
                <c:pt idx="56">
                  <c:v>6847253.000000</c:v>
                </c:pt>
                <c:pt idx="57">
                  <c:v>7437840.000000</c:v>
                </c:pt>
                <c:pt idx="58">
                  <c:v>6723473.000000</c:v>
                </c:pt>
                <c:pt idx="59">
                  <c:v>4904826.000000</c:v>
                </c:pt>
                <c:pt idx="60">
                  <c:v>3258118.000000</c:v>
                </c:pt>
                <c:pt idx="61">
                  <c:v>4418151.000000</c:v>
                </c:pt>
                <c:pt idx="62">
                  <c:v>3909076.000000</c:v>
                </c:pt>
                <c:pt idx="63">
                  <c:v>3770406.000000</c:v>
                </c:pt>
                <c:pt idx="64">
                  <c:v>4210664.000000</c:v>
                </c:pt>
                <c:pt idx="65">
                  <c:v>3259478.000000</c:v>
                </c:pt>
                <c:pt idx="66">
                  <c:v>2901477.000000</c:v>
                </c:pt>
                <c:pt idx="67">
                  <c:v>3697443.000000</c:v>
                </c:pt>
                <c:pt idx="68">
                  <c:v>3906693.000000</c:v>
                </c:pt>
                <c:pt idx="69">
                  <c:v>4459288.000000</c:v>
                </c:pt>
                <c:pt idx="70">
                  <c:v>4585803.000000</c:v>
                </c:pt>
                <c:pt idx="71">
                  <c:v>4373034.000000</c:v>
                </c:pt>
                <c:pt idx="72">
                  <c:v>4651210.000000</c:v>
                </c:pt>
                <c:pt idx="73">
                  <c:v>4620601.000000</c:v>
                </c:pt>
                <c:pt idx="74">
                  <c:v>4239791.000000</c:v>
                </c:pt>
                <c:pt idx="75">
                  <c:v>4680294.000000</c:v>
                </c:pt>
                <c:pt idx="76">
                  <c:v>5281470.000000</c:v>
                </c:pt>
                <c:pt idx="77">
                  <c:v>5701123.000000</c:v>
                </c:pt>
                <c:pt idx="78">
                  <c:v>5935614.000000</c:v>
                </c:pt>
                <c:pt idx="79">
                  <c:v>6138257.000000</c:v>
                </c:pt>
                <c:pt idx="80">
                  <c:v>9422555.000000</c:v>
                </c:pt>
                <c:pt idx="81">
                  <c:v>10238676.000000</c:v>
                </c:pt>
                <c:pt idx="82">
                  <c:v>8998809.000000</c:v>
                </c:pt>
                <c:pt idx="83">
                  <c:v>9854948.000000</c:v>
                </c:pt>
                <c:pt idx="84">
                  <c:v>9174454.000000</c:v>
                </c:pt>
                <c:pt idx="85">
                  <c:v>8981575.000000</c:v>
                </c:pt>
                <c:pt idx="86">
                  <c:v>7080412.000000</c:v>
                </c:pt>
                <c:pt idx="87">
                  <c:v>7581058.000000</c:v>
                </c:pt>
                <c:pt idx="88">
                  <c:v>8247740.000000</c:v>
                </c:pt>
                <c:pt idx="89">
                  <c:v>11175459.000000</c:v>
                </c:pt>
                <c:pt idx="90">
                  <c:v>10855466.000000</c:v>
                </c:pt>
                <c:pt idx="91">
                  <c:v>10158709.000000</c:v>
                </c:pt>
                <c:pt idx="92">
                  <c:v>5287672.000000</c:v>
                </c:pt>
                <c:pt idx="93">
                  <c:v>1721793.000000</c:v>
                </c:pt>
                <c:pt idx="94">
                  <c:v>1974510.000000</c:v>
                </c:pt>
                <c:pt idx="95">
                  <c:v>2164795.000000</c:v>
                </c:pt>
                <c:pt idx="96">
                  <c:v>2528175.000000</c:v>
                </c:pt>
                <c:pt idx="97">
                  <c:v>2730431.000000</c:v>
                </c:pt>
                <c:pt idx="98">
                  <c:v>2617689.000000</c:v>
                </c:pt>
                <c:pt idx="99">
                  <c:v>2700878.000000</c:v>
                </c:pt>
                <c:pt idx="100">
                  <c:v>2520334.000000</c:v>
                </c:pt>
                <c:pt idx="101">
                  <c:v>1971851.000000</c:v>
                </c:pt>
                <c:pt idx="102">
                  <c:v>1922666.000000</c:v>
                </c:pt>
                <c:pt idx="103">
                  <c:v>1654148.000000</c:v>
                </c:pt>
                <c:pt idx="104">
                  <c:v>1408789.000000</c:v>
                </c:pt>
                <c:pt idx="105">
                  <c:v>1524311.000000</c:v>
                </c:pt>
                <c:pt idx="106">
                  <c:v>1693457.000000</c:v>
                </c:pt>
                <c:pt idx="107">
                  <c:v>1693457.000000</c:v>
                </c:pt>
                <c:pt idx="108">
                  <c:v>1693457.000000</c:v>
                </c:pt>
                <c:pt idx="109">
                  <c:v>1693457.000000</c:v>
                </c:pt>
                <c:pt idx="110">
                  <c:v>1693457.000000</c:v>
                </c:pt>
                <c:pt idx="111">
                  <c:v>1693457.000000</c:v>
                </c:pt>
              </c:numCache>
            </c:numRef>
          </c:val>
          <c:smooth val="0"/>
        </c:ser>
        <c:ser>
          <c:idx val="2"/>
          <c:order val="2"/>
          <c:tx>
            <c:strRef>
              <c:f>'net worth - Table 1-1'!$J$1</c:f>
              <c:strCache>
                <c:ptCount val="1"/>
                <c:pt idx="0">
                  <c:v>retiro</c:v>
                </c:pt>
              </c:strCache>
            </c:strRef>
          </c:tx>
          <c:spPr>
            <a:solidFill>
              <a:srgbClr val="1B3753"/>
            </a:solidFill>
            <a:ln w="25400" cap="flat">
              <a:solidFill>
                <a:srgbClr val="83BD55">
                  <a:alpha val="50253"/>
                </a:srgbClr>
              </a:solidFill>
              <a:prstDash val="solid"/>
              <a:miter lim="400000"/>
            </a:ln>
            <a:effectLst/>
          </c:spPr>
          <c:marker>
            <c:symbol val="none"/>
            <c:size val="2"/>
            <c:spPr>
              <a:solidFill>
                <a:srgbClr val="1B3753"/>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1-1'!$J$2:$J$113</c:f>
              <c:numCache>
                <c:ptCount val="112"/>
                <c:pt idx="0">
                  <c:v>125077.618636</c:v>
                </c:pt>
                <c:pt idx="1">
                  <c:v>258133.666667</c:v>
                </c:pt>
                <c:pt idx="2">
                  <c:v>400706.298751</c:v>
                </c:pt>
                <c:pt idx="3">
                  <c:v>542699.387128</c:v>
                </c:pt>
                <c:pt idx="4">
                  <c:v>707382.000000</c:v>
                </c:pt>
                <c:pt idx="5">
                  <c:v>856326.000000</c:v>
                </c:pt>
                <c:pt idx="6">
                  <c:v>995738.000000</c:v>
                </c:pt>
                <c:pt idx="7">
                  <c:v>1183085.000000</c:v>
                </c:pt>
                <c:pt idx="8">
                  <c:v>1285565.000000</c:v>
                </c:pt>
                <c:pt idx="9">
                  <c:v>1466655.000000</c:v>
                </c:pt>
                <c:pt idx="10">
                  <c:v>2038274.000000</c:v>
                </c:pt>
                <c:pt idx="11">
                  <c:v>2216616.000000</c:v>
                </c:pt>
                <c:pt idx="12">
                  <c:v>2745221.000000</c:v>
                </c:pt>
                <c:pt idx="13">
                  <c:v>3242414.000000</c:v>
                </c:pt>
                <c:pt idx="14">
                  <c:v>3801924.000000</c:v>
                </c:pt>
                <c:pt idx="15">
                  <c:v>4211425.000000</c:v>
                </c:pt>
                <c:pt idx="16">
                  <c:v>4455543.000000</c:v>
                </c:pt>
                <c:pt idx="17">
                  <c:v>4690498.000000</c:v>
                </c:pt>
                <c:pt idx="18">
                  <c:v>4885955.000000</c:v>
                </c:pt>
                <c:pt idx="19">
                  <c:v>5316618.000000</c:v>
                </c:pt>
                <c:pt idx="20">
                  <c:v>5652546.000000</c:v>
                </c:pt>
                <c:pt idx="21">
                  <c:v>6102728.000000</c:v>
                </c:pt>
                <c:pt idx="22">
                  <c:v>6508035.000000</c:v>
                </c:pt>
                <c:pt idx="23">
                  <c:v>6705233.000000</c:v>
                </c:pt>
                <c:pt idx="24">
                  <c:v>7465026.000000</c:v>
                </c:pt>
                <c:pt idx="25">
                  <c:v>8727943.000000</c:v>
                </c:pt>
                <c:pt idx="26">
                  <c:v>9706764.000000</c:v>
                </c:pt>
                <c:pt idx="27">
                  <c:v>10268544.000000</c:v>
                </c:pt>
                <c:pt idx="28">
                  <c:v>10713626.000000</c:v>
                </c:pt>
                <c:pt idx="29">
                  <c:v>12167081.000000</c:v>
                </c:pt>
                <c:pt idx="30">
                  <c:v>15116086.000000</c:v>
                </c:pt>
                <c:pt idx="31">
                  <c:v>16314295.000000</c:v>
                </c:pt>
                <c:pt idx="32">
                  <c:v>15812613.000000</c:v>
                </c:pt>
                <c:pt idx="33">
                  <c:v>14620358.000000</c:v>
                </c:pt>
                <c:pt idx="34">
                  <c:v>16681350.000000</c:v>
                </c:pt>
                <c:pt idx="35">
                  <c:v>17232140.000000</c:v>
                </c:pt>
                <c:pt idx="36">
                  <c:v>18103738.000000</c:v>
                </c:pt>
                <c:pt idx="37">
                  <c:v>17842781.000000</c:v>
                </c:pt>
                <c:pt idx="38">
                  <c:v>19644283.000000</c:v>
                </c:pt>
                <c:pt idx="39">
                  <c:v>19753056.000000</c:v>
                </c:pt>
                <c:pt idx="40">
                  <c:v>20205177.000000</c:v>
                </c:pt>
                <c:pt idx="41">
                  <c:v>24741401.000000</c:v>
                </c:pt>
                <c:pt idx="42">
                  <c:v>24996909.000000</c:v>
                </c:pt>
                <c:pt idx="43">
                  <c:v>26605964.000000</c:v>
                </c:pt>
                <c:pt idx="44">
                  <c:v>26276514.000000</c:v>
                </c:pt>
                <c:pt idx="45">
                  <c:v>26468919.000000</c:v>
                </c:pt>
                <c:pt idx="46">
                  <c:v>26831586.000000</c:v>
                </c:pt>
                <c:pt idx="47">
                  <c:v>26074930.000000</c:v>
                </c:pt>
                <c:pt idx="48">
                  <c:v>27273553.000000</c:v>
                </c:pt>
                <c:pt idx="49">
                  <c:v>27678934.000000</c:v>
                </c:pt>
                <c:pt idx="50">
                  <c:v>28802430.000000</c:v>
                </c:pt>
                <c:pt idx="51">
                  <c:v>28562813.000000</c:v>
                </c:pt>
                <c:pt idx="52">
                  <c:v>30396264.000000</c:v>
                </c:pt>
                <c:pt idx="53">
                  <c:v>31801432.000000</c:v>
                </c:pt>
                <c:pt idx="54">
                  <c:v>32643647.000000</c:v>
                </c:pt>
                <c:pt idx="55">
                  <c:v>28648275.000000</c:v>
                </c:pt>
                <c:pt idx="56">
                  <c:v>29824732.000000</c:v>
                </c:pt>
                <c:pt idx="57">
                  <c:v>29858917.000000</c:v>
                </c:pt>
                <c:pt idx="58">
                  <c:v>28948486.000000</c:v>
                </c:pt>
                <c:pt idx="59">
                  <c:v>28375092.000000</c:v>
                </c:pt>
                <c:pt idx="60">
                  <c:v>29375872.000000</c:v>
                </c:pt>
                <c:pt idx="61">
                  <c:v>30855592.000000</c:v>
                </c:pt>
                <c:pt idx="62">
                  <c:v>29595744.000000</c:v>
                </c:pt>
                <c:pt idx="63">
                  <c:v>28650578.000000</c:v>
                </c:pt>
                <c:pt idx="64">
                  <c:v>29645788.000000</c:v>
                </c:pt>
                <c:pt idx="65">
                  <c:v>30555644.000000</c:v>
                </c:pt>
                <c:pt idx="66">
                  <c:v>28908368.000000</c:v>
                </c:pt>
                <c:pt idx="67">
                  <c:v>30207739.000000</c:v>
                </c:pt>
                <c:pt idx="68">
                  <c:v>31410262.000000</c:v>
                </c:pt>
                <c:pt idx="69">
                  <c:v>31571249.000000</c:v>
                </c:pt>
                <c:pt idx="70">
                  <c:v>32727251.000000</c:v>
                </c:pt>
                <c:pt idx="71">
                  <c:v>34805276.000000</c:v>
                </c:pt>
                <c:pt idx="72">
                  <c:v>36655505.000000</c:v>
                </c:pt>
                <c:pt idx="73">
                  <c:v>40562909.000000</c:v>
                </c:pt>
                <c:pt idx="74">
                  <c:v>40849651.000000</c:v>
                </c:pt>
                <c:pt idx="75">
                  <c:v>41247935.000000</c:v>
                </c:pt>
                <c:pt idx="76">
                  <c:v>40733932.000000</c:v>
                </c:pt>
                <c:pt idx="77">
                  <c:v>43199319.000000</c:v>
                </c:pt>
                <c:pt idx="78">
                  <c:v>46828798.000000</c:v>
                </c:pt>
                <c:pt idx="79">
                  <c:v>49785374.000000</c:v>
                </c:pt>
                <c:pt idx="80">
                  <c:v>54896976.000000</c:v>
                </c:pt>
                <c:pt idx="81">
                  <c:v>57378009.000000</c:v>
                </c:pt>
                <c:pt idx="82">
                  <c:v>55045088.000000</c:v>
                </c:pt>
                <c:pt idx="83">
                  <c:v>55862689.000000</c:v>
                </c:pt>
                <c:pt idx="84">
                  <c:v>59785150.000000</c:v>
                </c:pt>
                <c:pt idx="85">
                  <c:v>60385104.000000</c:v>
                </c:pt>
                <c:pt idx="86">
                  <c:v>59554364.000000</c:v>
                </c:pt>
                <c:pt idx="87">
                  <c:v>60554743.000000</c:v>
                </c:pt>
                <c:pt idx="88">
                  <c:v>64710559.000000</c:v>
                </c:pt>
                <c:pt idx="89">
                  <c:v>67499202.000000</c:v>
                </c:pt>
                <c:pt idx="90">
                  <c:v>68882160.000000</c:v>
                </c:pt>
                <c:pt idx="91">
                  <c:v>69636042.000000</c:v>
                </c:pt>
                <c:pt idx="92">
                  <c:v>66846151.000000</c:v>
                </c:pt>
                <c:pt idx="93">
                  <c:v>63959762.000000</c:v>
                </c:pt>
                <c:pt idx="94">
                  <c:v>64771502.000000</c:v>
                </c:pt>
                <c:pt idx="95">
                  <c:v>68728850.000000</c:v>
                </c:pt>
                <c:pt idx="96">
                  <c:v>72317665.000000</c:v>
                </c:pt>
                <c:pt idx="97">
                  <c:v>77222409.000000</c:v>
                </c:pt>
                <c:pt idx="98">
                  <c:v>78832882.000000</c:v>
                </c:pt>
                <c:pt idx="99">
                  <c:v>82492923.000000</c:v>
                </c:pt>
                <c:pt idx="100">
                  <c:v>84572045.000000</c:v>
                </c:pt>
                <c:pt idx="101">
                  <c:v>83871204.000000</c:v>
                </c:pt>
                <c:pt idx="102">
                  <c:v>83724577.000000</c:v>
                </c:pt>
                <c:pt idx="103">
                  <c:v>83397458.000000</c:v>
                </c:pt>
                <c:pt idx="104">
                  <c:v>84349513.000000</c:v>
                </c:pt>
                <c:pt idx="105">
                  <c:v>84301432.000000</c:v>
                </c:pt>
                <c:pt idx="106">
                  <c:v>92679933.000000</c:v>
                </c:pt>
                <c:pt idx="107">
                  <c:v>93254171.000000</c:v>
                </c:pt>
                <c:pt idx="108">
                  <c:v>93254171.000000</c:v>
                </c:pt>
                <c:pt idx="109">
                  <c:v>93254171.000000</c:v>
                </c:pt>
                <c:pt idx="110">
                  <c:v>93254171.000000</c:v>
                </c:pt>
                <c:pt idx="111">
                  <c:v>93254171.000000</c:v>
                </c:pt>
              </c:numCache>
            </c:numRef>
          </c:val>
          <c:smooth val="0"/>
        </c:ser>
        <c:ser>
          <c:idx val="3"/>
          <c:order val="3"/>
          <c:tx>
            <c:strRef>
              <c:f>'net worth - Table 1-1'!$P$1</c:f>
              <c:strCache>
                <c:ptCount val="1"/>
                <c:pt idx="0">
                  <c:v>∑ inversiones + cripto</c:v>
                </c:pt>
              </c:strCache>
            </c:strRef>
          </c:tx>
          <c:spPr>
            <a:solidFill>
              <a:srgbClr val="1B3753"/>
            </a:solidFill>
            <a:ln w="50800" cap="flat">
              <a:solidFill>
                <a:srgbClr val="1C1DC0">
                  <a:alpha val="32234"/>
                </a:srgbClr>
              </a:solidFill>
              <a:prstDash val="solid"/>
              <a:miter lim="400000"/>
            </a:ln>
            <a:effectLst/>
          </c:spPr>
          <c:marker>
            <c:symbol val="circle"/>
            <c:size val="2"/>
            <c:spPr>
              <a:solidFill>
                <a:srgbClr val="1B3753"/>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1-1'!$P$2:$P$113</c:f>
              <c:numCache>
                <c:ptCount val="112"/>
                <c:pt idx="0">
                  <c:v>1126087.618636</c:v>
                </c:pt>
                <c:pt idx="1">
                  <c:v>1256133.666667</c:v>
                </c:pt>
                <c:pt idx="2">
                  <c:v>1397706.298751</c:v>
                </c:pt>
                <c:pt idx="3">
                  <c:v>1536699.387128</c:v>
                </c:pt>
                <c:pt idx="4">
                  <c:v>1901090.000000</c:v>
                </c:pt>
                <c:pt idx="5">
                  <c:v>3827883.016381</c:v>
                </c:pt>
                <c:pt idx="6">
                  <c:v>5975928.427160</c:v>
                </c:pt>
                <c:pt idx="7">
                  <c:v>6356606.546983</c:v>
                </c:pt>
                <c:pt idx="8">
                  <c:v>6219059.118525</c:v>
                </c:pt>
                <c:pt idx="9">
                  <c:v>5201743.586529</c:v>
                </c:pt>
                <c:pt idx="10">
                  <c:v>6610592.766844</c:v>
                </c:pt>
                <c:pt idx="11">
                  <c:v>7141568.296500</c:v>
                </c:pt>
                <c:pt idx="12">
                  <c:v>7404896.139053</c:v>
                </c:pt>
                <c:pt idx="13">
                  <c:v>8361036.363382</c:v>
                </c:pt>
                <c:pt idx="14">
                  <c:v>8583810.009554</c:v>
                </c:pt>
                <c:pt idx="15">
                  <c:v>8824103.128021</c:v>
                </c:pt>
                <c:pt idx="16">
                  <c:v>9119588.868837</c:v>
                </c:pt>
                <c:pt idx="17">
                  <c:v>9230957.000000</c:v>
                </c:pt>
                <c:pt idx="18">
                  <c:v>9834535.480250</c:v>
                </c:pt>
                <c:pt idx="19">
                  <c:v>10532213.381426</c:v>
                </c:pt>
                <c:pt idx="20">
                  <c:v>11790553.194822</c:v>
                </c:pt>
                <c:pt idx="21">
                  <c:v>13702265.015228</c:v>
                </c:pt>
                <c:pt idx="22">
                  <c:v>15287467.052839</c:v>
                </c:pt>
                <c:pt idx="23">
                  <c:v>17034388.463286</c:v>
                </c:pt>
                <c:pt idx="24">
                  <c:v>19085299.609045</c:v>
                </c:pt>
                <c:pt idx="25">
                  <c:v>20856339.308716</c:v>
                </c:pt>
                <c:pt idx="26">
                  <c:v>21789754.840278</c:v>
                </c:pt>
                <c:pt idx="27">
                  <c:v>23162866.190386</c:v>
                </c:pt>
                <c:pt idx="28">
                  <c:v>24260713.385831</c:v>
                </c:pt>
                <c:pt idx="29">
                  <c:v>27975493.728327</c:v>
                </c:pt>
                <c:pt idx="30">
                  <c:v>29662235.405939</c:v>
                </c:pt>
                <c:pt idx="31">
                  <c:v>32454748.832928</c:v>
                </c:pt>
                <c:pt idx="32">
                  <c:v>31132575.735882</c:v>
                </c:pt>
                <c:pt idx="33">
                  <c:v>28236746.958255</c:v>
                </c:pt>
                <c:pt idx="34">
                  <c:v>32233371.800732</c:v>
                </c:pt>
                <c:pt idx="35">
                  <c:v>32983649.572734</c:v>
                </c:pt>
                <c:pt idx="36">
                  <c:v>34642680.813805</c:v>
                </c:pt>
                <c:pt idx="37">
                  <c:v>34419168.117538</c:v>
                </c:pt>
                <c:pt idx="38">
                  <c:v>38476829.170791</c:v>
                </c:pt>
                <c:pt idx="39">
                  <c:v>34943879.420111</c:v>
                </c:pt>
                <c:pt idx="40">
                  <c:v>35200432.488860</c:v>
                </c:pt>
                <c:pt idx="41">
                  <c:v>42580219.007488</c:v>
                </c:pt>
                <c:pt idx="42">
                  <c:v>43698062.989024</c:v>
                </c:pt>
                <c:pt idx="43">
                  <c:v>46051647.342190</c:v>
                </c:pt>
                <c:pt idx="44">
                  <c:v>45573926.722618</c:v>
                </c:pt>
                <c:pt idx="45">
                  <c:v>46833994.348331</c:v>
                </c:pt>
                <c:pt idx="46">
                  <c:v>49447854.304117</c:v>
                </c:pt>
                <c:pt idx="47">
                  <c:v>46990343.881852</c:v>
                </c:pt>
                <c:pt idx="48">
                  <c:v>49088334.646831</c:v>
                </c:pt>
                <c:pt idx="49">
                  <c:v>51356824.000000</c:v>
                </c:pt>
                <c:pt idx="50">
                  <c:v>55146699.000000</c:v>
                </c:pt>
                <c:pt idx="51">
                  <c:v>54912814.000000</c:v>
                </c:pt>
                <c:pt idx="52">
                  <c:v>60351166.000000</c:v>
                </c:pt>
                <c:pt idx="53">
                  <c:v>63015332.000000</c:v>
                </c:pt>
                <c:pt idx="54">
                  <c:v>62166215.000000</c:v>
                </c:pt>
                <c:pt idx="55">
                  <c:v>52954313.000000</c:v>
                </c:pt>
                <c:pt idx="56">
                  <c:v>54884061.000000</c:v>
                </c:pt>
                <c:pt idx="57">
                  <c:v>57572855.000000</c:v>
                </c:pt>
                <c:pt idx="58">
                  <c:v>55214816.000000</c:v>
                </c:pt>
                <c:pt idx="59">
                  <c:v>52339771.000000</c:v>
                </c:pt>
                <c:pt idx="60">
                  <c:v>52341901.000000</c:v>
                </c:pt>
                <c:pt idx="61">
                  <c:v>56100221.000000</c:v>
                </c:pt>
                <c:pt idx="62">
                  <c:v>53140953.000000</c:v>
                </c:pt>
                <c:pt idx="63">
                  <c:v>51332477.000000</c:v>
                </c:pt>
                <c:pt idx="64">
                  <c:v>53269570.000000</c:v>
                </c:pt>
                <c:pt idx="65">
                  <c:v>53415854.000000</c:v>
                </c:pt>
                <c:pt idx="66">
                  <c:v>50714962.000000</c:v>
                </c:pt>
                <c:pt idx="67">
                  <c:v>53328416.000000</c:v>
                </c:pt>
                <c:pt idx="68">
                  <c:v>55087415.000000</c:v>
                </c:pt>
                <c:pt idx="69">
                  <c:v>55727351.000000</c:v>
                </c:pt>
                <c:pt idx="70">
                  <c:v>57067331.000000</c:v>
                </c:pt>
                <c:pt idx="71">
                  <c:v>60078986.000000</c:v>
                </c:pt>
                <c:pt idx="72">
                  <c:v>63212507.000000</c:v>
                </c:pt>
                <c:pt idx="73">
                  <c:v>68928667.000000</c:v>
                </c:pt>
                <c:pt idx="74">
                  <c:v>68419221.149703</c:v>
                </c:pt>
                <c:pt idx="75">
                  <c:v>69086009.378593</c:v>
                </c:pt>
                <c:pt idx="76">
                  <c:v>68313530.532527</c:v>
                </c:pt>
                <c:pt idx="77">
                  <c:v>72691454.943965</c:v>
                </c:pt>
                <c:pt idx="78">
                  <c:v>78437590.153746</c:v>
                </c:pt>
                <c:pt idx="79">
                  <c:v>82668866.000000</c:v>
                </c:pt>
                <c:pt idx="80">
                  <c:v>93463278.000000</c:v>
                </c:pt>
                <c:pt idx="81">
                  <c:v>97831090.000000</c:v>
                </c:pt>
                <c:pt idx="82">
                  <c:v>92242327.000000</c:v>
                </c:pt>
                <c:pt idx="83">
                  <c:v>94252829.000000</c:v>
                </c:pt>
                <c:pt idx="84">
                  <c:v>99514517.000000</c:v>
                </c:pt>
                <c:pt idx="85">
                  <c:v>99884393.000000</c:v>
                </c:pt>
                <c:pt idx="86">
                  <c:v>96389310.000000</c:v>
                </c:pt>
                <c:pt idx="87">
                  <c:v>98058576.000000</c:v>
                </c:pt>
                <c:pt idx="88">
                  <c:v>105636633.000000</c:v>
                </c:pt>
                <c:pt idx="89">
                  <c:v>112691649.000000</c:v>
                </c:pt>
                <c:pt idx="90">
                  <c:v>111358648.000000</c:v>
                </c:pt>
                <c:pt idx="91">
                  <c:v>107445885.000000</c:v>
                </c:pt>
                <c:pt idx="92">
                  <c:v>88657850.000000</c:v>
                </c:pt>
                <c:pt idx="93">
                  <c:v>74564991.000000</c:v>
                </c:pt>
                <c:pt idx="94">
                  <c:v>74514724.000000</c:v>
                </c:pt>
                <c:pt idx="95">
                  <c:v>79138647.000000</c:v>
                </c:pt>
                <c:pt idx="96">
                  <c:v>83571137.000000</c:v>
                </c:pt>
                <c:pt idx="97">
                  <c:v>89272571.000000</c:v>
                </c:pt>
                <c:pt idx="98">
                  <c:v>90849931.000000</c:v>
                </c:pt>
                <c:pt idx="99">
                  <c:v>95059042.000000</c:v>
                </c:pt>
                <c:pt idx="100">
                  <c:v>97155070.000000</c:v>
                </c:pt>
                <c:pt idx="101">
                  <c:v>95647230.000000</c:v>
                </c:pt>
                <c:pt idx="102">
                  <c:v>95340574.000000</c:v>
                </c:pt>
                <c:pt idx="103">
                  <c:v>94529458.000000</c:v>
                </c:pt>
                <c:pt idx="104">
                  <c:v>95259805.000000</c:v>
                </c:pt>
                <c:pt idx="105">
                  <c:v>95688706.000000</c:v>
                </c:pt>
                <c:pt idx="106">
                  <c:v>105343634.000000</c:v>
                </c:pt>
                <c:pt idx="107">
                  <c:v>106395099.000000</c:v>
                </c:pt>
                <c:pt idx="108">
                  <c:v>106395099.000000</c:v>
                </c:pt>
                <c:pt idx="109">
                  <c:v>106395099.000000</c:v>
                </c:pt>
                <c:pt idx="110">
                  <c:v>106395099.000000</c:v>
                </c:pt>
                <c:pt idx="111">
                  <c:v>106395099.000000</c:v>
                </c:pt>
              </c:numCache>
            </c:numRef>
          </c:val>
          <c:smooth val="0"/>
        </c:ser>
        <c:ser>
          <c:idx val="4"/>
          <c:order val="4"/>
          <c:tx>
            <c:strRef>
              <c:f>'net worth - Table 1-1'!$L$1</c:f>
              <c:strCache>
                <c:ptCount val="1"/>
                <c:pt idx="0">
                  <c:v>liabilities</c:v>
                </c:pt>
              </c:strCache>
            </c:strRef>
          </c:tx>
          <c:spPr>
            <a:solidFill>
              <a:srgbClr val="131480"/>
            </a:solidFill>
            <a:ln w="25400" cap="flat">
              <a:solidFill>
                <a:srgbClr val="CD5248">
                  <a:alpha val="49009"/>
                </a:srgbClr>
              </a:solidFill>
              <a:prstDash val="solid"/>
              <a:miter lim="400000"/>
            </a:ln>
            <a:effectLst/>
          </c:spPr>
          <c:marker>
            <c:symbol val="none"/>
            <c:size val="2"/>
            <c:spPr>
              <a:solidFill>
                <a:srgbClr val="131480"/>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1-1'!$L$2:$L$113</c:f>
              <c:numCache>
                <c:ptCount val="30"/>
                <c:pt idx="82">
                  <c:v>146632532.000000</c:v>
                </c:pt>
                <c:pt idx="83">
                  <c:v>148537645.000000</c:v>
                </c:pt>
                <c:pt idx="84">
                  <c:v>148507657.000000</c:v>
                </c:pt>
                <c:pt idx="85">
                  <c:v>146514662.000000</c:v>
                </c:pt>
                <c:pt idx="86">
                  <c:v>144080221.000000</c:v>
                </c:pt>
                <c:pt idx="87">
                  <c:v>142677909.000000</c:v>
                </c:pt>
                <c:pt idx="88">
                  <c:v>140667010.000000</c:v>
                </c:pt>
                <c:pt idx="89">
                  <c:v>118820206.000000</c:v>
                </c:pt>
                <c:pt idx="90">
                  <c:v>117412648.000000</c:v>
                </c:pt>
                <c:pt idx="91">
                  <c:v>117412648.000000</c:v>
                </c:pt>
                <c:pt idx="92">
                  <c:v>96843989.000000</c:v>
                </c:pt>
                <c:pt idx="93">
                  <c:v>101744314.000000</c:v>
                </c:pt>
                <c:pt idx="94">
                  <c:v>100361861.000000</c:v>
                </c:pt>
                <c:pt idx="95">
                  <c:v>98996690.000000</c:v>
                </c:pt>
                <c:pt idx="96">
                  <c:v>97857048.000000</c:v>
                </c:pt>
                <c:pt idx="97">
                  <c:v>97134083.000000</c:v>
                </c:pt>
                <c:pt idx="98">
                  <c:v>96198371.000000</c:v>
                </c:pt>
                <c:pt idx="99">
                  <c:v>95557238.000000</c:v>
                </c:pt>
                <c:pt idx="100">
                  <c:v>98633257.000000</c:v>
                </c:pt>
                <c:pt idx="101">
                  <c:v>97536664.000000</c:v>
                </c:pt>
                <c:pt idx="102">
                  <c:v>98707435.000000</c:v>
                </c:pt>
                <c:pt idx="103">
                  <c:v>98000854.000000</c:v>
                </c:pt>
                <c:pt idx="104">
                  <c:v>96783204.000000</c:v>
                </c:pt>
                <c:pt idx="105">
                  <c:v>83905979.000000</c:v>
                </c:pt>
                <c:pt idx="106">
                  <c:v>81329535.791860</c:v>
                </c:pt>
                <c:pt idx="107">
                  <c:v>78939167.311715</c:v>
                </c:pt>
                <c:pt idx="108">
                  <c:v>76655346.738784</c:v>
                </c:pt>
                <c:pt idx="109">
                  <c:v>75474654.145908</c:v>
                </c:pt>
                <c:pt idx="110">
                  <c:v>74550663.497574</c:v>
                </c:pt>
                <c:pt idx="111">
                  <c:v>73591744.793481</c:v>
                </c:pt>
              </c:numCache>
            </c:numRef>
          </c:val>
          <c:smooth val="0"/>
        </c:ser>
        <c:ser>
          <c:idx val="5"/>
          <c:order val="5"/>
          <c:tx>
            <c:strRef>
              <c:f>'net worth - Table 1-3'!$BR$1:$BR$2</c:f>
              <c:strCache>
                <c:ptCount val="1"/>
                <c:pt idx="0">
                  <c:v>"disponible"</c:v>
                </c:pt>
              </c:strCache>
            </c:strRef>
          </c:tx>
          <c:spPr>
            <a:solidFill>
              <a:srgbClr val="131480"/>
            </a:solidFill>
            <a:ln w="25400" cap="flat">
              <a:solidFill>
                <a:srgbClr val="1C1DC0">
                  <a:alpha val="71305"/>
                </a:srgbClr>
              </a:solidFill>
              <a:prstDash val="solid"/>
              <a:miter lim="400000"/>
            </a:ln>
            <a:effectLst/>
          </c:spPr>
          <c:marker>
            <c:symbol val="none"/>
            <c:size val="2"/>
            <c:spPr>
              <a:solidFill>
                <a:srgbClr val="131480"/>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1-1'!$A$2:$A$113</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1-3'!$BR$3:$BR$114</c:f>
              <c:numCache>
                <c:ptCount val="112"/>
                <c:pt idx="0">
                  <c:v>1001010.000000</c:v>
                </c:pt>
                <c:pt idx="1">
                  <c:v>998000.000000</c:v>
                </c:pt>
                <c:pt idx="2">
                  <c:v>997000.000000</c:v>
                </c:pt>
                <c:pt idx="3">
                  <c:v>994000.000000</c:v>
                </c:pt>
                <c:pt idx="4">
                  <c:v>1193708.000000</c:v>
                </c:pt>
                <c:pt idx="5">
                  <c:v>2971557.016381</c:v>
                </c:pt>
                <c:pt idx="6">
                  <c:v>4980190.427160</c:v>
                </c:pt>
                <c:pt idx="7">
                  <c:v>5173521.546983</c:v>
                </c:pt>
                <c:pt idx="8">
                  <c:v>4933494.118525</c:v>
                </c:pt>
                <c:pt idx="9">
                  <c:v>3775914.936529</c:v>
                </c:pt>
                <c:pt idx="10">
                  <c:v>5007306.266844</c:v>
                </c:pt>
                <c:pt idx="11">
                  <c:v>5384883.896500</c:v>
                </c:pt>
                <c:pt idx="12">
                  <c:v>5439097.089053</c:v>
                </c:pt>
                <c:pt idx="13">
                  <c:v>6117419.963382</c:v>
                </c:pt>
                <c:pt idx="14">
                  <c:v>6105324.959554</c:v>
                </c:pt>
                <c:pt idx="15">
                  <c:v>6118842.428021</c:v>
                </c:pt>
                <c:pt idx="16">
                  <c:v>6303733.268837</c:v>
                </c:pt>
                <c:pt idx="17">
                  <c:v>6163834.900000</c:v>
                </c:pt>
                <c:pt idx="18">
                  <c:v>6544481.830250</c:v>
                </c:pt>
                <c:pt idx="19">
                  <c:v>6854555.181426</c:v>
                </c:pt>
                <c:pt idx="20">
                  <c:v>7807963.944822</c:v>
                </c:pt>
                <c:pt idx="21">
                  <c:v>9366467.715228</c:v>
                </c:pt>
                <c:pt idx="22">
                  <c:v>10615816.252838</c:v>
                </c:pt>
                <c:pt idx="23">
                  <c:v>12123853.113286</c:v>
                </c:pt>
                <c:pt idx="24">
                  <c:v>13784600.559045</c:v>
                </c:pt>
                <c:pt idx="25">
                  <c:v>15018398.858716</c:v>
                </c:pt>
                <c:pt idx="26">
                  <c:v>15694724.990278</c:v>
                </c:pt>
                <c:pt idx="27">
                  <c:v>16592012.590386</c:v>
                </c:pt>
                <c:pt idx="28">
                  <c:v>17327970.685831</c:v>
                </c:pt>
                <c:pt idx="29">
                  <c:v>20309308.928327</c:v>
                </c:pt>
                <c:pt idx="30">
                  <c:v>21372367.655939</c:v>
                </c:pt>
                <c:pt idx="31">
                  <c:v>23557068.482928</c:v>
                </c:pt>
                <c:pt idx="32">
                  <c:v>22180475.085882</c:v>
                </c:pt>
                <c:pt idx="33">
                  <c:v>20198488.058255</c:v>
                </c:pt>
                <c:pt idx="34">
                  <c:v>23481670.100732</c:v>
                </c:pt>
                <c:pt idx="35">
                  <c:v>24095514.172734</c:v>
                </c:pt>
                <c:pt idx="36">
                  <c:v>25356071.863805</c:v>
                </c:pt>
                <c:pt idx="37">
                  <c:v>25111512.517538</c:v>
                </c:pt>
                <c:pt idx="38">
                  <c:v>28442253.470791</c:v>
                </c:pt>
                <c:pt idx="39">
                  <c:v>24843665.670111</c:v>
                </c:pt>
                <c:pt idx="40">
                  <c:v>24726645.388860</c:v>
                </c:pt>
                <c:pt idx="41">
                  <c:v>30740646.707488</c:v>
                </c:pt>
                <c:pt idx="42">
                  <c:v>31762468.189024</c:v>
                </c:pt>
                <c:pt idx="43">
                  <c:v>33084184.092190</c:v>
                </c:pt>
                <c:pt idx="44">
                  <c:v>32776788.372618</c:v>
                </c:pt>
                <c:pt idx="45">
                  <c:v>37113261.148331</c:v>
                </c:pt>
                <c:pt idx="46">
                  <c:v>39696010.204117</c:v>
                </c:pt>
                <c:pt idx="47">
                  <c:v>38164722.281852</c:v>
                </c:pt>
                <c:pt idx="48">
                  <c:v>39990197.346831</c:v>
                </c:pt>
                <c:pt idx="49">
                  <c:v>42224420.800000</c:v>
                </c:pt>
                <c:pt idx="50">
                  <c:v>45637969.350000</c:v>
                </c:pt>
                <c:pt idx="51">
                  <c:v>45462726.150000</c:v>
                </c:pt>
                <c:pt idx="52">
                  <c:v>50490016.300000</c:v>
                </c:pt>
                <c:pt idx="53">
                  <c:v>52877197.200000</c:v>
                </c:pt>
                <c:pt idx="54">
                  <c:v>51763870.300000</c:v>
                </c:pt>
                <c:pt idx="55">
                  <c:v>43640532.400000</c:v>
                </c:pt>
                <c:pt idx="56">
                  <c:v>45533665.750000</c:v>
                </c:pt>
                <c:pt idx="57">
                  <c:v>48245569.000000</c:v>
                </c:pt>
                <c:pt idx="58">
                  <c:v>46066488.400000</c:v>
                </c:pt>
                <c:pt idx="59">
                  <c:v>43287327.800000</c:v>
                </c:pt>
                <c:pt idx="60">
                  <c:v>42957172.200000</c:v>
                </c:pt>
                <c:pt idx="61">
                  <c:v>46382978.100000</c:v>
                </c:pt>
                <c:pt idx="62">
                  <c:v>43603089.950000</c:v>
                </c:pt>
                <c:pt idx="63">
                  <c:v>42011434.500000</c:v>
                </c:pt>
                <c:pt idx="64">
                  <c:v>43475928.950000</c:v>
                </c:pt>
                <c:pt idx="65">
                  <c:v>43133032.150000</c:v>
                </c:pt>
                <c:pt idx="66">
                  <c:v>40540504.750000</c:v>
                </c:pt>
                <c:pt idx="67">
                  <c:v>42731104.350000</c:v>
                </c:pt>
                <c:pt idx="68">
                  <c:v>44081704.750000</c:v>
                </c:pt>
                <c:pt idx="69">
                  <c:v>44497515.750000</c:v>
                </c:pt>
                <c:pt idx="70">
                  <c:v>45257662.000000</c:v>
                </c:pt>
                <c:pt idx="71">
                  <c:v>47673874.750000</c:v>
                </c:pt>
                <c:pt idx="72">
                  <c:v>50048793.700000</c:v>
                </c:pt>
                <c:pt idx="73">
                  <c:v>54397383.700000</c:v>
                </c:pt>
                <c:pt idx="74">
                  <c:v>53661743.899703</c:v>
                </c:pt>
                <c:pt idx="75">
                  <c:v>53753286.628592</c:v>
                </c:pt>
                <c:pt idx="76">
                  <c:v>52965676.432527</c:v>
                </c:pt>
                <c:pt idx="77">
                  <c:v>56479889.243965</c:v>
                </c:pt>
                <c:pt idx="78">
                  <c:v>70847256.253746</c:v>
                </c:pt>
                <c:pt idx="79">
                  <c:v>104286523.250000</c:v>
                </c:pt>
                <c:pt idx="80">
                  <c:v>125257762.150000</c:v>
                </c:pt>
                <c:pt idx="81">
                  <c:v>134370646.950000</c:v>
                </c:pt>
                <c:pt idx="82">
                  <c:v>71427283.000000</c:v>
                </c:pt>
                <c:pt idx="83">
                  <c:v>73050185.400000</c:v>
                </c:pt>
                <c:pt idx="84">
                  <c:v>79635618.850000</c:v>
                </c:pt>
                <c:pt idx="85">
                  <c:v>83382215.150000</c:v>
                </c:pt>
                <c:pt idx="86">
                  <c:v>83806132.400000</c:v>
                </c:pt>
                <c:pt idx="87">
                  <c:v>90695216.550000</c:v>
                </c:pt>
                <c:pt idx="88">
                  <c:v>100094143.600000</c:v>
                </c:pt>
                <c:pt idx="89">
                  <c:v>90676992.600000</c:v>
                </c:pt>
                <c:pt idx="90">
                  <c:v>98862439.550000</c:v>
                </c:pt>
                <c:pt idx="91">
                  <c:v>115000211.900000</c:v>
                </c:pt>
                <c:pt idx="92">
                  <c:v>64633852.050000</c:v>
                </c:pt>
                <c:pt idx="93">
                  <c:v>52532153.000000</c:v>
                </c:pt>
                <c:pt idx="94">
                  <c:v>53021722.950000</c:v>
                </c:pt>
                <c:pt idx="95">
                  <c:v>55638235.300000</c:v>
                </c:pt>
                <c:pt idx="96">
                  <c:v>56531885.100000</c:v>
                </c:pt>
                <c:pt idx="97">
                  <c:v>57359166.100000</c:v>
                </c:pt>
                <c:pt idx="98">
                  <c:v>58490812.950000</c:v>
                </c:pt>
                <c:pt idx="99">
                  <c:v>63108923.300000</c:v>
                </c:pt>
                <c:pt idx="100">
                  <c:v>60020366.700000</c:v>
                </c:pt>
                <c:pt idx="101">
                  <c:v>59461790.100000</c:v>
                </c:pt>
                <c:pt idx="102">
                  <c:v>57333604.900000</c:v>
                </c:pt>
                <c:pt idx="103">
                  <c:v>57489470.100000</c:v>
                </c:pt>
                <c:pt idx="104">
                  <c:v>57661343.500000</c:v>
                </c:pt>
                <c:pt idx="105">
                  <c:v>59764942.650000</c:v>
                </c:pt>
                <c:pt idx="106">
                  <c:v>84493219.050000</c:v>
                </c:pt>
                <c:pt idx="107">
                  <c:v>84666071.850000</c:v>
                </c:pt>
                <c:pt idx="108">
                  <c:v>81166071.850000</c:v>
                </c:pt>
                <c:pt idx="109">
                  <c:v>77666071.850000</c:v>
                </c:pt>
                <c:pt idx="110">
                  <c:v>74166071.850000</c:v>
                </c:pt>
                <c:pt idx="111">
                  <c:v>70666071.850000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4e+08"/>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
          <c:y val="0"/>
          <c:w val="0.974647"/>
          <c:h val="0.0660256"/>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4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2891"/>
          <c:y val="0.125"/>
          <c:w val="0.842109"/>
          <c:h val="0.811513"/>
        </c:manualLayout>
      </c:layout>
      <c:barChart>
        <c:barDir val="col"/>
        <c:grouping val="stacked"/>
        <c:varyColors val="0"/>
        <c:ser>
          <c:idx val="0"/>
          <c:order val="0"/>
          <c:tx>
            <c:strRef>
              <c:f>'depto - dividendos'!$M$2</c:f>
              <c:strCache>
                <c:ptCount val="1"/>
                <c:pt idx="0">
                  <c:v>restante</c:v>
                </c:pt>
              </c:strCache>
            </c:strRef>
          </c:tx>
          <c:spPr>
            <a:solidFill>
              <a:srgbClr val="CE5248"/>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dividendos'!$M$5:$M$160</c:f>
              <c:numCache>
                <c:ptCount val="36"/>
                <c:pt idx="0">
                  <c:v>146632532.000000</c:v>
                </c:pt>
                <c:pt idx="1">
                  <c:v>148537645.000000</c:v>
                </c:pt>
                <c:pt idx="2">
                  <c:v>148507657.000000</c:v>
                </c:pt>
                <c:pt idx="3">
                  <c:v>146514662.000000</c:v>
                </c:pt>
                <c:pt idx="4">
                  <c:v>144080221.000000</c:v>
                </c:pt>
                <c:pt idx="5">
                  <c:v>142677909.000000</c:v>
                </c:pt>
                <c:pt idx="6">
                  <c:v>140667010.000000</c:v>
                </c:pt>
                <c:pt idx="7">
                  <c:v>121600057.000000</c:v>
                </c:pt>
                <c:pt idx="8">
                  <c:v>118820206.000000</c:v>
                </c:pt>
                <c:pt idx="9">
                  <c:v>117412648.000000</c:v>
                </c:pt>
                <c:pt idx="10">
                  <c:v>114900370.000000</c:v>
                </c:pt>
                <c:pt idx="11">
                  <c:v>99460230.000000</c:v>
                </c:pt>
                <c:pt idx="12">
                  <c:v>96843989.000000</c:v>
                </c:pt>
                <c:pt idx="13">
                  <c:v>96174107.000000</c:v>
                </c:pt>
                <c:pt idx="14">
                  <c:v>95491654.000000</c:v>
                </c:pt>
                <c:pt idx="15">
                  <c:v>94826483.000000</c:v>
                </c:pt>
                <c:pt idx="16">
                  <c:v>93886625.000000</c:v>
                </c:pt>
                <c:pt idx="17">
                  <c:v>93663876.000000</c:v>
                </c:pt>
                <c:pt idx="18">
                  <c:v>92968974.000000</c:v>
                </c:pt>
                <c:pt idx="19">
                  <c:v>92791278.000000</c:v>
                </c:pt>
                <c:pt idx="20">
                  <c:v>92420219.000000</c:v>
                </c:pt>
                <c:pt idx="21">
                  <c:v>92171347.000000</c:v>
                </c:pt>
                <c:pt idx="22">
                  <c:v>91752937.000000</c:v>
                </c:pt>
                <c:pt idx="23">
                  <c:v>91271187.000000</c:v>
                </c:pt>
                <c:pt idx="24">
                  <c:v>90820927.000000</c:v>
                </c:pt>
                <c:pt idx="25">
                  <c:v>79223097.000000</c:v>
                </c:pt>
                <c:pt idx="26">
                  <c:v>78767080.000000</c:v>
                </c:pt>
                <c:pt idx="27">
                  <c:v>76003835.000000</c:v>
                </c:pt>
                <c:pt idx="28">
                  <c:v>73921291.000000</c:v>
                </c:pt>
                <c:pt idx="29">
                  <c:v>71975476.000000</c:v>
                </c:pt>
                <c:pt idx="30">
                  <c:v>72012535.000000</c:v>
                </c:pt>
                <c:pt idx="31">
                  <c:v>71441401.000000</c:v>
                </c:pt>
                <c:pt idx="32">
                  <c:v>70801996.000000</c:v>
                </c:pt>
                <c:pt idx="33">
                  <c:v>70596915.000000</c:v>
                </c:pt>
                <c:pt idx="34">
                  <c:v>70273270.000000</c:v>
                </c:pt>
                <c:pt idx="35">
                  <c:v>69699975.000000</c:v>
                </c:pt>
              </c:numCache>
            </c:numRef>
          </c:val>
        </c:ser>
        <c:ser>
          <c:idx val="1"/>
          <c:order val="1"/>
          <c:tx>
            <c:strRef>
              <c:f>'depto - dividendos'!$Q$2</c:f>
              <c:strCache>
                <c:ptCount val="1"/>
                <c:pt idx="0">
                  <c:v>valor neto</c:v>
                </c:pt>
              </c:strCache>
            </c:strRef>
          </c:tx>
          <c:spPr>
            <a:solidFill>
              <a:srgbClr val="497BA0"/>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dividendos'!$Q$5:$Q$160</c:f>
              <c:numCache>
                <c:ptCount val="36"/>
                <c:pt idx="0">
                  <c:v>53827132.000000</c:v>
                </c:pt>
                <c:pt idx="1">
                  <c:v>52810967.000000</c:v>
                </c:pt>
                <c:pt idx="2">
                  <c:v>54056495.000000</c:v>
                </c:pt>
                <c:pt idx="3">
                  <c:v>56542672.000000</c:v>
                </c:pt>
                <c:pt idx="4">
                  <c:v>58878455.000000</c:v>
                </c:pt>
                <c:pt idx="5">
                  <c:v>61670727.000000</c:v>
                </c:pt>
                <c:pt idx="6">
                  <c:v>64246520.000000</c:v>
                </c:pt>
                <c:pt idx="7">
                  <c:v>84118289.000000</c:v>
                </c:pt>
                <c:pt idx="8">
                  <c:v>86421050.000000</c:v>
                </c:pt>
                <c:pt idx="9">
                  <c:v>89770286.000000</c:v>
                </c:pt>
                <c:pt idx="10">
                  <c:v>92335916.000000</c:v>
                </c:pt>
                <c:pt idx="11">
                  <c:v>107857056.000000</c:v>
                </c:pt>
                <c:pt idx="12">
                  <c:v>110473297.000000</c:v>
                </c:pt>
                <c:pt idx="13">
                  <c:v>113313871.000000</c:v>
                </c:pt>
                <c:pt idx="14">
                  <c:v>114850064.000000</c:v>
                </c:pt>
                <c:pt idx="15">
                  <c:v>116523901.000000</c:v>
                </c:pt>
                <c:pt idx="16">
                  <c:v>117887389.000000</c:v>
                </c:pt>
                <c:pt idx="17">
                  <c:v>118450554.000000</c:v>
                </c:pt>
                <c:pt idx="18">
                  <c:v>118473858.000000</c:v>
                </c:pt>
                <c:pt idx="19">
                  <c:v>120431233.000000</c:v>
                </c:pt>
                <c:pt idx="20">
                  <c:v>120857209.000000</c:v>
                </c:pt>
                <c:pt idx="21">
                  <c:v>121904039.000000</c:v>
                </c:pt>
                <c:pt idx="22">
                  <c:v>122363813.000000</c:v>
                </c:pt>
                <c:pt idx="23">
                  <c:v>123016959.000000</c:v>
                </c:pt>
                <c:pt idx="24">
                  <c:v>123528347.000000</c:v>
                </c:pt>
                <c:pt idx="25">
                  <c:v>135922191.000000</c:v>
                </c:pt>
                <c:pt idx="26">
                  <c:v>136378208.000000</c:v>
                </c:pt>
                <c:pt idx="27">
                  <c:v>139284229.000000</c:v>
                </c:pt>
                <c:pt idx="28">
                  <c:v>143556635.000000</c:v>
                </c:pt>
                <c:pt idx="29">
                  <c:v>148329663.000000</c:v>
                </c:pt>
                <c:pt idx="30">
                  <c:v>150649869.000000</c:v>
                </c:pt>
                <c:pt idx="31">
                  <c:v>151221003.000000</c:v>
                </c:pt>
                <c:pt idx="32">
                  <c:v>152172136.000000</c:v>
                </c:pt>
                <c:pt idx="33">
                  <c:v>153558979.000000</c:v>
                </c:pt>
                <c:pt idx="34">
                  <c:v>154712001.000000</c:v>
                </c:pt>
                <c:pt idx="35">
                  <c:v>155330293.000000</c:v>
                </c:pt>
              </c:numCache>
            </c:numRef>
          </c:val>
        </c:ser>
        <c:gapWidth val="40"/>
        <c:overlap val="100"/>
        <c:axId val="2094734552"/>
        <c:axId val="2094734553"/>
      </c:bar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189108"/>
          <c:y val="0"/>
          <c:w val="0.762633"/>
          <c:h val="0.064473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4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23444"/>
          <c:y val="0.125413"/>
          <c:w val="0.741878"/>
          <c:h val="0.810932"/>
        </c:manualLayout>
      </c:layout>
      <c:areaChart>
        <c:grouping val="standard"/>
        <c:varyColors val="0"/>
        <c:ser>
          <c:idx val="2"/>
          <c:order val="0"/>
          <c:tx>
            <c:strRef>
              <c:f>'net worth - Table 1-3'!$BQ$1</c:f>
              <c:strCache/>
            </c:strRef>
          </c:tx>
          <c:spPr>
            <a:solidFill>
              <a:srgbClr val="3199CD">
                <a:alpha val="16689"/>
              </a:srgbClr>
            </a:solidFill>
            <a:ln w="12700" cap="flat">
              <a:noFill/>
              <a:miter lim="400000"/>
            </a:ln>
            <a:effectLst/>
          </c:spP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'net worth - Table 1-3'!$A$3:$A$114</c:f>
              <c:strCache>
                <c:ptCount val="0"/>
              </c:strCache>
            </c:strRef>
          </c:cat>
          <c:val>
            <c:numRef>
              <c:f>'net worth - Table 1-3'!$BQ$3:$BQ$114</c:f>
              <c:numCache>
                <c:ptCount val="0"/>
              </c:numCache>
            </c:numRef>
          </c:val>
        </c:ser>
        <c:ser>
          <c:idx val="1"/>
          <c:order val="1"/>
          <c:tx>
            <c:strRef>
              <c:f>'net worth - Table 1-3'!$BP$1</c:f>
              <c:strCache/>
            </c:strRef>
          </c:tx>
          <c:spPr>
            <a:solidFill>
              <a:srgbClr val="898D85">
                <a:alpha val="24011"/>
              </a:srgbClr>
            </a:solidFill>
            <a:ln w="12700" cap="flat">
              <a:noFill/>
              <a:miter lim="400000"/>
            </a:ln>
            <a:effectLst/>
          </c:spP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'net worth - Table 1-3'!$A$3:$A$114</c:f>
              <c:strCache>
                <c:ptCount val="0"/>
              </c:strCache>
            </c:strRef>
          </c:cat>
          <c:val>
            <c:numRef>
              <c:f>'net worth - Table 1-3'!$BP$3:$BP$114</c:f>
              <c:numCache>
                <c:ptCount val="0"/>
              </c:numCache>
            </c:numRef>
          </c:val>
        </c:ser>
        <c:axId val="2094734555"/>
        <c:axId val="2094734556"/>
      </c:areaChart>
      <c:barChart>
        <c:barDir val="col"/>
        <c:grouping val="clustered"/>
        <c:varyColors val="0"/>
        <c:ser>
          <c:idx val="0"/>
          <c:order val="2"/>
          <c:tx>
            <c:strRef>
              <c:f>'net worth - Table 1-3'!$BO$1</c:f>
              <c:strCache/>
            </c:strRef>
          </c:tx>
          <c:spPr>
            <a:solidFill>
              <a:schemeClr val="accent1">
                <a:hueOff val="-53954"/>
                <a:satOff val="-4348"/>
                <a:lumOff val="-11375"/>
              </a:schemeClr>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1-3'!$A$3:$A$114</c:f>
              <c:strCache>
                <c:ptCount val="0"/>
              </c:strCache>
            </c:strRef>
          </c:cat>
          <c:val>
            <c:numRef>
              <c:f>'net worth - Table 1-3'!$BO$3:$BO$114</c:f>
              <c:numCache>
                <c:ptCount val="0"/>
              </c:numCache>
            </c:numRef>
          </c:val>
        </c:ser>
        <c:gapWidth val="100"/>
        <c:overlap val="-10"/>
        <c:axId val="2094734552"/>
        <c:axId val="2094734553"/>
      </c:bar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5e+07"/>
          <c:min val="-6e+06"/>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between"/>
        <c:majorUnit val="3e+06"/>
        <c:minorUnit val="1.5e+06"/>
      </c:valAx>
      <c:catAx>
        <c:axId val="2094734555"/>
        <c:scaling>
          <c:orientation val="minMax"/>
        </c:scaling>
        <c:delete val="0"/>
        <c:axPos val="b"/>
        <c:majorTickMark val="out"/>
        <c:minorTickMark val="none"/>
        <c:tickLblPos val="none"/>
        <c:spPr>
          <a:ln w="12700" cap="flat">
            <a:noFill/>
            <a:prstDash val="solid"/>
            <a:miter lim="400000"/>
          </a:ln>
        </c:spPr>
        <c:crossAx val="2094734556"/>
        <c:crosses val="autoZero"/>
        <c:auto val="1"/>
        <c:lblAlgn val="ctr"/>
        <c:noMultiLvlLbl val="1"/>
      </c:catAx>
      <c:valAx>
        <c:axId val="2094734556"/>
        <c:scaling>
          <c:orientation val="minMax"/>
        </c:scaling>
        <c:delete val="0"/>
        <c:axPos val="r"/>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5"/>
        <c:crosses val="max"/>
        <c:crossBetween val="between"/>
      </c:valAx>
      <c:spPr>
        <a:noFill/>
        <a:ln w="12700" cap="flat">
          <a:noFill/>
          <a:miter lim="400000"/>
        </a:ln>
        <a:effectLst/>
      </c:spPr>
    </c:plotArea>
    <c:legend>
      <c:legendPos val="t"/>
      <c:layout>
        <c:manualLayout>
          <c:xMode val="edge"/>
          <c:yMode val="edge"/>
          <c:x val="0.116255"/>
          <c:y val="0"/>
          <c:w val="0.707949"/>
          <c:h val="0.06460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4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99111"/>
          <c:y val="0.109676"/>
          <c:w val="0.636511"/>
          <c:h val="0.825847"/>
        </c:manualLayout>
      </c:layout>
      <c:lineChart>
        <c:grouping val="standard"/>
        <c:varyColors val="0"/>
        <c:ser>
          <c:idx val="0"/>
          <c:order val="0"/>
          <c:tx>
            <c:strRef>
              <c:f>'net worth - Table 1-3'!$AR$1</c:f>
              <c:strCache>
                <c:ptCount val="1"/>
                <c:pt idx="0">
                  <c:v>Total AFP</c:v>
                </c:pt>
              </c:strCache>
            </c:strRef>
          </c:tx>
          <c:spPr>
            <a:solidFill>
              <a:srgbClr val="FFFFFF"/>
            </a:solidFill>
            <a:ln w="50800" cap="flat">
              <a:solidFill>
                <a:srgbClr val="82BE55"/>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1-3'!$AR$3:$AR$114</c:f>
              <c:numCache>
                <c:ptCount val="112"/>
                <c:pt idx="0">
                  <c:v>97716.618636</c:v>
                </c:pt>
                <c:pt idx="1">
                  <c:v>201666.666667</c:v>
                </c:pt>
                <c:pt idx="2">
                  <c:v>318529.298751</c:v>
                </c:pt>
                <c:pt idx="3">
                  <c:v>434917.387128</c:v>
                </c:pt>
                <c:pt idx="4">
                  <c:v>572598.000000</c:v>
                </c:pt>
                <c:pt idx="5">
                  <c:v>695937.000000</c:v>
                </c:pt>
                <c:pt idx="6">
                  <c:v>809744.000000</c:v>
                </c:pt>
                <c:pt idx="7">
                  <c:v>970089.000000</c:v>
                </c:pt>
                <c:pt idx="8">
                  <c:v>1163536.000000</c:v>
                </c:pt>
                <c:pt idx="9">
                  <c:v>1151971.000000</c:v>
                </c:pt>
                <c:pt idx="10">
                  <c:v>1239942.000000</c:v>
                </c:pt>
                <c:pt idx="11">
                  <c:v>1378845.000000</c:v>
                </c:pt>
                <c:pt idx="12">
                  <c:v>1496675.000000</c:v>
                </c:pt>
                <c:pt idx="13">
                  <c:v>1701157.000000</c:v>
                </c:pt>
                <c:pt idx="14">
                  <c:v>1841962.000000</c:v>
                </c:pt>
                <c:pt idx="15">
                  <c:v>2003838.000000</c:v>
                </c:pt>
                <c:pt idx="16">
                  <c:v>2056497.000000</c:v>
                </c:pt>
                <c:pt idx="17">
                  <c:v>2261682.000000</c:v>
                </c:pt>
                <c:pt idx="18">
                  <c:v>2435155.000000</c:v>
                </c:pt>
                <c:pt idx="19">
                  <c:v>2765850.000000</c:v>
                </c:pt>
                <c:pt idx="20">
                  <c:v>3015847.000000</c:v>
                </c:pt>
                <c:pt idx="21">
                  <c:v>3291261.000000</c:v>
                </c:pt>
                <c:pt idx="22">
                  <c:v>3563940.000000</c:v>
                </c:pt>
                <c:pt idx="23">
                  <c:v>3742959.000000</c:v>
                </c:pt>
                <c:pt idx="24">
                  <c:v>4015381.000000</c:v>
                </c:pt>
                <c:pt idx="25">
                  <c:v>4357708.000000</c:v>
                </c:pt>
                <c:pt idx="26">
                  <c:v>4417812.000000</c:v>
                </c:pt>
                <c:pt idx="27">
                  <c:v>4832261.000000</c:v>
                </c:pt>
                <c:pt idx="28">
                  <c:v>5147616.000000</c:v>
                </c:pt>
                <c:pt idx="29">
                  <c:v>5706580.000000</c:v>
                </c:pt>
                <c:pt idx="30">
                  <c:v>5866002.000000</c:v>
                </c:pt>
                <c:pt idx="31">
                  <c:v>6306015.000000</c:v>
                </c:pt>
                <c:pt idx="32">
                  <c:v>6418492.000000</c:v>
                </c:pt>
                <c:pt idx="33">
                  <c:v>5515029.000000</c:v>
                </c:pt>
                <c:pt idx="34">
                  <c:v>5946335.000000</c:v>
                </c:pt>
                <c:pt idx="35">
                  <c:v>5991474.000000</c:v>
                </c:pt>
                <c:pt idx="36">
                  <c:v>6297554.000000</c:v>
                </c:pt>
                <c:pt idx="37">
                  <c:v>6381454.000000</c:v>
                </c:pt>
                <c:pt idx="38">
                  <c:v>6846580.000000</c:v>
                </c:pt>
                <c:pt idx="39">
                  <c:v>6875018.000000</c:v>
                </c:pt>
                <c:pt idx="40">
                  <c:v>7181459.000000</c:v>
                </c:pt>
                <c:pt idx="41">
                  <c:v>7934599.000000</c:v>
                </c:pt>
                <c:pt idx="42">
                  <c:v>7963522.000000</c:v>
                </c:pt>
                <c:pt idx="43">
                  <c:v>8821699.000000</c:v>
                </c:pt>
                <c:pt idx="44">
                  <c:v>8685346.000000</c:v>
                </c:pt>
                <c:pt idx="45">
                  <c:v>6765171.000000</c:v>
                </c:pt>
                <c:pt idx="46">
                  <c:v>6737772.000000</c:v>
                </c:pt>
                <c:pt idx="47">
                  <c:v>5781626.000000</c:v>
                </c:pt>
                <c:pt idx="48">
                  <c:v>5890711.000000</c:v>
                </c:pt>
                <c:pt idx="49">
                  <c:v>5859486.000000</c:v>
                </c:pt>
                <c:pt idx="50">
                  <c:v>6103959.000000</c:v>
                </c:pt>
                <c:pt idx="51">
                  <c:v>6077254.000000</c:v>
                </c:pt>
                <c:pt idx="52">
                  <c:v>6237306.000000</c:v>
                </c:pt>
                <c:pt idx="53">
                  <c:v>6315200.000000</c:v>
                </c:pt>
                <c:pt idx="54">
                  <c:v>6477409.000000</c:v>
                </c:pt>
                <c:pt idx="55">
                  <c:v>5901811.000000</c:v>
                </c:pt>
                <c:pt idx="56">
                  <c:v>5737277.000000</c:v>
                </c:pt>
                <c:pt idx="57">
                  <c:v>5704057.000000</c:v>
                </c:pt>
                <c:pt idx="58">
                  <c:v>5654182.000000</c:v>
                </c:pt>
                <c:pt idx="59">
                  <c:v>5642564.000000</c:v>
                </c:pt>
                <c:pt idx="60">
                  <c:v>5856880.000000</c:v>
                </c:pt>
                <c:pt idx="61">
                  <c:v>5986946.000000</c:v>
                </c:pt>
                <c:pt idx="62">
                  <c:v>5998237.000000</c:v>
                </c:pt>
                <c:pt idx="63">
                  <c:v>5909948.000000</c:v>
                </c:pt>
                <c:pt idx="64">
                  <c:v>6208389.000000</c:v>
                </c:pt>
                <c:pt idx="65">
                  <c:v>6538943.000000</c:v>
                </c:pt>
                <c:pt idx="66">
                  <c:v>6620063.000000</c:v>
                </c:pt>
                <c:pt idx="67">
                  <c:v>6888238.000000</c:v>
                </c:pt>
                <c:pt idx="68">
                  <c:v>6998157.000000</c:v>
                </c:pt>
                <c:pt idx="69">
                  <c:v>7143328.000000</c:v>
                </c:pt>
                <c:pt idx="70">
                  <c:v>7538750.000000</c:v>
                </c:pt>
                <c:pt idx="71">
                  <c:v>7790913.000000</c:v>
                </c:pt>
                <c:pt idx="72">
                  <c:v>8264918.000000</c:v>
                </c:pt>
                <c:pt idx="73">
                  <c:v>9095701.000000</c:v>
                </c:pt>
                <c:pt idx="74">
                  <c:v>9228463.000000</c:v>
                </c:pt>
                <c:pt idx="75">
                  <c:v>9748313.000000</c:v>
                </c:pt>
                <c:pt idx="76">
                  <c:v>9783981.000000</c:v>
                </c:pt>
                <c:pt idx="77">
                  <c:v>10258053.000000</c:v>
                </c:pt>
                <c:pt idx="78">
                  <c:v>11239859.000000</c:v>
                </c:pt>
                <c:pt idx="79">
                  <c:v>11583000.000000</c:v>
                </c:pt>
                <c:pt idx="80">
                  <c:v>12884435.000000</c:v>
                </c:pt>
                <c:pt idx="81">
                  <c:v>13413008.000000</c:v>
                </c:pt>
                <c:pt idx="82">
                  <c:v>13111493.000000</c:v>
                </c:pt>
                <c:pt idx="83">
                  <c:v>13342068.000000</c:v>
                </c:pt>
                <c:pt idx="84">
                  <c:v>14035230.000000</c:v>
                </c:pt>
                <c:pt idx="85">
                  <c:v>14550832.000000</c:v>
                </c:pt>
                <c:pt idx="86">
                  <c:v>14686433.000000</c:v>
                </c:pt>
                <c:pt idx="87">
                  <c:v>15302015.000000</c:v>
                </c:pt>
                <c:pt idx="88">
                  <c:v>15997286.000000</c:v>
                </c:pt>
                <c:pt idx="89">
                  <c:v>16701312.000000</c:v>
                </c:pt>
                <c:pt idx="90">
                  <c:v>16878847.000000</c:v>
                </c:pt>
                <c:pt idx="91">
                  <c:v>17532836.000000</c:v>
                </c:pt>
                <c:pt idx="92">
                  <c:v>17456580.000000</c:v>
                </c:pt>
                <c:pt idx="93">
                  <c:v>17540235.000000</c:v>
                </c:pt>
                <c:pt idx="94">
                  <c:v>17987650.000000</c:v>
                </c:pt>
                <c:pt idx="95">
                  <c:v>19129012.000000</c:v>
                </c:pt>
                <c:pt idx="96">
                  <c:v>19939517.000000</c:v>
                </c:pt>
                <c:pt idx="97">
                  <c:v>21187056.000000</c:v>
                </c:pt>
                <c:pt idx="98">
                  <c:v>22234111.000000</c:v>
                </c:pt>
                <c:pt idx="99">
                  <c:v>23005130.000000</c:v>
                </c:pt>
                <c:pt idx="100">
                  <c:v>23748195.000000</c:v>
                </c:pt>
                <c:pt idx="101">
                  <c:v>24044745.000000</c:v>
                </c:pt>
                <c:pt idx="102">
                  <c:v>24358831.000000</c:v>
                </c:pt>
                <c:pt idx="103">
                  <c:v>25148903.000000</c:v>
                </c:pt>
                <c:pt idx="104">
                  <c:v>25818638.000000</c:v>
                </c:pt>
                <c:pt idx="105">
                  <c:v>25642700.000000</c:v>
                </c:pt>
                <c:pt idx="106">
                  <c:v>27519927.000000</c:v>
                </c:pt>
                <c:pt idx="107">
                  <c:v>28084955.000000</c:v>
                </c:pt>
                <c:pt idx="108">
                  <c:v>28084955.000000</c:v>
                </c:pt>
                <c:pt idx="109">
                  <c:v>28084955.000000</c:v>
                </c:pt>
                <c:pt idx="110">
                  <c:v>28084955.000000</c:v>
                </c:pt>
                <c:pt idx="111">
                  <c:v>28084955.000000</c:v>
                </c:pt>
              </c:numCache>
            </c:numRef>
          </c:val>
          <c:smooth val="0"/>
        </c:ser>
        <c:ser>
          <c:idx val="1"/>
          <c:order val="1"/>
          <c:tx>
            <c:strRef>
              <c:f>'net worth - Table 1-3'!$AS$1</c:f>
              <c:strCache>
                <c:ptCount val="1"/>
                <c:pt idx="0">
                  <c:v>AFP depositado</c:v>
                </c:pt>
              </c:strCache>
            </c:strRef>
          </c:tx>
          <c:spPr>
            <a:solidFill>
              <a:srgbClr val="FFFFFF"/>
            </a:solidFill>
            <a:ln w="25400" cap="flat">
              <a:solidFill>
                <a:srgbClr val="82BE55">
                  <a:alpha val="50300"/>
                </a:srgbClr>
              </a:solidFill>
              <a:prstDash val="solid"/>
              <a:miter lim="400000"/>
            </a:ln>
            <a:effectLst/>
          </c:spPr>
          <c:marker>
            <c:symbol val="none"/>
            <c:size val="4"/>
            <c:spPr>
              <a:solidFill>
                <a:srgbClr val="FFFFFF"/>
              </a:solidFill>
              <a:ln w="50800" cap="flat">
                <a:solidFill>
                  <a:srgbClr val="52A7F9">
                    <a:alpha val="50423"/>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1-3'!$AS$3:$AS$114</c:f>
              <c:numCache>
                <c:ptCount val="112"/>
                <c:pt idx="0">
                  <c:v>97717.000000</c:v>
                </c:pt>
                <c:pt idx="1">
                  <c:v>201667.000000</c:v>
                </c:pt>
                <c:pt idx="2">
                  <c:v>318530.000000</c:v>
                </c:pt>
                <c:pt idx="3">
                  <c:v>434918.000000</c:v>
                </c:pt>
                <c:pt idx="4">
                  <c:v>557656.000000</c:v>
                </c:pt>
                <c:pt idx="5">
                  <c:v>674044.000000</c:v>
                </c:pt>
                <c:pt idx="6">
                  <c:v>790442.000000</c:v>
                </c:pt>
                <c:pt idx="7">
                  <c:v>906534.000000</c:v>
                </c:pt>
                <c:pt idx="8">
                  <c:v>1069681.000000</c:v>
                </c:pt>
                <c:pt idx="9">
                  <c:v>1133138.000000</c:v>
                </c:pt>
                <c:pt idx="10">
                  <c:v>1217757.000000</c:v>
                </c:pt>
                <c:pt idx="11">
                  <c:v>1318954.000000</c:v>
                </c:pt>
                <c:pt idx="12">
                  <c:v>1468825.000000</c:v>
                </c:pt>
                <c:pt idx="13">
                  <c:v>1618696.000000</c:v>
                </c:pt>
                <c:pt idx="14">
                  <c:v>1768567.000000</c:v>
                </c:pt>
                <c:pt idx="15">
                  <c:v>1920382.000000</c:v>
                </c:pt>
                <c:pt idx="16">
                  <c:v>2067036.000000</c:v>
                </c:pt>
                <c:pt idx="17">
                  <c:v>2281829.000000</c:v>
                </c:pt>
                <c:pt idx="18">
                  <c:v>2497411.000000</c:v>
                </c:pt>
                <c:pt idx="19">
                  <c:v>2713251.000000</c:v>
                </c:pt>
                <c:pt idx="20">
                  <c:v>2928938.000000</c:v>
                </c:pt>
                <c:pt idx="21">
                  <c:v>3144862.000000</c:v>
                </c:pt>
                <c:pt idx="22">
                  <c:v>3366866.000000</c:v>
                </c:pt>
                <c:pt idx="23">
                  <c:v>3582706.000000</c:v>
                </c:pt>
                <c:pt idx="24">
                  <c:v>3801316.000000</c:v>
                </c:pt>
                <c:pt idx="25">
                  <c:v>4021511.000000</c:v>
                </c:pt>
                <c:pt idx="26">
                  <c:v>4239726.000000</c:v>
                </c:pt>
                <c:pt idx="27">
                  <c:v>4457941.000000</c:v>
                </c:pt>
                <c:pt idx="28">
                  <c:v>4676156.000000</c:v>
                </c:pt>
                <c:pt idx="29">
                  <c:v>4894371.000000</c:v>
                </c:pt>
                <c:pt idx="30">
                  <c:v>5112586.000000</c:v>
                </c:pt>
                <c:pt idx="31">
                  <c:v>5330801.000000</c:v>
                </c:pt>
                <c:pt idx="32">
                  <c:v>5549016.000000</c:v>
                </c:pt>
                <c:pt idx="33">
                  <c:v>5767231.000000</c:v>
                </c:pt>
                <c:pt idx="34">
                  <c:v>5784423.000000</c:v>
                </c:pt>
                <c:pt idx="35">
                  <c:v>5784423.000000</c:v>
                </c:pt>
                <c:pt idx="36">
                  <c:v>5784423.000000</c:v>
                </c:pt>
                <c:pt idx="37">
                  <c:v>5784423.000000</c:v>
                </c:pt>
                <c:pt idx="38">
                  <c:v>6012293.000000</c:v>
                </c:pt>
                <c:pt idx="39">
                  <c:v>6240163.000000</c:v>
                </c:pt>
                <c:pt idx="40">
                  <c:v>6468033.000000</c:v>
                </c:pt>
                <c:pt idx="41">
                  <c:v>6695903.000000</c:v>
                </c:pt>
                <c:pt idx="42">
                  <c:v>6923773.000000</c:v>
                </c:pt>
                <c:pt idx="43">
                  <c:v>7151643.000000</c:v>
                </c:pt>
                <c:pt idx="44">
                  <c:v>7235499.000000</c:v>
                </c:pt>
                <c:pt idx="45">
                  <c:v>5201097.000000</c:v>
                </c:pt>
                <c:pt idx="46">
                  <c:v>5201097.000000</c:v>
                </c:pt>
                <c:pt idx="47">
                  <c:v>4180234.000000</c:v>
                </c:pt>
                <c:pt idx="48">
                  <c:v>4180234.000000</c:v>
                </c:pt>
                <c:pt idx="49">
                  <c:v>4180234.000000</c:v>
                </c:pt>
                <c:pt idx="50">
                  <c:v>4180234.000000</c:v>
                </c:pt>
                <c:pt idx="51">
                  <c:v>4180234.000000</c:v>
                </c:pt>
                <c:pt idx="52">
                  <c:v>4180234.000000</c:v>
                </c:pt>
                <c:pt idx="53">
                  <c:v>4180234.000000</c:v>
                </c:pt>
                <c:pt idx="54">
                  <c:v>4180234.000000</c:v>
                </c:pt>
                <c:pt idx="55">
                  <c:v>4180234.000000</c:v>
                </c:pt>
                <c:pt idx="56">
                  <c:v>4180234.000000</c:v>
                </c:pt>
                <c:pt idx="57">
                  <c:v>4180234.000000</c:v>
                </c:pt>
                <c:pt idx="58">
                  <c:v>4180234.000000</c:v>
                </c:pt>
                <c:pt idx="59">
                  <c:v>4180234.000000</c:v>
                </c:pt>
                <c:pt idx="60">
                  <c:v>4180234.000000</c:v>
                </c:pt>
                <c:pt idx="61">
                  <c:v>4180234.000000</c:v>
                </c:pt>
                <c:pt idx="62">
                  <c:v>4180234.000000</c:v>
                </c:pt>
                <c:pt idx="63">
                  <c:v>4180234.000000</c:v>
                </c:pt>
                <c:pt idx="64">
                  <c:v>4459781.000000</c:v>
                </c:pt>
                <c:pt idx="65">
                  <c:v>5030163.000000</c:v>
                </c:pt>
                <c:pt idx="66">
                  <c:v>5316669.000000</c:v>
                </c:pt>
                <c:pt idx="67">
                  <c:v>5603175.000000</c:v>
                </c:pt>
                <c:pt idx="68">
                  <c:v>5604615.000000</c:v>
                </c:pt>
                <c:pt idx="69">
                  <c:v>5894374.000000</c:v>
                </c:pt>
                <c:pt idx="70">
                  <c:v>6184670.000000</c:v>
                </c:pt>
                <c:pt idx="71">
                  <c:v>6477113.000000</c:v>
                </c:pt>
                <c:pt idx="72">
                  <c:v>6772979.000000</c:v>
                </c:pt>
                <c:pt idx="73">
                  <c:v>7067469.000000</c:v>
                </c:pt>
                <c:pt idx="74">
                  <c:v>7361629.000000</c:v>
                </c:pt>
                <c:pt idx="75">
                  <c:v>7656452.000000</c:v>
                </c:pt>
                <c:pt idx="76">
                  <c:v>7951824.000000</c:v>
                </c:pt>
                <c:pt idx="77">
                  <c:v>8248751.000000</c:v>
                </c:pt>
                <c:pt idx="78">
                  <c:v>8547112.000000</c:v>
                </c:pt>
                <c:pt idx="79">
                  <c:v>8849861.000000</c:v>
                </c:pt>
                <c:pt idx="80">
                  <c:v>9159521.000000</c:v>
                </c:pt>
                <c:pt idx="81">
                  <c:v>9470222.000000</c:v>
                </c:pt>
                <c:pt idx="82">
                  <c:v>9782921.000000</c:v>
                </c:pt>
                <c:pt idx="83">
                  <c:v>10097040.000000</c:v>
                </c:pt>
                <c:pt idx="84">
                  <c:v>10412650.000000</c:v>
                </c:pt>
                <c:pt idx="85">
                  <c:v>10729381.000000</c:v>
                </c:pt>
                <c:pt idx="86">
                  <c:v>11046172.000000</c:v>
                </c:pt>
                <c:pt idx="87">
                  <c:v>11364442.000000</c:v>
                </c:pt>
                <c:pt idx="88">
                  <c:v>11684027.000000</c:v>
                </c:pt>
                <c:pt idx="89">
                  <c:v>12004126.000000</c:v>
                </c:pt>
                <c:pt idx="90">
                  <c:v>12326556.000000</c:v>
                </c:pt>
                <c:pt idx="91">
                  <c:v>12650409.000000</c:v>
                </c:pt>
                <c:pt idx="92">
                  <c:v>12973990.000000</c:v>
                </c:pt>
                <c:pt idx="93">
                  <c:v>13313319.000000</c:v>
                </c:pt>
                <c:pt idx="94">
                  <c:v>13654809.000000</c:v>
                </c:pt>
                <c:pt idx="95">
                  <c:v>13997891.000000</c:v>
                </c:pt>
                <c:pt idx="96">
                  <c:v>14341974.000000</c:v>
                </c:pt>
                <c:pt idx="97">
                  <c:v>14686739.000000</c:v>
                </c:pt>
                <c:pt idx="98">
                  <c:v>15030731.000000</c:v>
                </c:pt>
                <c:pt idx="99">
                  <c:v>15379973.000000</c:v>
                </c:pt>
                <c:pt idx="100">
                  <c:v>15730124.000000</c:v>
                </c:pt>
                <c:pt idx="101">
                  <c:v>16081268.000000</c:v>
                </c:pt>
                <c:pt idx="102">
                  <c:v>16432820.000000</c:v>
                </c:pt>
                <c:pt idx="103">
                  <c:v>16785120.000000</c:v>
                </c:pt>
                <c:pt idx="104">
                  <c:v>17145648.000000</c:v>
                </c:pt>
                <c:pt idx="105">
                  <c:v>17507424.000000</c:v>
                </c:pt>
                <c:pt idx="106">
                  <c:v>17869666.000000</c:v>
                </c:pt>
                <c:pt idx="107">
                  <c:v>17869666.000000</c:v>
                </c:pt>
                <c:pt idx="108">
                  <c:v>17869666.000000</c:v>
                </c:pt>
                <c:pt idx="109">
                  <c:v>17869666.000000</c:v>
                </c:pt>
                <c:pt idx="110">
                  <c:v>17869666.000000</c:v>
                </c:pt>
                <c:pt idx="111">
                  <c:v>17869666.000000</c:v>
                </c:pt>
              </c:numCache>
            </c:numRef>
          </c:val>
          <c:smooth val="0"/>
        </c:ser>
        <c:ser>
          <c:idx val="2"/>
          <c:order val="2"/>
          <c:tx>
            <c:strRef>
              <c:f>'net worth - Table 1-3'!$AY$1</c:f>
              <c:strCache>
                <c:ptCount val="1"/>
                <c:pt idx="0">
                  <c:v>Total APV-a</c:v>
                </c:pt>
              </c:strCache>
            </c:strRef>
          </c:tx>
          <c:spPr>
            <a:solidFill>
              <a:srgbClr val="FFFFFF"/>
            </a:solidFill>
            <a:ln w="50800" cap="flat">
              <a:solidFill>
                <a:srgbClr val="5F99C5"/>
              </a:solidFill>
              <a:prstDash val="solid"/>
              <a:miter lim="400000"/>
            </a:ln>
            <a:effectLst/>
          </c:spPr>
          <c:marker>
            <c:symbol val="none"/>
            <c:size val="4"/>
            <c:spPr>
              <a:solidFill>
                <a:srgbClr val="FFFFFF"/>
              </a:solidFill>
              <a:ln w="50800" cap="flat">
                <a:solidFill>
                  <a:srgbClr val="6FC041"/>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1-3'!$AY$3:$AY$114</c:f>
              <c:numCache>
                <c:ptCount val="103"/>
                <c:pt idx="9">
                  <c:v>48031.000000</c:v>
                </c:pt>
                <c:pt idx="10">
                  <c:v>511750.000000</c:v>
                </c:pt>
                <c:pt idx="11">
                  <c:v>541096.000000</c:v>
                </c:pt>
                <c:pt idx="12">
                  <c:v>916967.000000</c:v>
                </c:pt>
                <c:pt idx="13">
                  <c:v>1175056.000000</c:v>
                </c:pt>
                <c:pt idx="14">
                  <c:v>1556987.000000</c:v>
                </c:pt>
                <c:pt idx="15">
                  <c:v>1771958.000000</c:v>
                </c:pt>
                <c:pt idx="16">
                  <c:v>1929044.000000</c:v>
                </c:pt>
                <c:pt idx="17">
                  <c:v>1909854.000000</c:v>
                </c:pt>
                <c:pt idx="18">
                  <c:v>1877531.000000</c:v>
                </c:pt>
                <c:pt idx="19">
                  <c:v>1928188.000000</c:v>
                </c:pt>
                <c:pt idx="20">
                  <c:v>1964655.000000</c:v>
                </c:pt>
                <c:pt idx="21">
                  <c:v>2078742.000000</c:v>
                </c:pt>
                <c:pt idx="22">
                  <c:v>2160452.000000</c:v>
                </c:pt>
                <c:pt idx="23">
                  <c:v>2111409.000000</c:v>
                </c:pt>
                <c:pt idx="24">
                  <c:v>2546267.000000</c:v>
                </c:pt>
                <c:pt idx="25">
                  <c:v>3400003.000000</c:v>
                </c:pt>
                <c:pt idx="26">
                  <c:v>4249099.000000</c:v>
                </c:pt>
                <c:pt idx="27">
                  <c:v>4350224.000000</c:v>
                </c:pt>
                <c:pt idx="28">
                  <c:v>4448098.000000</c:v>
                </c:pt>
                <c:pt idx="29">
                  <c:v>5295172.000000</c:v>
                </c:pt>
                <c:pt idx="30">
                  <c:v>5530845.000000</c:v>
                </c:pt>
                <c:pt idx="31">
                  <c:v>6011921.000000</c:v>
                </c:pt>
                <c:pt idx="32">
                  <c:v>5561143.000000</c:v>
                </c:pt>
                <c:pt idx="33">
                  <c:v>5444992.000000</c:v>
                </c:pt>
                <c:pt idx="34">
                  <c:v>6764693.000000</c:v>
                </c:pt>
                <c:pt idx="35">
                  <c:v>7232092.000000</c:v>
                </c:pt>
                <c:pt idx="36">
                  <c:v>7642169.000000</c:v>
                </c:pt>
                <c:pt idx="37">
                  <c:v>7397745.000000</c:v>
                </c:pt>
                <c:pt idx="38">
                  <c:v>8329129.000000</c:v>
                </c:pt>
                <c:pt idx="39">
                  <c:v>8446077.000000</c:v>
                </c:pt>
                <c:pt idx="40">
                  <c:v>8660694.000000</c:v>
                </c:pt>
                <c:pt idx="41">
                  <c:v>9779139.000000</c:v>
                </c:pt>
                <c:pt idx="42">
                  <c:v>9599786.000000</c:v>
                </c:pt>
                <c:pt idx="43">
                  <c:v>10024006.000000</c:v>
                </c:pt>
                <c:pt idx="44">
                  <c:v>9907052.000000</c:v>
                </c:pt>
                <c:pt idx="45">
                  <c:v>11824605.000000</c:v>
                </c:pt>
                <c:pt idx="46">
                  <c:v>12058691.000000</c:v>
                </c:pt>
                <c:pt idx="47">
                  <c:v>12178409.000000</c:v>
                </c:pt>
                <c:pt idx="48">
                  <c:v>12832262.000000</c:v>
                </c:pt>
                <c:pt idx="49">
                  <c:v>13094278.000000</c:v>
                </c:pt>
                <c:pt idx="50">
                  <c:v>13621797.000000</c:v>
                </c:pt>
                <c:pt idx="51">
                  <c:v>13494024.000000</c:v>
                </c:pt>
                <c:pt idx="52">
                  <c:v>14498264.000000</c:v>
                </c:pt>
                <c:pt idx="53">
                  <c:v>15425547.000000</c:v>
                </c:pt>
                <c:pt idx="54">
                  <c:v>16020785.000000</c:v>
                </c:pt>
                <c:pt idx="55">
                  <c:v>13925635.000000</c:v>
                </c:pt>
                <c:pt idx="56">
                  <c:v>15566987.000000</c:v>
                </c:pt>
                <c:pt idx="57">
                  <c:v>15610549.000000</c:v>
                </c:pt>
                <c:pt idx="58">
                  <c:v>15054398.000000</c:v>
                </c:pt>
                <c:pt idx="59">
                  <c:v>14691339.000000</c:v>
                </c:pt>
                <c:pt idx="60">
                  <c:v>15199607.000000</c:v>
                </c:pt>
                <c:pt idx="61">
                  <c:v>16071847.000000</c:v>
                </c:pt>
                <c:pt idx="62">
                  <c:v>15298560.000000</c:v>
                </c:pt>
                <c:pt idx="63">
                  <c:v>14743036.000000</c:v>
                </c:pt>
                <c:pt idx="64">
                  <c:v>15141642.000000</c:v>
                </c:pt>
                <c:pt idx="65">
                  <c:v>15551924.000000</c:v>
                </c:pt>
                <c:pt idx="66">
                  <c:v>14076465.000000</c:v>
                </c:pt>
                <c:pt idx="67">
                  <c:v>14884862.000000</c:v>
                </c:pt>
                <c:pt idx="68">
                  <c:v>15668307.000000</c:v>
                </c:pt>
                <c:pt idx="69">
                  <c:v>15619824.000000</c:v>
                </c:pt>
                <c:pt idx="70">
                  <c:v>16268785.000000</c:v>
                </c:pt>
                <c:pt idx="71">
                  <c:v>17634447.000000</c:v>
                </c:pt>
                <c:pt idx="72">
                  <c:v>18493826.000000</c:v>
                </c:pt>
                <c:pt idx="73">
                  <c:v>20513370.000000</c:v>
                </c:pt>
                <c:pt idx="74">
                  <c:v>20165952.000000</c:v>
                </c:pt>
                <c:pt idx="75">
                  <c:v>20029183.000000</c:v>
                </c:pt>
                <c:pt idx="76">
                  <c:v>19788947.000000</c:v>
                </c:pt>
                <c:pt idx="77">
                  <c:v>20992622.000000</c:v>
                </c:pt>
                <c:pt idx="78">
                  <c:v>22665568.000000</c:v>
                </c:pt>
                <c:pt idx="79">
                  <c:v>24702422.000000</c:v>
                </c:pt>
                <c:pt idx="80">
                  <c:v>27304612.000000</c:v>
                </c:pt>
                <c:pt idx="81">
                  <c:v>28679908.000000</c:v>
                </c:pt>
                <c:pt idx="82">
                  <c:v>27482302.000000</c:v>
                </c:pt>
                <c:pt idx="83">
                  <c:v>27827538.000000</c:v>
                </c:pt>
                <c:pt idx="84">
                  <c:v>30028318.000000</c:v>
                </c:pt>
                <c:pt idx="85">
                  <c:v>30009548.000000</c:v>
                </c:pt>
                <c:pt idx="86">
                  <c:v>29275869.000000</c:v>
                </c:pt>
                <c:pt idx="87">
                  <c:v>29458865.000000</c:v>
                </c:pt>
                <c:pt idx="88">
                  <c:v>31785466.000000</c:v>
                </c:pt>
                <c:pt idx="89">
                  <c:v>33145501.000000</c:v>
                </c:pt>
                <c:pt idx="90">
                  <c:v>34045209.000000</c:v>
                </c:pt>
                <c:pt idx="91">
                  <c:v>34049917.000000</c:v>
                </c:pt>
                <c:pt idx="92">
                  <c:v>32137542.000000</c:v>
                </c:pt>
                <c:pt idx="93">
                  <c:v>30035063.000000</c:v>
                </c:pt>
                <c:pt idx="94">
                  <c:v>30209153.000000</c:v>
                </c:pt>
                <c:pt idx="95">
                  <c:v>32076440.000000</c:v>
                </c:pt>
                <c:pt idx="96">
                  <c:v>33913859.000000</c:v>
                </c:pt>
                <c:pt idx="97">
                  <c:v>36337965.000000</c:v>
                </c:pt>
                <c:pt idx="98">
                  <c:v>36647289.000000</c:v>
                </c:pt>
                <c:pt idx="99">
                  <c:v>38569992.000000</c:v>
                </c:pt>
                <c:pt idx="100">
                  <c:v>39416092.000000</c:v>
                </c:pt>
                <c:pt idx="101">
                  <c:v>38800923.000000</c:v>
                </c:pt>
                <c:pt idx="102">
                  <c:v>38424773.000000</c:v>
                </c:pt>
                <c:pt idx="103">
                  <c:v>37593719.000000</c:v>
                </c:pt>
                <c:pt idx="104">
                  <c:v>37728646.000000</c:v>
                </c:pt>
                <c:pt idx="105">
                  <c:v>37721805.000000</c:v>
                </c:pt>
                <c:pt idx="106">
                  <c:v>42137038.000000</c:v>
                </c:pt>
                <c:pt idx="107">
                  <c:v>44047447.000000</c:v>
                </c:pt>
                <c:pt idx="108">
                  <c:v>44047447.000000</c:v>
                </c:pt>
                <c:pt idx="109">
                  <c:v>44047447.000000</c:v>
                </c:pt>
                <c:pt idx="110">
                  <c:v>44047447.000000</c:v>
                </c:pt>
                <c:pt idx="111">
                  <c:v>44047447.000000</c:v>
                </c:pt>
              </c:numCache>
            </c:numRef>
          </c:val>
          <c:smooth val="0"/>
        </c:ser>
        <c:ser>
          <c:idx val="3"/>
          <c:order val="3"/>
          <c:tx>
            <c:strRef>
              <c:f>'net worth - Table 1-3'!$AZ$1</c:f>
              <c:strCache>
                <c:ptCount val="1"/>
                <c:pt idx="0">
                  <c:v>APV-a depositado</c:v>
                </c:pt>
              </c:strCache>
            </c:strRef>
          </c:tx>
          <c:spPr>
            <a:solidFill>
              <a:srgbClr val="FFFFFF"/>
            </a:solidFill>
            <a:ln w="25400" cap="flat">
              <a:solidFill>
                <a:srgbClr val="5F99C5">
                  <a:alpha val="49206"/>
                </a:srgbClr>
              </a:solidFill>
              <a:prstDash val="solid"/>
              <a:miter lim="400000"/>
            </a:ln>
            <a:effectLst/>
          </c:spPr>
          <c:marker>
            <c:symbol val="none"/>
            <c:size val="4"/>
            <c:spPr>
              <a:solidFill>
                <a:srgbClr val="FFFFFF"/>
              </a:solidFill>
              <a:ln w="50800" cap="flat">
                <a:solidFill>
                  <a:srgbClr val="6FC041">
                    <a:alpha val="49958"/>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1-3'!$AZ$3:$AZ$114</c:f>
              <c:numCache>
                <c:ptCount val="103"/>
                <c:pt idx="9">
                  <c:v>50000.000000</c:v>
                </c:pt>
                <c:pt idx="10">
                  <c:v>500000.000000</c:v>
                </c:pt>
                <c:pt idx="11">
                  <c:v>500000.000000</c:v>
                </c:pt>
                <c:pt idx="12">
                  <c:v>850000.000000</c:v>
                </c:pt>
                <c:pt idx="13">
                  <c:v>1100000.000000</c:v>
                </c:pt>
                <c:pt idx="14">
                  <c:v>1350000.000000</c:v>
                </c:pt>
                <c:pt idx="15">
                  <c:v>1600000.000000</c:v>
                </c:pt>
                <c:pt idx="16">
                  <c:v>1850000.000000</c:v>
                </c:pt>
                <c:pt idx="17">
                  <c:v>1850000.000000</c:v>
                </c:pt>
                <c:pt idx="18">
                  <c:v>1934120.000000</c:v>
                </c:pt>
                <c:pt idx="19">
                  <c:v>1934120.000000</c:v>
                </c:pt>
                <c:pt idx="20">
                  <c:v>1934120.000000</c:v>
                </c:pt>
                <c:pt idx="21">
                  <c:v>1934120.000000</c:v>
                </c:pt>
                <c:pt idx="22">
                  <c:v>1934120.000000</c:v>
                </c:pt>
                <c:pt idx="23">
                  <c:v>1934120.000000</c:v>
                </c:pt>
                <c:pt idx="24">
                  <c:v>2334120.000000</c:v>
                </c:pt>
                <c:pt idx="25">
                  <c:v>3034120.000000</c:v>
                </c:pt>
                <c:pt idx="26">
                  <c:v>3834120.000000</c:v>
                </c:pt>
                <c:pt idx="27">
                  <c:v>3834120.000000</c:v>
                </c:pt>
                <c:pt idx="28">
                  <c:v>3834120.000000</c:v>
                </c:pt>
                <c:pt idx="29">
                  <c:v>3919040.000000</c:v>
                </c:pt>
                <c:pt idx="30">
                  <c:v>4548351.000000</c:v>
                </c:pt>
                <c:pt idx="31">
                  <c:v>4548351.000000</c:v>
                </c:pt>
                <c:pt idx="32">
                  <c:v>4548351.000000</c:v>
                </c:pt>
                <c:pt idx="33">
                  <c:v>4948351.000000</c:v>
                </c:pt>
                <c:pt idx="34">
                  <c:v>5548351.000000</c:v>
                </c:pt>
                <c:pt idx="35">
                  <c:v>5948351.000000</c:v>
                </c:pt>
                <c:pt idx="36">
                  <c:v>5948351.000000</c:v>
                </c:pt>
                <c:pt idx="37">
                  <c:v>5948351.000000</c:v>
                </c:pt>
                <c:pt idx="38">
                  <c:v>5948351.000000</c:v>
                </c:pt>
                <c:pt idx="39">
                  <c:v>6250555.000000</c:v>
                </c:pt>
                <c:pt idx="40">
                  <c:v>6850555.000000</c:v>
                </c:pt>
                <c:pt idx="41">
                  <c:v>6850555.000000</c:v>
                </c:pt>
                <c:pt idx="42">
                  <c:v>6891715.000000</c:v>
                </c:pt>
                <c:pt idx="43">
                  <c:v>6891715.000000</c:v>
                </c:pt>
                <c:pt idx="44">
                  <c:v>6891715.000000</c:v>
                </c:pt>
                <c:pt idx="45">
                  <c:v>8891715.000000</c:v>
                </c:pt>
                <c:pt idx="46">
                  <c:v>8891715.000000</c:v>
                </c:pt>
                <c:pt idx="47">
                  <c:v>8891715.000000</c:v>
                </c:pt>
                <c:pt idx="48">
                  <c:v>8891715.000000</c:v>
                </c:pt>
                <c:pt idx="49">
                  <c:v>8891715.000000</c:v>
                </c:pt>
                <c:pt idx="50">
                  <c:v>8891715.000000</c:v>
                </c:pt>
                <c:pt idx="51">
                  <c:v>8891715.000000</c:v>
                </c:pt>
                <c:pt idx="52">
                  <c:v>8891715.000000</c:v>
                </c:pt>
                <c:pt idx="53">
                  <c:v>9216872.000000</c:v>
                </c:pt>
                <c:pt idx="54">
                  <c:v>9678762.000000</c:v>
                </c:pt>
                <c:pt idx="55">
                  <c:v>9678762.000000</c:v>
                </c:pt>
                <c:pt idx="56">
                  <c:v>11878762.000000</c:v>
                </c:pt>
                <c:pt idx="57">
                  <c:v>11878762.000000</c:v>
                </c:pt>
                <c:pt idx="58">
                  <c:v>11878762.000000</c:v>
                </c:pt>
                <c:pt idx="59">
                  <c:v>11878762.000000</c:v>
                </c:pt>
                <c:pt idx="60">
                  <c:v>11878762.000000</c:v>
                </c:pt>
                <c:pt idx="61">
                  <c:v>11878762.000000</c:v>
                </c:pt>
                <c:pt idx="62">
                  <c:v>12024076.000000</c:v>
                </c:pt>
                <c:pt idx="63">
                  <c:v>12024076.000000</c:v>
                </c:pt>
                <c:pt idx="64">
                  <c:v>12024076.000000</c:v>
                </c:pt>
                <c:pt idx="65">
                  <c:v>12270356.000000</c:v>
                </c:pt>
                <c:pt idx="66">
                  <c:v>10507920.000000</c:v>
                </c:pt>
                <c:pt idx="67">
                  <c:v>10907920.000000</c:v>
                </c:pt>
                <c:pt idx="68">
                  <c:v>11407920.000000</c:v>
                </c:pt>
                <c:pt idx="69">
                  <c:v>11407920.000000</c:v>
                </c:pt>
                <c:pt idx="70">
                  <c:v>12007920.000000</c:v>
                </c:pt>
                <c:pt idx="71">
                  <c:v>12607920.000000</c:v>
                </c:pt>
                <c:pt idx="72">
                  <c:v>12607920.000000</c:v>
                </c:pt>
                <c:pt idx="73">
                  <c:v>13027920.000000</c:v>
                </c:pt>
                <c:pt idx="74">
                  <c:v>13027920.000000</c:v>
                </c:pt>
                <c:pt idx="75">
                  <c:v>13027920.000000</c:v>
                </c:pt>
                <c:pt idx="76">
                  <c:v>13027920.000000</c:v>
                </c:pt>
                <c:pt idx="77">
                  <c:v>13027920.000000</c:v>
                </c:pt>
                <c:pt idx="78">
                  <c:v>13027920.000000</c:v>
                </c:pt>
                <c:pt idx="79">
                  <c:v>14027920.000000</c:v>
                </c:pt>
                <c:pt idx="80">
                  <c:v>14377920.000000</c:v>
                </c:pt>
                <c:pt idx="81">
                  <c:v>14727920.000000</c:v>
                </c:pt>
                <c:pt idx="82">
                  <c:v>15427920.000000</c:v>
                </c:pt>
                <c:pt idx="83">
                  <c:v>15427920.000000</c:v>
                </c:pt>
                <c:pt idx="84">
                  <c:v>15627920.000000</c:v>
                </c:pt>
                <c:pt idx="85">
                  <c:v>15627920.000000</c:v>
                </c:pt>
                <c:pt idx="86">
                  <c:v>15627920.000000</c:v>
                </c:pt>
                <c:pt idx="87">
                  <c:v>15627920.000000</c:v>
                </c:pt>
                <c:pt idx="88">
                  <c:v>15677920.000000</c:v>
                </c:pt>
                <c:pt idx="89">
                  <c:v>15719680.000000</c:v>
                </c:pt>
                <c:pt idx="90">
                  <c:v>15719680.000000</c:v>
                </c:pt>
                <c:pt idx="91">
                  <c:v>15719680.000000</c:v>
                </c:pt>
                <c:pt idx="92">
                  <c:v>15719680.000000</c:v>
                </c:pt>
                <c:pt idx="93">
                  <c:v>15719680.000000</c:v>
                </c:pt>
                <c:pt idx="94">
                  <c:v>15719680.000000</c:v>
                </c:pt>
                <c:pt idx="95">
                  <c:v>15719680.000000</c:v>
                </c:pt>
                <c:pt idx="96">
                  <c:v>15719680.000000</c:v>
                </c:pt>
                <c:pt idx="97">
                  <c:v>15719680.000000</c:v>
                </c:pt>
                <c:pt idx="98">
                  <c:v>15719680.000000</c:v>
                </c:pt>
                <c:pt idx="99">
                  <c:v>15719680.000000</c:v>
                </c:pt>
                <c:pt idx="100">
                  <c:v>15719680.000000</c:v>
                </c:pt>
                <c:pt idx="101">
                  <c:v>15719680.000000</c:v>
                </c:pt>
                <c:pt idx="102">
                  <c:v>15719680.000000</c:v>
                </c:pt>
                <c:pt idx="103">
                  <c:v>15719680.000000</c:v>
                </c:pt>
                <c:pt idx="104">
                  <c:v>15719680.000000</c:v>
                </c:pt>
                <c:pt idx="105">
                  <c:v>15719680.000000</c:v>
                </c:pt>
                <c:pt idx="106">
                  <c:v>15719680.000000</c:v>
                </c:pt>
                <c:pt idx="107">
                  <c:v>15719680.000000</c:v>
                </c:pt>
                <c:pt idx="108">
                  <c:v>15719680.000000</c:v>
                </c:pt>
                <c:pt idx="109">
                  <c:v>15719680.000000</c:v>
                </c:pt>
                <c:pt idx="110">
                  <c:v>15719680.000000</c:v>
                </c:pt>
                <c:pt idx="111">
                  <c:v>15719680.000000</c:v>
                </c:pt>
              </c:numCache>
            </c:numRef>
          </c:val>
          <c:smooth val="0"/>
        </c:ser>
        <c:ser>
          <c:idx val="4"/>
          <c:order val="4"/>
          <c:tx>
            <c:strRef>
              <c:f>'net worth - Table 1-3'!$BF$1</c:f>
              <c:strCache>
                <c:ptCount val="1"/>
                <c:pt idx="0">
                  <c:v>Total APV-b</c:v>
                </c:pt>
              </c:strCache>
            </c:strRef>
          </c:tx>
          <c:spPr>
            <a:solidFill>
              <a:srgbClr val="FFFFFF"/>
            </a:solidFill>
            <a:ln w="50800" cap="flat">
              <a:solidFill>
                <a:srgbClr val="65A7F3"/>
              </a:solidFill>
              <a:prstDash val="solid"/>
              <a:miter lim="400000"/>
            </a:ln>
            <a:effectLst/>
          </c:spPr>
          <c:marker>
            <c:symbol val="none"/>
            <c:size val="4"/>
            <c:spPr>
              <a:solidFill>
                <a:srgbClr val="FFFFFF"/>
              </a:solidFill>
              <a:ln w="50800" cap="flat">
                <a:solidFill>
                  <a:srgbClr val="FCE12B"/>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1-3'!$BF$3:$BF$114</c:f>
              <c:numCache>
                <c:ptCount val="82"/>
                <c:pt idx="30">
                  <c:v>2500000.000000</c:v>
                </c:pt>
                <c:pt idx="31">
                  <c:v>2713508.000000</c:v>
                </c:pt>
                <c:pt idx="32">
                  <c:v>2510048.000000</c:v>
                </c:pt>
                <c:pt idx="33">
                  <c:v>2298654.000000</c:v>
                </c:pt>
                <c:pt idx="34">
                  <c:v>2564305.000000</c:v>
                </c:pt>
                <c:pt idx="35">
                  <c:v>2584384.000000</c:v>
                </c:pt>
                <c:pt idx="36">
                  <c:v>2730924.000000</c:v>
                </c:pt>
                <c:pt idx="37">
                  <c:v>2643579.000000</c:v>
                </c:pt>
                <c:pt idx="38">
                  <c:v>2976409.000000</c:v>
                </c:pt>
                <c:pt idx="39">
                  <c:v>2910208.000000</c:v>
                </c:pt>
                <c:pt idx="40">
                  <c:v>2788000.000000</c:v>
                </c:pt>
                <c:pt idx="41">
                  <c:v>5399483.000000</c:v>
                </c:pt>
                <c:pt idx="42">
                  <c:v>5766466.000000</c:v>
                </c:pt>
                <c:pt idx="43">
                  <c:v>6021289.000000</c:v>
                </c:pt>
                <c:pt idx="44">
                  <c:v>5951037.000000</c:v>
                </c:pt>
                <c:pt idx="45">
                  <c:v>7879143.000000</c:v>
                </c:pt>
                <c:pt idx="46">
                  <c:v>8035123.000000</c:v>
                </c:pt>
                <c:pt idx="47">
                  <c:v>8114895.000000</c:v>
                </c:pt>
                <c:pt idx="48">
                  <c:v>8550580.000000</c:v>
                </c:pt>
                <c:pt idx="49">
                  <c:v>8725170.000000</c:v>
                </c:pt>
                <c:pt idx="50">
                  <c:v>9076674.000000</c:v>
                </c:pt>
                <c:pt idx="51">
                  <c:v>8991535.000000</c:v>
                </c:pt>
                <c:pt idx="52">
                  <c:v>9660694.000000</c:v>
                </c:pt>
                <c:pt idx="53">
                  <c:v>10060685.000000</c:v>
                </c:pt>
                <c:pt idx="54">
                  <c:v>10145453.000000</c:v>
                </c:pt>
                <c:pt idx="55">
                  <c:v>8820829.000000</c:v>
                </c:pt>
                <c:pt idx="56">
                  <c:v>8520468.000000</c:v>
                </c:pt>
                <c:pt idx="57">
                  <c:v>8544311.000000</c:v>
                </c:pt>
                <c:pt idx="58">
                  <c:v>8239906.000000</c:v>
                </c:pt>
                <c:pt idx="59">
                  <c:v>8041189.000000</c:v>
                </c:pt>
                <c:pt idx="60">
                  <c:v>8319385.000000</c:v>
                </c:pt>
                <c:pt idx="61">
                  <c:v>8796799.000000</c:v>
                </c:pt>
                <c:pt idx="62">
                  <c:v>8298947.000000</c:v>
                </c:pt>
                <c:pt idx="63">
                  <c:v>7997594.000000</c:v>
                </c:pt>
                <c:pt idx="64">
                  <c:v>8213825.000000</c:v>
                </c:pt>
                <c:pt idx="65">
                  <c:v>8298455.000000</c:v>
                </c:pt>
                <c:pt idx="66">
                  <c:v>7963430.000000</c:v>
                </c:pt>
                <c:pt idx="67">
                  <c:v>8186229.000000</c:v>
                </c:pt>
                <c:pt idx="68">
                  <c:v>8337048.000000</c:v>
                </c:pt>
                <c:pt idx="69">
                  <c:v>8311251.000000</c:v>
                </c:pt>
                <c:pt idx="70">
                  <c:v>8340135.000000</c:v>
                </c:pt>
                <c:pt idx="71">
                  <c:v>8718688.000000</c:v>
                </c:pt>
                <c:pt idx="72">
                  <c:v>9143576.000000</c:v>
                </c:pt>
                <c:pt idx="73">
                  <c:v>10112072.000000</c:v>
                </c:pt>
                <c:pt idx="74">
                  <c:v>10530723.000000</c:v>
                </c:pt>
                <c:pt idx="75">
                  <c:v>10459302.000000</c:v>
                </c:pt>
                <c:pt idx="76">
                  <c:v>10077027.000000</c:v>
                </c:pt>
                <c:pt idx="77">
                  <c:v>10757676.000000</c:v>
                </c:pt>
                <c:pt idx="78">
                  <c:v>11614978.000000</c:v>
                </c:pt>
                <c:pt idx="79">
                  <c:v>12108203.000000</c:v>
                </c:pt>
                <c:pt idx="80">
                  <c:v>13201387.000000</c:v>
                </c:pt>
                <c:pt idx="81">
                  <c:v>13693699.000000</c:v>
                </c:pt>
                <c:pt idx="82">
                  <c:v>12788338.000000</c:v>
                </c:pt>
                <c:pt idx="83">
                  <c:v>12948986.000000</c:v>
                </c:pt>
                <c:pt idx="84">
                  <c:v>13872943.000000</c:v>
                </c:pt>
                <c:pt idx="85">
                  <c:v>13864271.000000</c:v>
                </c:pt>
                <c:pt idx="86">
                  <c:v>13525315.000000</c:v>
                </c:pt>
                <c:pt idx="87">
                  <c:v>13609858.000000</c:v>
                </c:pt>
                <c:pt idx="88">
                  <c:v>14660810.000000</c:v>
                </c:pt>
                <c:pt idx="89">
                  <c:v>15268975.000000</c:v>
                </c:pt>
                <c:pt idx="90">
                  <c:v>15496554.000000</c:v>
                </c:pt>
                <c:pt idx="91">
                  <c:v>15498697.000000</c:v>
                </c:pt>
                <c:pt idx="92">
                  <c:v>14628231.000000</c:v>
                </c:pt>
                <c:pt idx="93">
                  <c:v>13671233.000000</c:v>
                </c:pt>
                <c:pt idx="94">
                  <c:v>13750474.000000</c:v>
                </c:pt>
                <c:pt idx="95">
                  <c:v>14600418.000000</c:v>
                </c:pt>
                <c:pt idx="96">
                  <c:v>15436767.000000</c:v>
                </c:pt>
                <c:pt idx="97">
                  <c:v>16540161.000000</c:v>
                </c:pt>
                <c:pt idx="98">
                  <c:v>16680958.000000</c:v>
                </c:pt>
                <c:pt idx="99">
                  <c:v>17556126.000000</c:v>
                </c:pt>
                <c:pt idx="100">
                  <c:v>17941250.000000</c:v>
                </c:pt>
                <c:pt idx="101">
                  <c:v>17466003.000000</c:v>
                </c:pt>
                <c:pt idx="102">
                  <c:v>17296681.000000</c:v>
                </c:pt>
                <c:pt idx="103">
                  <c:v>16922587.000000</c:v>
                </c:pt>
                <c:pt idx="104">
                  <c:v>16983324.000000</c:v>
                </c:pt>
                <c:pt idx="105">
                  <c:v>16980244.000000</c:v>
                </c:pt>
                <c:pt idx="106">
                  <c:v>18967735.000000</c:v>
                </c:pt>
                <c:pt idx="107">
                  <c:v>19827694.000000</c:v>
                </c:pt>
                <c:pt idx="108">
                  <c:v>19827694.000000</c:v>
                </c:pt>
                <c:pt idx="109">
                  <c:v>19827694.000000</c:v>
                </c:pt>
                <c:pt idx="110">
                  <c:v>19827694.000000</c:v>
                </c:pt>
                <c:pt idx="111">
                  <c:v>19827694.000000</c:v>
                </c:pt>
              </c:numCache>
            </c:numRef>
          </c:val>
          <c:smooth val="0"/>
        </c:ser>
        <c:ser>
          <c:idx val="5"/>
          <c:order val="5"/>
          <c:tx>
            <c:strRef>
              <c:f>'net worth - Table 1-3'!$BG$1</c:f>
              <c:strCache>
                <c:ptCount val="1"/>
                <c:pt idx="0">
                  <c:v>APV-b depositado</c:v>
                </c:pt>
              </c:strCache>
            </c:strRef>
          </c:tx>
          <c:spPr>
            <a:solidFill>
              <a:srgbClr val="FFFFFF"/>
            </a:solidFill>
            <a:ln w="25400" cap="flat">
              <a:solidFill>
                <a:srgbClr val="65A7F3">
                  <a:alpha val="25123"/>
                </a:srgbClr>
              </a:solidFill>
              <a:prstDash val="solid"/>
              <a:miter lim="400000"/>
            </a:ln>
            <a:effectLst/>
          </c:spPr>
          <c:marker>
            <c:symbol val="none"/>
            <c:size val="4"/>
            <c:spPr>
              <a:solidFill>
                <a:srgbClr val="FFFFFF"/>
              </a:solidFill>
              <a:ln w="50800" cap="flat">
                <a:solidFill>
                  <a:srgbClr val="FCE12B">
                    <a:alpha val="48580"/>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1-3'!$BG$3:$BG$114</c:f>
              <c:numCache>
                <c:ptCount val="82"/>
                <c:pt idx="30">
                  <c:v>2500000.000000</c:v>
                </c:pt>
                <c:pt idx="31">
                  <c:v>2500000.000000</c:v>
                </c:pt>
                <c:pt idx="32">
                  <c:v>2500000.000000</c:v>
                </c:pt>
                <c:pt idx="33">
                  <c:v>2500000.000000</c:v>
                </c:pt>
                <c:pt idx="34">
                  <c:v>2500000.000000</c:v>
                </c:pt>
                <c:pt idx="35">
                  <c:v>2500000.000000</c:v>
                </c:pt>
                <c:pt idx="36">
                  <c:v>2500000.000000</c:v>
                </c:pt>
                <c:pt idx="37">
                  <c:v>2500000.000000</c:v>
                </c:pt>
                <c:pt idx="38">
                  <c:v>2500000.000000</c:v>
                </c:pt>
                <c:pt idx="39">
                  <c:v>2500000.000000</c:v>
                </c:pt>
                <c:pt idx="40">
                  <c:v>2500000.000000</c:v>
                </c:pt>
                <c:pt idx="41">
                  <c:v>4500000.000000</c:v>
                </c:pt>
                <c:pt idx="42">
                  <c:v>5000000.000000</c:v>
                </c:pt>
                <c:pt idx="43">
                  <c:v>5000000.000000</c:v>
                </c:pt>
                <c:pt idx="44">
                  <c:v>5000000.000000</c:v>
                </c:pt>
                <c:pt idx="45">
                  <c:v>7000000.000000</c:v>
                </c:pt>
                <c:pt idx="46">
                  <c:v>7000000.000000</c:v>
                </c:pt>
                <c:pt idx="47">
                  <c:v>7000000.000000</c:v>
                </c:pt>
                <c:pt idx="48">
                  <c:v>7000000.000000</c:v>
                </c:pt>
                <c:pt idx="49">
                  <c:v>7000000.000000</c:v>
                </c:pt>
                <c:pt idx="50">
                  <c:v>7000000.000000</c:v>
                </c:pt>
                <c:pt idx="51">
                  <c:v>7000000.000000</c:v>
                </c:pt>
                <c:pt idx="52">
                  <c:v>7000000.000000</c:v>
                </c:pt>
                <c:pt idx="53">
                  <c:v>7000000.000000</c:v>
                </c:pt>
                <c:pt idx="54">
                  <c:v>7000000.000000</c:v>
                </c:pt>
                <c:pt idx="55">
                  <c:v>7000000.000000</c:v>
                </c:pt>
                <c:pt idx="56">
                  <c:v>7000000.000000</c:v>
                </c:pt>
                <c:pt idx="57">
                  <c:v>7000000.000000</c:v>
                </c:pt>
                <c:pt idx="58">
                  <c:v>7000000.000000</c:v>
                </c:pt>
                <c:pt idx="59">
                  <c:v>7000000.000000</c:v>
                </c:pt>
                <c:pt idx="60">
                  <c:v>7000000.000000</c:v>
                </c:pt>
                <c:pt idx="61">
                  <c:v>7000000.000000</c:v>
                </c:pt>
                <c:pt idx="62">
                  <c:v>7000000.000000</c:v>
                </c:pt>
                <c:pt idx="63">
                  <c:v>7000000.000000</c:v>
                </c:pt>
                <c:pt idx="64">
                  <c:v>7000000.000000</c:v>
                </c:pt>
                <c:pt idx="65">
                  <c:v>7000000.000000</c:v>
                </c:pt>
                <c:pt idx="66">
                  <c:v>7500000.000000</c:v>
                </c:pt>
                <c:pt idx="67">
                  <c:v>7500000.000000</c:v>
                </c:pt>
                <c:pt idx="68">
                  <c:v>7500000.000000</c:v>
                </c:pt>
                <c:pt idx="69">
                  <c:v>7500000.000000</c:v>
                </c:pt>
                <c:pt idx="70">
                  <c:v>7500000.000000</c:v>
                </c:pt>
                <c:pt idx="71">
                  <c:v>7500000.000000</c:v>
                </c:pt>
                <c:pt idx="72">
                  <c:v>7500000.000000</c:v>
                </c:pt>
                <c:pt idx="73">
                  <c:v>7680000.000000</c:v>
                </c:pt>
                <c:pt idx="74">
                  <c:v>8280000.000000</c:v>
                </c:pt>
                <c:pt idx="75">
                  <c:v>8280000.000000</c:v>
                </c:pt>
                <c:pt idx="76">
                  <c:v>8280000.000000</c:v>
                </c:pt>
                <c:pt idx="77">
                  <c:v>8280000.000000</c:v>
                </c:pt>
                <c:pt idx="78">
                  <c:v>8280000.000000</c:v>
                </c:pt>
                <c:pt idx="79">
                  <c:v>8280000.000000</c:v>
                </c:pt>
                <c:pt idx="80">
                  <c:v>8280000.000000</c:v>
                </c:pt>
                <c:pt idx="81">
                  <c:v>8280000.000000</c:v>
                </c:pt>
                <c:pt idx="82">
                  <c:v>8280000.000000</c:v>
                </c:pt>
                <c:pt idx="83">
                  <c:v>8280000.000000</c:v>
                </c:pt>
                <c:pt idx="84">
                  <c:v>8280000.000000</c:v>
                </c:pt>
                <c:pt idx="85">
                  <c:v>8280000.000000</c:v>
                </c:pt>
                <c:pt idx="86">
                  <c:v>8280000.000000</c:v>
                </c:pt>
                <c:pt idx="87">
                  <c:v>8280000.000000</c:v>
                </c:pt>
                <c:pt idx="88">
                  <c:v>8280000.000000</c:v>
                </c:pt>
                <c:pt idx="89">
                  <c:v>8280000.000000</c:v>
                </c:pt>
                <c:pt idx="90">
                  <c:v>8280000.000000</c:v>
                </c:pt>
                <c:pt idx="91">
                  <c:v>8280000.000000</c:v>
                </c:pt>
                <c:pt idx="92">
                  <c:v>8280000.000000</c:v>
                </c:pt>
                <c:pt idx="93">
                  <c:v>8280000.000000</c:v>
                </c:pt>
                <c:pt idx="94">
                  <c:v>8280000.000000</c:v>
                </c:pt>
                <c:pt idx="95">
                  <c:v>8280000.000000</c:v>
                </c:pt>
                <c:pt idx="96">
                  <c:v>8280000.000000</c:v>
                </c:pt>
                <c:pt idx="97">
                  <c:v>8280000.000000</c:v>
                </c:pt>
                <c:pt idx="98">
                  <c:v>8280000.000000</c:v>
                </c:pt>
                <c:pt idx="99">
                  <c:v>8280000.000000</c:v>
                </c:pt>
                <c:pt idx="100">
                  <c:v>8280000.000000</c:v>
                </c:pt>
                <c:pt idx="101">
                  <c:v>8280000.000000</c:v>
                </c:pt>
                <c:pt idx="102">
                  <c:v>8280000.000000</c:v>
                </c:pt>
                <c:pt idx="103">
                  <c:v>8280000.000000</c:v>
                </c:pt>
                <c:pt idx="104">
                  <c:v>8280000.000000</c:v>
                </c:pt>
                <c:pt idx="105">
                  <c:v>8280000.000000</c:v>
                </c:pt>
                <c:pt idx="106">
                  <c:v>8280000.000000</c:v>
                </c:pt>
                <c:pt idx="107">
                  <c:v>8280000.000000</c:v>
                </c:pt>
                <c:pt idx="108">
                  <c:v>8280000.000000</c:v>
                </c:pt>
                <c:pt idx="109">
                  <c:v>8280000.000000</c:v>
                </c:pt>
                <c:pt idx="110">
                  <c:v>8280000.000000</c:v>
                </c:pt>
                <c:pt idx="111">
                  <c:v>8280000.000000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
          <c:y val="0"/>
          <c:w val="1"/>
          <c:h val="0.065240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4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99111"/>
          <c:y val="0.10986"/>
          <c:w val="0.636511"/>
          <c:h val="0.827255"/>
        </c:manualLayout>
      </c:layout>
      <c:lineChart>
        <c:grouping val="standard"/>
        <c:varyColors val="0"/>
        <c:ser>
          <c:idx val="0"/>
          <c:order val="0"/>
          <c:tx>
            <c:strRef>
              <c:f>'net worth - Table 1-3'!$L$1</c:f>
              <c:strCache>
                <c:ptCount val="1"/>
                <c:pt idx="0">
                  <c:v>Fintual total</c:v>
                </c:pt>
              </c:strCache>
            </c:strRef>
          </c:tx>
          <c:spPr>
            <a:solidFill>
              <a:srgbClr val="FFFFFF"/>
            </a:solidFill>
            <a:ln w="50800" cap="flat">
              <a:solidFill>
                <a:srgbClr val="C3E5F9"/>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1-3'!$L$3:$L$114</c:f>
              <c:numCache>
                <c:ptCount val="103"/>
                <c:pt idx="9">
                  <c:v>1615951.000000</c:v>
                </c:pt>
                <c:pt idx="10">
                  <c:v>1802485.000000</c:v>
                </c:pt>
                <c:pt idx="11">
                  <c:v>1907969.000000</c:v>
                </c:pt>
                <c:pt idx="12">
                  <c:v>2113928.000000</c:v>
                </c:pt>
                <c:pt idx="13">
                  <c:v>2981456.000000</c:v>
                </c:pt>
                <c:pt idx="14">
                  <c:v>3229751.000000</c:v>
                </c:pt>
                <c:pt idx="15">
                  <c:v>3303248.000000</c:v>
                </c:pt>
                <c:pt idx="16">
                  <c:v>3417029.000000</c:v>
                </c:pt>
                <c:pt idx="17">
                  <c:v>3809924.000000</c:v>
                </c:pt>
                <c:pt idx="18">
                  <c:v>4148904.000000</c:v>
                </c:pt>
                <c:pt idx="19">
                  <c:v>4603346.000000</c:v>
                </c:pt>
                <c:pt idx="20">
                  <c:v>5403216.000000</c:v>
                </c:pt>
                <c:pt idx="21">
                  <c:v>6824490.000000</c:v>
                </c:pt>
                <c:pt idx="22">
                  <c:v>7804460.000000</c:v>
                </c:pt>
                <c:pt idx="23">
                  <c:v>8700750.000000</c:v>
                </c:pt>
                <c:pt idx="24">
                  <c:v>9778523.000000</c:v>
                </c:pt>
                <c:pt idx="25">
                  <c:v>10571456.000000</c:v>
                </c:pt>
                <c:pt idx="26">
                  <c:v>10684713.000000</c:v>
                </c:pt>
                <c:pt idx="27">
                  <c:v>11544666.000000</c:v>
                </c:pt>
                <c:pt idx="28">
                  <c:v>12106440.000000</c:v>
                </c:pt>
                <c:pt idx="29">
                  <c:v>14496255.000000</c:v>
                </c:pt>
                <c:pt idx="30">
                  <c:v>13411060.000000</c:v>
                </c:pt>
                <c:pt idx="31">
                  <c:v>14574351.000000</c:v>
                </c:pt>
                <c:pt idx="32">
                  <c:v>13559687.000000</c:v>
                </c:pt>
                <c:pt idx="33">
                  <c:v>12412477.000000</c:v>
                </c:pt>
                <c:pt idx="34">
                  <c:v>13839283.000000</c:v>
                </c:pt>
                <c:pt idx="35">
                  <c:v>13939112.000000</c:v>
                </c:pt>
                <c:pt idx="36">
                  <c:v>14721044.000000</c:v>
                </c:pt>
                <c:pt idx="37">
                  <c:v>14242037.000000</c:v>
                </c:pt>
                <c:pt idx="38">
                  <c:v>16025314.000000</c:v>
                </c:pt>
                <c:pt idx="39">
                  <c:v>12781177.000000</c:v>
                </c:pt>
                <c:pt idx="40">
                  <c:v>12237434.000000</c:v>
                </c:pt>
                <c:pt idx="41">
                  <c:v>13809591.000000</c:v>
                </c:pt>
                <c:pt idx="42">
                  <c:v>13490786.000000</c:v>
                </c:pt>
                <c:pt idx="43">
                  <c:v>14079388.000000</c:v>
                </c:pt>
                <c:pt idx="44">
                  <c:v>13907650.000000</c:v>
                </c:pt>
                <c:pt idx="45">
                  <c:v>13815520.000000</c:v>
                </c:pt>
                <c:pt idx="46">
                  <c:v>14686023.000000</c:v>
                </c:pt>
                <c:pt idx="47">
                  <c:v>15436852.000000</c:v>
                </c:pt>
                <c:pt idx="48">
                  <c:v>16991759.000000</c:v>
                </c:pt>
                <c:pt idx="49">
                  <c:v>17935236.000000</c:v>
                </c:pt>
                <c:pt idx="50">
                  <c:v>18749937.000000</c:v>
                </c:pt>
                <c:pt idx="51">
                  <c:v>18459742.000000</c:v>
                </c:pt>
                <c:pt idx="52">
                  <c:v>19822509.000000</c:v>
                </c:pt>
                <c:pt idx="53">
                  <c:v>20631759.000000</c:v>
                </c:pt>
                <c:pt idx="54">
                  <c:v>20792432.000000</c:v>
                </c:pt>
                <c:pt idx="55">
                  <c:v>18067651.000000</c:v>
                </c:pt>
                <c:pt idx="56">
                  <c:v>18212076.000000</c:v>
                </c:pt>
                <c:pt idx="57">
                  <c:v>20276098.000000</c:v>
                </c:pt>
                <c:pt idx="58">
                  <c:v>19542857.000000</c:v>
                </c:pt>
                <c:pt idx="59">
                  <c:v>19059853.000000</c:v>
                </c:pt>
                <c:pt idx="60">
                  <c:v>19707911.000000</c:v>
                </c:pt>
                <c:pt idx="61">
                  <c:v>20826478.000000</c:v>
                </c:pt>
                <c:pt idx="62">
                  <c:v>19636133.000000</c:v>
                </c:pt>
                <c:pt idx="63">
                  <c:v>18911493.000000</c:v>
                </c:pt>
                <c:pt idx="64">
                  <c:v>19413118.000000</c:v>
                </c:pt>
                <c:pt idx="65">
                  <c:v>19600732.000000</c:v>
                </c:pt>
                <c:pt idx="66">
                  <c:v>18905117.000000</c:v>
                </c:pt>
                <c:pt idx="67">
                  <c:v>19423234.000000</c:v>
                </c:pt>
                <c:pt idx="68">
                  <c:v>19770460.000000</c:v>
                </c:pt>
                <c:pt idx="69">
                  <c:v>19696814.000000</c:v>
                </c:pt>
                <c:pt idx="70">
                  <c:v>19754277.000000</c:v>
                </c:pt>
                <c:pt idx="71">
                  <c:v>20900676.000000</c:v>
                </c:pt>
                <c:pt idx="72">
                  <c:v>21905792.000000</c:v>
                </c:pt>
                <c:pt idx="73">
                  <c:v>23745157.000000</c:v>
                </c:pt>
                <c:pt idx="74">
                  <c:v>23329779.149703</c:v>
                </c:pt>
                <c:pt idx="75">
                  <c:v>23157780.378592</c:v>
                </c:pt>
                <c:pt idx="76">
                  <c:v>22298128.532527</c:v>
                </c:pt>
                <c:pt idx="77">
                  <c:v>23791012.943965</c:v>
                </c:pt>
                <c:pt idx="78">
                  <c:v>25673178.153746</c:v>
                </c:pt>
                <c:pt idx="79">
                  <c:v>26745235.000000</c:v>
                </c:pt>
                <c:pt idx="80">
                  <c:v>29143747.000000</c:v>
                </c:pt>
                <c:pt idx="81">
                  <c:v>30214405.000000</c:v>
                </c:pt>
                <c:pt idx="82">
                  <c:v>28198430.000000</c:v>
                </c:pt>
                <c:pt idx="83">
                  <c:v>28535192.000000</c:v>
                </c:pt>
                <c:pt idx="84">
                  <c:v>30554913.000000</c:v>
                </c:pt>
                <c:pt idx="85">
                  <c:v>30517714.000000</c:v>
                </c:pt>
                <c:pt idx="86">
                  <c:v>29754534.000000</c:v>
                </c:pt>
                <c:pt idx="87">
                  <c:v>29922775.000000</c:v>
                </c:pt>
                <c:pt idx="88">
                  <c:v>32678334.000000</c:v>
                </c:pt>
                <c:pt idx="89">
                  <c:v>34016988.000000</c:v>
                </c:pt>
                <c:pt idx="90">
                  <c:v>31031547.000000</c:v>
                </c:pt>
                <c:pt idx="91">
                  <c:v>27053800.000000</c:v>
                </c:pt>
                <c:pt idx="92">
                  <c:v>15956487.000000</c:v>
                </c:pt>
                <c:pt idx="93">
                  <c:v>8350201.000000</c:v>
                </c:pt>
                <c:pt idx="94">
                  <c:v>7237941.000000</c:v>
                </c:pt>
                <c:pt idx="95">
                  <c:v>7680617.000000</c:v>
                </c:pt>
                <c:pt idx="96">
                  <c:v>8116222.000000</c:v>
                </c:pt>
                <c:pt idx="97">
                  <c:v>8691021.000000</c:v>
                </c:pt>
                <c:pt idx="98">
                  <c:v>8759793.000000</c:v>
                </c:pt>
                <c:pt idx="99">
                  <c:v>9214074.000000</c:v>
                </c:pt>
                <c:pt idx="100">
                  <c:v>9410243.000000</c:v>
                </c:pt>
                <c:pt idx="101">
                  <c:v>9156056.000000</c:v>
                </c:pt>
                <c:pt idx="102">
                  <c:v>9061731.000000</c:v>
                </c:pt>
                <c:pt idx="103">
                  <c:v>8860473.000000</c:v>
                </c:pt>
                <c:pt idx="104">
                  <c:v>8887501.000000</c:v>
                </c:pt>
                <c:pt idx="105">
                  <c:v>8880779.000000</c:v>
                </c:pt>
                <c:pt idx="106">
                  <c:v>9913972.000000</c:v>
                </c:pt>
                <c:pt idx="107">
                  <c:v>10361465.000000</c:v>
                </c:pt>
                <c:pt idx="108">
                  <c:v>10361465.000000</c:v>
                </c:pt>
                <c:pt idx="109">
                  <c:v>10361465.000000</c:v>
                </c:pt>
                <c:pt idx="110">
                  <c:v>10361465.000000</c:v>
                </c:pt>
                <c:pt idx="111">
                  <c:v>10361465.000000</c:v>
                </c:pt>
              </c:numCache>
            </c:numRef>
          </c:val>
          <c:smooth val="0"/>
        </c:ser>
        <c:ser>
          <c:idx val="1"/>
          <c:order val="1"/>
          <c:tx>
            <c:strRef>
              <c:f>'net worth - Table 1-3'!$M$1</c:f>
              <c:strCache>
                <c:ptCount val="1"/>
                <c:pt idx="0">
                  <c:v>Fintual depositado</c:v>
                </c:pt>
              </c:strCache>
            </c:strRef>
          </c:tx>
          <c:spPr>
            <a:solidFill>
              <a:srgbClr val="FFFFFF"/>
            </a:solidFill>
            <a:ln w="25400" cap="flat">
              <a:solidFill>
                <a:srgbClr val="C3E5F9">
                  <a:alpha val="40983"/>
                </a:srgbClr>
              </a:solidFill>
              <a:prstDash val="solid"/>
              <a:miter lim="400000"/>
            </a:ln>
            <a:effectLst/>
          </c:spPr>
          <c:marker>
            <c:symbol val="none"/>
            <c:size val="4"/>
            <c:spPr>
              <a:solidFill>
                <a:srgbClr val="FFFFFF"/>
              </a:solidFill>
              <a:ln w="50800" cap="flat">
                <a:solidFill>
                  <a:srgbClr val="52A7F9">
                    <a:alpha val="50423"/>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1-3'!$M$3:$M$114</c:f>
              <c:numCache>
                <c:ptCount val="103"/>
                <c:pt idx="9">
                  <c:v>1700000.000000</c:v>
                </c:pt>
                <c:pt idx="10">
                  <c:v>1850000.000000</c:v>
                </c:pt>
                <c:pt idx="11">
                  <c:v>1850000.000000</c:v>
                </c:pt>
                <c:pt idx="12">
                  <c:v>2050000.000000</c:v>
                </c:pt>
                <c:pt idx="13">
                  <c:v>2850000.000000</c:v>
                </c:pt>
                <c:pt idx="14">
                  <c:v>2850000.000000</c:v>
                </c:pt>
                <c:pt idx="15">
                  <c:v>3000000.000000</c:v>
                </c:pt>
                <c:pt idx="16">
                  <c:v>3250000.000000</c:v>
                </c:pt>
                <c:pt idx="17">
                  <c:v>3700000.000000</c:v>
                </c:pt>
                <c:pt idx="18">
                  <c:v>4300000.000000</c:v>
                </c:pt>
                <c:pt idx="19">
                  <c:v>4600000.000000</c:v>
                </c:pt>
                <c:pt idx="20">
                  <c:v>5300000.000000</c:v>
                </c:pt>
                <c:pt idx="21">
                  <c:v>6400000.000000</c:v>
                </c:pt>
                <c:pt idx="22">
                  <c:v>7100000.000000</c:v>
                </c:pt>
                <c:pt idx="23">
                  <c:v>8100000.000000</c:v>
                </c:pt>
                <c:pt idx="24">
                  <c:v>9100000.000000</c:v>
                </c:pt>
                <c:pt idx="25">
                  <c:v>9400000.000000</c:v>
                </c:pt>
                <c:pt idx="26">
                  <c:v>9400000.000000</c:v>
                </c:pt>
                <c:pt idx="27">
                  <c:v>10000000.000000</c:v>
                </c:pt>
                <c:pt idx="28">
                  <c:v>10300000.000000</c:v>
                </c:pt>
                <c:pt idx="29">
                  <c:v>10600000.000000</c:v>
                </c:pt>
                <c:pt idx="30">
                  <c:v>10600000.000000</c:v>
                </c:pt>
                <c:pt idx="31">
                  <c:v>10600000.000000</c:v>
                </c:pt>
                <c:pt idx="32">
                  <c:v>10600000.000000</c:v>
                </c:pt>
                <c:pt idx="33">
                  <c:v>10600000.000000</c:v>
                </c:pt>
                <c:pt idx="34">
                  <c:v>10600000.000000</c:v>
                </c:pt>
                <c:pt idx="35">
                  <c:v>10600000.000000</c:v>
                </c:pt>
                <c:pt idx="36">
                  <c:v>10600000.000000</c:v>
                </c:pt>
                <c:pt idx="37">
                  <c:v>10600000.000000</c:v>
                </c:pt>
                <c:pt idx="38">
                  <c:v>10600000.000000</c:v>
                </c:pt>
                <c:pt idx="39">
                  <c:v>7600000.000000</c:v>
                </c:pt>
                <c:pt idx="40">
                  <c:v>7600000.000000</c:v>
                </c:pt>
                <c:pt idx="41">
                  <c:v>7600000.000000</c:v>
                </c:pt>
                <c:pt idx="42">
                  <c:v>7600000.000000</c:v>
                </c:pt>
                <c:pt idx="43">
                  <c:v>7600000.000000</c:v>
                </c:pt>
                <c:pt idx="44">
                  <c:v>7600000.000000</c:v>
                </c:pt>
                <c:pt idx="45">
                  <c:v>7600000.000000</c:v>
                </c:pt>
                <c:pt idx="46">
                  <c:v>8200000.000000</c:v>
                </c:pt>
                <c:pt idx="47">
                  <c:v>8800000.000000</c:v>
                </c:pt>
                <c:pt idx="48">
                  <c:v>9500000.000000</c:v>
                </c:pt>
                <c:pt idx="49">
                  <c:v>10100000.000000</c:v>
                </c:pt>
                <c:pt idx="50">
                  <c:v>10100000.000000</c:v>
                </c:pt>
                <c:pt idx="51">
                  <c:v>10100000.000000</c:v>
                </c:pt>
                <c:pt idx="52">
                  <c:v>10100000.000000</c:v>
                </c:pt>
                <c:pt idx="53">
                  <c:v>10100000.000000</c:v>
                </c:pt>
                <c:pt idx="54">
                  <c:v>10100000.000000</c:v>
                </c:pt>
                <c:pt idx="55">
                  <c:v>10100000.000000</c:v>
                </c:pt>
                <c:pt idx="56">
                  <c:v>10900000.000000</c:v>
                </c:pt>
                <c:pt idx="57">
                  <c:v>12900000.000000</c:v>
                </c:pt>
                <c:pt idx="58">
                  <c:v>12900000.000000</c:v>
                </c:pt>
                <c:pt idx="59">
                  <c:v>12900000.000000</c:v>
                </c:pt>
                <c:pt idx="60">
                  <c:v>12900000.000000</c:v>
                </c:pt>
                <c:pt idx="61">
                  <c:v>12900000.000000</c:v>
                </c:pt>
                <c:pt idx="62">
                  <c:v>12900000.000000</c:v>
                </c:pt>
                <c:pt idx="63">
                  <c:v>12900000.000000</c:v>
                </c:pt>
                <c:pt idx="64">
                  <c:v>12900000.000000</c:v>
                </c:pt>
                <c:pt idx="65">
                  <c:v>12900000.000000</c:v>
                </c:pt>
                <c:pt idx="66">
                  <c:v>14200000.000000</c:v>
                </c:pt>
                <c:pt idx="67">
                  <c:v>14200000.000000</c:v>
                </c:pt>
                <c:pt idx="68">
                  <c:v>14200000.000000</c:v>
                </c:pt>
                <c:pt idx="69">
                  <c:v>14200000.000000</c:v>
                </c:pt>
                <c:pt idx="70">
                  <c:v>14200000.000000</c:v>
                </c:pt>
                <c:pt idx="71">
                  <c:v>14450000.000000</c:v>
                </c:pt>
                <c:pt idx="72">
                  <c:v>14450000.000000</c:v>
                </c:pt>
                <c:pt idx="73">
                  <c:v>14450000.000000</c:v>
                </c:pt>
                <c:pt idx="74">
                  <c:v>14450000.000000</c:v>
                </c:pt>
                <c:pt idx="75">
                  <c:v>14450000.000000</c:v>
                </c:pt>
                <c:pt idx="76">
                  <c:v>14450000.000000</c:v>
                </c:pt>
                <c:pt idx="77">
                  <c:v>14450000.000000</c:v>
                </c:pt>
                <c:pt idx="78">
                  <c:v>14450000.000000</c:v>
                </c:pt>
                <c:pt idx="79">
                  <c:v>14450000.000000</c:v>
                </c:pt>
                <c:pt idx="80">
                  <c:v>14450000.000000</c:v>
                </c:pt>
                <c:pt idx="81">
                  <c:v>14450000.000000</c:v>
                </c:pt>
                <c:pt idx="82">
                  <c:v>14450000.000000</c:v>
                </c:pt>
                <c:pt idx="83">
                  <c:v>14450000.000000</c:v>
                </c:pt>
                <c:pt idx="84">
                  <c:v>14450000.000000</c:v>
                </c:pt>
                <c:pt idx="85">
                  <c:v>14450000.000000</c:v>
                </c:pt>
                <c:pt idx="86">
                  <c:v>14450000.000000</c:v>
                </c:pt>
                <c:pt idx="87">
                  <c:v>14450000.000000</c:v>
                </c:pt>
                <c:pt idx="88">
                  <c:v>14900000.000000</c:v>
                </c:pt>
                <c:pt idx="89">
                  <c:v>14900000.000000</c:v>
                </c:pt>
                <c:pt idx="90">
                  <c:v>11400000.000000</c:v>
                </c:pt>
                <c:pt idx="91">
                  <c:v>7400000.000000</c:v>
                </c:pt>
                <c:pt idx="92">
                  <c:v>-2600000.000000</c:v>
                </c:pt>
                <c:pt idx="93">
                  <c:v>-9100000.000000</c:v>
                </c:pt>
                <c:pt idx="94">
                  <c:v>-10200000.000000</c:v>
                </c:pt>
                <c:pt idx="95">
                  <c:v>-10200000.000000</c:v>
                </c:pt>
                <c:pt idx="96">
                  <c:v>-10200000.000000</c:v>
                </c:pt>
                <c:pt idx="97">
                  <c:v>-10200000.000000</c:v>
                </c:pt>
                <c:pt idx="98">
                  <c:v>-10200000.000000</c:v>
                </c:pt>
                <c:pt idx="99">
                  <c:v>-10200000.000000</c:v>
                </c:pt>
                <c:pt idx="100">
                  <c:v>-10200000.000000</c:v>
                </c:pt>
                <c:pt idx="101">
                  <c:v>-10200000.000000</c:v>
                </c:pt>
                <c:pt idx="102">
                  <c:v>-10200000.000000</c:v>
                </c:pt>
                <c:pt idx="103">
                  <c:v>-10200000.000000</c:v>
                </c:pt>
                <c:pt idx="104">
                  <c:v>-10200000.000000</c:v>
                </c:pt>
                <c:pt idx="105">
                  <c:v>-10200000.000000</c:v>
                </c:pt>
                <c:pt idx="106">
                  <c:v>-10200000.000000</c:v>
                </c:pt>
                <c:pt idx="107">
                  <c:v>-10200000.000000</c:v>
                </c:pt>
                <c:pt idx="108">
                  <c:v>-10200000.000000</c:v>
                </c:pt>
                <c:pt idx="109">
                  <c:v>-10200000.000000</c:v>
                </c:pt>
                <c:pt idx="110">
                  <c:v>-10200000.000000</c:v>
                </c:pt>
                <c:pt idx="111">
                  <c:v>-10200000.000000</c:v>
                </c:pt>
              </c:numCache>
            </c:numRef>
          </c:val>
          <c:smooth val="0"/>
        </c:ser>
        <c:ser>
          <c:idx val="2"/>
          <c:order val="2"/>
          <c:tx>
            <c:strRef>
              <c:f>'net worth - Table 1-3'!$S$1</c:f>
              <c:strCache>
                <c:ptCount val="1"/>
                <c:pt idx="0">
                  <c:v>stocks total</c:v>
                </c:pt>
              </c:strCache>
            </c:strRef>
          </c:tx>
          <c:spPr>
            <a:solidFill>
              <a:srgbClr val="FFFFFF"/>
            </a:solidFill>
            <a:ln w="50800" cap="flat">
              <a:solidFill>
                <a:srgbClr val="6FC041"/>
              </a:solidFill>
              <a:prstDash val="solid"/>
              <a:miter lim="400000"/>
            </a:ln>
            <a:effectLst/>
          </c:spPr>
          <c:marker>
            <c:symbol val="none"/>
            <c:size val="4"/>
            <c:spPr>
              <a:solidFill>
                <a:srgbClr val="FFFFFF"/>
              </a:solidFill>
              <a:ln w="50800" cap="flat">
                <a:solidFill>
                  <a:srgbClr val="6FC041"/>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1-3'!$S$3:$S$114</c:f>
              <c:numCache>
                <c:ptCount val="22"/>
                <c:pt idx="90">
                  <c:v>589475.000000</c:v>
                </c:pt>
                <c:pt idx="91">
                  <c:v>597334.000000</c:v>
                </c:pt>
                <c:pt idx="92">
                  <c:v>567540.000000</c:v>
                </c:pt>
                <c:pt idx="93">
                  <c:v>533235.000000</c:v>
                </c:pt>
                <c:pt idx="94">
                  <c:v>530771.000000</c:v>
                </c:pt>
                <c:pt idx="95">
                  <c:v>564385.000000</c:v>
                </c:pt>
                <c:pt idx="96">
                  <c:v>609075.000000</c:v>
                </c:pt>
                <c:pt idx="97">
                  <c:v>628710.000000</c:v>
                </c:pt>
                <c:pt idx="98">
                  <c:v>639567.000000</c:v>
                </c:pt>
                <c:pt idx="99">
                  <c:v>651167.000000</c:v>
                </c:pt>
                <c:pt idx="100">
                  <c:v>652448.000000</c:v>
                </c:pt>
                <c:pt idx="101">
                  <c:v>648119.000000</c:v>
                </c:pt>
                <c:pt idx="102">
                  <c:v>631600.000000</c:v>
                </c:pt>
                <c:pt idx="103">
                  <c:v>617379.000000</c:v>
                </c:pt>
                <c:pt idx="104">
                  <c:v>614002.000000</c:v>
                </c:pt>
                <c:pt idx="105">
                  <c:v>982184.000000</c:v>
                </c:pt>
                <c:pt idx="106">
                  <c:v>1056272.000000</c:v>
                </c:pt>
                <c:pt idx="107">
                  <c:v>1086006.000000</c:v>
                </c:pt>
                <c:pt idx="108">
                  <c:v>1086006.000000</c:v>
                </c:pt>
                <c:pt idx="109">
                  <c:v>1086006.000000</c:v>
                </c:pt>
                <c:pt idx="110">
                  <c:v>1086006.000000</c:v>
                </c:pt>
                <c:pt idx="111">
                  <c:v>1086006.000000</c:v>
                </c:pt>
              </c:numCache>
            </c:numRef>
          </c:val>
          <c:smooth val="0"/>
        </c:ser>
        <c:ser>
          <c:idx val="3"/>
          <c:order val="3"/>
          <c:tx>
            <c:strRef>
              <c:f>'net worth - Table 1-3'!$T$1</c:f>
              <c:strCache>
                <c:ptCount val="1"/>
                <c:pt idx="0">
                  <c:v>stocks depositado</c:v>
                </c:pt>
              </c:strCache>
            </c:strRef>
          </c:tx>
          <c:spPr>
            <a:solidFill>
              <a:srgbClr val="FFFFFF"/>
            </a:solidFill>
            <a:ln w="25400" cap="flat">
              <a:solidFill>
                <a:srgbClr val="6FC041">
                  <a:alpha val="25048"/>
                </a:srgbClr>
              </a:solidFill>
              <a:prstDash val="solid"/>
              <a:miter lim="400000"/>
            </a:ln>
            <a:effectLst/>
          </c:spPr>
          <c:marker>
            <c:symbol val="none"/>
            <c:size val="4"/>
            <c:spPr>
              <a:solidFill>
                <a:srgbClr val="FFFFFF"/>
              </a:solidFill>
              <a:ln w="50800" cap="flat">
                <a:solidFill>
                  <a:srgbClr val="6FC041">
                    <a:alpha val="49958"/>
                  </a:srgbClr>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'net worth - Table 1-3'!$A$3:$A$114</c:f>
              <c:strCache>
                <c:ptCount val="112"/>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strCache>
            </c:strRef>
          </c:cat>
          <c:val>
            <c:numRef>
              <c:f>'net worth - Table 1-3'!$T$3:$T$114</c:f>
              <c:numCache>
                <c:ptCount val="22"/>
                <c:pt idx="90">
                  <c:v>600000.000000</c:v>
                </c:pt>
                <c:pt idx="91">
                  <c:v>600000.000000</c:v>
                </c:pt>
                <c:pt idx="92">
                  <c:v>600000.000000</c:v>
                </c:pt>
                <c:pt idx="93">
                  <c:v>600000.000000</c:v>
                </c:pt>
                <c:pt idx="94">
                  <c:v>600000.000000</c:v>
                </c:pt>
                <c:pt idx="95">
                  <c:v>600000.000000</c:v>
                </c:pt>
                <c:pt idx="96">
                  <c:v>600000.000000</c:v>
                </c:pt>
                <c:pt idx="97">
                  <c:v>600000.000000</c:v>
                </c:pt>
                <c:pt idx="98">
                  <c:v>600000.000000</c:v>
                </c:pt>
                <c:pt idx="99">
                  <c:v>600000.000000</c:v>
                </c:pt>
                <c:pt idx="100">
                  <c:v>600000.000000</c:v>
                </c:pt>
                <c:pt idx="101">
                  <c:v>600000.000000</c:v>
                </c:pt>
                <c:pt idx="102">
                  <c:v>600000.000000</c:v>
                </c:pt>
                <c:pt idx="103">
                  <c:v>600000.000000</c:v>
                </c:pt>
                <c:pt idx="104">
                  <c:v>600000.000000</c:v>
                </c:pt>
                <c:pt idx="105">
                  <c:v>1000000.000000</c:v>
                </c:pt>
                <c:pt idx="106">
                  <c:v>1000000.000000</c:v>
                </c:pt>
                <c:pt idx="107">
                  <c:v>1000000.000000</c:v>
                </c:pt>
                <c:pt idx="108">
                  <c:v>1000000.000000</c:v>
                </c:pt>
                <c:pt idx="109">
                  <c:v>1000000.000000</c:v>
                </c:pt>
                <c:pt idx="110">
                  <c:v>1000000.000000</c:v>
                </c:pt>
                <c:pt idx="111">
                  <c:v>1000000.000000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
          <c:y val="0"/>
          <c:w val="1"/>
          <c:h val="0.0653082"/>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4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6841"/>
          <c:y val="0.121372"/>
          <c:w val="0.775926"/>
          <c:h val="0.814833"/>
        </c:manualLayout>
      </c:layout>
      <c:areaChart>
        <c:grouping val="standard"/>
        <c:varyColors val="0"/>
        <c:ser>
          <c:idx val="0"/>
          <c:order val="0"/>
          <c:tx>
            <c:strRef>
              <c:f>'net worth - Table 1-3'!$BP$1:$BP$2</c:f>
              <c:strCache/>
            </c:strRef>
          </c:tx>
          <c:spPr>
            <a:solidFill>
              <a:srgbClr val="9A9997">
                <a:alpha val="21422"/>
              </a:srgbClr>
            </a:solidFill>
            <a:ln w="12700" cap="flat">
              <a:noFill/>
              <a:miter lim="400000"/>
            </a:ln>
            <a:effectLst/>
          </c:spPr>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'net worth - Table 1-3'!$A$3:$A$114</c:f>
              <c:strCache>
                <c:ptCount val="0"/>
              </c:strCache>
            </c:strRef>
          </c:cat>
          <c:val>
            <c:numRef>
              <c:f>'net worth - Table 1-3'!$BP$3:$BP$114</c:f>
              <c:numCache>
                <c:ptCount val="0"/>
              </c:numCache>
            </c:numRef>
          </c:val>
        </c:ser>
        <c:axId val="2094734552"/>
        <c:axId val="2094734553"/>
      </c:areaChart>
      <c:barChart>
        <c:barDir val="col"/>
        <c:grouping val="clustered"/>
        <c:varyColors val="0"/>
        <c:ser>
          <c:idx val="1"/>
          <c:order val="1"/>
          <c:tx>
            <c:strRef>
              <c:f>'net worth - Table 1-2'!$E$1:$E$1</c:f>
              <c:strCache/>
            </c:strRef>
          </c:tx>
          <c:spPr>
            <a:solidFill>
              <a:srgbClr val="F4BB1C"/>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1-3'!$A$3:$A$114</c:f>
              <c:strCache>
                <c:ptCount val="0"/>
              </c:strCache>
            </c:strRef>
          </c:cat>
          <c:val>
            <c:numRef>
              <c:f>'net worth - Table 1-2'!$E$2:$E$113</c:f>
              <c:numCache>
                <c:ptCount val="0"/>
              </c:numCache>
            </c:numRef>
          </c:val>
        </c:ser>
        <c:ser>
          <c:idx val="2"/>
          <c:order val="2"/>
          <c:tx>
            <c:strRef>
              <c:f>'net worth - Table 1-3'!$I$1:$I$2</c:f>
              <c:strCache/>
            </c:strRef>
          </c:tx>
          <c:spPr>
            <a:solidFill>
              <a:srgbClr val="6099D4"/>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1-3'!$A$3:$A$114</c:f>
              <c:strCache>
                <c:ptCount val="0"/>
              </c:strCache>
            </c:strRef>
          </c:cat>
          <c:val>
            <c:numRef>
              <c:f>'net worth - Table 1-3'!$I$3:$I$114</c:f>
              <c:numCache>
                <c:ptCount val="0"/>
              </c:numCache>
            </c:numRef>
          </c:val>
        </c:ser>
        <c:ser>
          <c:idx val="3"/>
          <c:order val="3"/>
          <c:tx>
            <c:strRef>
              <c:f>'net worth - Table 1-3'!$AO$1:$AO$2</c:f>
              <c:strCache/>
            </c:strRef>
          </c:tx>
          <c:spPr>
            <a:solidFill>
              <a:srgbClr val="82BE53"/>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'net worth - Table 1-3'!$A$3:$A$114</c:f>
              <c:strCache>
                <c:ptCount val="0"/>
              </c:strCache>
            </c:strRef>
          </c:cat>
          <c:val>
            <c:numRef>
              <c:f>'net worth - Table 1-3'!$AO$3:$AO$114</c:f>
              <c:numCache>
                <c:ptCount val="0"/>
              </c:numCache>
            </c:numRef>
          </c:val>
        </c:ser>
        <c:gapWidth val="130"/>
        <c:overlap val="-20"/>
        <c:axId val="2094734552"/>
        <c:axId val="2094734553"/>
      </c:barChart>
      <c:catAx>
        <c:axId val="2094734552"/>
        <c:scaling>
          <c:orientation val="minMax"/>
        </c:scaling>
        <c:delete val="0"/>
        <c:axPos val="b"/>
        <c:majorGridlines>
          <c:spPr>
            <a:ln w="12700" cap="flat">
              <a:solidFill>
                <a:srgbClr val="000000">
                  <a:alpha val="8764"/>
                </a:srgbClr>
              </a:solidFill>
              <a:custDash>
                <a:ds d="200000" sp="200000"/>
              </a:custDash>
              <a:miter lim="400000"/>
            </a:ln>
          </c:spPr>
        </c:majorGridlines>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
          <c:y val="0"/>
          <c:w val="1"/>
          <c:h val="0.064712"/>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4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45569"/>
          <c:y val="0.126878"/>
          <c:w val="0.849431"/>
          <c:h val="0.810538"/>
        </c:manualLayout>
      </c:layout>
      <c:barChart>
        <c:barDir val="col"/>
        <c:grouping val="stacked"/>
        <c:varyColors val="0"/>
        <c:ser>
          <c:idx val="0"/>
          <c:order val="0"/>
          <c:tx>
            <c:strRef>
              <c:f>'depto - dividendos'!$AZ$2</c:f>
              <c:strCache/>
            </c:strRef>
          </c:tx>
          <c:spPr>
            <a:solidFill>
              <a:srgbClr val="25BA26"/>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dividendos'!$AZ$5:$AZ$160</c:f>
              <c:numCache>
                <c:ptCount val="31"/>
                <c:pt idx="2">
                  <c:v>213443.000000</c:v>
                </c:pt>
                <c:pt idx="3">
                  <c:v>53483.000000</c:v>
                </c:pt>
                <c:pt idx="4">
                  <c:v>53356.000000</c:v>
                </c:pt>
                <c:pt idx="5">
                  <c:v>53619.000000</c:v>
                </c:pt>
                <c:pt idx="6">
                  <c:v>53665.000000</c:v>
                </c:pt>
                <c:pt idx="8">
                  <c:v>52800.000000</c:v>
                </c:pt>
                <c:pt idx="9">
                  <c:v>53292.000000</c:v>
                </c:pt>
                <c:pt idx="10">
                  <c:v>53095.000000</c:v>
                </c:pt>
                <c:pt idx="12">
                  <c:v>52336.000000</c:v>
                </c:pt>
                <c:pt idx="13">
                  <c:v>52772.000000</c:v>
                </c:pt>
                <c:pt idx="14">
                  <c:v>52913.000000</c:v>
                </c:pt>
                <c:pt idx="15">
                  <c:v>53120.000000</c:v>
                </c:pt>
                <c:pt idx="16">
                  <c:v>53179.000000</c:v>
                </c:pt>
                <c:pt idx="17">
                  <c:v>44686.000000</c:v>
                </c:pt>
                <c:pt idx="18">
                  <c:v>44528.000000</c:v>
                </c:pt>
                <c:pt idx="19">
                  <c:v>44887.000000</c:v>
                </c:pt>
                <c:pt idx="20">
                  <c:v>44856.000000</c:v>
                </c:pt>
                <c:pt idx="21">
                  <c:v>44674.000000</c:v>
                </c:pt>
                <c:pt idx="22">
                  <c:v>44659.000000</c:v>
                </c:pt>
                <c:pt idx="23">
                  <c:v>44675.000000</c:v>
                </c:pt>
                <c:pt idx="24">
                  <c:v>44668.000000</c:v>
                </c:pt>
                <c:pt idx="26">
                  <c:v>44340.000000</c:v>
                </c:pt>
                <c:pt idx="27">
                  <c:v>44354.000000</c:v>
                </c:pt>
                <c:pt idx="28">
                  <c:v>44692.000000</c:v>
                </c:pt>
                <c:pt idx="29">
                  <c:v>45155.000000</c:v>
                </c:pt>
                <c:pt idx="30">
                  <c:v>45522.000000</c:v>
                </c:pt>
                <c:pt idx="31">
                  <c:v>45493.000000</c:v>
                </c:pt>
                <c:pt idx="32">
                  <c:v>45537.000000</c:v>
                </c:pt>
                <c:pt idx="33">
                  <c:v>45749.000000</c:v>
                </c:pt>
                <c:pt idx="34">
                  <c:v>45893.000000</c:v>
                </c:pt>
                <c:pt idx="35">
                  <c:v>45881.000000</c:v>
                </c:pt>
              </c:numCache>
            </c:numRef>
          </c:val>
        </c:ser>
        <c:ser>
          <c:idx val="1"/>
          <c:order val="1"/>
          <c:tx>
            <c:strRef>
              <c:f>'depto - dividendos'!$BK$2</c:f>
              <c:strCache/>
            </c:strRef>
          </c:tx>
          <c:spPr>
            <a:solidFill>
              <a:srgbClr val="CD5248">
                <a:alpha val="72222"/>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dividendos'!$BK$5:$BK$160</c:f>
              <c:numCache>
                <c:ptCount val="35"/>
                <c:pt idx="1">
                  <c:v>-1905113.000000</c:v>
                </c:pt>
                <c:pt idx="2">
                  <c:v>-896393.000000</c:v>
                </c:pt>
                <c:pt idx="3">
                  <c:v>-361902.000000</c:v>
                </c:pt>
                <c:pt idx="4">
                  <c:v>71187.000000</c:v>
                </c:pt>
                <c:pt idx="5">
                  <c:v>-986731.000000</c:v>
                </c:pt>
                <c:pt idx="6">
                  <c:v>-394413.000000</c:v>
                </c:pt>
                <c:pt idx="7">
                  <c:v>-552482.000000</c:v>
                </c:pt>
                <c:pt idx="8">
                  <c:v>282008.000000</c:v>
                </c:pt>
                <c:pt idx="9">
                  <c:v>-1124094.000000</c:v>
                </c:pt>
                <c:pt idx="10">
                  <c:v>-30236.000000</c:v>
                </c:pt>
                <c:pt idx="11">
                  <c:v>-44912.000000</c:v>
                </c:pt>
                <c:pt idx="12">
                  <c:v>0.000000</c:v>
                </c:pt>
                <c:pt idx="13">
                  <c:v>-1013994.000000</c:v>
                </c:pt>
                <c:pt idx="14">
                  <c:v>-391945.000000</c:v>
                </c:pt>
                <c:pt idx="15">
                  <c:v>-457913.000000</c:v>
                </c:pt>
                <c:pt idx="16">
                  <c:v>-190070.000000</c:v>
                </c:pt>
                <c:pt idx="17">
                  <c:v>-150920.000000</c:v>
                </c:pt>
                <c:pt idx="18">
                  <c:v>296561.000000</c:v>
                </c:pt>
                <c:pt idx="19">
                  <c:v>-782505.000000</c:v>
                </c:pt>
                <c:pt idx="20">
                  <c:v>-23899.000000</c:v>
                </c:pt>
                <c:pt idx="21">
                  <c:v>-345782.000000</c:v>
                </c:pt>
                <c:pt idx="22">
                  <c:v>-17809.000000</c:v>
                </c:pt>
                <c:pt idx="23">
                  <c:v>-73447.000000</c:v>
                </c:pt>
                <c:pt idx="24">
                  <c:v>-26036.000000</c:v>
                </c:pt>
                <c:pt idx="25">
                  <c:v>-337277.000000</c:v>
                </c:pt>
                <c:pt idx="26">
                  <c:v>1.000000</c:v>
                </c:pt>
                <c:pt idx="27">
                  <c:v>-52272.000000</c:v>
                </c:pt>
                <c:pt idx="28">
                  <c:v>-773094.000000</c:v>
                </c:pt>
                <c:pt idx="29">
                  <c:v>-960976.649189</c:v>
                </c:pt>
                <c:pt idx="30">
                  <c:v>-770139.490539</c:v>
                </c:pt>
                <c:pt idx="31">
                  <c:v>2.070788</c:v>
                </c:pt>
                <c:pt idx="32">
                  <c:v>-100019.535653</c:v>
                </c:pt>
                <c:pt idx="33">
                  <c:v>-375249.707911</c:v>
                </c:pt>
                <c:pt idx="34">
                  <c:v>-261208.135414</c:v>
                </c:pt>
                <c:pt idx="35">
                  <c:v>-14055.892084</c:v>
                </c:pt>
              </c:numCache>
            </c:numRef>
          </c:val>
        </c:ser>
        <c:ser>
          <c:idx val="2"/>
          <c:order val="2"/>
          <c:tx>
            <c:strRef>
              <c:f>'depto - dividendos'!$BG$2</c:f>
              <c:strCache>
                <c:ptCount val="1"/>
                <c:pt idx="0">
                  <c:v>interés</c:v>
                </c:pt>
              </c:strCache>
            </c:strRef>
          </c:tx>
          <c:spPr>
            <a:solidFill>
              <a:srgbClr val="CC5248"/>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dividendos'!$BG$5:$BG$160</c:f>
              <c:numCache>
                <c:ptCount val="33"/>
                <c:pt idx="3">
                  <c:v>602761.000000</c:v>
                </c:pt>
                <c:pt idx="4">
                  <c:v>592966.000000</c:v>
                </c:pt>
                <c:pt idx="5">
                  <c:v>587423.000000</c:v>
                </c:pt>
                <c:pt idx="6">
                  <c:v>579382.000000</c:v>
                </c:pt>
                <c:pt idx="7">
                  <c:v>164006.000000</c:v>
                </c:pt>
                <c:pt idx="8">
                  <c:v>491625.000000</c:v>
                </c:pt>
                <c:pt idx="9">
                  <c:v>486109.000000</c:v>
                </c:pt>
                <c:pt idx="10">
                  <c:v>476014.000000</c:v>
                </c:pt>
                <c:pt idx="11">
                  <c:v>114948.000000</c:v>
                </c:pt>
                <c:pt idx="12">
                  <c:v>403466.000000</c:v>
                </c:pt>
                <c:pt idx="13">
                  <c:v>397026.000000</c:v>
                </c:pt>
                <c:pt idx="14">
                  <c:v>391824.000000</c:v>
                </c:pt>
                <c:pt idx="15">
                  <c:v>389354.000000</c:v>
                </c:pt>
                <c:pt idx="16">
                  <c:v>385589.000000</c:v>
                </c:pt>
                <c:pt idx="17">
                  <c:v>381645.000000</c:v>
                </c:pt>
                <c:pt idx="18">
                  <c:v>378933.000000</c:v>
                </c:pt>
                <c:pt idx="19">
                  <c:v>380503.000000</c:v>
                </c:pt>
                <c:pt idx="20">
                  <c:v>376723.000000</c:v>
                </c:pt>
                <c:pt idx="21">
                  <c:v>376543.000000</c:v>
                </c:pt>
                <c:pt idx="22">
                  <c:v>374213.000000</c:v>
                </c:pt>
                <c:pt idx="23">
                  <c:v>372746.000000</c:v>
                </c:pt>
                <c:pt idx="24">
                  <c:v>370614.000000</c:v>
                </c:pt>
                <c:pt idx="25">
                  <c:v>84893.000000</c:v>
                </c:pt>
                <c:pt idx="26">
                  <c:v>321909.000000</c:v>
                </c:pt>
                <c:pt idx="27">
                  <c:v>320289.000000</c:v>
                </c:pt>
                <c:pt idx="28">
                  <c:v>312065.000000</c:v>
                </c:pt>
                <c:pt idx="29">
                  <c:v>302095.350811</c:v>
                </c:pt>
                <c:pt idx="30">
                  <c:v>293475.509461</c:v>
                </c:pt>
                <c:pt idx="31">
                  <c:v>290518.070788</c:v>
                </c:pt>
                <c:pt idx="32">
                  <c:v>288617.464347</c:v>
                </c:pt>
                <c:pt idx="33">
                  <c:v>287148.292089</c:v>
                </c:pt>
                <c:pt idx="34">
                  <c:v>285860.864586</c:v>
                </c:pt>
                <c:pt idx="35">
                  <c:v>283558.107916</c:v>
                </c:pt>
              </c:numCache>
            </c:numRef>
          </c:val>
        </c:ser>
        <c:ser>
          <c:idx val="3"/>
          <c:order val="3"/>
          <c:tx>
            <c:strRef>
              <c:f>'depto - dividendos'!$BA$2</c:f>
              <c:strCache>
                <c:ptCount val="1"/>
                <c:pt idx="0">
                  <c:v>amortización</c:v>
                </c:pt>
              </c:strCache>
            </c:strRef>
          </c:tx>
          <c:spPr>
            <a:solidFill>
              <a:srgbClr val="5E99C5"/>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dividendos'!$BA$5:$BA$160</c:f>
              <c:numCache>
                <c:ptCount val="31"/>
                <c:pt idx="2">
                  <c:v>188520.000000</c:v>
                </c:pt>
                <c:pt idx="3">
                  <c:v>188802.000000</c:v>
                </c:pt>
                <c:pt idx="4">
                  <c:v>186726.000000</c:v>
                </c:pt>
                <c:pt idx="5">
                  <c:v>185969.000000</c:v>
                </c:pt>
                <c:pt idx="6">
                  <c:v>184399.000000</c:v>
                </c:pt>
                <c:pt idx="8">
                  <c:v>157298.000000</c:v>
                </c:pt>
                <c:pt idx="9">
                  <c:v>156358.000000</c:v>
                </c:pt>
                <c:pt idx="10">
                  <c:v>153934.000000</c:v>
                </c:pt>
                <c:pt idx="12">
                  <c:v>131174.000000</c:v>
                </c:pt>
                <c:pt idx="13">
                  <c:v>129770.000000</c:v>
                </c:pt>
                <c:pt idx="14">
                  <c:v>128756.000000</c:v>
                </c:pt>
                <c:pt idx="15">
                  <c:v>128622.000000</c:v>
                </c:pt>
                <c:pt idx="16">
                  <c:v>128068.000000</c:v>
                </c:pt>
                <c:pt idx="17">
                  <c:v>127441.000000</c:v>
                </c:pt>
                <c:pt idx="18">
                  <c:v>127218.000000</c:v>
                </c:pt>
                <c:pt idx="19">
                  <c:v>128431.000000</c:v>
                </c:pt>
                <c:pt idx="20">
                  <c:v>127848.000000</c:v>
                </c:pt>
                <c:pt idx="21">
                  <c:v>128469.125863</c:v>
                </c:pt>
                <c:pt idx="22">
                  <c:v>128367.000000</c:v>
                </c:pt>
                <c:pt idx="23">
                  <c:v>128565.354513</c:v>
                </c:pt>
                <c:pt idx="24">
                  <c:v>128522.000000</c:v>
                </c:pt>
                <c:pt idx="26">
                  <c:v>112242.000000</c:v>
                </c:pt>
                <c:pt idx="27">
                  <c:v>112275.877184</c:v>
                </c:pt>
                <c:pt idx="28">
                  <c:v>109999.957624</c:v>
                </c:pt>
                <c:pt idx="29">
                  <c:v>110759.491115</c:v>
                </c:pt>
                <c:pt idx="30">
                  <c:v>108157.438648</c:v>
                </c:pt>
                <c:pt idx="31">
                  <c:v>107623.470678</c:v>
                </c:pt>
                <c:pt idx="32">
                  <c:v>107474.456528</c:v>
                </c:pt>
                <c:pt idx="33">
                  <c:v>107484.696953</c:v>
                </c:pt>
                <c:pt idx="34">
                  <c:v>107561.473877</c:v>
                </c:pt>
                <c:pt idx="35">
                  <c:v>107253.139615</c:v>
                </c:pt>
              </c:numCache>
            </c:numRef>
          </c:val>
        </c:ser>
        <c:ser>
          <c:idx val="4"/>
          <c:order val="4"/>
          <c:tx>
            <c:strRef>
              <c:f>'depto - dividendos'!$BC$2</c:f>
              <c:strCache>
                <c:ptCount val="1"/>
                <c:pt idx="0">
                  <c:v>amortización ext</c:v>
                </c:pt>
              </c:strCache>
            </c:strRef>
          </c:tx>
          <c:spPr>
            <a:solidFill>
              <a:srgbClr val="497B9F"/>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dividendos'!$BC$5:$BC$160</c:f>
              <c:numCache>
                <c:ptCount val="34"/>
                <c:pt idx="2">
                  <c:v>737861.000000</c:v>
                </c:pt>
                <c:pt idx="3">
                  <c:v>2166095.000000</c:v>
                </c:pt>
                <c:pt idx="4">
                  <c:v>2176528.000000</c:v>
                </c:pt>
                <c:pt idx="5">
                  <c:v>2203074.000000</c:v>
                </c:pt>
                <c:pt idx="6">
                  <c:v>2220913.000000</c:v>
                </c:pt>
                <c:pt idx="7">
                  <c:v>19619435.000000</c:v>
                </c:pt>
                <c:pt idx="8">
                  <c:v>2340545.000000</c:v>
                </c:pt>
                <c:pt idx="9">
                  <c:v>2375294.000000</c:v>
                </c:pt>
                <c:pt idx="10">
                  <c:v>2388580.000000</c:v>
                </c:pt>
                <c:pt idx="11">
                  <c:v>15485052.000000</c:v>
                </c:pt>
                <c:pt idx="12">
                  <c:v>2485067.000000</c:v>
                </c:pt>
                <c:pt idx="13">
                  <c:v>1554106.000000</c:v>
                </c:pt>
                <c:pt idx="14">
                  <c:v>945642.000000</c:v>
                </c:pt>
                <c:pt idx="15">
                  <c:v>994462.000000</c:v>
                </c:pt>
                <c:pt idx="16">
                  <c:v>1001860.000000</c:v>
                </c:pt>
                <c:pt idx="17">
                  <c:v>246228.000000</c:v>
                </c:pt>
                <c:pt idx="18">
                  <c:v>271123.000000</c:v>
                </c:pt>
                <c:pt idx="19">
                  <c:v>831770.000000</c:v>
                </c:pt>
                <c:pt idx="20">
                  <c:v>267110.000000</c:v>
                </c:pt>
                <c:pt idx="21">
                  <c:v>466184.874137</c:v>
                </c:pt>
                <c:pt idx="22">
                  <c:v>307852.000000</c:v>
                </c:pt>
                <c:pt idx="23">
                  <c:v>426631.645487</c:v>
                </c:pt>
                <c:pt idx="24">
                  <c:v>347774.000000</c:v>
                </c:pt>
                <c:pt idx="25">
                  <c:v>11935107.000000</c:v>
                </c:pt>
                <c:pt idx="26">
                  <c:v>343774.000000</c:v>
                </c:pt>
                <c:pt idx="27">
                  <c:v>2703241.122816</c:v>
                </c:pt>
                <c:pt idx="28">
                  <c:v>2745638.042376</c:v>
                </c:pt>
                <c:pt idx="29">
                  <c:v>2796032.158073</c:v>
                </c:pt>
                <c:pt idx="30">
                  <c:v>624923.051892</c:v>
                </c:pt>
                <c:pt idx="31">
                  <c:v>463508.458533</c:v>
                </c:pt>
                <c:pt idx="32">
                  <c:v>631950.079125</c:v>
                </c:pt>
                <c:pt idx="33">
                  <c:v>472846.010958</c:v>
                </c:pt>
                <c:pt idx="34">
                  <c:v>477291.661538</c:v>
                </c:pt>
                <c:pt idx="35">
                  <c:v>480097.752468</c:v>
                </c:pt>
              </c:numCache>
            </c:numRef>
          </c:val>
        </c:ser>
        <c:gapWidth val="4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4e+06"/>
          <c:min val="-1.5e+06"/>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between"/>
        <c:majorUnit val="500000"/>
        <c:minorUnit val="250000"/>
      </c:valAx>
      <c:spPr>
        <a:noFill/>
        <a:ln w="12700" cap="flat">
          <a:noFill/>
          <a:miter lim="400000"/>
        </a:ln>
        <a:effectLst/>
      </c:spPr>
    </c:plotArea>
    <c:legend>
      <c:legendPos val="t"/>
      <c:layout>
        <c:manualLayout>
          <c:xMode val="edge"/>
          <c:yMode val="edge"/>
          <c:x val="0.134481"/>
          <c:y val="0"/>
          <c:w val="0.814008"/>
          <c:h val="0.065066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4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420293"/>
          <c:y val="0.126878"/>
          <c:w val="0.921017"/>
          <c:h val="0.810538"/>
        </c:manualLayout>
      </c:layout>
      <c:lineChart>
        <c:grouping val="standard"/>
        <c:varyColors val="0"/>
        <c:ser>
          <c:idx val="0"/>
          <c:order val="0"/>
          <c:tx>
            <c:strRef>
              <c:f>'depto - dividendos'!$BP$2</c:f>
              <c:strCache>
                <c:ptCount val="1"/>
                <c:pt idx="0">
                  <c:v>amort / interes</c:v>
                </c:pt>
              </c:strCache>
            </c:strRef>
          </c:tx>
          <c:spPr>
            <a:solidFill>
              <a:srgbClr val="FFFFFF"/>
            </a:solidFill>
            <a:ln w="50800" cap="flat">
              <a:noFill/>
              <a:miter lim="400000"/>
            </a:ln>
            <a:effectLst/>
          </c:spPr>
          <c:marker>
            <c:symbol val="circle"/>
            <c:size val="10"/>
            <c:spPr>
              <a:solidFill>
                <a:srgbClr val="FFFFFF"/>
              </a:solidFill>
              <a:ln w="50800" cap="flat">
                <a:solidFill>
                  <a:srgbClr val="56769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25400" cap="flat">
                <a:solidFill>
                  <a:srgbClr val="74A0C4"/>
                </a:solidFill>
                <a:prstDash val="solid"/>
                <a:miter lim="400000"/>
              </a:ln>
              <a:effectLst>
                <a:outerShdw sx="100000" sy="100000" kx="0" ky="0" algn="tl" rotWithShape="1" blurRad="12700" dist="25400" dir="7320000">
                  <a:srgbClr val="000000">
                    <a:alpha val="25000"/>
                  </a:srgbClr>
                </a:outerShdw>
              </a:effectLst>
            </c:spPr>
            <c:trendlineType val="movingAvg"/>
            <c:period val="3"/>
            <c:forward val="0"/>
            <c:backward val="0"/>
            <c:dispRSqr val="0"/>
            <c:dispEq val="0"/>
          </c:trendline>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dividendos'!$BP$5:$BP$160</c:f>
              <c:numCache>
                <c:ptCount val="30"/>
                <c:pt idx="3">
                  <c:v>3.906850</c:v>
                </c:pt>
                <c:pt idx="4">
                  <c:v>3.985480</c:v>
                </c:pt>
                <c:pt idx="5">
                  <c:v>4.066989</c:v>
                </c:pt>
                <c:pt idx="6">
                  <c:v>4.151513</c:v>
                </c:pt>
                <c:pt idx="8">
                  <c:v>5.080789</c:v>
                </c:pt>
                <c:pt idx="9">
                  <c:v>5.207992</c:v>
                </c:pt>
                <c:pt idx="10">
                  <c:v>5.341259</c:v>
                </c:pt>
                <c:pt idx="12">
                  <c:v>6.484415</c:v>
                </c:pt>
                <c:pt idx="13">
                  <c:v>4.241223</c:v>
                </c:pt>
                <c:pt idx="14">
                  <c:v>2.742042</c:v>
                </c:pt>
                <c:pt idx="15">
                  <c:v>2.884480</c:v>
                </c:pt>
                <c:pt idx="16">
                  <c:v>2.930395</c:v>
                </c:pt>
                <c:pt idx="17">
                  <c:v>0.979101</c:v>
                </c:pt>
                <c:pt idx="18">
                  <c:v>1.051217</c:v>
                </c:pt>
                <c:pt idx="19">
                  <c:v>2.523504</c:v>
                </c:pt>
                <c:pt idx="20">
                  <c:v>1.048404</c:v>
                </c:pt>
                <c:pt idx="21">
                  <c:v>1.579246</c:v>
                </c:pt>
                <c:pt idx="22">
                  <c:v>1.165697</c:v>
                </c:pt>
                <c:pt idx="23">
                  <c:v>1.489478</c:v>
                </c:pt>
                <c:pt idx="24">
                  <c:v>1.285154</c:v>
                </c:pt>
                <c:pt idx="26">
                  <c:v>1.416599</c:v>
                </c:pt>
                <c:pt idx="27">
                  <c:v>8.790552</c:v>
                </c:pt>
                <c:pt idx="28">
                  <c:v>9.150779</c:v>
                </c:pt>
                <c:pt idx="29">
                  <c:v>9.622100</c:v>
                </c:pt>
                <c:pt idx="30">
                  <c:v>2.497927</c:v>
                </c:pt>
                <c:pt idx="31">
                  <c:v>1.965908</c:v>
                </c:pt>
                <c:pt idx="32">
                  <c:v>2.561954</c:v>
                </c:pt>
                <c:pt idx="33">
                  <c:v>2.021014</c:v>
                </c:pt>
                <c:pt idx="34">
                  <c:v>2.045936</c:v>
                </c:pt>
                <c:pt idx="35">
                  <c:v>2.071360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8"/>
          <c:min val="0"/>
        </c:scaling>
        <c:delete val="0"/>
        <c:axPos val="l"/>
        <c:majorGridlines>
          <c:spPr>
            <a:ln w="3175" cap="flat">
              <a:solidFill>
                <a:srgbClr val="B8B8B8"/>
              </a:solidFill>
              <a:prstDash val="solid"/>
              <a:miter lim="400000"/>
            </a:ln>
          </c:spPr>
        </c:majorGridlines>
        <c:numFmt formatCode="General" sourceLinked="0"/>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225277"/>
          <c:y val="0"/>
          <c:w val="0.913597"/>
          <c:h val="0.065066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4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44914"/>
          <c:y val="0.126878"/>
          <c:w val="0.850086"/>
          <c:h val="0.810538"/>
        </c:manualLayout>
      </c:layout>
      <c:lineChart>
        <c:grouping val="standard"/>
        <c:varyColors val="0"/>
        <c:ser>
          <c:idx val="0"/>
          <c:order val="0"/>
          <c:tx>
            <c:strRef>
              <c:f>'depto - dividendos'!$BA$2</c:f>
              <c:strCache>
                <c:ptCount val="1"/>
                <c:pt idx="0">
                  <c:v>amortización</c:v>
                </c:pt>
              </c:strCache>
            </c:strRef>
          </c:tx>
          <c:spPr>
            <a:solidFill>
              <a:srgbClr val="FFFFFF"/>
            </a:solidFill>
            <a:ln w="25400" cap="flat">
              <a:solidFill>
                <a:srgbClr val="5F99C5">
                  <a:alpha val="50388"/>
                </a:srgbClr>
              </a:solidFill>
              <a:prstDash val="solid"/>
              <a:miter lim="400000"/>
            </a:ln>
            <a:effectLst/>
          </c:spPr>
          <c:marker>
            <c:symbol val="none"/>
            <c:size val="4"/>
            <c:spPr>
              <a:solidFill>
                <a:srgbClr val="FFFFFF"/>
              </a:solidFill>
              <a:ln w="50800" cap="flat">
                <a:solidFill>
                  <a:srgbClr val="56769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dividendos'!$BA$5:$BA$160</c:f>
              <c:numCache>
                <c:ptCount val="31"/>
                <c:pt idx="2">
                  <c:v>188520.000000</c:v>
                </c:pt>
                <c:pt idx="3">
                  <c:v>188802.000000</c:v>
                </c:pt>
                <c:pt idx="4">
                  <c:v>186726.000000</c:v>
                </c:pt>
                <c:pt idx="5">
                  <c:v>185969.000000</c:v>
                </c:pt>
                <c:pt idx="6">
                  <c:v>184399.000000</c:v>
                </c:pt>
                <c:pt idx="8">
                  <c:v>157298.000000</c:v>
                </c:pt>
                <c:pt idx="9">
                  <c:v>156358.000000</c:v>
                </c:pt>
                <c:pt idx="10">
                  <c:v>153934.000000</c:v>
                </c:pt>
                <c:pt idx="12">
                  <c:v>131174.000000</c:v>
                </c:pt>
                <c:pt idx="13">
                  <c:v>129770.000000</c:v>
                </c:pt>
                <c:pt idx="14">
                  <c:v>128756.000000</c:v>
                </c:pt>
                <c:pt idx="15">
                  <c:v>128622.000000</c:v>
                </c:pt>
                <c:pt idx="16">
                  <c:v>128068.000000</c:v>
                </c:pt>
                <c:pt idx="17">
                  <c:v>127441.000000</c:v>
                </c:pt>
                <c:pt idx="18">
                  <c:v>127218.000000</c:v>
                </c:pt>
                <c:pt idx="19">
                  <c:v>128431.000000</c:v>
                </c:pt>
                <c:pt idx="20">
                  <c:v>127848.000000</c:v>
                </c:pt>
                <c:pt idx="21">
                  <c:v>128469.125863</c:v>
                </c:pt>
                <c:pt idx="22">
                  <c:v>128367.000000</c:v>
                </c:pt>
                <c:pt idx="23">
                  <c:v>128565.354513</c:v>
                </c:pt>
                <c:pt idx="24">
                  <c:v>128522.000000</c:v>
                </c:pt>
                <c:pt idx="26">
                  <c:v>112242.000000</c:v>
                </c:pt>
                <c:pt idx="27">
                  <c:v>112275.877184</c:v>
                </c:pt>
                <c:pt idx="28">
                  <c:v>109999.957624</c:v>
                </c:pt>
                <c:pt idx="29">
                  <c:v>110759.491115</c:v>
                </c:pt>
                <c:pt idx="30">
                  <c:v>108157.438648</c:v>
                </c:pt>
                <c:pt idx="31">
                  <c:v>107623.470678</c:v>
                </c:pt>
                <c:pt idx="32">
                  <c:v>107474.456528</c:v>
                </c:pt>
                <c:pt idx="33">
                  <c:v>107484.696953</c:v>
                </c:pt>
                <c:pt idx="34">
                  <c:v>107561.473877</c:v>
                </c:pt>
                <c:pt idx="35">
                  <c:v>107253.139615</c:v>
                </c:pt>
              </c:numCache>
            </c:numRef>
          </c:val>
          <c:smooth val="0"/>
        </c:ser>
        <c:ser>
          <c:idx val="1"/>
          <c:order val="1"/>
          <c:tx>
            <c:strRef>
              <c:f>'depto - dividendos'!$BC$2</c:f>
              <c:strCache>
                <c:ptCount val="1"/>
                <c:pt idx="0">
                  <c:v>amortización ext</c:v>
                </c:pt>
              </c:strCache>
            </c:strRef>
          </c:tx>
          <c:spPr>
            <a:solidFill>
              <a:srgbClr val="FFFFFF"/>
            </a:solidFill>
            <a:ln w="25400" cap="flat">
              <a:solidFill>
                <a:srgbClr val="5F99C5">
                  <a:alpha val="50251"/>
                </a:srgbClr>
              </a:solidFill>
              <a:prstDash val="solid"/>
              <a:miter lim="400000"/>
            </a:ln>
            <a:effectLst/>
          </c:spPr>
          <c:marker>
            <c:symbol val="none"/>
            <c:size val="4"/>
            <c:spPr>
              <a:solidFill>
                <a:srgbClr val="FFFFFF"/>
              </a:solidFill>
              <a:ln w="50800" cap="flat">
                <a:solidFill>
                  <a:srgbClr val="5B704E"/>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dividendos'!$BC$5:$BC$160</c:f>
              <c:numCache>
                <c:ptCount val="34"/>
                <c:pt idx="2">
                  <c:v>737861.000000</c:v>
                </c:pt>
                <c:pt idx="3">
                  <c:v>2166095.000000</c:v>
                </c:pt>
                <c:pt idx="4">
                  <c:v>2176528.000000</c:v>
                </c:pt>
                <c:pt idx="5">
                  <c:v>2203074.000000</c:v>
                </c:pt>
                <c:pt idx="6">
                  <c:v>2220913.000000</c:v>
                </c:pt>
                <c:pt idx="7">
                  <c:v>19619435.000000</c:v>
                </c:pt>
                <c:pt idx="8">
                  <c:v>2340545.000000</c:v>
                </c:pt>
                <c:pt idx="9">
                  <c:v>2375294.000000</c:v>
                </c:pt>
                <c:pt idx="10">
                  <c:v>2388580.000000</c:v>
                </c:pt>
                <c:pt idx="11">
                  <c:v>15485052.000000</c:v>
                </c:pt>
                <c:pt idx="12">
                  <c:v>2485067.000000</c:v>
                </c:pt>
                <c:pt idx="13">
                  <c:v>1554106.000000</c:v>
                </c:pt>
                <c:pt idx="14">
                  <c:v>945642.000000</c:v>
                </c:pt>
                <c:pt idx="15">
                  <c:v>994462.000000</c:v>
                </c:pt>
                <c:pt idx="16">
                  <c:v>1001860.000000</c:v>
                </c:pt>
                <c:pt idx="17">
                  <c:v>246228.000000</c:v>
                </c:pt>
                <c:pt idx="18">
                  <c:v>271123.000000</c:v>
                </c:pt>
                <c:pt idx="19">
                  <c:v>831770.000000</c:v>
                </c:pt>
                <c:pt idx="20">
                  <c:v>267110.000000</c:v>
                </c:pt>
                <c:pt idx="21">
                  <c:v>466184.874137</c:v>
                </c:pt>
                <c:pt idx="22">
                  <c:v>307852.000000</c:v>
                </c:pt>
                <c:pt idx="23">
                  <c:v>426631.645487</c:v>
                </c:pt>
                <c:pt idx="24">
                  <c:v>347774.000000</c:v>
                </c:pt>
                <c:pt idx="25">
                  <c:v>11935107.000000</c:v>
                </c:pt>
                <c:pt idx="26">
                  <c:v>343774.000000</c:v>
                </c:pt>
                <c:pt idx="27">
                  <c:v>2703241.122816</c:v>
                </c:pt>
                <c:pt idx="28">
                  <c:v>2745638.042376</c:v>
                </c:pt>
                <c:pt idx="29">
                  <c:v>2796032.158073</c:v>
                </c:pt>
                <c:pt idx="30">
                  <c:v>624923.051892</c:v>
                </c:pt>
                <c:pt idx="31">
                  <c:v>463508.458533</c:v>
                </c:pt>
                <c:pt idx="32">
                  <c:v>631950.079125</c:v>
                </c:pt>
                <c:pt idx="33">
                  <c:v>472846.010958</c:v>
                </c:pt>
                <c:pt idx="34">
                  <c:v>477291.661538</c:v>
                </c:pt>
                <c:pt idx="35">
                  <c:v>480097.752468</c:v>
                </c:pt>
              </c:numCache>
            </c:numRef>
          </c:val>
          <c:smooth val="0"/>
        </c:ser>
        <c:ser>
          <c:idx val="2"/>
          <c:order val="2"/>
          <c:tx>
            <c:strRef>
              <c:f>'depto - dividendos'!$BE$2</c:f>
              <c:strCache/>
            </c:strRef>
          </c:tx>
          <c:spPr>
            <a:solidFill>
              <a:srgbClr val="FFFFFF"/>
            </a:solidFill>
            <a:ln w="25400" cap="flat">
              <a:solidFill>
                <a:srgbClr val="5F99C5"/>
              </a:solidFill>
              <a:prstDash val="solid"/>
              <a:miter lim="400000"/>
            </a:ln>
            <a:effectLst/>
          </c:spPr>
          <c:marker>
            <c:symbol val="none"/>
            <c:size val="4"/>
            <c:spPr>
              <a:solidFill>
                <a:srgbClr val="FFFFFF"/>
              </a:solidFill>
              <a:ln w="50800" cap="flat">
                <a:solidFill>
                  <a:srgbClr val="BA9844"/>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dividendos'!$BE$5:$BE$160</c:f>
              <c:numCache>
                <c:ptCount val="34"/>
                <c:pt idx="2">
                  <c:v>926381.000000</c:v>
                </c:pt>
                <c:pt idx="3">
                  <c:v>2354897.000000</c:v>
                </c:pt>
                <c:pt idx="4">
                  <c:v>2363254.000000</c:v>
                </c:pt>
                <c:pt idx="5">
                  <c:v>2389043.000000</c:v>
                </c:pt>
                <c:pt idx="6">
                  <c:v>2405312.000000</c:v>
                </c:pt>
                <c:pt idx="7">
                  <c:v>19619435.000000</c:v>
                </c:pt>
                <c:pt idx="8">
                  <c:v>2497843.000000</c:v>
                </c:pt>
                <c:pt idx="9">
                  <c:v>2531652.000000</c:v>
                </c:pt>
                <c:pt idx="10">
                  <c:v>2542514.000000</c:v>
                </c:pt>
                <c:pt idx="11">
                  <c:v>15485052.000000</c:v>
                </c:pt>
                <c:pt idx="12">
                  <c:v>2616241.000000</c:v>
                </c:pt>
                <c:pt idx="13">
                  <c:v>1683876.000000</c:v>
                </c:pt>
                <c:pt idx="14">
                  <c:v>1074398.000000</c:v>
                </c:pt>
                <c:pt idx="15">
                  <c:v>1123084.000000</c:v>
                </c:pt>
                <c:pt idx="16">
                  <c:v>1129928.000000</c:v>
                </c:pt>
                <c:pt idx="17">
                  <c:v>373669.000000</c:v>
                </c:pt>
                <c:pt idx="18">
                  <c:v>398341.000000</c:v>
                </c:pt>
                <c:pt idx="19">
                  <c:v>960201.000000</c:v>
                </c:pt>
                <c:pt idx="20">
                  <c:v>394958.000000</c:v>
                </c:pt>
                <c:pt idx="21">
                  <c:v>594654.000000</c:v>
                </c:pt>
                <c:pt idx="22">
                  <c:v>436219.000000</c:v>
                </c:pt>
                <c:pt idx="23">
                  <c:v>555197.000000</c:v>
                </c:pt>
                <c:pt idx="24">
                  <c:v>476296.000000</c:v>
                </c:pt>
                <c:pt idx="25">
                  <c:v>11935107.000000</c:v>
                </c:pt>
                <c:pt idx="26">
                  <c:v>456016.000000</c:v>
                </c:pt>
                <c:pt idx="27">
                  <c:v>2815517.000000</c:v>
                </c:pt>
                <c:pt idx="28">
                  <c:v>2855638.000000</c:v>
                </c:pt>
                <c:pt idx="29">
                  <c:v>2906791.649189</c:v>
                </c:pt>
                <c:pt idx="30">
                  <c:v>733080.490539</c:v>
                </c:pt>
                <c:pt idx="31">
                  <c:v>571131.929212</c:v>
                </c:pt>
                <c:pt idx="32">
                  <c:v>739424.535653</c:v>
                </c:pt>
                <c:pt idx="33">
                  <c:v>580330.707911</c:v>
                </c:pt>
                <c:pt idx="34">
                  <c:v>584853.135414</c:v>
                </c:pt>
                <c:pt idx="35">
                  <c:v>587350.892084</c:v>
                </c:pt>
              </c:numCache>
            </c:numRef>
          </c:val>
          <c:smooth val="0"/>
        </c:ser>
        <c:ser>
          <c:idx val="3"/>
          <c:order val="3"/>
          <c:tx>
            <c:strRef>
              <c:f>'depto - dividendos'!$BG$2</c:f>
              <c:strCache>
                <c:ptCount val="1"/>
                <c:pt idx="0">
                  <c:v>interés</c:v>
                </c:pt>
              </c:strCache>
            </c:strRef>
          </c:tx>
          <c:spPr>
            <a:solidFill>
              <a:srgbClr val="FFFFFF"/>
            </a:solidFill>
            <a:ln w="25400" cap="flat">
              <a:solidFill>
                <a:srgbClr val="CE5248"/>
              </a:solidFill>
              <a:prstDash val="solid"/>
              <a:miter lim="400000"/>
            </a:ln>
            <a:effectLst/>
          </c:spPr>
          <c:marker>
            <c:symbol val="none"/>
            <c:size val="4"/>
            <c:spPr>
              <a:solidFill>
                <a:srgbClr val="FFFFFF"/>
              </a:solidFill>
              <a:ln w="50800" cap="flat">
                <a:solidFill>
                  <a:srgbClr val="AC5A4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dividendos'!$BG$5:$BG$160</c:f>
              <c:numCache>
                <c:ptCount val="33"/>
                <c:pt idx="3">
                  <c:v>602761.000000</c:v>
                </c:pt>
                <c:pt idx="4">
                  <c:v>592966.000000</c:v>
                </c:pt>
                <c:pt idx="5">
                  <c:v>587423.000000</c:v>
                </c:pt>
                <c:pt idx="6">
                  <c:v>579382.000000</c:v>
                </c:pt>
                <c:pt idx="7">
                  <c:v>164006.000000</c:v>
                </c:pt>
                <c:pt idx="8">
                  <c:v>491625.000000</c:v>
                </c:pt>
                <c:pt idx="9">
                  <c:v>486109.000000</c:v>
                </c:pt>
                <c:pt idx="10">
                  <c:v>476014.000000</c:v>
                </c:pt>
                <c:pt idx="11">
                  <c:v>114948.000000</c:v>
                </c:pt>
                <c:pt idx="12">
                  <c:v>403466.000000</c:v>
                </c:pt>
                <c:pt idx="13">
                  <c:v>397026.000000</c:v>
                </c:pt>
                <c:pt idx="14">
                  <c:v>391824.000000</c:v>
                </c:pt>
                <c:pt idx="15">
                  <c:v>389354.000000</c:v>
                </c:pt>
                <c:pt idx="16">
                  <c:v>385589.000000</c:v>
                </c:pt>
                <c:pt idx="17">
                  <c:v>381645.000000</c:v>
                </c:pt>
                <c:pt idx="18">
                  <c:v>378933.000000</c:v>
                </c:pt>
                <c:pt idx="19">
                  <c:v>380503.000000</c:v>
                </c:pt>
                <c:pt idx="20">
                  <c:v>376723.000000</c:v>
                </c:pt>
                <c:pt idx="21">
                  <c:v>376543.000000</c:v>
                </c:pt>
                <c:pt idx="22">
                  <c:v>374213.000000</c:v>
                </c:pt>
                <c:pt idx="23">
                  <c:v>372746.000000</c:v>
                </c:pt>
                <c:pt idx="24">
                  <c:v>370614.000000</c:v>
                </c:pt>
                <c:pt idx="25">
                  <c:v>84893.000000</c:v>
                </c:pt>
                <c:pt idx="26">
                  <c:v>321909.000000</c:v>
                </c:pt>
                <c:pt idx="27">
                  <c:v>320289.000000</c:v>
                </c:pt>
                <c:pt idx="28">
                  <c:v>312065.000000</c:v>
                </c:pt>
                <c:pt idx="29">
                  <c:v>302095.350811</c:v>
                </c:pt>
                <c:pt idx="30">
                  <c:v>293475.509461</c:v>
                </c:pt>
                <c:pt idx="31">
                  <c:v>290518.070788</c:v>
                </c:pt>
                <c:pt idx="32">
                  <c:v>288617.464347</c:v>
                </c:pt>
                <c:pt idx="33">
                  <c:v>287148.292089</c:v>
                </c:pt>
                <c:pt idx="34">
                  <c:v>285860.864586</c:v>
                </c:pt>
                <c:pt idx="35">
                  <c:v>283558.107916</c:v>
                </c:pt>
              </c:numCache>
            </c:numRef>
          </c:val>
          <c:smooth val="0"/>
        </c:ser>
        <c:ser>
          <c:idx val="4"/>
          <c:order val="4"/>
          <c:tx>
            <c:strRef>
              <c:f>'depto - dividendos'!$BJ$2</c:f>
              <c:strCache>
                <c:ptCount val="1"/>
                <c:pt idx="0">
                  <c:v>interés oculto</c:v>
                </c:pt>
              </c:strCache>
            </c:strRef>
          </c:tx>
          <c:spPr>
            <a:solidFill>
              <a:srgbClr val="FFFFFF"/>
            </a:solidFill>
            <a:ln w="6350" cap="flat">
              <a:solidFill>
                <a:srgbClr val="CE5248">
                  <a:alpha val="50279"/>
                </a:srgbClr>
              </a:solidFill>
              <a:prstDash val="solid"/>
              <a:miter lim="400000"/>
            </a:ln>
            <a:effectLst/>
          </c:spPr>
          <c:marker>
            <c:symbol val="none"/>
            <c:size val="4"/>
            <c:spPr>
              <a:solidFill>
                <a:srgbClr val="FFFFFF"/>
              </a:solidFill>
              <a:ln w="50800" cap="flat">
                <a:solidFill>
                  <a:srgbClr val="615973"/>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dividendos'!$BJ$5:$BJ$160</c:f>
              <c:numCache>
                <c:ptCount val="35"/>
                <c:pt idx="1">
                  <c:v>1905113.000000</c:v>
                </c:pt>
                <c:pt idx="2">
                  <c:v>896393.000000</c:v>
                </c:pt>
                <c:pt idx="3">
                  <c:v>361902.000000</c:v>
                </c:pt>
                <c:pt idx="4">
                  <c:v>-71187.000000</c:v>
                </c:pt>
                <c:pt idx="5">
                  <c:v>986731.000000</c:v>
                </c:pt>
                <c:pt idx="6">
                  <c:v>394413.000000</c:v>
                </c:pt>
                <c:pt idx="7">
                  <c:v>552482.000000</c:v>
                </c:pt>
                <c:pt idx="8">
                  <c:v>-282008.000000</c:v>
                </c:pt>
                <c:pt idx="9">
                  <c:v>1124094.000000</c:v>
                </c:pt>
                <c:pt idx="10">
                  <c:v>30236.000000</c:v>
                </c:pt>
                <c:pt idx="11">
                  <c:v>44912.000000</c:v>
                </c:pt>
                <c:pt idx="12">
                  <c:v>0.000000</c:v>
                </c:pt>
                <c:pt idx="13">
                  <c:v>1013994.000000</c:v>
                </c:pt>
                <c:pt idx="14">
                  <c:v>391945.000000</c:v>
                </c:pt>
                <c:pt idx="15">
                  <c:v>457913.000000</c:v>
                </c:pt>
                <c:pt idx="16">
                  <c:v>190070.000000</c:v>
                </c:pt>
                <c:pt idx="17">
                  <c:v>150920.000000</c:v>
                </c:pt>
                <c:pt idx="18">
                  <c:v>-296561.000000</c:v>
                </c:pt>
                <c:pt idx="19">
                  <c:v>782505.000000</c:v>
                </c:pt>
                <c:pt idx="20">
                  <c:v>23899.000000</c:v>
                </c:pt>
                <c:pt idx="21">
                  <c:v>345782.000000</c:v>
                </c:pt>
                <c:pt idx="22">
                  <c:v>17809.000000</c:v>
                </c:pt>
                <c:pt idx="23">
                  <c:v>73447.000000</c:v>
                </c:pt>
                <c:pt idx="24">
                  <c:v>26036.000000</c:v>
                </c:pt>
                <c:pt idx="25">
                  <c:v>337277.000000</c:v>
                </c:pt>
                <c:pt idx="26">
                  <c:v>-1.000000</c:v>
                </c:pt>
                <c:pt idx="27">
                  <c:v>52272.000000</c:v>
                </c:pt>
                <c:pt idx="28">
                  <c:v>773094.000000</c:v>
                </c:pt>
                <c:pt idx="29">
                  <c:v>960976.649189</c:v>
                </c:pt>
                <c:pt idx="30">
                  <c:v>770139.490539</c:v>
                </c:pt>
                <c:pt idx="31">
                  <c:v>-2.070788</c:v>
                </c:pt>
                <c:pt idx="32">
                  <c:v>100019.535653</c:v>
                </c:pt>
                <c:pt idx="33">
                  <c:v>375249.707911</c:v>
                </c:pt>
                <c:pt idx="34">
                  <c:v>261208.135414</c:v>
                </c:pt>
                <c:pt idx="35">
                  <c:v>14055.892084</c:v>
                </c:pt>
              </c:numCache>
            </c:numRef>
          </c:val>
          <c:smooth val="0"/>
        </c:ser>
        <c:ser>
          <c:idx val="5"/>
          <c:order val="5"/>
          <c:tx>
            <c:strRef>
              <c:f>'depto - dividendos'!$BL$2</c:f>
              <c:strCache>
                <c:ptCount val="1"/>
                <c:pt idx="0">
                  <c:v>interés real</c:v>
                </c:pt>
              </c:strCache>
            </c:strRef>
          </c:tx>
          <c:spPr>
            <a:solidFill>
              <a:srgbClr val="FFFFFF"/>
            </a:solidFill>
            <a:ln w="6350" cap="flat">
              <a:solidFill>
                <a:srgbClr val="CE5248">
                  <a:alpha val="50853"/>
                </a:srgbClr>
              </a:solidFill>
              <a:prstDash val="solid"/>
              <a:miter lim="400000"/>
            </a:ln>
            <a:effectLst/>
          </c:spPr>
          <c:marker>
            <c:symbol val="none"/>
            <c:size val="4"/>
            <c:spPr>
              <a:solidFill>
                <a:srgbClr val="FFFFFF"/>
              </a:solidFill>
              <a:ln w="50800" cap="flat">
                <a:solidFill>
                  <a:srgbClr val="8E928C"/>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12700" cap="flat">
                <a:solidFill>
                  <a:srgbClr val="BD4B42">
                    <a:alpha val="96625"/>
                  </a:srgbClr>
                </a:solidFill>
                <a:prstDash val="solid"/>
                <a:miter lim="400000"/>
              </a:ln>
              <a:effectLst/>
            </c:spPr>
            <c:trendlineType val="movingAvg"/>
            <c:period val="3"/>
            <c:forward val="0"/>
            <c:backward val="0"/>
            <c:dispRSqr val="0"/>
            <c:dispEq val="0"/>
          </c:trendline>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dividendos'!$BL$5:$BL$160</c:f>
              <c:numCache>
                <c:ptCount val="35"/>
                <c:pt idx="1">
                  <c:v>1905113.000000</c:v>
                </c:pt>
                <c:pt idx="2">
                  <c:v>896393.000000</c:v>
                </c:pt>
                <c:pt idx="3">
                  <c:v>964663.000000</c:v>
                </c:pt>
                <c:pt idx="4">
                  <c:v>521779.000000</c:v>
                </c:pt>
                <c:pt idx="5">
                  <c:v>1574154.000000</c:v>
                </c:pt>
                <c:pt idx="6">
                  <c:v>973795.000000</c:v>
                </c:pt>
                <c:pt idx="7">
                  <c:v>716488.000000</c:v>
                </c:pt>
                <c:pt idx="8">
                  <c:v>209617.000000</c:v>
                </c:pt>
                <c:pt idx="9">
                  <c:v>1610203.000000</c:v>
                </c:pt>
                <c:pt idx="10">
                  <c:v>506250.000000</c:v>
                </c:pt>
                <c:pt idx="11">
                  <c:v>159860.000000</c:v>
                </c:pt>
                <c:pt idx="12">
                  <c:v>403466.000000</c:v>
                </c:pt>
                <c:pt idx="13">
                  <c:v>1411020.000000</c:v>
                </c:pt>
                <c:pt idx="14">
                  <c:v>783769.000000</c:v>
                </c:pt>
                <c:pt idx="15">
                  <c:v>847267.000000</c:v>
                </c:pt>
                <c:pt idx="16">
                  <c:v>575659.000000</c:v>
                </c:pt>
                <c:pt idx="17">
                  <c:v>532565.000000</c:v>
                </c:pt>
                <c:pt idx="18">
                  <c:v>82372.000000</c:v>
                </c:pt>
                <c:pt idx="19">
                  <c:v>1163008.000000</c:v>
                </c:pt>
                <c:pt idx="20">
                  <c:v>400622.000000</c:v>
                </c:pt>
                <c:pt idx="21">
                  <c:v>722325.000000</c:v>
                </c:pt>
                <c:pt idx="22">
                  <c:v>392022.000000</c:v>
                </c:pt>
                <c:pt idx="23">
                  <c:v>446193.000000</c:v>
                </c:pt>
                <c:pt idx="24">
                  <c:v>396650.000000</c:v>
                </c:pt>
                <c:pt idx="25">
                  <c:v>422170.000000</c:v>
                </c:pt>
                <c:pt idx="26">
                  <c:v>321908.000000</c:v>
                </c:pt>
                <c:pt idx="27">
                  <c:v>372561.000000</c:v>
                </c:pt>
                <c:pt idx="28">
                  <c:v>1085159.000000</c:v>
                </c:pt>
                <c:pt idx="29">
                  <c:v>1263072.000000</c:v>
                </c:pt>
                <c:pt idx="30">
                  <c:v>1063615.000000</c:v>
                </c:pt>
                <c:pt idx="31">
                  <c:v>290516.000000</c:v>
                </c:pt>
                <c:pt idx="32">
                  <c:v>388637.000000</c:v>
                </c:pt>
                <c:pt idx="33">
                  <c:v>662398.000000</c:v>
                </c:pt>
                <c:pt idx="34">
                  <c:v>547069.000000</c:v>
                </c:pt>
                <c:pt idx="35">
                  <c:v>297614.000000</c:v>
                </c:pt>
              </c:numCache>
            </c:numRef>
          </c:val>
          <c:smooth val="0"/>
        </c:ser>
        <c:ser>
          <c:idx val="6"/>
          <c:order val="6"/>
          <c:tx>
            <c:strRef>
              <c:f>'depto - dividendos'!$J$2</c:f>
              <c:strCache/>
            </c:strRef>
          </c:tx>
          <c:spPr>
            <a:solidFill>
              <a:srgbClr val="FFFFFF"/>
            </a:solidFill>
            <a:ln w="25400" cap="flat">
              <a:solidFill>
                <a:srgbClr val="746B85"/>
              </a:solidFill>
              <a:prstDash val="solid"/>
              <a:miter lim="400000"/>
            </a:ln>
            <a:effectLst/>
          </c:spPr>
          <c:marker>
            <c:symbol val="none"/>
            <c:size val="4"/>
            <c:spPr>
              <a:solidFill>
                <a:srgbClr val="FFFFFF"/>
              </a:solidFill>
              <a:ln w="50800" cap="flat">
                <a:solidFill>
                  <a:srgbClr val="6786A0"/>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dividendos'!$J$5:$J$160</c:f>
              <c:numCache>
                <c:ptCount val="34"/>
                <c:pt idx="2">
                  <c:v>1200000.000000</c:v>
                </c:pt>
                <c:pt idx="3">
                  <c:v>3011141.000000</c:v>
                </c:pt>
                <c:pt idx="4">
                  <c:v>3009576.000000</c:v>
                </c:pt>
                <c:pt idx="5">
                  <c:v>3030085.000000</c:v>
                </c:pt>
                <c:pt idx="6">
                  <c:v>3038359.000000</c:v>
                </c:pt>
                <c:pt idx="7">
                  <c:v>19783442.000000</c:v>
                </c:pt>
                <c:pt idx="8">
                  <c:v>3042268.000000</c:v>
                </c:pt>
                <c:pt idx="9">
                  <c:v>3071042.000000</c:v>
                </c:pt>
                <c:pt idx="10">
                  <c:v>3071622.000000</c:v>
                </c:pt>
                <c:pt idx="11">
                  <c:v>15600000.000000</c:v>
                </c:pt>
                <c:pt idx="12">
                  <c:v>3072815.000000</c:v>
                </c:pt>
                <c:pt idx="13">
                  <c:v>2133674.000000</c:v>
                </c:pt>
                <c:pt idx="14">
                  <c:v>1519135.000000</c:v>
                </c:pt>
                <c:pt idx="15">
                  <c:v>1565558.000000</c:v>
                </c:pt>
                <c:pt idx="16">
                  <c:v>1568696.000000</c:v>
                </c:pt>
                <c:pt idx="17">
                  <c:v>800000.000000</c:v>
                </c:pt>
                <c:pt idx="18">
                  <c:v>821802.000000</c:v>
                </c:pt>
                <c:pt idx="19">
                  <c:v>1385591.000000</c:v>
                </c:pt>
                <c:pt idx="20">
                  <c:v>816537.000000</c:v>
                </c:pt>
                <c:pt idx="21">
                  <c:v>1015871.000000</c:v>
                </c:pt>
                <c:pt idx="22">
                  <c:v>855091.000000</c:v>
                </c:pt>
                <c:pt idx="23">
                  <c:v>972618.000000</c:v>
                </c:pt>
                <c:pt idx="24">
                  <c:v>891578.000000</c:v>
                </c:pt>
                <c:pt idx="25">
                  <c:v>12020000.000000</c:v>
                </c:pt>
                <c:pt idx="26">
                  <c:v>822265.000000</c:v>
                </c:pt>
                <c:pt idx="27">
                  <c:v>3180160.000000</c:v>
                </c:pt>
                <c:pt idx="28">
                  <c:v>3212395.000000</c:v>
                </c:pt>
                <c:pt idx="29">
                  <c:v>3254042.000000</c:v>
                </c:pt>
                <c:pt idx="30">
                  <c:v>1072078.000000</c:v>
                </c:pt>
                <c:pt idx="31">
                  <c:v>907143.000000</c:v>
                </c:pt>
                <c:pt idx="32">
                  <c:v>1073579.000000</c:v>
                </c:pt>
                <c:pt idx="33">
                  <c:v>913228.000000</c:v>
                </c:pt>
                <c:pt idx="34">
                  <c:v>916607.000000</c:v>
                </c:pt>
                <c:pt idx="35">
                  <c:v>916790.000000</c:v>
                </c:pt>
              </c:numCache>
            </c:numRef>
          </c:val>
          <c:smooth val="0"/>
        </c:ser>
        <c:ser>
          <c:idx val="7"/>
          <c:order val="7"/>
          <c:tx>
            <c:strRef>
              <c:f>'depto - dividendos'!$N$2:$N$3</c:f>
              <c:strCache/>
            </c:strRef>
          </c:tx>
          <c:spPr>
            <a:solidFill>
              <a:srgbClr val="615973"/>
            </a:solidFill>
            <a:ln w="25400" cap="flat">
              <a:solidFill>
                <a:srgbClr val="615973"/>
              </a:solidFill>
              <a:prstDash val="solid"/>
              <a:miter lim="400000"/>
            </a:ln>
            <a:effectLst/>
          </c:spPr>
          <c:marker>
            <c:symbol val="circle"/>
            <c:size val="4"/>
            <c:spPr>
              <a:solidFill>
                <a:srgbClr val="615973"/>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dividendos'!$N$5:$N$160</c:f>
              <c:numCache>
                <c:ptCount val="36"/>
                <c:pt idx="0">
                  <c:v>1.000000</c:v>
                </c:pt>
                <c:pt idx="1">
                  <c:v>1.012992</c:v>
                </c:pt>
                <c:pt idx="2">
                  <c:v>1.012788</c:v>
                </c:pt>
                <c:pt idx="3">
                  <c:v>0.999196</c:v>
                </c:pt>
                <c:pt idx="4">
                  <c:v>0.982594</c:v>
                </c:pt>
                <c:pt idx="5">
                  <c:v>0.973030</c:v>
                </c:pt>
                <c:pt idx="6">
                  <c:v>0.959317</c:v>
                </c:pt>
                <c:pt idx="7">
                  <c:v>0.829284</c:v>
                </c:pt>
                <c:pt idx="8">
                  <c:v>0.810326</c:v>
                </c:pt>
                <c:pt idx="9">
                  <c:v>0.800727</c:v>
                </c:pt>
                <c:pt idx="10">
                  <c:v>0.783594</c:v>
                </c:pt>
                <c:pt idx="11">
                  <c:v>0.678296</c:v>
                </c:pt>
                <c:pt idx="12">
                  <c:v>0.660454</c:v>
                </c:pt>
                <c:pt idx="13">
                  <c:v>0.655885</c:v>
                </c:pt>
                <c:pt idx="14">
                  <c:v>0.651231</c:v>
                </c:pt>
                <c:pt idx="15">
                  <c:v>0.646695</c:v>
                </c:pt>
                <c:pt idx="16">
                  <c:v>0.640285</c:v>
                </c:pt>
                <c:pt idx="17">
                  <c:v>0.638766</c:v>
                </c:pt>
                <c:pt idx="18">
                  <c:v>0.634027</c:v>
                </c:pt>
                <c:pt idx="19">
                  <c:v>0.632815</c:v>
                </c:pt>
                <c:pt idx="20">
                  <c:v>0.630285</c:v>
                </c:pt>
                <c:pt idx="21">
                  <c:v>0.628587</c:v>
                </c:pt>
                <c:pt idx="22">
                  <c:v>0.625734</c:v>
                </c:pt>
                <c:pt idx="23">
                  <c:v>0.622448</c:v>
                </c:pt>
                <c:pt idx="24">
                  <c:v>0.619378</c:v>
                </c:pt>
                <c:pt idx="25">
                  <c:v>0.540283</c:v>
                </c:pt>
                <c:pt idx="26">
                  <c:v>0.537173</c:v>
                </c:pt>
                <c:pt idx="27">
                  <c:v>0.518329</c:v>
                </c:pt>
                <c:pt idx="28">
                  <c:v>0.504126</c:v>
                </c:pt>
                <c:pt idx="29">
                  <c:v>0.490856</c:v>
                </c:pt>
                <c:pt idx="30">
                  <c:v>0.491109</c:v>
                </c:pt>
                <c:pt idx="31">
                  <c:v>0.487214</c:v>
                </c:pt>
                <c:pt idx="32">
                  <c:v>0.482853</c:v>
                </c:pt>
                <c:pt idx="33">
                  <c:v>0.481455</c:v>
                </c:pt>
                <c:pt idx="34">
                  <c:v>0.479247</c:v>
                </c:pt>
                <c:pt idx="35">
                  <c:v>0.475338</c:v>
                </c:pt>
              </c:numCache>
            </c:numRef>
          </c:val>
          <c:smooth val="0"/>
        </c:ser>
        <c:ser>
          <c:idx val="8"/>
          <c:order val="8"/>
          <c:tx>
            <c:strRef>
              <c:f>'depto - dividendos'!$O$2:$O$3</c:f>
              <c:strCache>
                <c:ptCount val="1"/>
                <c:pt idx="0">
                  <c:v>∆ credito</c:v>
                </c:pt>
              </c:strCache>
            </c:strRef>
          </c:tx>
          <c:spPr>
            <a:solidFill>
              <a:srgbClr val="FFFFFF"/>
            </a:solidFill>
            <a:ln w="25400" cap="flat">
              <a:solidFill>
                <a:srgbClr val="71A5CD"/>
              </a:solidFill>
              <a:prstDash val="solid"/>
              <a:miter lim="400000"/>
            </a:ln>
            <a:effectLst/>
          </c:spPr>
          <c:marker>
            <c:symbol val="none"/>
            <c:size val="4"/>
            <c:spPr>
              <a:solidFill>
                <a:srgbClr val="FFFFFF"/>
              </a:solidFill>
              <a:ln w="50800" cap="flat">
                <a:solidFill>
                  <a:srgbClr val="C3A458"/>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dividendos'!$O$5:$O$160</c:f>
              <c:numCache>
                <c:ptCount val="36"/>
                <c:pt idx="0">
                  <c:v>0.000000</c:v>
                </c:pt>
                <c:pt idx="1">
                  <c:v>1905113.000000</c:v>
                </c:pt>
                <c:pt idx="2">
                  <c:v>-29988.000000</c:v>
                </c:pt>
                <c:pt idx="3">
                  <c:v>-1992995.000000</c:v>
                </c:pt>
                <c:pt idx="4">
                  <c:v>-2434441.000000</c:v>
                </c:pt>
                <c:pt idx="5">
                  <c:v>-1402312.000000</c:v>
                </c:pt>
                <c:pt idx="6">
                  <c:v>-2010899.000000</c:v>
                </c:pt>
                <c:pt idx="7">
                  <c:v>-19066953.000000</c:v>
                </c:pt>
                <c:pt idx="8">
                  <c:v>-2779851.000000</c:v>
                </c:pt>
                <c:pt idx="9">
                  <c:v>-1407558.000000</c:v>
                </c:pt>
                <c:pt idx="10">
                  <c:v>-2512278.000000</c:v>
                </c:pt>
                <c:pt idx="11">
                  <c:v>-15440140.000000</c:v>
                </c:pt>
                <c:pt idx="12">
                  <c:v>-2616241.000000</c:v>
                </c:pt>
                <c:pt idx="13">
                  <c:v>-669882.000000</c:v>
                </c:pt>
                <c:pt idx="14">
                  <c:v>-682453.000000</c:v>
                </c:pt>
                <c:pt idx="15">
                  <c:v>-665171.000000</c:v>
                </c:pt>
                <c:pt idx="16">
                  <c:v>-939858.000000</c:v>
                </c:pt>
                <c:pt idx="17">
                  <c:v>-222749.000000</c:v>
                </c:pt>
                <c:pt idx="18">
                  <c:v>-694902.000000</c:v>
                </c:pt>
                <c:pt idx="19">
                  <c:v>-177696.000000</c:v>
                </c:pt>
                <c:pt idx="20">
                  <c:v>-371059.000000</c:v>
                </c:pt>
                <c:pt idx="21">
                  <c:v>-248872.000000</c:v>
                </c:pt>
                <c:pt idx="22">
                  <c:v>-418410.000000</c:v>
                </c:pt>
                <c:pt idx="23">
                  <c:v>-481750.000000</c:v>
                </c:pt>
                <c:pt idx="24">
                  <c:v>-450260.000000</c:v>
                </c:pt>
                <c:pt idx="25">
                  <c:v>-11597830.000000</c:v>
                </c:pt>
                <c:pt idx="26">
                  <c:v>-456017.000000</c:v>
                </c:pt>
                <c:pt idx="27">
                  <c:v>-2763245.000000</c:v>
                </c:pt>
                <c:pt idx="28">
                  <c:v>-2082544.000000</c:v>
                </c:pt>
                <c:pt idx="29">
                  <c:v>-1945815.000000</c:v>
                </c:pt>
                <c:pt idx="30">
                  <c:v>37059.000000</c:v>
                </c:pt>
                <c:pt idx="31">
                  <c:v>-571134.000000</c:v>
                </c:pt>
                <c:pt idx="32">
                  <c:v>-639405.000000</c:v>
                </c:pt>
                <c:pt idx="33">
                  <c:v>-205081.000000</c:v>
                </c:pt>
                <c:pt idx="34">
                  <c:v>-323645.000000</c:v>
                </c:pt>
                <c:pt idx="35">
                  <c:v>-573295.000000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3.5e+06"/>
          <c:min val="-2.5e+06"/>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midCat"/>
        <c:majorUnit val="500000"/>
        <c:minorUnit val="250000"/>
      </c:valAx>
      <c:spPr>
        <a:noFill/>
        <a:ln w="12700" cap="flat">
          <a:noFill/>
          <a:miter lim="400000"/>
        </a:ln>
        <a:effectLst/>
      </c:spPr>
    </c:plotArea>
    <c:legend>
      <c:legendPos val="t"/>
      <c:layout>
        <c:manualLayout>
          <c:xMode val="edge"/>
          <c:yMode val="edge"/>
          <c:x val="0.144446"/>
          <c:y val="0"/>
          <c:w val="0.810344"/>
          <c:h val="0.10513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50.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3258"/>
          <c:y val="0.126667"/>
          <c:w val="0.861946"/>
          <c:h val="0.809167"/>
        </c:manualLayout>
      </c:layout>
      <c:lineChart>
        <c:grouping val="standard"/>
        <c:varyColors val="0"/>
        <c:ser>
          <c:idx val="0"/>
          <c:order val="0"/>
          <c:tx>
            <c:strRef>
              <c:f>'depto - dividendos'!$D$2</c:f>
              <c:strCache/>
            </c:strRef>
          </c:tx>
          <c:spPr>
            <a:solidFill>
              <a:srgbClr val="FFFFFF"/>
            </a:solidFill>
            <a:ln w="50800" cap="flat">
              <a:solidFill>
                <a:srgbClr val="615973"/>
              </a:solidFill>
              <a:prstDash val="solid"/>
              <a:miter lim="400000"/>
            </a:ln>
            <a:effectLst/>
          </c:spPr>
          <c:marker>
            <c:symbol val="none"/>
            <c:size val="4"/>
            <c:spPr>
              <a:solidFill>
                <a:srgbClr val="FFFFFF"/>
              </a:solidFill>
              <a:ln w="50800" cap="flat">
                <a:solidFill>
                  <a:srgbClr val="56769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dividendos'!$D$5:$D$160</c:f>
              <c:numCache>
                <c:ptCount val="35"/>
                <c:pt idx="0">
                  <c:v>1450.000000</c:v>
                </c:pt>
                <c:pt idx="2">
                  <c:v>31.989860</c:v>
                </c:pt>
                <c:pt idx="3">
                  <c:v>80.076700</c:v>
                </c:pt>
                <c:pt idx="4">
                  <c:v>80.074000</c:v>
                </c:pt>
                <c:pt idx="5">
                  <c:v>80.071300</c:v>
                </c:pt>
                <c:pt idx="6">
                  <c:v>80.068600</c:v>
                </c:pt>
                <c:pt idx="7">
                  <c:v>519.305100</c:v>
                </c:pt>
                <c:pt idx="8">
                  <c:v>80.043600</c:v>
                </c:pt>
                <c:pt idx="9">
                  <c:v>80.043400</c:v>
                </c:pt>
                <c:pt idx="10">
                  <c:v>80.037900</c:v>
                </c:pt>
                <c:pt idx="11">
                  <c:v>406.333700</c:v>
                </c:pt>
                <c:pt idx="12">
                  <c:v>80.037700</c:v>
                </c:pt>
                <c:pt idx="13">
                  <c:v>55.000000</c:v>
                </c:pt>
                <c:pt idx="14">
                  <c:v>39.000000</c:v>
                </c:pt>
                <c:pt idx="15">
                  <c:v>40.000000</c:v>
                </c:pt>
                <c:pt idx="16">
                  <c:v>40.000000</c:v>
                </c:pt>
                <c:pt idx="17">
                  <c:v>20.366370</c:v>
                </c:pt>
                <c:pt idx="18">
                  <c:v>20.987850</c:v>
                </c:pt>
                <c:pt idx="19">
                  <c:v>35.091000</c:v>
                </c:pt>
                <c:pt idx="20">
                  <c:v>20.674000</c:v>
                </c:pt>
                <c:pt idx="21">
                  <c:v>25.625100</c:v>
                </c:pt>
                <c:pt idx="22">
                  <c:v>21.565300</c:v>
                </c:pt>
                <c:pt idx="23">
                  <c:v>24.509700</c:v>
                </c:pt>
                <c:pt idx="24">
                  <c:v>22.461100</c:v>
                </c:pt>
                <c:pt idx="25">
                  <c:v>301.693800</c:v>
                </c:pt>
                <c:pt idx="26">
                  <c:v>20.638300</c:v>
                </c:pt>
                <c:pt idx="27">
                  <c:v>79.766900</c:v>
                </c:pt>
                <c:pt idx="28">
                  <c:v>79.764100</c:v>
                </c:pt>
                <c:pt idx="29">
                  <c:v>79.761300</c:v>
                </c:pt>
                <c:pt idx="30">
                  <c:v>26.000000</c:v>
                </c:pt>
                <c:pt idx="31">
                  <c:v>22.000000</c:v>
                </c:pt>
                <c:pt idx="32">
                  <c:v>26.000000</c:v>
                </c:pt>
                <c:pt idx="33">
                  <c:v>22.000000</c:v>
                </c:pt>
                <c:pt idx="34">
                  <c:v>22.000000</c:v>
                </c:pt>
                <c:pt idx="35">
                  <c:v>22.000000</c:v>
                </c:pt>
              </c:numCache>
            </c:numRef>
          </c:val>
          <c:smooth val="0"/>
        </c:ser>
        <c:ser>
          <c:idx val="1"/>
          <c:order val="1"/>
          <c:tx>
            <c:strRef>
              <c:f>'depto - dividendos'!$AY$2</c:f>
              <c:strCache>
                <c:ptCount val="1"/>
                <c:pt idx="0">
                  <c:v>total seguros</c:v>
                </c:pt>
              </c:strCache>
            </c:strRef>
          </c:tx>
          <c:spPr>
            <a:solidFill>
              <a:srgbClr val="FFFFFF"/>
            </a:solidFill>
            <a:ln w="50800" cap="flat">
              <a:solidFill>
                <a:srgbClr val="24BA25"/>
              </a:solidFill>
              <a:prstDash val="solid"/>
              <a:miter lim="400000"/>
            </a:ln>
            <a:effectLst/>
          </c:spPr>
          <c:marker>
            <c:symbol val="none"/>
            <c:size val="4"/>
            <c:spPr>
              <a:solidFill>
                <a:srgbClr val="FFFFFF"/>
              </a:solidFill>
              <a:ln w="50800" cap="flat">
                <a:solidFill>
                  <a:srgbClr val="5B704E"/>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dividendos'!$AY$5:$AY$160</c:f>
              <c:numCache>
                <c:ptCount val="31"/>
                <c:pt idx="2">
                  <c:v>5.690000</c:v>
                </c:pt>
                <c:pt idx="3">
                  <c:v>1.422300</c:v>
                </c:pt>
                <c:pt idx="4">
                  <c:v>1.419600</c:v>
                </c:pt>
                <c:pt idx="5">
                  <c:v>1.416900</c:v>
                </c:pt>
                <c:pt idx="6">
                  <c:v>1.414200</c:v>
                </c:pt>
                <c:pt idx="8">
                  <c:v>1.389200</c:v>
                </c:pt>
                <c:pt idx="9">
                  <c:v>1.389000</c:v>
                </c:pt>
                <c:pt idx="10">
                  <c:v>1.383500</c:v>
                </c:pt>
                <c:pt idx="12">
                  <c:v>1.363200</c:v>
                </c:pt>
                <c:pt idx="13">
                  <c:v>1.360300</c:v>
                </c:pt>
                <c:pt idx="14">
                  <c:v>1.358400</c:v>
                </c:pt>
                <c:pt idx="15">
                  <c:v>1.357200</c:v>
                </c:pt>
                <c:pt idx="16">
                  <c:v>1.356000</c:v>
                </c:pt>
                <c:pt idx="17">
                  <c:v>1.137600</c:v>
                </c:pt>
                <c:pt idx="18">
                  <c:v>1.137200</c:v>
                </c:pt>
                <c:pt idx="19">
                  <c:v>1.136800</c:v>
                </c:pt>
                <c:pt idx="20">
                  <c:v>1.135700</c:v>
                </c:pt>
                <c:pt idx="21">
                  <c:v>1.126900</c:v>
                </c:pt>
                <c:pt idx="22">
                  <c:v>1.126300</c:v>
                </c:pt>
                <c:pt idx="23">
                  <c:v>1.125800</c:v>
                </c:pt>
                <c:pt idx="24">
                  <c:v>1.125300</c:v>
                </c:pt>
                <c:pt idx="26">
                  <c:v>1.112900</c:v>
                </c:pt>
                <c:pt idx="27">
                  <c:v>1.112500</c:v>
                </c:pt>
                <c:pt idx="28">
                  <c:v>1.109700</c:v>
                </c:pt>
                <c:pt idx="29">
                  <c:v>1.106800</c:v>
                </c:pt>
                <c:pt idx="30">
                  <c:v>1.104000</c:v>
                </c:pt>
                <c:pt idx="31">
                  <c:v>1.103300</c:v>
                </c:pt>
                <c:pt idx="32">
                  <c:v>1.102800</c:v>
                </c:pt>
                <c:pt idx="33">
                  <c:v>1.102100</c:v>
                </c:pt>
                <c:pt idx="34">
                  <c:v>1.101500</c:v>
                </c:pt>
                <c:pt idx="35">
                  <c:v>1.101000</c:v>
                </c:pt>
              </c:numCache>
            </c:numRef>
          </c:val>
          <c:smooth val="0"/>
        </c:ser>
        <c:ser>
          <c:idx val="2"/>
          <c:order val="2"/>
          <c:tx>
            <c:strRef>
              <c:f>'depto - dividendos'!$BB$2</c:f>
              <c:strCache/>
            </c:strRef>
          </c:tx>
          <c:spPr>
            <a:solidFill>
              <a:srgbClr val="FFFFFF"/>
            </a:solidFill>
            <a:ln w="25400" cap="flat">
              <a:solidFill>
                <a:srgbClr val="5F99C5">
                  <a:alpha val="61017"/>
                </a:srgbClr>
              </a:solidFill>
              <a:prstDash val="solid"/>
              <a:miter lim="400000"/>
            </a:ln>
            <a:effectLst/>
          </c:spPr>
          <c:marker>
            <c:symbol val="none"/>
            <c:size val="4"/>
            <c:spPr>
              <a:solidFill>
                <a:srgbClr val="FFFFFF"/>
              </a:solidFill>
              <a:ln w="50800" cap="flat">
                <a:solidFill>
                  <a:srgbClr val="BA9844"/>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dividendos'!$BB$5:$BB$160</c:f>
              <c:numCache>
                <c:ptCount val="31"/>
                <c:pt idx="2">
                  <c:v>5.025600</c:v>
                </c:pt>
                <c:pt idx="3">
                  <c:v>5.020900</c:v>
                </c:pt>
                <c:pt idx="4">
                  <c:v>4.968100</c:v>
                </c:pt>
                <c:pt idx="5">
                  <c:v>4.914300</c:v>
                </c:pt>
                <c:pt idx="6">
                  <c:v>4.859400</c:v>
                </c:pt>
                <c:pt idx="8">
                  <c:v>4.138600</c:v>
                </c:pt>
                <c:pt idx="9">
                  <c:v>4.075300</c:v>
                </c:pt>
                <c:pt idx="10">
                  <c:v>4.011100</c:v>
                </c:pt>
                <c:pt idx="12">
                  <c:v>3.416700</c:v>
                </c:pt>
                <c:pt idx="13">
                  <c:v>3.345100</c:v>
                </c:pt>
                <c:pt idx="14">
                  <c:v>3.305500</c:v>
                </c:pt>
                <c:pt idx="15">
                  <c:v>3.286300</c:v>
                </c:pt>
                <c:pt idx="16">
                  <c:v>3.265600</c:v>
                </c:pt>
                <c:pt idx="17">
                  <c:v>3.244400</c:v>
                </c:pt>
                <c:pt idx="18">
                  <c:v>3.249000</c:v>
                </c:pt>
                <c:pt idx="19">
                  <c:v>3.252600</c:v>
                </c:pt>
                <c:pt idx="20">
                  <c:v>3.237000</c:v>
                </c:pt>
                <c:pt idx="21">
                  <c:v>3.240600</c:v>
                </c:pt>
                <c:pt idx="22">
                  <c:v>3.237400</c:v>
                </c:pt>
                <c:pt idx="23">
                  <c:v>3.239800</c:v>
                </c:pt>
                <c:pt idx="24">
                  <c:v>3.237800</c:v>
                </c:pt>
                <c:pt idx="26">
                  <c:v>2.817200</c:v>
                </c:pt>
                <c:pt idx="27">
                  <c:v>2.816200</c:v>
                </c:pt>
                <c:pt idx="28">
                  <c:v>2.731300</c:v>
                </c:pt>
                <c:pt idx="29">
                  <c:v>2.714900</c:v>
                </c:pt>
                <c:pt idx="30">
                  <c:v>2.623000</c:v>
                </c:pt>
                <c:pt idx="31">
                  <c:v>2.610100</c:v>
                </c:pt>
                <c:pt idx="32">
                  <c:v>2.602800</c:v>
                </c:pt>
                <c:pt idx="33">
                  <c:v>2.589300</c:v>
                </c:pt>
                <c:pt idx="34">
                  <c:v>2.581600</c:v>
                </c:pt>
                <c:pt idx="35">
                  <c:v>2.573700</c:v>
                </c:pt>
              </c:numCache>
            </c:numRef>
          </c:val>
          <c:smooth val="0"/>
        </c:ser>
        <c:ser>
          <c:idx val="3"/>
          <c:order val="3"/>
          <c:tx>
            <c:strRef>
              <c:f>'depto - dividendos'!$BD$2</c:f>
              <c:strCache/>
            </c:strRef>
          </c:tx>
          <c:spPr>
            <a:solidFill>
              <a:srgbClr val="FFFFFF"/>
            </a:solidFill>
            <a:ln w="25400" cap="flat">
              <a:solidFill>
                <a:srgbClr val="487B9E">
                  <a:alpha val="50554"/>
                </a:srgbClr>
              </a:solidFill>
              <a:prstDash val="solid"/>
              <a:miter lim="400000"/>
            </a:ln>
            <a:effectLst/>
          </c:spPr>
          <c:marker>
            <c:symbol val="none"/>
            <c:size val="4"/>
            <c:spPr>
              <a:solidFill>
                <a:srgbClr val="FFFFFF"/>
              </a:solidFill>
              <a:ln w="50800" cap="flat">
                <a:solidFill>
                  <a:srgbClr val="AC5A4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dividendos'!$BD$5:$BD$160</c:f>
              <c:numCache>
                <c:ptCount val="34"/>
                <c:pt idx="2">
                  <c:v>19.670100</c:v>
                </c:pt>
                <c:pt idx="3">
                  <c:v>57.604000</c:v>
                </c:pt>
                <c:pt idx="4">
                  <c:v>57.909600</c:v>
                </c:pt>
                <c:pt idx="5">
                  <c:v>58.217200</c:v>
                </c:pt>
                <c:pt idx="6">
                  <c:v>58.526800</c:v>
                </c:pt>
                <c:pt idx="7">
                  <c:v>515.000000</c:v>
                </c:pt>
                <c:pt idx="8">
                  <c:v>61.580900</c:v>
                </c:pt>
                <c:pt idx="9">
                  <c:v>61.909500</c:v>
                </c:pt>
                <c:pt idx="10">
                  <c:v>62.239700</c:v>
                </c:pt>
                <c:pt idx="11">
                  <c:v>403.339600</c:v>
                </c:pt>
                <c:pt idx="12">
                  <c:v>64.728600</c:v>
                </c:pt>
                <c:pt idx="13">
                  <c:v>40.060400</c:v>
                </c:pt>
                <c:pt idx="14">
                  <c:v>24.277000</c:v>
                </c:pt>
                <c:pt idx="15">
                  <c:v>25.408500</c:v>
                </c:pt>
                <c:pt idx="16">
                  <c:v>25.546300</c:v>
                </c:pt>
                <c:pt idx="17">
                  <c:v>6.268500</c:v>
                </c:pt>
                <c:pt idx="18">
                  <c:v>6.924200</c:v>
                </c:pt>
                <c:pt idx="19">
                  <c:v>21.065100</c:v>
                </c:pt>
                <c:pt idx="20">
                  <c:v>6.763000</c:v>
                </c:pt>
                <c:pt idx="21">
                  <c:v>11.759400</c:v>
                </c:pt>
                <c:pt idx="22">
                  <c:v>7.764000</c:v>
                </c:pt>
                <c:pt idx="23">
                  <c:v>10.751000</c:v>
                </c:pt>
                <c:pt idx="24">
                  <c:v>8.761300</c:v>
                </c:pt>
                <c:pt idx="25">
                  <c:v>299.563000</c:v>
                </c:pt>
                <c:pt idx="26">
                  <c:v>8.628500</c:v>
                </c:pt>
                <c:pt idx="27">
                  <c:v>67.804500</c:v>
                </c:pt>
                <c:pt idx="28">
                  <c:v>68.174500</c:v>
                </c:pt>
                <c:pt idx="29">
                  <c:v>68.534800</c:v>
                </c:pt>
                <c:pt idx="30">
                  <c:v>15.155600</c:v>
                </c:pt>
                <c:pt idx="31">
                  <c:v>11.241000</c:v>
                </c:pt>
                <c:pt idx="32">
                  <c:v>15.304600</c:v>
                </c:pt>
                <c:pt idx="33">
                  <c:v>11.391000</c:v>
                </c:pt>
                <c:pt idx="34">
                  <c:v>11.455700</c:v>
                </c:pt>
                <c:pt idx="35">
                  <c:v>11.520800</c:v>
                </c:pt>
              </c:numCache>
            </c:numRef>
          </c:val>
          <c:smooth val="0"/>
        </c:ser>
        <c:ser>
          <c:idx val="4"/>
          <c:order val="4"/>
          <c:tx>
            <c:strRef>
              <c:f>'depto - dividendos'!$BF$2</c:f>
              <c:strCache/>
            </c:strRef>
          </c:tx>
          <c:spPr>
            <a:solidFill>
              <a:srgbClr val="FFFFFF"/>
            </a:solidFill>
            <a:ln w="50800" cap="flat">
              <a:solidFill>
                <a:srgbClr val="567691"/>
              </a:solidFill>
              <a:prstDash val="solid"/>
              <a:miter lim="400000"/>
            </a:ln>
            <a:effectLst/>
          </c:spPr>
          <c:marker>
            <c:symbol val="none"/>
            <c:size val="4"/>
            <c:spPr>
              <a:solidFill>
                <a:srgbClr val="FFFFFF"/>
              </a:solidFill>
              <a:ln w="50800" cap="flat">
                <a:solidFill>
                  <a:srgbClr val="615973"/>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dividendos'!$BF$5:$BF$160</c:f>
              <c:numCache>
                <c:ptCount val="34"/>
                <c:pt idx="2">
                  <c:v>24.695700</c:v>
                </c:pt>
                <c:pt idx="3">
                  <c:v>62.624900</c:v>
                </c:pt>
                <c:pt idx="4">
                  <c:v>62.877700</c:v>
                </c:pt>
                <c:pt idx="5">
                  <c:v>63.131500</c:v>
                </c:pt>
                <c:pt idx="6">
                  <c:v>63.386200</c:v>
                </c:pt>
                <c:pt idx="7">
                  <c:v>515.000000</c:v>
                </c:pt>
                <c:pt idx="8">
                  <c:v>65.719500</c:v>
                </c:pt>
                <c:pt idx="9">
                  <c:v>65.984800</c:v>
                </c:pt>
                <c:pt idx="10">
                  <c:v>66.250800</c:v>
                </c:pt>
                <c:pt idx="11">
                  <c:v>403.339600</c:v>
                </c:pt>
                <c:pt idx="12">
                  <c:v>68.145300</c:v>
                </c:pt>
                <c:pt idx="13">
                  <c:v>43.405500</c:v>
                </c:pt>
                <c:pt idx="14">
                  <c:v>27.582500</c:v>
                </c:pt>
                <c:pt idx="15">
                  <c:v>28.694900</c:v>
                </c:pt>
                <c:pt idx="16">
                  <c:v>28.811900</c:v>
                </c:pt>
                <c:pt idx="17">
                  <c:v>9.512800</c:v>
                </c:pt>
                <c:pt idx="18">
                  <c:v>10.173200</c:v>
                </c:pt>
                <c:pt idx="19">
                  <c:v>24.317700</c:v>
                </c:pt>
                <c:pt idx="20">
                  <c:v>10.000000</c:v>
                </c:pt>
                <c:pt idx="21">
                  <c:v>15.000000</c:v>
                </c:pt>
                <c:pt idx="22">
                  <c:v>11.001400</c:v>
                </c:pt>
                <c:pt idx="23">
                  <c:v>13.990800</c:v>
                </c:pt>
                <c:pt idx="24">
                  <c:v>11.999100</c:v>
                </c:pt>
                <c:pt idx="25">
                  <c:v>299.563000</c:v>
                </c:pt>
                <c:pt idx="26">
                  <c:v>11.445700</c:v>
                </c:pt>
                <c:pt idx="27">
                  <c:v>70.620700</c:v>
                </c:pt>
                <c:pt idx="28">
                  <c:v>70.905800</c:v>
                </c:pt>
                <c:pt idx="29">
                  <c:v>71.249700</c:v>
                </c:pt>
                <c:pt idx="30">
                  <c:v>17.778600</c:v>
                </c:pt>
                <c:pt idx="31">
                  <c:v>13.851100</c:v>
                </c:pt>
                <c:pt idx="32">
                  <c:v>17.907400</c:v>
                </c:pt>
                <c:pt idx="33">
                  <c:v>13.980400</c:v>
                </c:pt>
                <c:pt idx="34">
                  <c:v>14.037400</c:v>
                </c:pt>
                <c:pt idx="35">
                  <c:v>14.094500</c:v>
                </c:pt>
              </c:numCache>
            </c:numRef>
          </c:val>
          <c:smooth val="0"/>
        </c:ser>
        <c:ser>
          <c:idx val="5"/>
          <c:order val="5"/>
          <c:tx>
            <c:strRef>
              <c:f>'depto - dividendos'!$BH$2</c:f>
              <c:strCache/>
            </c:strRef>
          </c:tx>
          <c:spPr>
            <a:solidFill>
              <a:srgbClr val="FFFFFF"/>
            </a:solidFill>
            <a:ln w="50800" cap="flat">
              <a:solidFill>
                <a:srgbClr val="CD5248"/>
              </a:solidFill>
              <a:prstDash val="solid"/>
              <a:miter lim="400000"/>
            </a:ln>
            <a:effectLst/>
          </c:spPr>
          <c:marker>
            <c:symbol val="none"/>
            <c:size val="4"/>
            <c:spPr>
              <a:solidFill>
                <a:srgbClr val="FFFFFF"/>
              </a:solidFill>
              <a:ln w="50800" cap="flat">
                <a:solidFill>
                  <a:srgbClr val="8E928C"/>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dividendos'!$BH$5:$BH$160</c:f>
              <c:numCache>
                <c:ptCount val="33"/>
                <c:pt idx="3">
                  <c:v>16.029500</c:v>
                </c:pt>
                <c:pt idx="4">
                  <c:v>15.776700</c:v>
                </c:pt>
                <c:pt idx="5">
                  <c:v>15.522900</c:v>
                </c:pt>
                <c:pt idx="6">
                  <c:v>15.268200</c:v>
                </c:pt>
                <c:pt idx="7">
                  <c:v>4.305100</c:v>
                </c:pt>
                <c:pt idx="8">
                  <c:v>12.934900</c:v>
                </c:pt>
                <c:pt idx="9">
                  <c:v>12.669900</c:v>
                </c:pt>
                <c:pt idx="10">
                  <c:v>12.403600</c:v>
                </c:pt>
                <c:pt idx="11">
                  <c:v>2.994000</c:v>
                </c:pt>
                <c:pt idx="12">
                  <c:v>10.509100</c:v>
                </c:pt>
                <c:pt idx="13">
                  <c:v>10.234200</c:v>
                </c:pt>
                <c:pt idx="14">
                  <c:v>10.059100</c:v>
                </c:pt>
                <c:pt idx="15">
                  <c:v>9.948000</c:v>
                </c:pt>
                <c:pt idx="16">
                  <c:v>9.832100</c:v>
                </c:pt>
                <c:pt idx="17">
                  <c:v>9.715900</c:v>
                </c:pt>
                <c:pt idx="18">
                  <c:v>9.677500</c:v>
                </c:pt>
                <c:pt idx="19">
                  <c:v>9.636500</c:v>
                </c:pt>
                <c:pt idx="20">
                  <c:v>9.538300</c:v>
                </c:pt>
                <c:pt idx="21">
                  <c:v>9.498200</c:v>
                </c:pt>
                <c:pt idx="22">
                  <c:v>9.437600</c:v>
                </c:pt>
                <c:pt idx="23">
                  <c:v>9.393100</c:v>
                </c:pt>
                <c:pt idx="24">
                  <c:v>9.336700</c:v>
                </c:pt>
                <c:pt idx="25">
                  <c:v>2.130700</c:v>
                </c:pt>
                <c:pt idx="26">
                  <c:v>8.079700</c:v>
                </c:pt>
                <c:pt idx="27">
                  <c:v>8.033700</c:v>
                </c:pt>
                <c:pt idx="28">
                  <c:v>7.748600</c:v>
                </c:pt>
                <c:pt idx="29">
                  <c:v>7.404800</c:v>
                </c:pt>
                <c:pt idx="30">
                  <c:v>7.117400</c:v>
                </c:pt>
                <c:pt idx="31">
                  <c:v>7.045600</c:v>
                </c:pt>
                <c:pt idx="32">
                  <c:v>6.989800</c:v>
                </c:pt>
                <c:pt idx="33">
                  <c:v>6.917500</c:v>
                </c:pt>
                <c:pt idx="34">
                  <c:v>6.861100</c:v>
                </c:pt>
                <c:pt idx="35">
                  <c:v>6.804500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85"/>
          <c:min val="0"/>
        </c:scaling>
        <c:delete val="0"/>
        <c:axPos val="l"/>
        <c:majorGridlines>
          <c:spPr>
            <a:ln w="3175" cap="flat">
              <a:solidFill>
                <a:srgbClr val="B8B8B8"/>
              </a:solidFill>
              <a:prstDash val="solid"/>
              <a:miter lim="400000"/>
            </a:ln>
          </c:spPr>
        </c:majorGridlines>
        <c:numFmt formatCode="[&lt;0]&quot;UF&quot;* (#,###);&quot;UF&quot;* #,###" sourceLinked="0"/>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132105"/>
          <c:y val="0"/>
          <c:w val="0.821168"/>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5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3331"/>
          <c:y val="0.126667"/>
          <c:w val="0.86169"/>
          <c:h val="0.809167"/>
        </c:manualLayout>
      </c:layout>
      <c:barChart>
        <c:barDir val="col"/>
        <c:grouping val="stacked"/>
        <c:varyColors val="0"/>
        <c:ser>
          <c:idx val="0"/>
          <c:order val="0"/>
          <c:tx>
            <c:strRef>
              <c:f>'depto - dividendos'!$AY$2</c:f>
              <c:strCache>
                <c:ptCount val="1"/>
                <c:pt idx="0">
                  <c:v>total seguros</c:v>
                </c:pt>
              </c:strCache>
            </c:strRef>
          </c:tx>
          <c:spPr>
            <a:solidFill>
              <a:srgbClr val="25BA26"/>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dividendos'!$AY$5:$AY$160</c:f>
              <c:numCache>
                <c:ptCount val="31"/>
                <c:pt idx="2">
                  <c:v>5.690000</c:v>
                </c:pt>
                <c:pt idx="3">
                  <c:v>1.422300</c:v>
                </c:pt>
                <c:pt idx="4">
                  <c:v>1.419600</c:v>
                </c:pt>
                <c:pt idx="5">
                  <c:v>1.416900</c:v>
                </c:pt>
                <c:pt idx="6">
                  <c:v>1.414200</c:v>
                </c:pt>
                <c:pt idx="8">
                  <c:v>1.389200</c:v>
                </c:pt>
                <c:pt idx="9">
                  <c:v>1.389000</c:v>
                </c:pt>
                <c:pt idx="10">
                  <c:v>1.383500</c:v>
                </c:pt>
                <c:pt idx="12">
                  <c:v>1.363200</c:v>
                </c:pt>
                <c:pt idx="13">
                  <c:v>1.360300</c:v>
                </c:pt>
                <c:pt idx="14">
                  <c:v>1.358400</c:v>
                </c:pt>
                <c:pt idx="15">
                  <c:v>1.357200</c:v>
                </c:pt>
                <c:pt idx="16">
                  <c:v>1.356000</c:v>
                </c:pt>
                <c:pt idx="17">
                  <c:v>1.137600</c:v>
                </c:pt>
                <c:pt idx="18">
                  <c:v>1.137200</c:v>
                </c:pt>
                <c:pt idx="19">
                  <c:v>1.136800</c:v>
                </c:pt>
                <c:pt idx="20">
                  <c:v>1.135700</c:v>
                </c:pt>
                <c:pt idx="21">
                  <c:v>1.126900</c:v>
                </c:pt>
                <c:pt idx="22">
                  <c:v>1.126300</c:v>
                </c:pt>
                <c:pt idx="23">
                  <c:v>1.125800</c:v>
                </c:pt>
                <c:pt idx="24">
                  <c:v>1.125300</c:v>
                </c:pt>
                <c:pt idx="26">
                  <c:v>1.112900</c:v>
                </c:pt>
                <c:pt idx="27">
                  <c:v>1.112500</c:v>
                </c:pt>
                <c:pt idx="28">
                  <c:v>1.109700</c:v>
                </c:pt>
                <c:pt idx="29">
                  <c:v>1.106800</c:v>
                </c:pt>
                <c:pt idx="30">
                  <c:v>1.104000</c:v>
                </c:pt>
                <c:pt idx="31">
                  <c:v>1.103300</c:v>
                </c:pt>
                <c:pt idx="32">
                  <c:v>1.102800</c:v>
                </c:pt>
                <c:pt idx="33">
                  <c:v>1.102100</c:v>
                </c:pt>
                <c:pt idx="34">
                  <c:v>1.101500</c:v>
                </c:pt>
                <c:pt idx="35">
                  <c:v>1.101000</c:v>
                </c:pt>
              </c:numCache>
            </c:numRef>
          </c:val>
        </c:ser>
        <c:ser>
          <c:idx val="1"/>
          <c:order val="1"/>
          <c:tx>
            <c:strRef>
              <c:f>'depto - dividendos'!$BH$2</c:f>
              <c:strCache/>
            </c:strRef>
          </c:tx>
          <c:spPr>
            <a:solidFill>
              <a:srgbClr val="CD5248"/>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dividendos'!$BH$5:$BH$160</c:f>
              <c:numCache>
                <c:ptCount val="33"/>
                <c:pt idx="3">
                  <c:v>16.029500</c:v>
                </c:pt>
                <c:pt idx="4">
                  <c:v>15.776700</c:v>
                </c:pt>
                <c:pt idx="5">
                  <c:v>15.522900</c:v>
                </c:pt>
                <c:pt idx="6">
                  <c:v>15.268200</c:v>
                </c:pt>
                <c:pt idx="7">
                  <c:v>4.305100</c:v>
                </c:pt>
                <c:pt idx="8">
                  <c:v>12.934900</c:v>
                </c:pt>
                <c:pt idx="9">
                  <c:v>12.669900</c:v>
                </c:pt>
                <c:pt idx="10">
                  <c:v>12.403600</c:v>
                </c:pt>
                <c:pt idx="11">
                  <c:v>2.994000</c:v>
                </c:pt>
                <c:pt idx="12">
                  <c:v>10.509100</c:v>
                </c:pt>
                <c:pt idx="13">
                  <c:v>10.234200</c:v>
                </c:pt>
                <c:pt idx="14">
                  <c:v>10.059100</c:v>
                </c:pt>
                <c:pt idx="15">
                  <c:v>9.948000</c:v>
                </c:pt>
                <c:pt idx="16">
                  <c:v>9.832100</c:v>
                </c:pt>
                <c:pt idx="17">
                  <c:v>9.715900</c:v>
                </c:pt>
                <c:pt idx="18">
                  <c:v>9.677500</c:v>
                </c:pt>
                <c:pt idx="19">
                  <c:v>9.636500</c:v>
                </c:pt>
                <c:pt idx="20">
                  <c:v>9.538300</c:v>
                </c:pt>
                <c:pt idx="21">
                  <c:v>9.498200</c:v>
                </c:pt>
                <c:pt idx="22">
                  <c:v>9.437600</c:v>
                </c:pt>
                <c:pt idx="23">
                  <c:v>9.393100</c:v>
                </c:pt>
                <c:pt idx="24">
                  <c:v>9.336700</c:v>
                </c:pt>
                <c:pt idx="25">
                  <c:v>2.130700</c:v>
                </c:pt>
                <c:pt idx="26">
                  <c:v>8.079700</c:v>
                </c:pt>
                <c:pt idx="27">
                  <c:v>8.033700</c:v>
                </c:pt>
                <c:pt idx="28">
                  <c:v>7.748600</c:v>
                </c:pt>
                <c:pt idx="29">
                  <c:v>7.404800</c:v>
                </c:pt>
                <c:pt idx="30">
                  <c:v>7.117400</c:v>
                </c:pt>
                <c:pt idx="31">
                  <c:v>7.045600</c:v>
                </c:pt>
                <c:pt idx="32">
                  <c:v>6.989800</c:v>
                </c:pt>
                <c:pt idx="33">
                  <c:v>6.917500</c:v>
                </c:pt>
                <c:pt idx="34">
                  <c:v>6.861100</c:v>
                </c:pt>
                <c:pt idx="35">
                  <c:v>6.804500</c:v>
                </c:pt>
              </c:numCache>
            </c:numRef>
          </c:val>
        </c:ser>
        <c:ser>
          <c:idx val="2"/>
          <c:order val="2"/>
          <c:tx>
            <c:strRef>
              <c:f>'depto - dividendos'!$BB$2</c:f>
              <c:strCache/>
            </c:strRef>
          </c:tx>
          <c:spPr>
            <a:solidFill>
              <a:srgbClr val="5E99C5"/>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dividendos'!$BB$5:$BB$160</c:f>
              <c:numCache>
                <c:ptCount val="31"/>
                <c:pt idx="2">
                  <c:v>5.025600</c:v>
                </c:pt>
                <c:pt idx="3">
                  <c:v>5.020900</c:v>
                </c:pt>
                <c:pt idx="4">
                  <c:v>4.968100</c:v>
                </c:pt>
                <c:pt idx="5">
                  <c:v>4.914300</c:v>
                </c:pt>
                <c:pt idx="6">
                  <c:v>4.859400</c:v>
                </c:pt>
                <c:pt idx="8">
                  <c:v>4.138600</c:v>
                </c:pt>
                <c:pt idx="9">
                  <c:v>4.075300</c:v>
                </c:pt>
                <c:pt idx="10">
                  <c:v>4.011100</c:v>
                </c:pt>
                <c:pt idx="12">
                  <c:v>3.416700</c:v>
                </c:pt>
                <c:pt idx="13">
                  <c:v>3.345100</c:v>
                </c:pt>
                <c:pt idx="14">
                  <c:v>3.305500</c:v>
                </c:pt>
                <c:pt idx="15">
                  <c:v>3.286300</c:v>
                </c:pt>
                <c:pt idx="16">
                  <c:v>3.265600</c:v>
                </c:pt>
                <c:pt idx="17">
                  <c:v>3.244400</c:v>
                </c:pt>
                <c:pt idx="18">
                  <c:v>3.249000</c:v>
                </c:pt>
                <c:pt idx="19">
                  <c:v>3.252600</c:v>
                </c:pt>
                <c:pt idx="20">
                  <c:v>3.237000</c:v>
                </c:pt>
                <c:pt idx="21">
                  <c:v>3.240600</c:v>
                </c:pt>
                <c:pt idx="22">
                  <c:v>3.237400</c:v>
                </c:pt>
                <c:pt idx="23">
                  <c:v>3.239800</c:v>
                </c:pt>
                <c:pt idx="24">
                  <c:v>3.237800</c:v>
                </c:pt>
                <c:pt idx="26">
                  <c:v>2.817200</c:v>
                </c:pt>
                <c:pt idx="27">
                  <c:v>2.816200</c:v>
                </c:pt>
                <c:pt idx="28">
                  <c:v>2.731300</c:v>
                </c:pt>
                <c:pt idx="29">
                  <c:v>2.714900</c:v>
                </c:pt>
                <c:pt idx="30">
                  <c:v>2.623000</c:v>
                </c:pt>
                <c:pt idx="31">
                  <c:v>2.610100</c:v>
                </c:pt>
                <c:pt idx="32">
                  <c:v>2.602800</c:v>
                </c:pt>
                <c:pt idx="33">
                  <c:v>2.589300</c:v>
                </c:pt>
                <c:pt idx="34">
                  <c:v>2.581600</c:v>
                </c:pt>
                <c:pt idx="35">
                  <c:v>2.573700</c:v>
                </c:pt>
              </c:numCache>
            </c:numRef>
          </c:val>
        </c:ser>
        <c:ser>
          <c:idx val="3"/>
          <c:order val="3"/>
          <c:tx>
            <c:strRef>
              <c:f>'depto - dividendos'!$BD$2</c:f>
              <c:strCache/>
            </c:strRef>
          </c:tx>
          <c:spPr>
            <a:solidFill>
              <a:srgbClr val="497B9F"/>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dividendos'!$BD$5:$BD$160</c:f>
              <c:numCache>
                <c:ptCount val="34"/>
                <c:pt idx="2">
                  <c:v>19.670100</c:v>
                </c:pt>
                <c:pt idx="3">
                  <c:v>57.604000</c:v>
                </c:pt>
                <c:pt idx="4">
                  <c:v>57.909600</c:v>
                </c:pt>
                <c:pt idx="5">
                  <c:v>58.217200</c:v>
                </c:pt>
                <c:pt idx="6">
                  <c:v>58.526800</c:v>
                </c:pt>
                <c:pt idx="7">
                  <c:v>515.000000</c:v>
                </c:pt>
                <c:pt idx="8">
                  <c:v>61.580900</c:v>
                </c:pt>
                <c:pt idx="9">
                  <c:v>61.909500</c:v>
                </c:pt>
                <c:pt idx="10">
                  <c:v>62.239700</c:v>
                </c:pt>
                <c:pt idx="11">
                  <c:v>403.339600</c:v>
                </c:pt>
                <c:pt idx="12">
                  <c:v>64.728600</c:v>
                </c:pt>
                <c:pt idx="13">
                  <c:v>40.060400</c:v>
                </c:pt>
                <c:pt idx="14">
                  <c:v>24.277000</c:v>
                </c:pt>
                <c:pt idx="15">
                  <c:v>25.408500</c:v>
                </c:pt>
                <c:pt idx="16">
                  <c:v>25.546300</c:v>
                </c:pt>
                <c:pt idx="17">
                  <c:v>6.268500</c:v>
                </c:pt>
                <c:pt idx="18">
                  <c:v>6.924200</c:v>
                </c:pt>
                <c:pt idx="19">
                  <c:v>21.065100</c:v>
                </c:pt>
                <c:pt idx="20">
                  <c:v>6.763000</c:v>
                </c:pt>
                <c:pt idx="21">
                  <c:v>11.759400</c:v>
                </c:pt>
                <c:pt idx="22">
                  <c:v>7.764000</c:v>
                </c:pt>
                <c:pt idx="23">
                  <c:v>10.751000</c:v>
                </c:pt>
                <c:pt idx="24">
                  <c:v>8.761300</c:v>
                </c:pt>
                <c:pt idx="25">
                  <c:v>299.563000</c:v>
                </c:pt>
                <c:pt idx="26">
                  <c:v>8.628500</c:v>
                </c:pt>
                <c:pt idx="27">
                  <c:v>67.804500</c:v>
                </c:pt>
                <c:pt idx="28">
                  <c:v>68.174500</c:v>
                </c:pt>
                <c:pt idx="29">
                  <c:v>68.534800</c:v>
                </c:pt>
                <c:pt idx="30">
                  <c:v>15.155600</c:v>
                </c:pt>
                <c:pt idx="31">
                  <c:v>11.241000</c:v>
                </c:pt>
                <c:pt idx="32">
                  <c:v>15.304600</c:v>
                </c:pt>
                <c:pt idx="33">
                  <c:v>11.391000</c:v>
                </c:pt>
                <c:pt idx="34">
                  <c:v>11.455700</c:v>
                </c:pt>
                <c:pt idx="35">
                  <c:v>11.520800</c:v>
                </c:pt>
              </c:numCache>
            </c:numRef>
          </c:val>
        </c:ser>
        <c:gapWidth val="40"/>
        <c:overlap val="100"/>
        <c:axId val="2094734552"/>
        <c:axId val="2094734553"/>
      </c:bar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85"/>
          <c:min val="0"/>
        </c:scaling>
        <c:delete val="0"/>
        <c:axPos val="l"/>
        <c:majorGridlines>
          <c:spPr>
            <a:ln w="3175" cap="flat">
              <a:solidFill>
                <a:srgbClr val="B8B8B8"/>
              </a:solidFill>
              <a:prstDash val="solid"/>
              <a:miter lim="400000"/>
            </a:ln>
          </c:spPr>
        </c:majorGridlines>
        <c:numFmt formatCode="[&lt;0]&quot;UF&quot;* (#,###);&quot;UF&quot;* #,###" sourceLinked="0"/>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122062"/>
          <c:y val="0"/>
          <c:w val="0.825688"/>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5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84293"/>
          <c:y val="0.126667"/>
          <c:w val="0.810559"/>
          <c:h val="0.809167"/>
        </c:manualLayout>
      </c:layout>
      <c:lineChart>
        <c:grouping val="standard"/>
        <c:varyColors val="0"/>
        <c:ser>
          <c:idx val="0"/>
          <c:order val="0"/>
          <c:tx>
            <c:strRef>
              <c:f>'depto - dividendos'!$K$2</c:f>
              <c:strCache>
                <c:ptCount val="1"/>
                <c:pt idx="0">
                  <c:v>credito restante uf</c:v>
                </c:pt>
              </c:strCache>
            </c:strRef>
          </c:tx>
          <c:spPr>
            <a:solidFill>
              <a:srgbClr val="FFFFFF"/>
            </a:solidFill>
            <a:ln w="50800" cap="flat">
              <a:solidFill>
                <a:srgbClr val="CD5248"/>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dividendos'!$K$5:$K$160</c:f>
              <c:numCache>
                <c:ptCount val="36"/>
                <c:pt idx="0">
                  <c:v>3950.000000</c:v>
                </c:pt>
                <c:pt idx="1">
                  <c:v>3983.654400</c:v>
                </c:pt>
                <c:pt idx="2">
                  <c:v>3958.950000</c:v>
                </c:pt>
                <c:pt idx="3">
                  <c:v>3896.333900</c:v>
                </c:pt>
                <c:pt idx="4">
                  <c:v>3833.456200</c:v>
                </c:pt>
                <c:pt idx="5">
                  <c:v>3770.324700</c:v>
                </c:pt>
                <c:pt idx="6">
                  <c:v>3706.938500</c:v>
                </c:pt>
                <c:pt idx="7">
                  <c:v>3191.938500</c:v>
                </c:pt>
                <c:pt idx="8">
                  <c:v>3126.219000</c:v>
                </c:pt>
                <c:pt idx="9">
                  <c:v>3060.234200</c:v>
                </c:pt>
                <c:pt idx="10">
                  <c:v>2993.983400</c:v>
                </c:pt>
                <c:pt idx="11">
                  <c:v>2590.643800</c:v>
                </c:pt>
                <c:pt idx="12">
                  <c:v>2522.498500</c:v>
                </c:pt>
                <c:pt idx="13">
                  <c:v>2479.093000</c:v>
                </c:pt>
                <c:pt idx="14">
                  <c:v>2451.510500</c:v>
                </c:pt>
                <c:pt idx="15">
                  <c:v>2422.815600</c:v>
                </c:pt>
                <c:pt idx="16">
                  <c:v>2394.003700</c:v>
                </c:pt>
                <c:pt idx="17">
                  <c:v>2384.490900</c:v>
                </c:pt>
                <c:pt idx="18">
                  <c:v>2374.317700</c:v>
                </c:pt>
                <c:pt idx="19">
                  <c:v>2350.000000</c:v>
                </c:pt>
                <c:pt idx="20">
                  <c:v>2340.000000</c:v>
                </c:pt>
                <c:pt idx="21">
                  <c:v>2325.000000</c:v>
                </c:pt>
                <c:pt idx="22">
                  <c:v>2313.998600</c:v>
                </c:pt>
                <c:pt idx="23">
                  <c:v>2300.007800</c:v>
                </c:pt>
                <c:pt idx="24">
                  <c:v>2288.008700</c:v>
                </c:pt>
                <c:pt idx="25">
                  <c:v>1988.445700</c:v>
                </c:pt>
                <c:pt idx="26">
                  <c:v>1977.000000</c:v>
                </c:pt>
                <c:pt idx="27">
                  <c:v>1906.379300</c:v>
                </c:pt>
                <c:pt idx="28">
                  <c:v>1835.473500</c:v>
                </c:pt>
                <c:pt idx="29">
                  <c:v>1764.223800</c:v>
                </c:pt>
                <c:pt idx="30">
                  <c:v>1746.445200</c:v>
                </c:pt>
                <c:pt idx="31">
                  <c:v>1732.594100</c:v>
                </c:pt>
                <c:pt idx="32">
                  <c:v>1714.686700</c:v>
                </c:pt>
                <c:pt idx="33">
                  <c:v>1700.706300</c:v>
                </c:pt>
                <c:pt idx="34">
                  <c:v>1686.668900</c:v>
                </c:pt>
                <c:pt idx="35">
                  <c:v>1672.574400</c:v>
                </c:pt>
              </c:numCache>
            </c:numRef>
          </c:val>
          <c:smooth val="0"/>
        </c:ser>
        <c:ser>
          <c:idx val="1"/>
          <c:order val="1"/>
          <c:tx>
            <c:strRef>
              <c:f>'depto - dividendos'!$P$2</c:f>
              <c:strCache>
                <c:ptCount val="1"/>
                <c:pt idx="0">
                  <c:v>valor neto uf</c:v>
                </c:pt>
              </c:strCache>
            </c:strRef>
          </c:tx>
          <c:spPr>
            <a:solidFill>
              <a:srgbClr val="FFFFFF"/>
            </a:solidFill>
            <a:ln w="50800" cap="flat">
              <a:solidFill>
                <a:srgbClr val="497BA1"/>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dividendos'!$P$5:$P$160</c:f>
              <c:numCache>
                <c:ptCount val="36"/>
                <c:pt idx="0">
                  <c:v>1450.000000</c:v>
                </c:pt>
                <c:pt idx="1">
                  <c:v>1416.345600</c:v>
                </c:pt>
                <c:pt idx="2">
                  <c:v>1441.050000</c:v>
                </c:pt>
                <c:pt idx="3">
                  <c:v>1503.666100</c:v>
                </c:pt>
                <c:pt idx="4">
                  <c:v>1566.543800</c:v>
                </c:pt>
                <c:pt idx="5">
                  <c:v>1629.675300</c:v>
                </c:pt>
                <c:pt idx="6">
                  <c:v>1693.061500</c:v>
                </c:pt>
                <c:pt idx="7">
                  <c:v>2208.061500</c:v>
                </c:pt>
                <c:pt idx="8">
                  <c:v>2273.781000</c:v>
                </c:pt>
                <c:pt idx="9">
                  <c:v>2339.765800</c:v>
                </c:pt>
                <c:pt idx="10">
                  <c:v>2406.016600</c:v>
                </c:pt>
                <c:pt idx="11">
                  <c:v>2809.356200</c:v>
                </c:pt>
                <c:pt idx="12">
                  <c:v>2877.501500</c:v>
                </c:pt>
                <c:pt idx="13">
                  <c:v>2920.907000</c:v>
                </c:pt>
                <c:pt idx="14">
                  <c:v>2948.489500</c:v>
                </c:pt>
                <c:pt idx="15">
                  <c:v>2977.184400</c:v>
                </c:pt>
                <c:pt idx="16">
                  <c:v>3005.996300</c:v>
                </c:pt>
                <c:pt idx="17">
                  <c:v>3015.509100</c:v>
                </c:pt>
                <c:pt idx="18">
                  <c:v>3025.682300</c:v>
                </c:pt>
                <c:pt idx="19">
                  <c:v>3050.000000</c:v>
                </c:pt>
                <c:pt idx="20">
                  <c:v>3060.000000</c:v>
                </c:pt>
                <c:pt idx="21">
                  <c:v>3075.000000</c:v>
                </c:pt>
                <c:pt idx="22">
                  <c:v>3086.001400</c:v>
                </c:pt>
                <c:pt idx="23">
                  <c:v>3099.992200</c:v>
                </c:pt>
                <c:pt idx="24">
                  <c:v>3111.991300</c:v>
                </c:pt>
                <c:pt idx="25">
                  <c:v>3411.554300</c:v>
                </c:pt>
                <c:pt idx="26">
                  <c:v>3423.000000</c:v>
                </c:pt>
                <c:pt idx="27">
                  <c:v>3493.620700</c:v>
                </c:pt>
                <c:pt idx="28">
                  <c:v>3564.526500</c:v>
                </c:pt>
                <c:pt idx="29">
                  <c:v>3635.776200</c:v>
                </c:pt>
                <c:pt idx="30">
                  <c:v>3653.554800</c:v>
                </c:pt>
                <c:pt idx="31">
                  <c:v>3667.405900</c:v>
                </c:pt>
                <c:pt idx="32">
                  <c:v>3685.313300</c:v>
                </c:pt>
                <c:pt idx="33">
                  <c:v>3699.293700</c:v>
                </c:pt>
                <c:pt idx="34">
                  <c:v>3713.331100</c:v>
                </c:pt>
                <c:pt idx="35">
                  <c:v>3727.425600</c:v>
                </c:pt>
              </c:numCache>
            </c:numRef>
          </c:val>
          <c:smooth val="0"/>
        </c:ser>
        <c:ser>
          <c:idx val="2"/>
          <c:order val="2"/>
          <c:tx>
            <c:strRef>
              <c:f>'depto - dividendos'!$T$2</c:f>
              <c:strCache>
                <c:ptCount val="1"/>
                <c:pt idx="0">
                  <c:v>valor uf</c:v>
                </c:pt>
              </c:strCache>
            </c:strRef>
          </c:tx>
          <c:spPr>
            <a:solidFill>
              <a:srgbClr val="FFFFFF"/>
            </a:solidFill>
            <a:ln w="50800" cap="flat">
              <a:solidFill>
                <a:srgbClr val="3B67D1"/>
              </a:solidFill>
              <a:prstDash val="solid"/>
              <a:miter lim="400000"/>
            </a:ln>
            <a:effectLst/>
          </c:spPr>
          <c:marker>
            <c:symbol val="none"/>
            <c:size val="4"/>
            <c:spPr>
              <a:solidFill>
                <a:srgbClr val="FFFFFF"/>
              </a:solidFill>
              <a:ln w="50800" cap="flat">
                <a:solidFill>
                  <a:srgbClr val="FBE12B"/>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dividendos'!$T$5:$T$160</c:f>
              <c:numCache>
                <c:ptCount val="36"/>
                <c:pt idx="0">
                  <c:v>5400.000000</c:v>
                </c:pt>
                <c:pt idx="1">
                  <c:v>5400.000000</c:v>
                </c:pt>
                <c:pt idx="2">
                  <c:v>5400.000000</c:v>
                </c:pt>
                <c:pt idx="3">
                  <c:v>5400.000000</c:v>
                </c:pt>
                <c:pt idx="4">
                  <c:v>5400.000000</c:v>
                </c:pt>
                <c:pt idx="5">
                  <c:v>5400.000000</c:v>
                </c:pt>
                <c:pt idx="6">
                  <c:v>5400.000000</c:v>
                </c:pt>
                <c:pt idx="7">
                  <c:v>5400.000000</c:v>
                </c:pt>
                <c:pt idx="8">
                  <c:v>5400.000000</c:v>
                </c:pt>
                <c:pt idx="9">
                  <c:v>5400.000000</c:v>
                </c:pt>
                <c:pt idx="10">
                  <c:v>5400.000000</c:v>
                </c:pt>
                <c:pt idx="11">
                  <c:v>5400.000000</c:v>
                </c:pt>
                <c:pt idx="12">
                  <c:v>5400.000000</c:v>
                </c:pt>
                <c:pt idx="13">
                  <c:v>5400.000000</c:v>
                </c:pt>
                <c:pt idx="14">
                  <c:v>5400.000000</c:v>
                </c:pt>
                <c:pt idx="15">
                  <c:v>5400.000000</c:v>
                </c:pt>
                <c:pt idx="16">
                  <c:v>5400.000000</c:v>
                </c:pt>
                <c:pt idx="17">
                  <c:v>5400.000000</c:v>
                </c:pt>
                <c:pt idx="18">
                  <c:v>5400.000000</c:v>
                </c:pt>
                <c:pt idx="19">
                  <c:v>5400.000000</c:v>
                </c:pt>
                <c:pt idx="20">
                  <c:v>5400.000000</c:v>
                </c:pt>
                <c:pt idx="21">
                  <c:v>5400.000000</c:v>
                </c:pt>
                <c:pt idx="22">
                  <c:v>5400.000000</c:v>
                </c:pt>
                <c:pt idx="23">
                  <c:v>5400.000000</c:v>
                </c:pt>
                <c:pt idx="24">
                  <c:v>5400.000000</c:v>
                </c:pt>
                <c:pt idx="25">
                  <c:v>5400.000000</c:v>
                </c:pt>
                <c:pt idx="26">
                  <c:v>5400.000000</c:v>
                </c:pt>
                <c:pt idx="27">
                  <c:v>5400.000000</c:v>
                </c:pt>
                <c:pt idx="28">
                  <c:v>5400.000000</c:v>
                </c:pt>
                <c:pt idx="29">
                  <c:v>5400.000000</c:v>
                </c:pt>
                <c:pt idx="30">
                  <c:v>5400.000000</c:v>
                </c:pt>
                <c:pt idx="31">
                  <c:v>5400.000000</c:v>
                </c:pt>
                <c:pt idx="32">
                  <c:v>5400.000000</c:v>
                </c:pt>
                <c:pt idx="33">
                  <c:v>5400.000000</c:v>
                </c:pt>
                <c:pt idx="34">
                  <c:v>5400.000000</c:v>
                </c:pt>
                <c:pt idx="35">
                  <c:v>5400.000000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100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173774"/>
          <c:y val="0"/>
          <c:w val="0.772212"/>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5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60365"/>
          <c:y val="0.126667"/>
          <c:w val="0.834635"/>
          <c:h val="0.809167"/>
        </c:manualLayout>
      </c:layout>
      <c:barChart>
        <c:barDir val="col"/>
        <c:grouping val="stacked"/>
        <c:varyColors val="0"/>
        <c:ser>
          <c:idx val="0"/>
          <c:order val="0"/>
          <c:tx>
            <c:strRef>
              <c:f>'depto - dividendos'!$M$2</c:f>
              <c:strCache>
                <c:ptCount val="1"/>
                <c:pt idx="0">
                  <c:v>restante</c:v>
                </c:pt>
              </c:strCache>
            </c:strRef>
          </c:tx>
          <c:spPr>
            <a:solidFill>
              <a:srgbClr val="CE5248"/>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dividendos'!$M$5:$M$160</c:f>
              <c:numCache>
                <c:ptCount val="36"/>
                <c:pt idx="0">
                  <c:v>146632532.000000</c:v>
                </c:pt>
                <c:pt idx="1">
                  <c:v>148537645.000000</c:v>
                </c:pt>
                <c:pt idx="2">
                  <c:v>148507657.000000</c:v>
                </c:pt>
                <c:pt idx="3">
                  <c:v>146514662.000000</c:v>
                </c:pt>
                <c:pt idx="4">
                  <c:v>144080221.000000</c:v>
                </c:pt>
                <c:pt idx="5">
                  <c:v>142677909.000000</c:v>
                </c:pt>
                <c:pt idx="6">
                  <c:v>140667010.000000</c:v>
                </c:pt>
                <c:pt idx="7">
                  <c:v>121600057.000000</c:v>
                </c:pt>
                <c:pt idx="8">
                  <c:v>118820206.000000</c:v>
                </c:pt>
                <c:pt idx="9">
                  <c:v>117412648.000000</c:v>
                </c:pt>
                <c:pt idx="10">
                  <c:v>114900370.000000</c:v>
                </c:pt>
                <c:pt idx="11">
                  <c:v>99460230.000000</c:v>
                </c:pt>
                <c:pt idx="12">
                  <c:v>96843989.000000</c:v>
                </c:pt>
                <c:pt idx="13">
                  <c:v>96174107.000000</c:v>
                </c:pt>
                <c:pt idx="14">
                  <c:v>95491654.000000</c:v>
                </c:pt>
                <c:pt idx="15">
                  <c:v>94826483.000000</c:v>
                </c:pt>
                <c:pt idx="16">
                  <c:v>93886625.000000</c:v>
                </c:pt>
                <c:pt idx="17">
                  <c:v>93663876.000000</c:v>
                </c:pt>
                <c:pt idx="18">
                  <c:v>92968974.000000</c:v>
                </c:pt>
                <c:pt idx="19">
                  <c:v>92791278.000000</c:v>
                </c:pt>
                <c:pt idx="20">
                  <c:v>92420219.000000</c:v>
                </c:pt>
                <c:pt idx="21">
                  <c:v>92171347.000000</c:v>
                </c:pt>
                <c:pt idx="22">
                  <c:v>91752937.000000</c:v>
                </c:pt>
                <c:pt idx="23">
                  <c:v>91271187.000000</c:v>
                </c:pt>
                <c:pt idx="24">
                  <c:v>90820927.000000</c:v>
                </c:pt>
                <c:pt idx="25">
                  <c:v>79223097.000000</c:v>
                </c:pt>
                <c:pt idx="26">
                  <c:v>78767080.000000</c:v>
                </c:pt>
                <c:pt idx="27">
                  <c:v>76003835.000000</c:v>
                </c:pt>
                <c:pt idx="28">
                  <c:v>73921291.000000</c:v>
                </c:pt>
                <c:pt idx="29">
                  <c:v>71975476.000000</c:v>
                </c:pt>
                <c:pt idx="30">
                  <c:v>72012535.000000</c:v>
                </c:pt>
                <c:pt idx="31">
                  <c:v>71441401.000000</c:v>
                </c:pt>
                <c:pt idx="32">
                  <c:v>70801996.000000</c:v>
                </c:pt>
                <c:pt idx="33">
                  <c:v>70596915.000000</c:v>
                </c:pt>
                <c:pt idx="34">
                  <c:v>70273270.000000</c:v>
                </c:pt>
                <c:pt idx="35">
                  <c:v>69699975.000000</c:v>
                </c:pt>
              </c:numCache>
            </c:numRef>
          </c:val>
        </c:ser>
        <c:ser>
          <c:idx val="1"/>
          <c:order val="1"/>
          <c:tx>
            <c:strRef>
              <c:f>'depto - dividendos'!$CC$2</c:f>
              <c:strCache>
                <c:ptCount val="1"/>
                <c:pt idx="0">
                  <c:v>amortizacion acm</c:v>
                </c:pt>
              </c:strCache>
            </c:strRef>
          </c:tx>
          <c:spPr>
            <a:solidFill>
              <a:srgbClr val="497BA0"/>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dividendos'!$CC$5:$CC$160</c:f>
              <c:numCache>
                <c:ptCount val="35"/>
                <c:pt idx="1">
                  <c:v>0.000000</c:v>
                </c:pt>
                <c:pt idx="2">
                  <c:v>926381.000000</c:v>
                </c:pt>
                <c:pt idx="3">
                  <c:v>3281278.000000</c:v>
                </c:pt>
                <c:pt idx="4">
                  <c:v>5644532.000000</c:v>
                </c:pt>
                <c:pt idx="5">
                  <c:v>8033575.000000</c:v>
                </c:pt>
                <c:pt idx="6">
                  <c:v>10438887.000000</c:v>
                </c:pt>
                <c:pt idx="7">
                  <c:v>30058322.000000</c:v>
                </c:pt>
                <c:pt idx="8">
                  <c:v>32556165.000000</c:v>
                </c:pt>
                <c:pt idx="9">
                  <c:v>35087817.000000</c:v>
                </c:pt>
                <c:pt idx="10">
                  <c:v>37630331.000000</c:v>
                </c:pt>
                <c:pt idx="11">
                  <c:v>53115383.000000</c:v>
                </c:pt>
                <c:pt idx="12">
                  <c:v>55731624.000000</c:v>
                </c:pt>
                <c:pt idx="13">
                  <c:v>57415500.000000</c:v>
                </c:pt>
                <c:pt idx="14">
                  <c:v>58489898.000000</c:v>
                </c:pt>
                <c:pt idx="15">
                  <c:v>59612982.000000</c:v>
                </c:pt>
                <c:pt idx="16">
                  <c:v>60742910.000000</c:v>
                </c:pt>
                <c:pt idx="17">
                  <c:v>61116579.000000</c:v>
                </c:pt>
                <c:pt idx="18">
                  <c:v>61514920.000000</c:v>
                </c:pt>
                <c:pt idx="19">
                  <c:v>62475121.000000</c:v>
                </c:pt>
                <c:pt idx="20">
                  <c:v>62870079.000000</c:v>
                </c:pt>
                <c:pt idx="21">
                  <c:v>63464733.000000</c:v>
                </c:pt>
                <c:pt idx="22">
                  <c:v>63900952.000000</c:v>
                </c:pt>
                <c:pt idx="23">
                  <c:v>64456149.000000</c:v>
                </c:pt>
                <c:pt idx="24">
                  <c:v>64932445.000000</c:v>
                </c:pt>
                <c:pt idx="25">
                  <c:v>76867552.000000</c:v>
                </c:pt>
                <c:pt idx="26">
                  <c:v>77323568.000000</c:v>
                </c:pt>
                <c:pt idx="27">
                  <c:v>80139085.000000</c:v>
                </c:pt>
                <c:pt idx="28">
                  <c:v>82994723.000000</c:v>
                </c:pt>
                <c:pt idx="29">
                  <c:v>85901514.649189</c:v>
                </c:pt>
                <c:pt idx="30">
                  <c:v>86634595.139728</c:v>
                </c:pt>
                <c:pt idx="31">
                  <c:v>87205727.068940</c:v>
                </c:pt>
                <c:pt idx="32">
                  <c:v>87945151.604593</c:v>
                </c:pt>
                <c:pt idx="33">
                  <c:v>88525482.312504</c:v>
                </c:pt>
                <c:pt idx="34">
                  <c:v>89110335.447918</c:v>
                </c:pt>
                <c:pt idx="35">
                  <c:v>89697686.340001</c:v>
                </c:pt>
              </c:numCache>
            </c:numRef>
          </c:val>
        </c:ser>
        <c:ser>
          <c:idx val="2"/>
          <c:order val="2"/>
          <c:tx>
            <c:strRef>
              <c:f>'depto - dividendos'!$BW$2</c:f>
              <c:strCache>
                <c:ptCount val="1"/>
                <c:pt idx="0">
                  <c:v>interes acum</c:v>
                </c:pt>
              </c:strCache>
            </c:strRef>
          </c:tx>
          <c:spPr>
            <a:solidFill>
              <a:srgbClr val="5E99C5"/>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dividendos'!$BW$5:$BW$160</c:f>
              <c:numCache>
                <c:ptCount val="34"/>
                <c:pt idx="2">
                  <c:v>0.000000</c:v>
                </c:pt>
                <c:pt idx="3">
                  <c:v>602761.000000</c:v>
                </c:pt>
                <c:pt idx="4">
                  <c:v>1195727.000000</c:v>
                </c:pt>
                <c:pt idx="5">
                  <c:v>1783150.000000</c:v>
                </c:pt>
                <c:pt idx="6">
                  <c:v>2362532.000000</c:v>
                </c:pt>
                <c:pt idx="7">
                  <c:v>2526538.000000</c:v>
                </c:pt>
                <c:pt idx="8">
                  <c:v>3018163.000000</c:v>
                </c:pt>
                <c:pt idx="9">
                  <c:v>3504272.000000</c:v>
                </c:pt>
                <c:pt idx="10">
                  <c:v>3980286.000000</c:v>
                </c:pt>
                <c:pt idx="11">
                  <c:v>4095234.000000</c:v>
                </c:pt>
                <c:pt idx="12">
                  <c:v>4498700.000000</c:v>
                </c:pt>
                <c:pt idx="13">
                  <c:v>4895726.000000</c:v>
                </c:pt>
                <c:pt idx="14">
                  <c:v>5287550.000000</c:v>
                </c:pt>
                <c:pt idx="15">
                  <c:v>5676904.000000</c:v>
                </c:pt>
                <c:pt idx="16">
                  <c:v>6062493.000000</c:v>
                </c:pt>
                <c:pt idx="17">
                  <c:v>6444138.000000</c:v>
                </c:pt>
                <c:pt idx="18">
                  <c:v>6823071.000000</c:v>
                </c:pt>
                <c:pt idx="19">
                  <c:v>7203574.000000</c:v>
                </c:pt>
                <c:pt idx="20">
                  <c:v>7580297.000000</c:v>
                </c:pt>
                <c:pt idx="21">
                  <c:v>7956840.000000</c:v>
                </c:pt>
                <c:pt idx="22">
                  <c:v>8331053.000000</c:v>
                </c:pt>
                <c:pt idx="23">
                  <c:v>8703799.000000</c:v>
                </c:pt>
                <c:pt idx="24">
                  <c:v>9074413.000000</c:v>
                </c:pt>
                <c:pt idx="25">
                  <c:v>9159306.000000</c:v>
                </c:pt>
                <c:pt idx="26">
                  <c:v>9481215.000000</c:v>
                </c:pt>
                <c:pt idx="27">
                  <c:v>9801504.000000</c:v>
                </c:pt>
                <c:pt idx="28">
                  <c:v>10113569.000000</c:v>
                </c:pt>
                <c:pt idx="29">
                  <c:v>10415664.350811</c:v>
                </c:pt>
                <c:pt idx="30">
                  <c:v>10709139.860272</c:v>
                </c:pt>
                <c:pt idx="31">
                  <c:v>10999657.931060</c:v>
                </c:pt>
                <c:pt idx="32">
                  <c:v>11288275.395407</c:v>
                </c:pt>
                <c:pt idx="33">
                  <c:v>11575423.687497</c:v>
                </c:pt>
                <c:pt idx="34">
                  <c:v>11861284.552082</c:v>
                </c:pt>
                <c:pt idx="35">
                  <c:v>12144842.659999</c:v>
                </c:pt>
              </c:numCache>
            </c:numRef>
          </c:val>
        </c:ser>
        <c:gapWidth val="40"/>
        <c:overlap val="100"/>
        <c:axId val="2094734552"/>
        <c:axId val="2094734553"/>
      </c:bar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2.5e+08"/>
          <c:min val="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149468"/>
          <c:y val="0"/>
          <c:w val="0.799913"/>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5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85246"/>
          <c:y val="0.126667"/>
          <c:w val="0.809754"/>
          <c:h val="0.809167"/>
        </c:manualLayout>
      </c:layout>
      <c:barChart>
        <c:barDir val="col"/>
        <c:grouping val="stacked"/>
        <c:varyColors val="0"/>
        <c:ser>
          <c:idx val="0"/>
          <c:order val="0"/>
          <c:tx>
            <c:strRef>
              <c:f>'depto - dividendos'!$K$2</c:f>
              <c:strCache>
                <c:ptCount val="1"/>
                <c:pt idx="0">
                  <c:v>credito restante uf</c:v>
                </c:pt>
              </c:strCache>
            </c:strRef>
          </c:tx>
          <c:spPr>
            <a:solidFill>
              <a:srgbClr val="CE5248"/>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dividendos'!$K$5:$K$160</c:f>
              <c:numCache>
                <c:ptCount val="36"/>
                <c:pt idx="0">
                  <c:v>3950.000000</c:v>
                </c:pt>
                <c:pt idx="1">
                  <c:v>3983.654400</c:v>
                </c:pt>
                <c:pt idx="2">
                  <c:v>3958.950000</c:v>
                </c:pt>
                <c:pt idx="3">
                  <c:v>3896.333900</c:v>
                </c:pt>
                <c:pt idx="4">
                  <c:v>3833.456200</c:v>
                </c:pt>
                <c:pt idx="5">
                  <c:v>3770.324700</c:v>
                </c:pt>
                <c:pt idx="6">
                  <c:v>3706.938500</c:v>
                </c:pt>
                <c:pt idx="7">
                  <c:v>3191.938500</c:v>
                </c:pt>
                <c:pt idx="8">
                  <c:v>3126.219000</c:v>
                </c:pt>
                <c:pt idx="9">
                  <c:v>3060.234200</c:v>
                </c:pt>
                <c:pt idx="10">
                  <c:v>2993.983400</c:v>
                </c:pt>
                <c:pt idx="11">
                  <c:v>2590.643800</c:v>
                </c:pt>
                <c:pt idx="12">
                  <c:v>2522.498500</c:v>
                </c:pt>
                <c:pt idx="13">
                  <c:v>2479.093000</c:v>
                </c:pt>
                <c:pt idx="14">
                  <c:v>2451.510500</c:v>
                </c:pt>
                <c:pt idx="15">
                  <c:v>2422.815600</c:v>
                </c:pt>
                <c:pt idx="16">
                  <c:v>2394.003700</c:v>
                </c:pt>
                <c:pt idx="17">
                  <c:v>2384.490900</c:v>
                </c:pt>
                <c:pt idx="18">
                  <c:v>2374.317700</c:v>
                </c:pt>
                <c:pt idx="19">
                  <c:v>2350.000000</c:v>
                </c:pt>
                <c:pt idx="20">
                  <c:v>2340.000000</c:v>
                </c:pt>
                <c:pt idx="21">
                  <c:v>2325.000000</c:v>
                </c:pt>
                <c:pt idx="22">
                  <c:v>2313.998600</c:v>
                </c:pt>
                <c:pt idx="23">
                  <c:v>2300.007800</c:v>
                </c:pt>
                <c:pt idx="24">
                  <c:v>2288.008700</c:v>
                </c:pt>
                <c:pt idx="25">
                  <c:v>1988.445700</c:v>
                </c:pt>
                <c:pt idx="26">
                  <c:v>1977.000000</c:v>
                </c:pt>
                <c:pt idx="27">
                  <c:v>1906.379300</c:v>
                </c:pt>
                <c:pt idx="28">
                  <c:v>1835.473500</c:v>
                </c:pt>
                <c:pt idx="29">
                  <c:v>1764.223800</c:v>
                </c:pt>
                <c:pt idx="30">
                  <c:v>1746.445200</c:v>
                </c:pt>
                <c:pt idx="31">
                  <c:v>1732.594100</c:v>
                </c:pt>
                <c:pt idx="32">
                  <c:v>1714.686700</c:v>
                </c:pt>
                <c:pt idx="33">
                  <c:v>1700.706300</c:v>
                </c:pt>
                <c:pt idx="34">
                  <c:v>1686.668900</c:v>
                </c:pt>
                <c:pt idx="35">
                  <c:v>1672.574400</c:v>
                </c:pt>
              </c:numCache>
            </c:numRef>
          </c:val>
        </c:ser>
        <c:ser>
          <c:idx val="1"/>
          <c:order val="1"/>
          <c:tx>
            <c:strRef>
              <c:f>'depto - dividendos'!$R$2</c:f>
              <c:strCache>
                <c:ptCount val="1"/>
                <c:pt idx="0">
                  <c:v>pagado neto uf</c:v>
                </c:pt>
              </c:strCache>
            </c:strRef>
          </c:tx>
          <c:spPr>
            <a:solidFill>
              <a:srgbClr val="497BA0"/>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dividendos'!$R$5:$R$160</c:f>
              <c:numCache>
                <c:ptCount val="36"/>
                <c:pt idx="0">
                  <c:v>0.000000</c:v>
                </c:pt>
                <c:pt idx="1">
                  <c:v>-33.654400</c:v>
                </c:pt>
                <c:pt idx="2">
                  <c:v>-8.950000</c:v>
                </c:pt>
                <c:pt idx="3">
                  <c:v>53.666100</c:v>
                </c:pt>
                <c:pt idx="4">
                  <c:v>116.543800</c:v>
                </c:pt>
                <c:pt idx="5">
                  <c:v>179.675300</c:v>
                </c:pt>
                <c:pt idx="6">
                  <c:v>243.061500</c:v>
                </c:pt>
                <c:pt idx="7">
                  <c:v>758.061500</c:v>
                </c:pt>
                <c:pt idx="8">
                  <c:v>823.781000</c:v>
                </c:pt>
                <c:pt idx="9">
                  <c:v>889.765800</c:v>
                </c:pt>
                <c:pt idx="10">
                  <c:v>956.016600</c:v>
                </c:pt>
                <c:pt idx="11">
                  <c:v>1359.356200</c:v>
                </c:pt>
                <c:pt idx="12">
                  <c:v>1427.501500</c:v>
                </c:pt>
                <c:pt idx="13">
                  <c:v>1470.907000</c:v>
                </c:pt>
                <c:pt idx="14">
                  <c:v>1498.489500</c:v>
                </c:pt>
                <c:pt idx="15">
                  <c:v>1527.184400</c:v>
                </c:pt>
                <c:pt idx="16">
                  <c:v>1555.996300</c:v>
                </c:pt>
                <c:pt idx="17">
                  <c:v>1565.509100</c:v>
                </c:pt>
                <c:pt idx="18">
                  <c:v>1575.682300</c:v>
                </c:pt>
                <c:pt idx="19">
                  <c:v>1600.000000</c:v>
                </c:pt>
                <c:pt idx="20">
                  <c:v>1610.000000</c:v>
                </c:pt>
                <c:pt idx="21">
                  <c:v>1625.000000</c:v>
                </c:pt>
                <c:pt idx="22">
                  <c:v>1636.001400</c:v>
                </c:pt>
                <c:pt idx="23">
                  <c:v>1649.992200</c:v>
                </c:pt>
                <c:pt idx="24">
                  <c:v>1661.991300</c:v>
                </c:pt>
                <c:pt idx="25">
                  <c:v>1961.554300</c:v>
                </c:pt>
                <c:pt idx="26">
                  <c:v>1973.000000</c:v>
                </c:pt>
                <c:pt idx="27">
                  <c:v>2043.620700</c:v>
                </c:pt>
                <c:pt idx="28">
                  <c:v>2114.526500</c:v>
                </c:pt>
                <c:pt idx="29">
                  <c:v>2185.776200</c:v>
                </c:pt>
                <c:pt idx="30">
                  <c:v>2203.554800</c:v>
                </c:pt>
                <c:pt idx="31">
                  <c:v>2217.405900</c:v>
                </c:pt>
                <c:pt idx="32">
                  <c:v>2235.313300</c:v>
                </c:pt>
                <c:pt idx="33">
                  <c:v>2249.293700</c:v>
                </c:pt>
                <c:pt idx="34">
                  <c:v>2263.331100</c:v>
                </c:pt>
                <c:pt idx="35">
                  <c:v>2277.425600</c:v>
                </c:pt>
              </c:numCache>
            </c:numRef>
          </c:val>
        </c:ser>
        <c:ser>
          <c:idx val="2"/>
          <c:order val="2"/>
          <c:tx>
            <c:strRef>
              <c:f>'depto - dividendos'!$BY$2</c:f>
              <c:strCache>
                <c:ptCount val="1"/>
                <c:pt idx="0">
                  <c:v>interes acum UF</c:v>
                </c:pt>
              </c:strCache>
            </c:strRef>
          </c:tx>
          <c:spPr>
            <a:solidFill>
              <a:srgbClr val="5E99C5"/>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dividendos'!$BY$5:$BY$160</c:f>
              <c:numCache>
                <c:ptCount val="34"/>
                <c:pt idx="2">
                  <c:v>0.000000</c:v>
                </c:pt>
                <c:pt idx="3">
                  <c:v>16.029500</c:v>
                </c:pt>
                <c:pt idx="4">
                  <c:v>31.806200</c:v>
                </c:pt>
                <c:pt idx="5">
                  <c:v>47.329100</c:v>
                </c:pt>
                <c:pt idx="6">
                  <c:v>62.597300</c:v>
                </c:pt>
                <c:pt idx="7">
                  <c:v>66.902400</c:v>
                </c:pt>
                <c:pt idx="8">
                  <c:v>79.837300</c:v>
                </c:pt>
                <c:pt idx="9">
                  <c:v>92.507200</c:v>
                </c:pt>
                <c:pt idx="10">
                  <c:v>104.910800</c:v>
                </c:pt>
                <c:pt idx="11">
                  <c:v>107.904800</c:v>
                </c:pt>
                <c:pt idx="12">
                  <c:v>118.413900</c:v>
                </c:pt>
                <c:pt idx="13">
                  <c:v>128.648100</c:v>
                </c:pt>
                <c:pt idx="14">
                  <c:v>138.707200</c:v>
                </c:pt>
                <c:pt idx="15">
                  <c:v>148.655200</c:v>
                </c:pt>
                <c:pt idx="16">
                  <c:v>158.487300</c:v>
                </c:pt>
                <c:pt idx="17">
                  <c:v>168.203200</c:v>
                </c:pt>
                <c:pt idx="18">
                  <c:v>177.880700</c:v>
                </c:pt>
                <c:pt idx="19">
                  <c:v>187.517200</c:v>
                </c:pt>
                <c:pt idx="20">
                  <c:v>197.055500</c:v>
                </c:pt>
                <c:pt idx="21">
                  <c:v>206.553700</c:v>
                </c:pt>
                <c:pt idx="22">
                  <c:v>215.991300</c:v>
                </c:pt>
                <c:pt idx="23">
                  <c:v>225.384400</c:v>
                </c:pt>
                <c:pt idx="24">
                  <c:v>234.721100</c:v>
                </c:pt>
                <c:pt idx="25">
                  <c:v>236.851800</c:v>
                </c:pt>
                <c:pt idx="26">
                  <c:v>244.931500</c:v>
                </c:pt>
                <c:pt idx="27">
                  <c:v>252.965200</c:v>
                </c:pt>
                <c:pt idx="28">
                  <c:v>260.713800</c:v>
                </c:pt>
                <c:pt idx="29">
                  <c:v>268.118600</c:v>
                </c:pt>
                <c:pt idx="30">
                  <c:v>275.236000</c:v>
                </c:pt>
                <c:pt idx="31">
                  <c:v>282.281600</c:v>
                </c:pt>
                <c:pt idx="32">
                  <c:v>289.271400</c:v>
                </c:pt>
                <c:pt idx="33">
                  <c:v>296.188900</c:v>
                </c:pt>
                <c:pt idx="34">
                  <c:v>303.050000</c:v>
                </c:pt>
                <c:pt idx="35">
                  <c:v>309.854500</c:v>
                </c:pt>
              </c:numCache>
            </c:numRef>
          </c:val>
        </c:ser>
        <c:gapWidth val="40"/>
        <c:overlap val="100"/>
        <c:axId val="2094734552"/>
        <c:axId val="2094734553"/>
      </c:barChart>
      <c:catAx>
        <c:axId val="2094734552"/>
        <c:scaling>
          <c:orientation val="minMax"/>
        </c:scaling>
        <c:delete val="0"/>
        <c:axPos val="b"/>
        <c:numFmt formatCode="[&lt;0]&quot;UF &quot;* (#,###.????);&quot;UF &quot;* #,###.????"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0"/>
        </c:scaling>
        <c:delete val="0"/>
        <c:axPos val="l"/>
        <c:majorGridlines>
          <c:spPr>
            <a:ln w="3175" cap="flat">
              <a:solidFill>
                <a:srgbClr val="B8B8B8"/>
              </a:solidFill>
              <a:prstDash val="solid"/>
              <a:miter lim="400000"/>
            </a:ln>
          </c:spPr>
        </c:majorGridlines>
        <c:numFmt formatCode="[&lt;0]&quot;UF &quot;* (#,###.????);&quot;UF &quot;* #,###.????"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174673"/>
          <c:y val="0"/>
          <c:w val="0.776208"/>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5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43229"/>
          <c:y val="0.126667"/>
          <c:w val="0.900677"/>
          <c:h val="0.809167"/>
        </c:manualLayout>
      </c:layout>
      <c:barChart>
        <c:barDir val="col"/>
        <c:grouping val="percentStacked"/>
        <c:varyColors val="0"/>
        <c:ser>
          <c:idx val="0"/>
          <c:order val="0"/>
          <c:tx>
            <c:strRef>
              <c:f>'depto - dividendos'!$BW$2</c:f>
              <c:strCache>
                <c:ptCount val="1"/>
                <c:pt idx="0">
                  <c:v>interes acum</c:v>
                </c:pt>
              </c:strCache>
            </c:strRef>
          </c:tx>
          <c:spPr>
            <a:solidFill>
              <a:srgbClr val="CE5248"/>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dividendos'!$BW$5:$BW$160</c:f>
              <c:numCache>
                <c:ptCount val="34"/>
                <c:pt idx="2">
                  <c:v>0.000000</c:v>
                </c:pt>
                <c:pt idx="3">
                  <c:v>602761.000000</c:v>
                </c:pt>
                <c:pt idx="4">
                  <c:v>1195727.000000</c:v>
                </c:pt>
                <c:pt idx="5">
                  <c:v>1783150.000000</c:v>
                </c:pt>
                <c:pt idx="6">
                  <c:v>2362532.000000</c:v>
                </c:pt>
                <c:pt idx="7">
                  <c:v>2526538.000000</c:v>
                </c:pt>
                <c:pt idx="8">
                  <c:v>3018163.000000</c:v>
                </c:pt>
                <c:pt idx="9">
                  <c:v>3504272.000000</c:v>
                </c:pt>
                <c:pt idx="10">
                  <c:v>3980286.000000</c:v>
                </c:pt>
                <c:pt idx="11">
                  <c:v>4095234.000000</c:v>
                </c:pt>
                <c:pt idx="12">
                  <c:v>4498700.000000</c:v>
                </c:pt>
                <c:pt idx="13">
                  <c:v>4895726.000000</c:v>
                </c:pt>
                <c:pt idx="14">
                  <c:v>5287550.000000</c:v>
                </c:pt>
                <c:pt idx="15">
                  <c:v>5676904.000000</c:v>
                </c:pt>
                <c:pt idx="16">
                  <c:v>6062493.000000</c:v>
                </c:pt>
                <c:pt idx="17">
                  <c:v>6444138.000000</c:v>
                </c:pt>
                <c:pt idx="18">
                  <c:v>6823071.000000</c:v>
                </c:pt>
                <c:pt idx="19">
                  <c:v>7203574.000000</c:v>
                </c:pt>
                <c:pt idx="20">
                  <c:v>7580297.000000</c:v>
                </c:pt>
                <c:pt idx="21">
                  <c:v>7956840.000000</c:v>
                </c:pt>
                <c:pt idx="22">
                  <c:v>8331053.000000</c:v>
                </c:pt>
                <c:pt idx="23">
                  <c:v>8703799.000000</c:v>
                </c:pt>
                <c:pt idx="24">
                  <c:v>9074413.000000</c:v>
                </c:pt>
                <c:pt idx="25">
                  <c:v>9159306.000000</c:v>
                </c:pt>
                <c:pt idx="26">
                  <c:v>9481215.000000</c:v>
                </c:pt>
                <c:pt idx="27">
                  <c:v>9801504.000000</c:v>
                </c:pt>
                <c:pt idx="28">
                  <c:v>10113569.000000</c:v>
                </c:pt>
                <c:pt idx="29">
                  <c:v>10415664.350811</c:v>
                </c:pt>
                <c:pt idx="30">
                  <c:v>10709139.860272</c:v>
                </c:pt>
                <c:pt idx="31">
                  <c:v>10999657.931060</c:v>
                </c:pt>
                <c:pt idx="32">
                  <c:v>11288275.395407</c:v>
                </c:pt>
                <c:pt idx="33">
                  <c:v>11575423.687497</c:v>
                </c:pt>
                <c:pt idx="34">
                  <c:v>11861284.552082</c:v>
                </c:pt>
                <c:pt idx="35">
                  <c:v>12144842.659999</c:v>
                </c:pt>
              </c:numCache>
            </c:numRef>
          </c:val>
        </c:ser>
        <c:ser>
          <c:idx val="1"/>
          <c:order val="1"/>
          <c:tx>
            <c:strRef>
              <c:f>'depto - dividendos'!$BV$2</c:f>
              <c:strCache>
                <c:ptCount val="1"/>
                <c:pt idx="0">
                  <c:v>amortizacion acum</c:v>
                </c:pt>
              </c:strCache>
            </c:strRef>
          </c:tx>
          <c:spPr>
            <a:solidFill>
              <a:srgbClr val="477B9F"/>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dividendos'!$BV$5:$BV$160</c:f>
              <c:numCache>
                <c:ptCount val="34"/>
                <c:pt idx="2">
                  <c:v>926381.000000</c:v>
                </c:pt>
                <c:pt idx="3">
                  <c:v>3281278.000000</c:v>
                </c:pt>
                <c:pt idx="4">
                  <c:v>5644532.000000</c:v>
                </c:pt>
                <c:pt idx="5">
                  <c:v>8033575.000000</c:v>
                </c:pt>
                <c:pt idx="6">
                  <c:v>10438887.000000</c:v>
                </c:pt>
                <c:pt idx="7">
                  <c:v>30058322.000000</c:v>
                </c:pt>
                <c:pt idx="8">
                  <c:v>32556165.000000</c:v>
                </c:pt>
                <c:pt idx="9">
                  <c:v>35087817.000000</c:v>
                </c:pt>
                <c:pt idx="10">
                  <c:v>37630331.000000</c:v>
                </c:pt>
                <c:pt idx="11">
                  <c:v>53115383.000000</c:v>
                </c:pt>
                <c:pt idx="12">
                  <c:v>55731624.000000</c:v>
                </c:pt>
                <c:pt idx="13">
                  <c:v>57415500.000000</c:v>
                </c:pt>
                <c:pt idx="14">
                  <c:v>58489898.000000</c:v>
                </c:pt>
                <c:pt idx="15">
                  <c:v>59612982.000000</c:v>
                </c:pt>
                <c:pt idx="16">
                  <c:v>60742910.000000</c:v>
                </c:pt>
                <c:pt idx="17">
                  <c:v>61116579.000000</c:v>
                </c:pt>
                <c:pt idx="18">
                  <c:v>61514920.000000</c:v>
                </c:pt>
                <c:pt idx="19">
                  <c:v>62475121.000000</c:v>
                </c:pt>
                <c:pt idx="20">
                  <c:v>62870079.000000</c:v>
                </c:pt>
                <c:pt idx="21">
                  <c:v>63464733.000000</c:v>
                </c:pt>
                <c:pt idx="22">
                  <c:v>63900952.000000</c:v>
                </c:pt>
                <c:pt idx="23">
                  <c:v>64456149.000000</c:v>
                </c:pt>
                <c:pt idx="24">
                  <c:v>64932445.000000</c:v>
                </c:pt>
                <c:pt idx="25">
                  <c:v>76867552.000000</c:v>
                </c:pt>
                <c:pt idx="26">
                  <c:v>77323568.000000</c:v>
                </c:pt>
                <c:pt idx="27">
                  <c:v>80139085.000000</c:v>
                </c:pt>
                <c:pt idx="28">
                  <c:v>82994723.000000</c:v>
                </c:pt>
                <c:pt idx="29">
                  <c:v>85901514.649189</c:v>
                </c:pt>
                <c:pt idx="30">
                  <c:v>86634595.139728</c:v>
                </c:pt>
                <c:pt idx="31">
                  <c:v>87205727.068940</c:v>
                </c:pt>
                <c:pt idx="32">
                  <c:v>87945151.604593</c:v>
                </c:pt>
                <c:pt idx="33">
                  <c:v>88525482.312504</c:v>
                </c:pt>
                <c:pt idx="34">
                  <c:v>89110335.447918</c:v>
                </c:pt>
                <c:pt idx="35">
                  <c:v>89697686.340001</c:v>
                </c:pt>
              </c:numCache>
            </c:numRef>
          </c:val>
        </c:ser>
        <c:gapWidth val="40"/>
        <c:overlap val="100"/>
        <c:axId val="2094734552"/>
        <c:axId val="2094734553"/>
      </c:bar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0.1"/>
        <c:minorUnit val="0.05"/>
      </c:valAx>
      <c:spPr>
        <a:noFill/>
        <a:ln w="12700" cap="flat">
          <a:noFill/>
          <a:miter lim="400000"/>
        </a:ln>
        <a:effectLst/>
      </c:spPr>
    </c:plotArea>
    <c:legend>
      <c:legendPos val="t"/>
      <c:layout>
        <c:manualLayout>
          <c:xMode val="edge"/>
          <c:yMode val="edge"/>
          <c:x val="0.0825697"/>
          <c:y val="0"/>
          <c:w val="0.86283"/>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5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43229"/>
          <c:y val="0.126667"/>
          <c:w val="0.900677"/>
          <c:h val="0.809167"/>
        </c:manualLayout>
      </c:layout>
      <c:barChart>
        <c:barDir val="col"/>
        <c:grouping val="percentStacked"/>
        <c:varyColors val="0"/>
        <c:ser>
          <c:idx val="0"/>
          <c:order val="0"/>
          <c:tx>
            <c:strRef>
              <c:f>'depto - dividendos'!$BY$2</c:f>
              <c:strCache>
                <c:ptCount val="1"/>
                <c:pt idx="0">
                  <c:v>interes acum UF</c:v>
                </c:pt>
              </c:strCache>
            </c:strRef>
          </c:tx>
          <c:spPr>
            <a:solidFill>
              <a:srgbClr val="CE5248"/>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dividendos'!$BY$5:$BY$160</c:f>
              <c:numCache>
                <c:ptCount val="34"/>
                <c:pt idx="2">
                  <c:v>0.000000</c:v>
                </c:pt>
                <c:pt idx="3">
                  <c:v>16.029500</c:v>
                </c:pt>
                <c:pt idx="4">
                  <c:v>31.806200</c:v>
                </c:pt>
                <c:pt idx="5">
                  <c:v>47.329100</c:v>
                </c:pt>
                <c:pt idx="6">
                  <c:v>62.597300</c:v>
                </c:pt>
                <c:pt idx="7">
                  <c:v>66.902400</c:v>
                </c:pt>
                <c:pt idx="8">
                  <c:v>79.837300</c:v>
                </c:pt>
                <c:pt idx="9">
                  <c:v>92.507200</c:v>
                </c:pt>
                <c:pt idx="10">
                  <c:v>104.910800</c:v>
                </c:pt>
                <c:pt idx="11">
                  <c:v>107.904800</c:v>
                </c:pt>
                <c:pt idx="12">
                  <c:v>118.413900</c:v>
                </c:pt>
                <c:pt idx="13">
                  <c:v>128.648100</c:v>
                </c:pt>
                <c:pt idx="14">
                  <c:v>138.707200</c:v>
                </c:pt>
                <c:pt idx="15">
                  <c:v>148.655200</c:v>
                </c:pt>
                <c:pt idx="16">
                  <c:v>158.487300</c:v>
                </c:pt>
                <c:pt idx="17">
                  <c:v>168.203200</c:v>
                </c:pt>
                <c:pt idx="18">
                  <c:v>177.880700</c:v>
                </c:pt>
                <c:pt idx="19">
                  <c:v>187.517200</c:v>
                </c:pt>
                <c:pt idx="20">
                  <c:v>197.055500</c:v>
                </c:pt>
                <c:pt idx="21">
                  <c:v>206.553700</c:v>
                </c:pt>
                <c:pt idx="22">
                  <c:v>215.991300</c:v>
                </c:pt>
                <c:pt idx="23">
                  <c:v>225.384400</c:v>
                </c:pt>
                <c:pt idx="24">
                  <c:v>234.721100</c:v>
                </c:pt>
                <c:pt idx="25">
                  <c:v>236.851800</c:v>
                </c:pt>
                <c:pt idx="26">
                  <c:v>244.931500</c:v>
                </c:pt>
                <c:pt idx="27">
                  <c:v>252.965200</c:v>
                </c:pt>
                <c:pt idx="28">
                  <c:v>260.713800</c:v>
                </c:pt>
                <c:pt idx="29">
                  <c:v>268.118600</c:v>
                </c:pt>
                <c:pt idx="30">
                  <c:v>275.236000</c:v>
                </c:pt>
                <c:pt idx="31">
                  <c:v>282.281600</c:v>
                </c:pt>
                <c:pt idx="32">
                  <c:v>289.271400</c:v>
                </c:pt>
                <c:pt idx="33">
                  <c:v>296.188900</c:v>
                </c:pt>
                <c:pt idx="34">
                  <c:v>303.050000</c:v>
                </c:pt>
                <c:pt idx="35">
                  <c:v>309.854500</c:v>
                </c:pt>
              </c:numCache>
            </c:numRef>
          </c:val>
        </c:ser>
        <c:ser>
          <c:idx val="1"/>
          <c:order val="1"/>
          <c:tx>
            <c:strRef>
              <c:f>'depto - dividendos'!$BX$2</c:f>
              <c:strCache>
                <c:ptCount val="1"/>
                <c:pt idx="0">
                  <c:v>amortizacion acum UF</c:v>
                </c:pt>
              </c:strCache>
            </c:strRef>
          </c:tx>
          <c:spPr>
            <a:solidFill>
              <a:srgbClr val="477B9F"/>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dividendos'!$BX$5:$BX$160</c:f>
              <c:numCache>
                <c:ptCount val="34"/>
                <c:pt idx="2">
                  <c:v>24.695700</c:v>
                </c:pt>
                <c:pt idx="3">
                  <c:v>87.320600</c:v>
                </c:pt>
                <c:pt idx="4">
                  <c:v>150.198300</c:v>
                </c:pt>
                <c:pt idx="5">
                  <c:v>213.329800</c:v>
                </c:pt>
                <c:pt idx="6">
                  <c:v>276.716000</c:v>
                </c:pt>
                <c:pt idx="7">
                  <c:v>791.716000</c:v>
                </c:pt>
                <c:pt idx="8">
                  <c:v>857.435500</c:v>
                </c:pt>
                <c:pt idx="9">
                  <c:v>923.420300</c:v>
                </c:pt>
                <c:pt idx="10">
                  <c:v>989.671100</c:v>
                </c:pt>
                <c:pt idx="11">
                  <c:v>1393.010700</c:v>
                </c:pt>
                <c:pt idx="12">
                  <c:v>1461.156000</c:v>
                </c:pt>
                <c:pt idx="13">
                  <c:v>1436.416200</c:v>
                </c:pt>
                <c:pt idx="14">
                  <c:v>1463.998700</c:v>
                </c:pt>
                <c:pt idx="15">
                  <c:v>1492.693600</c:v>
                </c:pt>
                <c:pt idx="16">
                  <c:v>1521.505500</c:v>
                </c:pt>
                <c:pt idx="17">
                  <c:v>1531.018300</c:v>
                </c:pt>
                <c:pt idx="18">
                  <c:v>1541.191500</c:v>
                </c:pt>
                <c:pt idx="19">
                  <c:v>1565.509200</c:v>
                </c:pt>
                <c:pt idx="20">
                  <c:v>1575.509200</c:v>
                </c:pt>
                <c:pt idx="21">
                  <c:v>1590.509200</c:v>
                </c:pt>
                <c:pt idx="22">
                  <c:v>1601.510600</c:v>
                </c:pt>
                <c:pt idx="23">
                  <c:v>1615.501400</c:v>
                </c:pt>
                <c:pt idx="24">
                  <c:v>1627.500500</c:v>
                </c:pt>
                <c:pt idx="25">
                  <c:v>1927.063500</c:v>
                </c:pt>
                <c:pt idx="26">
                  <c:v>1938.509200</c:v>
                </c:pt>
                <c:pt idx="27">
                  <c:v>2009.129900</c:v>
                </c:pt>
                <c:pt idx="28">
                  <c:v>2080.035700</c:v>
                </c:pt>
                <c:pt idx="29">
                  <c:v>2151.285400</c:v>
                </c:pt>
                <c:pt idx="30">
                  <c:v>2169.064000</c:v>
                </c:pt>
                <c:pt idx="31">
                  <c:v>2182.915100</c:v>
                </c:pt>
                <c:pt idx="32">
                  <c:v>2200.822500</c:v>
                </c:pt>
                <c:pt idx="33">
                  <c:v>2214.802900</c:v>
                </c:pt>
                <c:pt idx="34">
                  <c:v>2228.840300</c:v>
                </c:pt>
                <c:pt idx="35">
                  <c:v>2242.934800</c:v>
                </c:pt>
              </c:numCache>
            </c:numRef>
          </c:val>
        </c:ser>
        <c:gapWidth val="40"/>
        <c:overlap val="100"/>
        <c:axId val="2094734552"/>
        <c:axId val="2094734553"/>
      </c:bar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0.1"/>
        <c:minorUnit val="0.05"/>
      </c:valAx>
      <c:spPr>
        <a:noFill/>
        <a:ln w="12700" cap="flat">
          <a:noFill/>
          <a:miter lim="400000"/>
        </a:ln>
        <a:effectLst/>
      </c:spPr>
    </c:plotArea>
    <c:legend>
      <c:legendPos val="t"/>
      <c:layout>
        <c:manualLayout>
          <c:xMode val="edge"/>
          <c:yMode val="edge"/>
          <c:x val="0.0825697"/>
          <c:y val="0"/>
          <c:w val="0.86283"/>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5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43229"/>
          <c:y val="0.126667"/>
          <c:w val="0.900677"/>
          <c:h val="0.809167"/>
        </c:manualLayout>
      </c:layout>
      <c:barChart>
        <c:barDir val="col"/>
        <c:grouping val="percentStacked"/>
        <c:varyColors val="0"/>
        <c:ser>
          <c:idx val="0"/>
          <c:order val="0"/>
          <c:tx>
            <c:strRef>
              <c:f>'depto - dividendos'!$AY$2</c:f>
              <c:strCache>
                <c:ptCount val="1"/>
                <c:pt idx="0">
                  <c:v>total seguros</c:v>
                </c:pt>
              </c:strCache>
            </c:strRef>
          </c:tx>
          <c:spPr>
            <a:solidFill>
              <a:srgbClr val="25BA26"/>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dividendos'!$AY$5:$AY$160</c:f>
              <c:numCache>
                <c:ptCount val="31"/>
                <c:pt idx="2">
                  <c:v>5.690000</c:v>
                </c:pt>
                <c:pt idx="3">
                  <c:v>1.422300</c:v>
                </c:pt>
                <c:pt idx="4">
                  <c:v>1.419600</c:v>
                </c:pt>
                <c:pt idx="5">
                  <c:v>1.416900</c:v>
                </c:pt>
                <c:pt idx="6">
                  <c:v>1.414200</c:v>
                </c:pt>
                <c:pt idx="8">
                  <c:v>1.389200</c:v>
                </c:pt>
                <c:pt idx="9">
                  <c:v>1.389000</c:v>
                </c:pt>
                <c:pt idx="10">
                  <c:v>1.383500</c:v>
                </c:pt>
                <c:pt idx="12">
                  <c:v>1.363200</c:v>
                </c:pt>
                <c:pt idx="13">
                  <c:v>1.360300</c:v>
                </c:pt>
                <c:pt idx="14">
                  <c:v>1.358400</c:v>
                </c:pt>
                <c:pt idx="15">
                  <c:v>1.357200</c:v>
                </c:pt>
                <c:pt idx="16">
                  <c:v>1.356000</c:v>
                </c:pt>
                <c:pt idx="17">
                  <c:v>1.137600</c:v>
                </c:pt>
                <c:pt idx="18">
                  <c:v>1.137200</c:v>
                </c:pt>
                <c:pt idx="19">
                  <c:v>1.136800</c:v>
                </c:pt>
                <c:pt idx="20">
                  <c:v>1.135700</c:v>
                </c:pt>
                <c:pt idx="21">
                  <c:v>1.126900</c:v>
                </c:pt>
                <c:pt idx="22">
                  <c:v>1.126300</c:v>
                </c:pt>
                <c:pt idx="23">
                  <c:v>1.125800</c:v>
                </c:pt>
                <c:pt idx="24">
                  <c:v>1.125300</c:v>
                </c:pt>
                <c:pt idx="26">
                  <c:v>1.112900</c:v>
                </c:pt>
                <c:pt idx="27">
                  <c:v>1.112500</c:v>
                </c:pt>
                <c:pt idx="28">
                  <c:v>1.109700</c:v>
                </c:pt>
                <c:pt idx="29">
                  <c:v>1.106800</c:v>
                </c:pt>
                <c:pt idx="30">
                  <c:v>1.104000</c:v>
                </c:pt>
                <c:pt idx="31">
                  <c:v>1.103300</c:v>
                </c:pt>
                <c:pt idx="32">
                  <c:v>1.102800</c:v>
                </c:pt>
                <c:pt idx="33">
                  <c:v>1.102100</c:v>
                </c:pt>
                <c:pt idx="34">
                  <c:v>1.101500</c:v>
                </c:pt>
                <c:pt idx="35">
                  <c:v>1.101000</c:v>
                </c:pt>
              </c:numCache>
            </c:numRef>
          </c:val>
        </c:ser>
        <c:ser>
          <c:idx val="1"/>
          <c:order val="1"/>
          <c:tx>
            <c:strRef>
              <c:f>'depto - dividendos'!$BH$2</c:f>
              <c:strCache/>
            </c:strRef>
          </c:tx>
          <c:spPr>
            <a:solidFill>
              <a:srgbClr val="CD5248"/>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dividendos'!$BH$5:$BH$160</c:f>
              <c:numCache>
                <c:ptCount val="33"/>
                <c:pt idx="3">
                  <c:v>16.029500</c:v>
                </c:pt>
                <c:pt idx="4">
                  <c:v>15.776700</c:v>
                </c:pt>
                <c:pt idx="5">
                  <c:v>15.522900</c:v>
                </c:pt>
                <c:pt idx="6">
                  <c:v>15.268200</c:v>
                </c:pt>
                <c:pt idx="7">
                  <c:v>4.305100</c:v>
                </c:pt>
                <c:pt idx="8">
                  <c:v>12.934900</c:v>
                </c:pt>
                <c:pt idx="9">
                  <c:v>12.669900</c:v>
                </c:pt>
                <c:pt idx="10">
                  <c:v>12.403600</c:v>
                </c:pt>
                <c:pt idx="11">
                  <c:v>2.994000</c:v>
                </c:pt>
                <c:pt idx="12">
                  <c:v>10.509100</c:v>
                </c:pt>
                <c:pt idx="13">
                  <c:v>10.234200</c:v>
                </c:pt>
                <c:pt idx="14">
                  <c:v>10.059100</c:v>
                </c:pt>
                <c:pt idx="15">
                  <c:v>9.948000</c:v>
                </c:pt>
                <c:pt idx="16">
                  <c:v>9.832100</c:v>
                </c:pt>
                <c:pt idx="17">
                  <c:v>9.715900</c:v>
                </c:pt>
                <c:pt idx="18">
                  <c:v>9.677500</c:v>
                </c:pt>
                <c:pt idx="19">
                  <c:v>9.636500</c:v>
                </c:pt>
                <c:pt idx="20">
                  <c:v>9.538300</c:v>
                </c:pt>
                <c:pt idx="21">
                  <c:v>9.498200</c:v>
                </c:pt>
                <c:pt idx="22">
                  <c:v>9.437600</c:v>
                </c:pt>
                <c:pt idx="23">
                  <c:v>9.393100</c:v>
                </c:pt>
                <c:pt idx="24">
                  <c:v>9.336700</c:v>
                </c:pt>
                <c:pt idx="25">
                  <c:v>2.130700</c:v>
                </c:pt>
                <c:pt idx="26">
                  <c:v>8.079700</c:v>
                </c:pt>
                <c:pt idx="27">
                  <c:v>8.033700</c:v>
                </c:pt>
                <c:pt idx="28">
                  <c:v>7.748600</c:v>
                </c:pt>
                <c:pt idx="29">
                  <c:v>7.404800</c:v>
                </c:pt>
                <c:pt idx="30">
                  <c:v>7.117400</c:v>
                </c:pt>
                <c:pt idx="31">
                  <c:v>7.045600</c:v>
                </c:pt>
                <c:pt idx="32">
                  <c:v>6.989800</c:v>
                </c:pt>
                <c:pt idx="33">
                  <c:v>6.917500</c:v>
                </c:pt>
                <c:pt idx="34">
                  <c:v>6.861100</c:v>
                </c:pt>
                <c:pt idx="35">
                  <c:v>6.804500</c:v>
                </c:pt>
              </c:numCache>
            </c:numRef>
          </c:val>
        </c:ser>
        <c:ser>
          <c:idx val="2"/>
          <c:order val="2"/>
          <c:tx>
            <c:strRef>
              <c:f>'depto - dividendos'!$BB$2</c:f>
              <c:strCache/>
            </c:strRef>
          </c:tx>
          <c:spPr>
            <a:solidFill>
              <a:srgbClr val="5E99C5"/>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dividendos'!$BB$5:$BB$160</c:f>
              <c:numCache>
                <c:ptCount val="31"/>
                <c:pt idx="2">
                  <c:v>5.025600</c:v>
                </c:pt>
                <c:pt idx="3">
                  <c:v>5.020900</c:v>
                </c:pt>
                <c:pt idx="4">
                  <c:v>4.968100</c:v>
                </c:pt>
                <c:pt idx="5">
                  <c:v>4.914300</c:v>
                </c:pt>
                <c:pt idx="6">
                  <c:v>4.859400</c:v>
                </c:pt>
                <c:pt idx="8">
                  <c:v>4.138600</c:v>
                </c:pt>
                <c:pt idx="9">
                  <c:v>4.075300</c:v>
                </c:pt>
                <c:pt idx="10">
                  <c:v>4.011100</c:v>
                </c:pt>
                <c:pt idx="12">
                  <c:v>3.416700</c:v>
                </c:pt>
                <c:pt idx="13">
                  <c:v>3.345100</c:v>
                </c:pt>
                <c:pt idx="14">
                  <c:v>3.305500</c:v>
                </c:pt>
                <c:pt idx="15">
                  <c:v>3.286300</c:v>
                </c:pt>
                <c:pt idx="16">
                  <c:v>3.265600</c:v>
                </c:pt>
                <c:pt idx="17">
                  <c:v>3.244400</c:v>
                </c:pt>
                <c:pt idx="18">
                  <c:v>3.249000</c:v>
                </c:pt>
                <c:pt idx="19">
                  <c:v>3.252600</c:v>
                </c:pt>
                <c:pt idx="20">
                  <c:v>3.237000</c:v>
                </c:pt>
                <c:pt idx="21">
                  <c:v>3.240600</c:v>
                </c:pt>
                <c:pt idx="22">
                  <c:v>3.237400</c:v>
                </c:pt>
                <c:pt idx="23">
                  <c:v>3.239800</c:v>
                </c:pt>
                <c:pt idx="24">
                  <c:v>3.237800</c:v>
                </c:pt>
                <c:pt idx="26">
                  <c:v>2.817200</c:v>
                </c:pt>
                <c:pt idx="27">
                  <c:v>2.816200</c:v>
                </c:pt>
                <c:pt idx="28">
                  <c:v>2.731300</c:v>
                </c:pt>
                <c:pt idx="29">
                  <c:v>2.714900</c:v>
                </c:pt>
                <c:pt idx="30">
                  <c:v>2.623000</c:v>
                </c:pt>
                <c:pt idx="31">
                  <c:v>2.610100</c:v>
                </c:pt>
                <c:pt idx="32">
                  <c:v>2.602800</c:v>
                </c:pt>
                <c:pt idx="33">
                  <c:v>2.589300</c:v>
                </c:pt>
                <c:pt idx="34">
                  <c:v>2.581600</c:v>
                </c:pt>
                <c:pt idx="35">
                  <c:v>2.573700</c:v>
                </c:pt>
              </c:numCache>
            </c:numRef>
          </c:val>
        </c:ser>
        <c:ser>
          <c:idx val="3"/>
          <c:order val="3"/>
          <c:tx>
            <c:strRef>
              <c:f>'depto - dividendos'!$BD$2</c:f>
              <c:strCache/>
            </c:strRef>
          </c:tx>
          <c:spPr>
            <a:solidFill>
              <a:srgbClr val="497B9F"/>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dividendos'!$BD$5:$BD$160</c:f>
              <c:numCache>
                <c:ptCount val="34"/>
                <c:pt idx="2">
                  <c:v>19.670100</c:v>
                </c:pt>
                <c:pt idx="3">
                  <c:v>57.604000</c:v>
                </c:pt>
                <c:pt idx="4">
                  <c:v>57.909600</c:v>
                </c:pt>
                <c:pt idx="5">
                  <c:v>58.217200</c:v>
                </c:pt>
                <c:pt idx="6">
                  <c:v>58.526800</c:v>
                </c:pt>
                <c:pt idx="7">
                  <c:v>515.000000</c:v>
                </c:pt>
                <c:pt idx="8">
                  <c:v>61.580900</c:v>
                </c:pt>
                <c:pt idx="9">
                  <c:v>61.909500</c:v>
                </c:pt>
                <c:pt idx="10">
                  <c:v>62.239700</c:v>
                </c:pt>
                <c:pt idx="11">
                  <c:v>403.339600</c:v>
                </c:pt>
                <c:pt idx="12">
                  <c:v>64.728600</c:v>
                </c:pt>
                <c:pt idx="13">
                  <c:v>40.060400</c:v>
                </c:pt>
                <c:pt idx="14">
                  <c:v>24.277000</c:v>
                </c:pt>
                <c:pt idx="15">
                  <c:v>25.408500</c:v>
                </c:pt>
                <c:pt idx="16">
                  <c:v>25.546300</c:v>
                </c:pt>
                <c:pt idx="17">
                  <c:v>6.268500</c:v>
                </c:pt>
                <c:pt idx="18">
                  <c:v>6.924200</c:v>
                </c:pt>
                <c:pt idx="19">
                  <c:v>21.065100</c:v>
                </c:pt>
                <c:pt idx="20">
                  <c:v>6.763000</c:v>
                </c:pt>
                <c:pt idx="21">
                  <c:v>11.759400</c:v>
                </c:pt>
                <c:pt idx="22">
                  <c:v>7.764000</c:v>
                </c:pt>
                <c:pt idx="23">
                  <c:v>10.751000</c:v>
                </c:pt>
                <c:pt idx="24">
                  <c:v>8.761300</c:v>
                </c:pt>
                <c:pt idx="25">
                  <c:v>299.563000</c:v>
                </c:pt>
                <c:pt idx="26">
                  <c:v>8.628500</c:v>
                </c:pt>
                <c:pt idx="27">
                  <c:v>67.804500</c:v>
                </c:pt>
                <c:pt idx="28">
                  <c:v>68.174500</c:v>
                </c:pt>
                <c:pt idx="29">
                  <c:v>68.534800</c:v>
                </c:pt>
                <c:pt idx="30">
                  <c:v>15.155600</c:v>
                </c:pt>
                <c:pt idx="31">
                  <c:v>11.241000</c:v>
                </c:pt>
                <c:pt idx="32">
                  <c:v>15.304600</c:v>
                </c:pt>
                <c:pt idx="33">
                  <c:v>11.391000</c:v>
                </c:pt>
                <c:pt idx="34">
                  <c:v>11.455700</c:v>
                </c:pt>
                <c:pt idx="35">
                  <c:v>11.520800</c:v>
                </c:pt>
              </c:numCache>
            </c:numRef>
          </c:val>
        </c:ser>
        <c:gapWidth val="40"/>
        <c:overlap val="100"/>
        <c:axId val="2094734552"/>
        <c:axId val="2094734553"/>
      </c:bar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lt;0]&quot;UF&quot;* (#,###);&quot;UF&quot;* #,###" sourceLinked="0"/>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0.1"/>
        <c:minorUnit val="0.05"/>
      </c:valAx>
      <c:spPr>
        <a:noFill/>
        <a:ln w="12700" cap="flat">
          <a:noFill/>
          <a:miter lim="400000"/>
        </a:ln>
        <a:effectLst/>
      </c:spPr>
    </c:plotArea>
    <c:legend>
      <c:legendPos val="t"/>
      <c:layout>
        <c:manualLayout>
          <c:xMode val="edge"/>
          <c:yMode val="edge"/>
          <c:x val="0.0825697"/>
          <c:y val="0"/>
          <c:w val="0.86283"/>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5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43229"/>
          <c:y val="0.126878"/>
          <c:w val="0.900677"/>
          <c:h val="0.810538"/>
        </c:manualLayout>
      </c:layout>
      <c:barChart>
        <c:barDir val="col"/>
        <c:grouping val="percentStacked"/>
        <c:varyColors val="0"/>
        <c:ser>
          <c:idx val="0"/>
          <c:order val="0"/>
          <c:tx>
            <c:strRef>
              <c:f>'depto - dividendos'!$AZ$2</c:f>
              <c:strCache/>
            </c:strRef>
          </c:tx>
          <c:spPr>
            <a:solidFill>
              <a:srgbClr val="25BA26"/>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dividendos'!$AZ$5:$AZ$160</c:f>
              <c:numCache>
                <c:ptCount val="31"/>
                <c:pt idx="2">
                  <c:v>213443.000000</c:v>
                </c:pt>
                <c:pt idx="3">
                  <c:v>53483.000000</c:v>
                </c:pt>
                <c:pt idx="4">
                  <c:v>53356.000000</c:v>
                </c:pt>
                <c:pt idx="5">
                  <c:v>53619.000000</c:v>
                </c:pt>
                <c:pt idx="6">
                  <c:v>53665.000000</c:v>
                </c:pt>
                <c:pt idx="8">
                  <c:v>52800.000000</c:v>
                </c:pt>
                <c:pt idx="9">
                  <c:v>53292.000000</c:v>
                </c:pt>
                <c:pt idx="10">
                  <c:v>53095.000000</c:v>
                </c:pt>
                <c:pt idx="12">
                  <c:v>52336.000000</c:v>
                </c:pt>
                <c:pt idx="13">
                  <c:v>52772.000000</c:v>
                </c:pt>
                <c:pt idx="14">
                  <c:v>52913.000000</c:v>
                </c:pt>
                <c:pt idx="15">
                  <c:v>53120.000000</c:v>
                </c:pt>
                <c:pt idx="16">
                  <c:v>53179.000000</c:v>
                </c:pt>
                <c:pt idx="17">
                  <c:v>44686.000000</c:v>
                </c:pt>
                <c:pt idx="18">
                  <c:v>44528.000000</c:v>
                </c:pt>
                <c:pt idx="19">
                  <c:v>44887.000000</c:v>
                </c:pt>
                <c:pt idx="20">
                  <c:v>44856.000000</c:v>
                </c:pt>
                <c:pt idx="21">
                  <c:v>44674.000000</c:v>
                </c:pt>
                <c:pt idx="22">
                  <c:v>44659.000000</c:v>
                </c:pt>
                <c:pt idx="23">
                  <c:v>44675.000000</c:v>
                </c:pt>
                <c:pt idx="24">
                  <c:v>44668.000000</c:v>
                </c:pt>
                <c:pt idx="26">
                  <c:v>44340.000000</c:v>
                </c:pt>
                <c:pt idx="27">
                  <c:v>44354.000000</c:v>
                </c:pt>
                <c:pt idx="28">
                  <c:v>44692.000000</c:v>
                </c:pt>
                <c:pt idx="29">
                  <c:v>45155.000000</c:v>
                </c:pt>
                <c:pt idx="30">
                  <c:v>45522.000000</c:v>
                </c:pt>
                <c:pt idx="31">
                  <c:v>45493.000000</c:v>
                </c:pt>
                <c:pt idx="32">
                  <c:v>45537.000000</c:v>
                </c:pt>
                <c:pt idx="33">
                  <c:v>45749.000000</c:v>
                </c:pt>
                <c:pt idx="34">
                  <c:v>45893.000000</c:v>
                </c:pt>
                <c:pt idx="35">
                  <c:v>45881.000000</c:v>
                </c:pt>
              </c:numCache>
            </c:numRef>
          </c:val>
        </c:ser>
        <c:ser>
          <c:idx val="1"/>
          <c:order val="1"/>
          <c:tx>
            <c:strRef>
              <c:f>'depto - dividendos'!$BK$2</c:f>
              <c:strCache/>
            </c:strRef>
          </c:tx>
          <c:spPr>
            <a:solidFill>
              <a:srgbClr val="CD5248">
                <a:alpha val="72222"/>
              </a:srgbClr>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dividendos'!$BK$5:$BK$160</c:f>
              <c:numCache>
                <c:ptCount val="35"/>
                <c:pt idx="1">
                  <c:v>-1905113.000000</c:v>
                </c:pt>
                <c:pt idx="2">
                  <c:v>-896393.000000</c:v>
                </c:pt>
                <c:pt idx="3">
                  <c:v>-361902.000000</c:v>
                </c:pt>
                <c:pt idx="4">
                  <c:v>71187.000000</c:v>
                </c:pt>
                <c:pt idx="5">
                  <c:v>-986731.000000</c:v>
                </c:pt>
                <c:pt idx="6">
                  <c:v>-394413.000000</c:v>
                </c:pt>
                <c:pt idx="7">
                  <c:v>-552482.000000</c:v>
                </c:pt>
                <c:pt idx="8">
                  <c:v>282008.000000</c:v>
                </c:pt>
                <c:pt idx="9">
                  <c:v>-1124094.000000</c:v>
                </c:pt>
                <c:pt idx="10">
                  <c:v>-30236.000000</c:v>
                </c:pt>
                <c:pt idx="11">
                  <c:v>-44912.000000</c:v>
                </c:pt>
                <c:pt idx="12">
                  <c:v>0.000000</c:v>
                </c:pt>
                <c:pt idx="13">
                  <c:v>-1013994.000000</c:v>
                </c:pt>
                <c:pt idx="14">
                  <c:v>-391945.000000</c:v>
                </c:pt>
                <c:pt idx="15">
                  <c:v>-457913.000000</c:v>
                </c:pt>
                <c:pt idx="16">
                  <c:v>-190070.000000</c:v>
                </c:pt>
                <c:pt idx="17">
                  <c:v>-150920.000000</c:v>
                </c:pt>
                <c:pt idx="18">
                  <c:v>296561.000000</c:v>
                </c:pt>
                <c:pt idx="19">
                  <c:v>-782505.000000</c:v>
                </c:pt>
                <c:pt idx="20">
                  <c:v>-23899.000000</c:v>
                </c:pt>
                <c:pt idx="21">
                  <c:v>-345782.000000</c:v>
                </c:pt>
                <c:pt idx="22">
                  <c:v>-17809.000000</c:v>
                </c:pt>
                <c:pt idx="23">
                  <c:v>-73447.000000</c:v>
                </c:pt>
                <c:pt idx="24">
                  <c:v>-26036.000000</c:v>
                </c:pt>
                <c:pt idx="25">
                  <c:v>-337277.000000</c:v>
                </c:pt>
                <c:pt idx="26">
                  <c:v>1.000000</c:v>
                </c:pt>
                <c:pt idx="27">
                  <c:v>-52272.000000</c:v>
                </c:pt>
                <c:pt idx="28">
                  <c:v>-773094.000000</c:v>
                </c:pt>
                <c:pt idx="29">
                  <c:v>-960976.649189</c:v>
                </c:pt>
                <c:pt idx="30">
                  <c:v>-770139.490539</c:v>
                </c:pt>
                <c:pt idx="31">
                  <c:v>2.070788</c:v>
                </c:pt>
                <c:pt idx="32">
                  <c:v>-100019.535653</c:v>
                </c:pt>
                <c:pt idx="33">
                  <c:v>-375249.707911</c:v>
                </c:pt>
                <c:pt idx="34">
                  <c:v>-261208.135414</c:v>
                </c:pt>
                <c:pt idx="35">
                  <c:v>-14055.892084</c:v>
                </c:pt>
              </c:numCache>
            </c:numRef>
          </c:val>
        </c:ser>
        <c:ser>
          <c:idx val="2"/>
          <c:order val="2"/>
          <c:tx>
            <c:strRef>
              <c:f>'depto - dividendos'!$BG$2</c:f>
              <c:strCache>
                <c:ptCount val="1"/>
                <c:pt idx="0">
                  <c:v>interés</c:v>
                </c:pt>
              </c:strCache>
            </c:strRef>
          </c:tx>
          <c:spPr>
            <a:solidFill>
              <a:srgbClr val="CC5248"/>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dividendos'!$BG$5:$BG$160</c:f>
              <c:numCache>
                <c:ptCount val="33"/>
                <c:pt idx="3">
                  <c:v>602761.000000</c:v>
                </c:pt>
                <c:pt idx="4">
                  <c:v>592966.000000</c:v>
                </c:pt>
                <c:pt idx="5">
                  <c:v>587423.000000</c:v>
                </c:pt>
                <c:pt idx="6">
                  <c:v>579382.000000</c:v>
                </c:pt>
                <c:pt idx="7">
                  <c:v>164006.000000</c:v>
                </c:pt>
                <c:pt idx="8">
                  <c:v>491625.000000</c:v>
                </c:pt>
                <c:pt idx="9">
                  <c:v>486109.000000</c:v>
                </c:pt>
                <c:pt idx="10">
                  <c:v>476014.000000</c:v>
                </c:pt>
                <c:pt idx="11">
                  <c:v>114948.000000</c:v>
                </c:pt>
                <c:pt idx="12">
                  <c:v>403466.000000</c:v>
                </c:pt>
                <c:pt idx="13">
                  <c:v>397026.000000</c:v>
                </c:pt>
                <c:pt idx="14">
                  <c:v>391824.000000</c:v>
                </c:pt>
                <c:pt idx="15">
                  <c:v>389354.000000</c:v>
                </c:pt>
                <c:pt idx="16">
                  <c:v>385589.000000</c:v>
                </c:pt>
                <c:pt idx="17">
                  <c:v>381645.000000</c:v>
                </c:pt>
                <c:pt idx="18">
                  <c:v>378933.000000</c:v>
                </c:pt>
                <c:pt idx="19">
                  <c:v>380503.000000</c:v>
                </c:pt>
                <c:pt idx="20">
                  <c:v>376723.000000</c:v>
                </c:pt>
                <c:pt idx="21">
                  <c:v>376543.000000</c:v>
                </c:pt>
                <c:pt idx="22">
                  <c:v>374213.000000</c:v>
                </c:pt>
                <c:pt idx="23">
                  <c:v>372746.000000</c:v>
                </c:pt>
                <c:pt idx="24">
                  <c:v>370614.000000</c:v>
                </c:pt>
                <c:pt idx="25">
                  <c:v>84893.000000</c:v>
                </c:pt>
                <c:pt idx="26">
                  <c:v>321909.000000</c:v>
                </c:pt>
                <c:pt idx="27">
                  <c:v>320289.000000</c:v>
                </c:pt>
                <c:pt idx="28">
                  <c:v>312065.000000</c:v>
                </c:pt>
                <c:pt idx="29">
                  <c:v>302095.350811</c:v>
                </c:pt>
                <c:pt idx="30">
                  <c:v>293475.509461</c:v>
                </c:pt>
                <c:pt idx="31">
                  <c:v>290518.070788</c:v>
                </c:pt>
                <c:pt idx="32">
                  <c:v>288617.464347</c:v>
                </c:pt>
                <c:pt idx="33">
                  <c:v>287148.292089</c:v>
                </c:pt>
                <c:pt idx="34">
                  <c:v>285860.864586</c:v>
                </c:pt>
                <c:pt idx="35">
                  <c:v>283558.107916</c:v>
                </c:pt>
              </c:numCache>
            </c:numRef>
          </c:val>
        </c:ser>
        <c:ser>
          <c:idx val="3"/>
          <c:order val="3"/>
          <c:tx>
            <c:strRef>
              <c:f>'depto - dividendos'!$BA$2</c:f>
              <c:strCache>
                <c:ptCount val="1"/>
                <c:pt idx="0">
                  <c:v>amortización</c:v>
                </c:pt>
              </c:strCache>
            </c:strRef>
          </c:tx>
          <c:spPr>
            <a:solidFill>
              <a:srgbClr val="5E99C5"/>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dividendos'!$BA$5:$BA$160</c:f>
              <c:numCache>
                <c:ptCount val="31"/>
                <c:pt idx="2">
                  <c:v>188520.000000</c:v>
                </c:pt>
                <c:pt idx="3">
                  <c:v>188802.000000</c:v>
                </c:pt>
                <c:pt idx="4">
                  <c:v>186726.000000</c:v>
                </c:pt>
                <c:pt idx="5">
                  <c:v>185969.000000</c:v>
                </c:pt>
                <c:pt idx="6">
                  <c:v>184399.000000</c:v>
                </c:pt>
                <c:pt idx="8">
                  <c:v>157298.000000</c:v>
                </c:pt>
                <c:pt idx="9">
                  <c:v>156358.000000</c:v>
                </c:pt>
                <c:pt idx="10">
                  <c:v>153934.000000</c:v>
                </c:pt>
                <c:pt idx="12">
                  <c:v>131174.000000</c:v>
                </c:pt>
                <c:pt idx="13">
                  <c:v>129770.000000</c:v>
                </c:pt>
                <c:pt idx="14">
                  <c:v>128756.000000</c:v>
                </c:pt>
                <c:pt idx="15">
                  <c:v>128622.000000</c:v>
                </c:pt>
                <c:pt idx="16">
                  <c:v>128068.000000</c:v>
                </c:pt>
                <c:pt idx="17">
                  <c:v>127441.000000</c:v>
                </c:pt>
                <c:pt idx="18">
                  <c:v>127218.000000</c:v>
                </c:pt>
                <c:pt idx="19">
                  <c:v>128431.000000</c:v>
                </c:pt>
                <c:pt idx="20">
                  <c:v>127848.000000</c:v>
                </c:pt>
                <c:pt idx="21">
                  <c:v>128469.125863</c:v>
                </c:pt>
                <c:pt idx="22">
                  <c:v>128367.000000</c:v>
                </c:pt>
                <c:pt idx="23">
                  <c:v>128565.354513</c:v>
                </c:pt>
                <c:pt idx="24">
                  <c:v>128522.000000</c:v>
                </c:pt>
                <c:pt idx="26">
                  <c:v>112242.000000</c:v>
                </c:pt>
                <c:pt idx="27">
                  <c:v>112275.877184</c:v>
                </c:pt>
                <c:pt idx="28">
                  <c:v>109999.957624</c:v>
                </c:pt>
                <c:pt idx="29">
                  <c:v>110759.491115</c:v>
                </c:pt>
                <c:pt idx="30">
                  <c:v>108157.438648</c:v>
                </c:pt>
                <c:pt idx="31">
                  <c:v>107623.470678</c:v>
                </c:pt>
                <c:pt idx="32">
                  <c:v>107474.456528</c:v>
                </c:pt>
                <c:pt idx="33">
                  <c:v>107484.696953</c:v>
                </c:pt>
                <c:pt idx="34">
                  <c:v>107561.473877</c:v>
                </c:pt>
                <c:pt idx="35">
                  <c:v>107253.139615</c:v>
                </c:pt>
              </c:numCache>
            </c:numRef>
          </c:val>
        </c:ser>
        <c:ser>
          <c:idx val="4"/>
          <c:order val="4"/>
          <c:tx>
            <c:strRef>
              <c:f>'depto - dividendos'!$BC$2</c:f>
              <c:strCache>
                <c:ptCount val="1"/>
                <c:pt idx="0">
                  <c:v>amortización ext</c:v>
                </c:pt>
              </c:strCache>
            </c:strRef>
          </c:tx>
          <c:spPr>
            <a:solidFill>
              <a:srgbClr val="497B9F"/>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dividendos'!$BC$5:$BC$160</c:f>
              <c:numCache>
                <c:ptCount val="34"/>
                <c:pt idx="2">
                  <c:v>737861.000000</c:v>
                </c:pt>
                <c:pt idx="3">
                  <c:v>2166095.000000</c:v>
                </c:pt>
                <c:pt idx="4">
                  <c:v>2176528.000000</c:v>
                </c:pt>
                <c:pt idx="5">
                  <c:v>2203074.000000</c:v>
                </c:pt>
                <c:pt idx="6">
                  <c:v>2220913.000000</c:v>
                </c:pt>
                <c:pt idx="7">
                  <c:v>19619435.000000</c:v>
                </c:pt>
                <c:pt idx="8">
                  <c:v>2340545.000000</c:v>
                </c:pt>
                <c:pt idx="9">
                  <c:v>2375294.000000</c:v>
                </c:pt>
                <c:pt idx="10">
                  <c:v>2388580.000000</c:v>
                </c:pt>
                <c:pt idx="11">
                  <c:v>15485052.000000</c:v>
                </c:pt>
                <c:pt idx="12">
                  <c:v>2485067.000000</c:v>
                </c:pt>
                <c:pt idx="13">
                  <c:v>1554106.000000</c:v>
                </c:pt>
                <c:pt idx="14">
                  <c:v>945642.000000</c:v>
                </c:pt>
                <c:pt idx="15">
                  <c:v>994462.000000</c:v>
                </c:pt>
                <c:pt idx="16">
                  <c:v>1001860.000000</c:v>
                </c:pt>
                <c:pt idx="17">
                  <c:v>246228.000000</c:v>
                </c:pt>
                <c:pt idx="18">
                  <c:v>271123.000000</c:v>
                </c:pt>
                <c:pt idx="19">
                  <c:v>831770.000000</c:v>
                </c:pt>
                <c:pt idx="20">
                  <c:v>267110.000000</c:v>
                </c:pt>
                <c:pt idx="21">
                  <c:v>466184.874137</c:v>
                </c:pt>
                <c:pt idx="22">
                  <c:v>307852.000000</c:v>
                </c:pt>
                <c:pt idx="23">
                  <c:v>426631.645487</c:v>
                </c:pt>
                <c:pt idx="24">
                  <c:v>347774.000000</c:v>
                </c:pt>
                <c:pt idx="25">
                  <c:v>11935107.000000</c:v>
                </c:pt>
                <c:pt idx="26">
                  <c:v>343774.000000</c:v>
                </c:pt>
                <c:pt idx="27">
                  <c:v>2703241.122816</c:v>
                </c:pt>
                <c:pt idx="28">
                  <c:v>2745638.042376</c:v>
                </c:pt>
                <c:pt idx="29">
                  <c:v>2796032.158073</c:v>
                </c:pt>
                <c:pt idx="30">
                  <c:v>624923.051892</c:v>
                </c:pt>
                <c:pt idx="31">
                  <c:v>463508.458533</c:v>
                </c:pt>
                <c:pt idx="32">
                  <c:v>631950.079125</c:v>
                </c:pt>
                <c:pt idx="33">
                  <c:v>472846.010958</c:v>
                </c:pt>
                <c:pt idx="34">
                  <c:v>477291.661538</c:v>
                </c:pt>
                <c:pt idx="35">
                  <c:v>480097.752468</c:v>
                </c:pt>
              </c:numCache>
            </c:numRef>
          </c:val>
        </c:ser>
        <c:gapWidth val="40"/>
        <c:overlap val="100"/>
        <c:axId val="2094734552"/>
        <c:axId val="2094734553"/>
      </c:barChart>
      <c:catAx>
        <c:axId val="2094734552"/>
        <c:scaling>
          <c:orientation val="minMax"/>
        </c:scaling>
        <c:delete val="0"/>
        <c:axPos val="b"/>
        <c:numFmt formatCode="&quot;$&quot;#,##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0.1"/>
        <c:minorUnit val="0.05"/>
      </c:valAx>
      <c:spPr>
        <a:noFill/>
        <a:ln w="12700" cap="flat">
          <a:noFill/>
          <a:miter lim="400000"/>
        </a:ln>
        <a:effectLst/>
      </c:spPr>
    </c:plotArea>
    <c:legend>
      <c:legendPos val="t"/>
      <c:layout>
        <c:manualLayout>
          <c:xMode val="edge"/>
          <c:yMode val="edge"/>
          <c:x val="0.0825697"/>
          <c:y val="0"/>
          <c:w val="0.86283"/>
          <c:h val="0.065066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5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88731"/>
          <c:y val="0.0923077"/>
          <c:w val="0.713439"/>
          <c:h val="0.842201"/>
        </c:manualLayout>
      </c:layout>
      <c:lineChart>
        <c:grouping val="standard"/>
        <c:varyColors val="0"/>
        <c:ser>
          <c:idx val="0"/>
          <c:order val="0"/>
          <c:tx>
            <c:strRef>
              <c:f>'depto - dividendos'!$M$2</c:f>
              <c:strCache>
                <c:ptCount val="1"/>
                <c:pt idx="0">
                  <c:v>restante</c:v>
                </c:pt>
              </c:strCache>
            </c:strRef>
          </c:tx>
          <c:spPr>
            <a:solidFill>
              <a:srgbClr val="2D4F1B"/>
            </a:solidFill>
            <a:ln w="25400" cap="flat">
              <a:solidFill>
                <a:srgbClr val="CE5248">
                  <a:alpha val="70112"/>
                </a:srgbClr>
              </a:solidFill>
              <a:prstDash val="solid"/>
              <a:miter lim="400000"/>
            </a:ln>
            <a:effectLst/>
          </c:spPr>
          <c:marker>
            <c:symbol val="none"/>
            <c:size val="2"/>
            <c:spPr>
              <a:solidFill>
                <a:srgbClr val="2D4F1B"/>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dividendos'!$M$5:$M$160</c:f>
              <c:numCache>
                <c:ptCount val="36"/>
                <c:pt idx="0">
                  <c:v>146632532.000000</c:v>
                </c:pt>
                <c:pt idx="1">
                  <c:v>148537645.000000</c:v>
                </c:pt>
                <c:pt idx="2">
                  <c:v>148507657.000000</c:v>
                </c:pt>
                <c:pt idx="3">
                  <c:v>146514662.000000</c:v>
                </c:pt>
                <c:pt idx="4">
                  <c:v>144080221.000000</c:v>
                </c:pt>
                <c:pt idx="5">
                  <c:v>142677909.000000</c:v>
                </c:pt>
                <c:pt idx="6">
                  <c:v>140667010.000000</c:v>
                </c:pt>
                <c:pt idx="7">
                  <c:v>121600057.000000</c:v>
                </c:pt>
                <c:pt idx="8">
                  <c:v>118820206.000000</c:v>
                </c:pt>
                <c:pt idx="9">
                  <c:v>117412648.000000</c:v>
                </c:pt>
                <c:pt idx="10">
                  <c:v>114900370.000000</c:v>
                </c:pt>
                <c:pt idx="11">
                  <c:v>99460230.000000</c:v>
                </c:pt>
                <c:pt idx="12">
                  <c:v>96843989.000000</c:v>
                </c:pt>
                <c:pt idx="13">
                  <c:v>96174107.000000</c:v>
                </c:pt>
                <c:pt idx="14">
                  <c:v>95491654.000000</c:v>
                </c:pt>
                <c:pt idx="15">
                  <c:v>94826483.000000</c:v>
                </c:pt>
                <c:pt idx="16">
                  <c:v>93886625.000000</c:v>
                </c:pt>
                <c:pt idx="17">
                  <c:v>93663876.000000</c:v>
                </c:pt>
                <c:pt idx="18">
                  <c:v>92968974.000000</c:v>
                </c:pt>
                <c:pt idx="19">
                  <c:v>92791278.000000</c:v>
                </c:pt>
                <c:pt idx="20">
                  <c:v>92420219.000000</c:v>
                </c:pt>
                <c:pt idx="21">
                  <c:v>92171347.000000</c:v>
                </c:pt>
                <c:pt idx="22">
                  <c:v>91752937.000000</c:v>
                </c:pt>
                <c:pt idx="23">
                  <c:v>91271187.000000</c:v>
                </c:pt>
                <c:pt idx="24">
                  <c:v>90820927.000000</c:v>
                </c:pt>
                <c:pt idx="25">
                  <c:v>79223097.000000</c:v>
                </c:pt>
                <c:pt idx="26">
                  <c:v>78767080.000000</c:v>
                </c:pt>
                <c:pt idx="27">
                  <c:v>76003835.000000</c:v>
                </c:pt>
                <c:pt idx="28">
                  <c:v>73921291.000000</c:v>
                </c:pt>
                <c:pt idx="29">
                  <c:v>71975476.000000</c:v>
                </c:pt>
                <c:pt idx="30">
                  <c:v>72012535.000000</c:v>
                </c:pt>
                <c:pt idx="31">
                  <c:v>71441401.000000</c:v>
                </c:pt>
                <c:pt idx="32">
                  <c:v>70801996.000000</c:v>
                </c:pt>
                <c:pt idx="33">
                  <c:v>70596915.000000</c:v>
                </c:pt>
                <c:pt idx="34">
                  <c:v>70273270.000000</c:v>
                </c:pt>
                <c:pt idx="35">
                  <c:v>69699975.000000</c:v>
                </c:pt>
              </c:numCache>
            </c:numRef>
          </c:val>
          <c:smooth val="0"/>
        </c:ser>
        <c:ser>
          <c:idx val="1"/>
          <c:order val="1"/>
          <c:tx>
            <c:strRef>
              <c:f>'depto - dividendos'!$Q$2</c:f>
              <c:strCache>
                <c:ptCount val="1"/>
                <c:pt idx="0">
                  <c:v>valor neto</c:v>
                </c:pt>
              </c:strCache>
            </c:strRef>
          </c:tx>
          <c:spPr>
            <a:solidFill>
              <a:srgbClr val="2D4F1B"/>
            </a:solidFill>
            <a:ln w="25400" cap="flat">
              <a:solidFill>
                <a:srgbClr val="497BA0"/>
              </a:solidFill>
              <a:prstDash val="solid"/>
              <a:miter lim="400000"/>
            </a:ln>
            <a:effectLst/>
          </c:spPr>
          <c:marker>
            <c:symbol val="none"/>
            <c:size val="2"/>
            <c:spPr>
              <a:solidFill>
                <a:srgbClr val="2D4F1B"/>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dividendos'!$Q$5:$Q$160</c:f>
              <c:numCache>
                <c:ptCount val="36"/>
                <c:pt idx="0">
                  <c:v>53827132.000000</c:v>
                </c:pt>
                <c:pt idx="1">
                  <c:v>52810967.000000</c:v>
                </c:pt>
                <c:pt idx="2">
                  <c:v>54056495.000000</c:v>
                </c:pt>
                <c:pt idx="3">
                  <c:v>56542672.000000</c:v>
                </c:pt>
                <c:pt idx="4">
                  <c:v>58878455.000000</c:v>
                </c:pt>
                <c:pt idx="5">
                  <c:v>61670727.000000</c:v>
                </c:pt>
                <c:pt idx="6">
                  <c:v>64246520.000000</c:v>
                </c:pt>
                <c:pt idx="7">
                  <c:v>84118289.000000</c:v>
                </c:pt>
                <c:pt idx="8">
                  <c:v>86421050.000000</c:v>
                </c:pt>
                <c:pt idx="9">
                  <c:v>89770286.000000</c:v>
                </c:pt>
                <c:pt idx="10">
                  <c:v>92335916.000000</c:v>
                </c:pt>
                <c:pt idx="11">
                  <c:v>107857056.000000</c:v>
                </c:pt>
                <c:pt idx="12">
                  <c:v>110473297.000000</c:v>
                </c:pt>
                <c:pt idx="13">
                  <c:v>113313871.000000</c:v>
                </c:pt>
                <c:pt idx="14">
                  <c:v>114850064.000000</c:v>
                </c:pt>
                <c:pt idx="15">
                  <c:v>116523901.000000</c:v>
                </c:pt>
                <c:pt idx="16">
                  <c:v>117887389.000000</c:v>
                </c:pt>
                <c:pt idx="17">
                  <c:v>118450554.000000</c:v>
                </c:pt>
                <c:pt idx="18">
                  <c:v>118473858.000000</c:v>
                </c:pt>
                <c:pt idx="19">
                  <c:v>120431233.000000</c:v>
                </c:pt>
                <c:pt idx="20">
                  <c:v>120857209.000000</c:v>
                </c:pt>
                <c:pt idx="21">
                  <c:v>121904039.000000</c:v>
                </c:pt>
                <c:pt idx="22">
                  <c:v>122363813.000000</c:v>
                </c:pt>
                <c:pt idx="23">
                  <c:v>123016959.000000</c:v>
                </c:pt>
                <c:pt idx="24">
                  <c:v>123528347.000000</c:v>
                </c:pt>
                <c:pt idx="25">
                  <c:v>135922191.000000</c:v>
                </c:pt>
                <c:pt idx="26">
                  <c:v>136378208.000000</c:v>
                </c:pt>
                <c:pt idx="27">
                  <c:v>139284229.000000</c:v>
                </c:pt>
                <c:pt idx="28">
                  <c:v>143556635.000000</c:v>
                </c:pt>
                <c:pt idx="29">
                  <c:v>148329663.000000</c:v>
                </c:pt>
                <c:pt idx="30">
                  <c:v>150649869.000000</c:v>
                </c:pt>
                <c:pt idx="31">
                  <c:v>151221003.000000</c:v>
                </c:pt>
                <c:pt idx="32">
                  <c:v>152172136.000000</c:v>
                </c:pt>
                <c:pt idx="33">
                  <c:v>153558979.000000</c:v>
                </c:pt>
                <c:pt idx="34">
                  <c:v>154712001.000000</c:v>
                </c:pt>
                <c:pt idx="35">
                  <c:v>155330293.000000</c:v>
                </c:pt>
              </c:numCache>
            </c:numRef>
          </c:val>
          <c:smooth val="0"/>
        </c:ser>
        <c:ser>
          <c:idx val="2"/>
          <c:order val="2"/>
          <c:tx>
            <c:strRef>
              <c:f>'depto - dividendos'!$CG$2</c:f>
              <c:strCache/>
            </c:strRef>
          </c:tx>
          <c:spPr>
            <a:solidFill>
              <a:srgbClr val="1B3753"/>
            </a:solidFill>
            <a:ln w="12700" cap="flat">
              <a:solidFill>
                <a:srgbClr val="51A7F9">
                  <a:alpha val="50903"/>
                </a:srgbClr>
              </a:solidFill>
              <a:prstDash val="solid"/>
              <a:miter lim="400000"/>
            </a:ln>
            <a:effectLst/>
          </c:spPr>
          <c:marker>
            <c:symbol val="none"/>
            <c:size val="2"/>
            <c:spPr>
              <a:solidFill>
                <a:srgbClr val="1B3753"/>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dividendos'!$CG$5:$CG$160</c:f>
              <c:numCache>
                <c:ptCount val="36"/>
                <c:pt idx="0">
                  <c:v>28198430.000000</c:v>
                </c:pt>
                <c:pt idx="1">
                  <c:v>28535192.000000</c:v>
                </c:pt>
                <c:pt idx="2">
                  <c:v>30554913.000000</c:v>
                </c:pt>
                <c:pt idx="3">
                  <c:v>30517714.000000</c:v>
                </c:pt>
                <c:pt idx="4">
                  <c:v>29754534.000000</c:v>
                </c:pt>
                <c:pt idx="5">
                  <c:v>29922775.000000</c:v>
                </c:pt>
                <c:pt idx="6">
                  <c:v>32678334.000000</c:v>
                </c:pt>
                <c:pt idx="7">
                  <c:v>34016988.000000</c:v>
                </c:pt>
                <c:pt idx="8">
                  <c:v>34016988.000000</c:v>
                </c:pt>
                <c:pt idx="9">
                  <c:v>31621022.000000</c:v>
                </c:pt>
                <c:pt idx="10">
                  <c:v>27651134.000000</c:v>
                </c:pt>
                <c:pt idx="11">
                  <c:v>16524027.000000</c:v>
                </c:pt>
                <c:pt idx="12">
                  <c:v>16524027.000000</c:v>
                </c:pt>
                <c:pt idx="13">
                  <c:v>8883436.000000</c:v>
                </c:pt>
                <c:pt idx="14">
                  <c:v>7768712.000000</c:v>
                </c:pt>
                <c:pt idx="15">
                  <c:v>8245002.000000</c:v>
                </c:pt>
                <c:pt idx="16">
                  <c:v>8725297.000000</c:v>
                </c:pt>
                <c:pt idx="17">
                  <c:v>9319731.000000</c:v>
                </c:pt>
                <c:pt idx="18">
                  <c:v>9399360.000000</c:v>
                </c:pt>
                <c:pt idx="19">
                  <c:v>9865241.000000</c:v>
                </c:pt>
                <c:pt idx="20">
                  <c:v>10062691.000000</c:v>
                </c:pt>
                <c:pt idx="21">
                  <c:v>9804175.000000</c:v>
                </c:pt>
                <c:pt idx="22">
                  <c:v>9693331.000000</c:v>
                </c:pt>
                <c:pt idx="23">
                  <c:v>9477852.000000</c:v>
                </c:pt>
                <c:pt idx="24">
                  <c:v>9501503.000000</c:v>
                </c:pt>
                <c:pt idx="25">
                  <c:v>9862963.000000</c:v>
                </c:pt>
                <c:pt idx="26">
                  <c:v>9862963.000000</c:v>
                </c:pt>
                <c:pt idx="27">
                  <c:v>10970244.000000</c:v>
                </c:pt>
                <c:pt idx="28">
                  <c:v>11447471.000000</c:v>
                </c:pt>
                <c:pt idx="29">
                  <c:v>11447471.000000</c:v>
                </c:pt>
                <c:pt idx="30">
                  <c:v>11447471.000000</c:v>
                </c:pt>
                <c:pt idx="31">
                  <c:v>11447471.000000</c:v>
                </c:pt>
                <c:pt idx="32">
                  <c:v>11447471.000000</c:v>
                </c:pt>
                <c:pt idx="33">
                  <c:v>11447471.000000</c:v>
                </c:pt>
                <c:pt idx="34">
                  <c:v>11447471.000000</c:v>
                </c:pt>
                <c:pt idx="35">
                  <c:v>11447471.000000</c:v>
                </c:pt>
              </c:numCache>
            </c:numRef>
          </c:val>
          <c:smooth val="0"/>
        </c:ser>
        <c:ser>
          <c:idx val="3"/>
          <c:order val="3"/>
          <c:tx>
            <c:strRef>
              <c:f>'depto - dividendos'!$CH$2</c:f>
              <c:strCache/>
            </c:strRef>
          </c:tx>
          <c:spPr>
            <a:solidFill>
              <a:srgbClr val="1B3753"/>
            </a:solidFill>
            <a:ln w="12700" cap="flat">
              <a:solidFill>
                <a:srgbClr val="F4BB1C">
                  <a:alpha val="44237"/>
                </a:srgbClr>
              </a:solidFill>
              <a:prstDash val="solid"/>
              <a:miter lim="400000"/>
            </a:ln>
            <a:effectLst/>
          </c:spPr>
          <c:marker>
            <c:symbol val="none"/>
            <c:size val="2"/>
            <c:spPr>
              <a:solidFill>
                <a:srgbClr val="1B3753"/>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dividendos'!$CH$5:$CH$160</c:f>
              <c:numCache>
                <c:ptCount val="36"/>
                <c:pt idx="0">
                  <c:v>8998809.000000</c:v>
                </c:pt>
                <c:pt idx="1">
                  <c:v>9854948.000000</c:v>
                </c:pt>
                <c:pt idx="2">
                  <c:v>9174454.000000</c:v>
                </c:pt>
                <c:pt idx="3">
                  <c:v>8981575.000000</c:v>
                </c:pt>
                <c:pt idx="4">
                  <c:v>7080412.000000</c:v>
                </c:pt>
                <c:pt idx="5">
                  <c:v>7581058.000000</c:v>
                </c:pt>
                <c:pt idx="6">
                  <c:v>8247740.000000</c:v>
                </c:pt>
                <c:pt idx="7">
                  <c:v>11175459.000000</c:v>
                </c:pt>
                <c:pt idx="8">
                  <c:v>11175459.000000</c:v>
                </c:pt>
                <c:pt idx="9">
                  <c:v>10855466.000000</c:v>
                </c:pt>
                <c:pt idx="10">
                  <c:v>10158709.000000</c:v>
                </c:pt>
                <c:pt idx="11">
                  <c:v>5287672.000000</c:v>
                </c:pt>
                <c:pt idx="12">
                  <c:v>5287672.000000</c:v>
                </c:pt>
                <c:pt idx="13">
                  <c:v>1721793.000000</c:v>
                </c:pt>
                <c:pt idx="14">
                  <c:v>1974510.000000</c:v>
                </c:pt>
                <c:pt idx="15">
                  <c:v>2164795.000000</c:v>
                </c:pt>
                <c:pt idx="16">
                  <c:v>2528175.000000</c:v>
                </c:pt>
                <c:pt idx="17">
                  <c:v>2730431.000000</c:v>
                </c:pt>
                <c:pt idx="18">
                  <c:v>2617689.000000</c:v>
                </c:pt>
                <c:pt idx="19">
                  <c:v>2700878.000000</c:v>
                </c:pt>
                <c:pt idx="20">
                  <c:v>2520334.000000</c:v>
                </c:pt>
                <c:pt idx="21">
                  <c:v>1971851.000000</c:v>
                </c:pt>
                <c:pt idx="22">
                  <c:v>1922666.000000</c:v>
                </c:pt>
                <c:pt idx="23">
                  <c:v>1654148.000000</c:v>
                </c:pt>
                <c:pt idx="24">
                  <c:v>1408789.000000</c:v>
                </c:pt>
                <c:pt idx="25">
                  <c:v>1524311.000000</c:v>
                </c:pt>
                <c:pt idx="26">
                  <c:v>1524311.000000</c:v>
                </c:pt>
                <c:pt idx="27">
                  <c:v>1693457.000000</c:v>
                </c:pt>
                <c:pt idx="28">
                  <c:v>1693457.000000</c:v>
                </c:pt>
                <c:pt idx="29">
                  <c:v>1693457.000000</c:v>
                </c:pt>
                <c:pt idx="30">
                  <c:v>1693457.000000</c:v>
                </c:pt>
                <c:pt idx="31">
                  <c:v>1693457.000000</c:v>
                </c:pt>
                <c:pt idx="32">
                  <c:v>1693457.000000</c:v>
                </c:pt>
                <c:pt idx="33">
                  <c:v>1693457.000000</c:v>
                </c:pt>
                <c:pt idx="34">
                  <c:v>1693457.000000</c:v>
                </c:pt>
                <c:pt idx="35">
                  <c:v>1693457.000000</c:v>
                </c:pt>
              </c:numCache>
            </c:numRef>
          </c:val>
          <c:smooth val="0"/>
        </c:ser>
        <c:ser>
          <c:idx val="4"/>
          <c:order val="4"/>
          <c:tx>
            <c:strRef>
              <c:f>'depto - dividendos'!$CI$2</c:f>
              <c:strCache/>
            </c:strRef>
          </c:tx>
          <c:spPr>
            <a:solidFill>
              <a:srgbClr val="131480"/>
            </a:solidFill>
            <a:ln w="25400" cap="flat">
              <a:solidFill>
                <a:srgbClr val="1C1DC0">
                  <a:alpha val="78738"/>
                </a:srgbClr>
              </a:solidFill>
              <a:prstDash val="solid"/>
              <a:miter lim="400000"/>
            </a:ln>
            <a:effectLst/>
          </c:spPr>
          <c:marker>
            <c:symbol val="none"/>
            <c:size val="2"/>
            <c:spPr>
              <a:solidFill>
                <a:srgbClr val="131480"/>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dividendos'!$CI$5:$CI$160</c:f>
              <c:numCache>
                <c:ptCount val="36"/>
                <c:pt idx="0">
                  <c:v>37197239.000000</c:v>
                </c:pt>
                <c:pt idx="1">
                  <c:v>38390140.000000</c:v>
                </c:pt>
                <c:pt idx="2">
                  <c:v>42319547.000000</c:v>
                </c:pt>
                <c:pt idx="3">
                  <c:v>46089469.000000</c:v>
                </c:pt>
                <c:pt idx="4">
                  <c:v>47425126.000000</c:v>
                </c:pt>
                <c:pt idx="5">
                  <c:v>54086802.000000</c:v>
                </c:pt>
                <c:pt idx="6">
                  <c:v>60614809.000000</c:v>
                </c:pt>
                <c:pt idx="7">
                  <c:v>49524688.000000</c:v>
                </c:pt>
                <c:pt idx="8">
                  <c:v>49524688.000000</c:v>
                </c:pt>
                <c:pt idx="9">
                  <c:v>56751941.000000</c:v>
                </c:pt>
                <c:pt idx="10">
                  <c:v>72883890.000000</c:v>
                </c:pt>
                <c:pt idx="11">
                  <c:v>24882945.000000</c:v>
                </c:pt>
                <c:pt idx="12">
                  <c:v>24882945.000000</c:v>
                </c:pt>
                <c:pt idx="13">
                  <c:v>15381801.400000</c:v>
                </c:pt>
                <c:pt idx="14">
                  <c:v>15656040.000000</c:v>
                </c:pt>
                <c:pt idx="15">
                  <c:v>15962906.000000</c:v>
                </c:pt>
                <c:pt idx="16">
                  <c:v>14583853.750000</c:v>
                </c:pt>
                <c:pt idx="17">
                  <c:v>12412759.000000</c:v>
                </c:pt>
                <c:pt idx="18">
                  <c:v>13161803.000000</c:v>
                </c:pt>
                <c:pt idx="19">
                  <c:v>14765312.000000</c:v>
                </c:pt>
                <c:pt idx="20">
                  <c:v>11266626.000000</c:v>
                </c:pt>
                <c:pt idx="21">
                  <c:v>11634903.000000</c:v>
                </c:pt>
                <c:pt idx="22">
                  <c:v>9970369.000000</c:v>
                </c:pt>
                <c:pt idx="23">
                  <c:v>11150610.000000</c:v>
                </c:pt>
                <c:pt idx="24">
                  <c:v>11156169.000000</c:v>
                </c:pt>
                <c:pt idx="25">
                  <c:v>13268201.000000</c:v>
                </c:pt>
                <c:pt idx="26">
                  <c:v>13268201.000000</c:v>
                </c:pt>
                <c:pt idx="27">
                  <c:v>32932385.000000</c:v>
                </c:pt>
                <c:pt idx="28">
                  <c:v>30652946.000000</c:v>
                </c:pt>
                <c:pt idx="29">
                  <c:v>27652946.000000</c:v>
                </c:pt>
                <c:pt idx="30">
                  <c:v>24652946.000000</c:v>
                </c:pt>
                <c:pt idx="31">
                  <c:v>21652946.000000</c:v>
                </c:pt>
                <c:pt idx="32">
                  <c:v>18652946.000000</c:v>
                </c:pt>
                <c:pt idx="33">
                  <c:v>30652946.000000</c:v>
                </c:pt>
                <c:pt idx="34">
                  <c:v>30652946.000000</c:v>
                </c:pt>
                <c:pt idx="35">
                  <c:v>30652946.000000</c:v>
                </c:pt>
              </c:numCache>
            </c:numRef>
          </c:val>
          <c:smooth val="0"/>
        </c:ser>
        <c:ser>
          <c:idx val="5"/>
          <c:order val="5"/>
          <c:tx>
            <c:strRef>
              <c:f>'depto - dividendos'!$CJ$2</c:f>
              <c:strCache/>
            </c:strRef>
          </c:tx>
          <c:spPr>
            <a:noFill/>
            <a:ln w="12700" cap="flat">
              <a:solidFill>
                <a:srgbClr val="82BE55">
                  <a:alpha val="49769"/>
                </a:srgbClr>
              </a:solidFill>
              <a:prstDash val="solid"/>
              <a:miter lim="400000"/>
            </a:ln>
            <a:effectLst/>
          </c:spPr>
          <c:marker>
            <c:symbol val="none"/>
            <c:size val="2"/>
            <c:spPr>
              <a:no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dividendos'!$CJ$5:$CJ$160</c:f>
              <c:numCache>
                <c:ptCount val="36"/>
                <c:pt idx="0">
                  <c:v>35892999.000000</c:v>
                </c:pt>
                <c:pt idx="1">
                  <c:v>36404142.400000</c:v>
                </c:pt>
                <c:pt idx="2">
                  <c:v>39164730.850000</c:v>
                </c:pt>
                <c:pt idx="3">
                  <c:v>39253199.150000</c:v>
                </c:pt>
                <c:pt idx="4">
                  <c:v>38447753.400000</c:v>
                </c:pt>
                <c:pt idx="5">
                  <c:v>38792419.550000</c:v>
                </c:pt>
                <c:pt idx="6">
                  <c:v>41746331.600000</c:v>
                </c:pt>
                <c:pt idx="7">
                  <c:v>43535718.600000</c:v>
                </c:pt>
                <c:pt idx="8">
                  <c:v>43535718.600000</c:v>
                </c:pt>
                <c:pt idx="9">
                  <c:v>44572048.550000</c:v>
                </c:pt>
                <c:pt idx="10">
                  <c:v>44670913.900000</c:v>
                </c:pt>
                <c:pt idx="11">
                  <c:v>44670913.900000</c:v>
                </c:pt>
                <c:pt idx="12">
                  <c:v>42374705.050000</c:v>
                </c:pt>
                <c:pt idx="13">
                  <c:v>39863582.600000</c:v>
                </c:pt>
                <c:pt idx="14">
                  <c:v>40189907.950000</c:v>
                </c:pt>
                <c:pt idx="15">
                  <c:v>42598309.300000</c:v>
                </c:pt>
                <c:pt idx="16">
                  <c:v>44975554.100000</c:v>
                </c:pt>
                <c:pt idx="17">
                  <c:v>48103634.100000</c:v>
                </c:pt>
                <c:pt idx="18">
                  <c:v>48599533.950000</c:v>
                </c:pt>
                <c:pt idx="19">
                  <c:v>51068875.300000</c:v>
                </c:pt>
                <c:pt idx="20">
                  <c:v>52220248.700000</c:v>
                </c:pt>
                <c:pt idx="21">
                  <c:v>51386420.100000</c:v>
                </c:pt>
                <c:pt idx="22">
                  <c:v>51007527.900000</c:v>
                </c:pt>
                <c:pt idx="23">
                  <c:v>50071109.100000</c:v>
                </c:pt>
                <c:pt idx="24">
                  <c:v>50324079.500000</c:v>
                </c:pt>
                <c:pt idx="25">
                  <c:v>50453424.650000</c:v>
                </c:pt>
                <c:pt idx="26">
                  <c:v>50453424.650000</c:v>
                </c:pt>
                <c:pt idx="27">
                  <c:v>55994290.050000</c:v>
                </c:pt>
                <c:pt idx="28">
                  <c:v>55587944.850000</c:v>
                </c:pt>
                <c:pt idx="29">
                  <c:v>55587944.850000</c:v>
                </c:pt>
                <c:pt idx="30">
                  <c:v>55587944.850000</c:v>
                </c:pt>
                <c:pt idx="31">
                  <c:v>55587944.850000</c:v>
                </c:pt>
                <c:pt idx="32">
                  <c:v>55587944.850000</c:v>
                </c:pt>
                <c:pt idx="33">
                  <c:v>55587944.850000</c:v>
                </c:pt>
                <c:pt idx="34">
                  <c:v>55587944.850000</c:v>
                </c:pt>
                <c:pt idx="35">
                  <c:v>55587944.850000</c:v>
                </c:pt>
              </c:numCache>
            </c:numRef>
          </c:val>
          <c:smooth val="0"/>
        </c:ser>
        <c:ser>
          <c:idx val="6"/>
          <c:order val="6"/>
          <c:tx>
            <c:strRef>
              <c:f>'depto - dividendos'!$CK$2</c:f>
              <c:strCache/>
            </c:strRef>
          </c:tx>
          <c:spPr>
            <a:noFill/>
            <a:ln w="25400" cap="flat">
              <a:solidFill>
                <a:srgbClr val="C1B4E4">
                  <a:alpha val="93448"/>
                </a:srgbClr>
              </a:solidFill>
              <a:prstDash val="solid"/>
              <a:miter lim="400000"/>
            </a:ln>
            <a:effectLst/>
          </c:spPr>
          <c:marker>
            <c:symbol val="circle"/>
            <c:size val="2"/>
            <c:spPr>
              <a:no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dividendos'!$CK$5:$CK$160</c:f>
              <c:numCache>
                <c:ptCount val="36"/>
                <c:pt idx="0">
                  <c:v>73090238.000000</c:v>
                </c:pt>
                <c:pt idx="1">
                  <c:v>74794282.400000</c:v>
                </c:pt>
                <c:pt idx="2">
                  <c:v>81484277.850000</c:v>
                </c:pt>
                <c:pt idx="3">
                  <c:v>85342668.150000</c:v>
                </c:pt>
                <c:pt idx="4">
                  <c:v>85872879.400000</c:v>
                </c:pt>
                <c:pt idx="5">
                  <c:v>92879221.550000</c:v>
                </c:pt>
                <c:pt idx="6">
                  <c:v>102361140.600000</c:v>
                </c:pt>
                <c:pt idx="7">
                  <c:v>93060406.600000</c:v>
                </c:pt>
                <c:pt idx="8">
                  <c:v>93060406.600000</c:v>
                </c:pt>
                <c:pt idx="9">
                  <c:v>101323989.550000</c:v>
                </c:pt>
                <c:pt idx="10">
                  <c:v>117554803.900000</c:v>
                </c:pt>
                <c:pt idx="11">
                  <c:v>69553858.900000</c:v>
                </c:pt>
                <c:pt idx="12">
                  <c:v>67257650.050000</c:v>
                </c:pt>
                <c:pt idx="13">
                  <c:v>55245384.000000</c:v>
                </c:pt>
                <c:pt idx="14">
                  <c:v>55845947.950000</c:v>
                </c:pt>
                <c:pt idx="15">
                  <c:v>58561215.300000</c:v>
                </c:pt>
                <c:pt idx="16">
                  <c:v>59559407.850000</c:v>
                </c:pt>
                <c:pt idx="17">
                  <c:v>60516393.100000</c:v>
                </c:pt>
                <c:pt idx="18">
                  <c:v>61761336.950000</c:v>
                </c:pt>
                <c:pt idx="19">
                  <c:v>65834187.300000</c:v>
                </c:pt>
                <c:pt idx="20">
                  <c:v>63486874.700000</c:v>
                </c:pt>
                <c:pt idx="21">
                  <c:v>63021323.100000</c:v>
                </c:pt>
                <c:pt idx="22">
                  <c:v>60977896.900000</c:v>
                </c:pt>
                <c:pt idx="23">
                  <c:v>61221719.100000</c:v>
                </c:pt>
                <c:pt idx="24">
                  <c:v>61480248.500000</c:v>
                </c:pt>
                <c:pt idx="25">
                  <c:v>63721625.650000</c:v>
                </c:pt>
                <c:pt idx="26">
                  <c:v>63721625.650000</c:v>
                </c:pt>
                <c:pt idx="27">
                  <c:v>88926675.050000</c:v>
                </c:pt>
                <c:pt idx="28">
                  <c:v>86240890.850000</c:v>
                </c:pt>
                <c:pt idx="29">
                  <c:v>83240890.850000</c:v>
                </c:pt>
                <c:pt idx="30">
                  <c:v>80240890.850000</c:v>
                </c:pt>
                <c:pt idx="31">
                  <c:v>77240890.850000</c:v>
                </c:pt>
                <c:pt idx="32">
                  <c:v>74240890.850000</c:v>
                </c:pt>
                <c:pt idx="33">
                  <c:v>86240890.850000</c:v>
                </c:pt>
                <c:pt idx="34">
                  <c:v>86240890.850000</c:v>
                </c:pt>
                <c:pt idx="35">
                  <c:v>86240890.850000</c:v>
                </c:pt>
              </c:numCache>
            </c:numRef>
          </c:val>
          <c:smooth val="0"/>
        </c:ser>
        <c:ser>
          <c:idx val="7"/>
          <c:order val="7"/>
          <c:tx>
            <c:strRef>
              <c:f>'depto - dividendos'!$U$2:$U$3</c:f>
              <c:strCache>
                <c:ptCount val="1"/>
                <c:pt idx="0">
                  <c:v>valor</c:v>
                </c:pt>
              </c:strCache>
            </c:strRef>
          </c:tx>
          <c:spPr>
            <a:solidFill>
              <a:srgbClr val="213951">
                <a:alpha val="68905"/>
              </a:srgbClr>
            </a:solidFill>
            <a:ln w="38100" cap="flat">
              <a:solidFill>
                <a:srgbClr val="4B81B6">
                  <a:alpha val="20012"/>
                </a:srgbClr>
              </a:solidFill>
              <a:prstDash val="solid"/>
              <a:miter lim="400000"/>
            </a:ln>
            <a:effectLst/>
          </c:spPr>
          <c:marker>
            <c:symbol val="circle"/>
            <c:size val="2"/>
            <c:spPr>
              <a:solidFill>
                <a:srgbClr val="213951">
                  <a:alpha val="68905"/>
                </a:srgbClr>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dividendos'!$U$5:$U$160</c:f>
              <c:numCache>
                <c:ptCount val="36"/>
                <c:pt idx="0">
                  <c:v>200459664.000000</c:v>
                </c:pt>
                <c:pt idx="1">
                  <c:v>201348612.000000</c:v>
                </c:pt>
                <c:pt idx="2">
                  <c:v>202564152.000000</c:v>
                </c:pt>
                <c:pt idx="3">
                  <c:v>203057334.000000</c:v>
                </c:pt>
                <c:pt idx="4">
                  <c:v>202958676.000000</c:v>
                </c:pt>
                <c:pt idx="5">
                  <c:v>204348636.000000</c:v>
                </c:pt>
                <c:pt idx="6">
                  <c:v>204913530.000000</c:v>
                </c:pt>
                <c:pt idx="7">
                  <c:v>205718346.000000</c:v>
                </c:pt>
                <c:pt idx="8">
                  <c:v>205241256.000000</c:v>
                </c:pt>
                <c:pt idx="9">
                  <c:v>207182934.000000</c:v>
                </c:pt>
                <c:pt idx="10">
                  <c:v>207236286.000000</c:v>
                </c:pt>
                <c:pt idx="11">
                  <c:v>207317286.000000</c:v>
                </c:pt>
                <c:pt idx="12">
                  <c:v>207317286.000000</c:v>
                </c:pt>
                <c:pt idx="13">
                  <c:v>209487978.000000</c:v>
                </c:pt>
                <c:pt idx="14">
                  <c:v>210341718.000000</c:v>
                </c:pt>
                <c:pt idx="15">
                  <c:v>211350384.000000</c:v>
                </c:pt>
                <c:pt idx="16">
                  <c:v>211774014.000000</c:v>
                </c:pt>
                <c:pt idx="17">
                  <c:v>212114430.000000</c:v>
                </c:pt>
                <c:pt idx="18">
                  <c:v>211442832.000000</c:v>
                </c:pt>
                <c:pt idx="19">
                  <c:v>213222510.000000</c:v>
                </c:pt>
                <c:pt idx="20">
                  <c:v>213277428.000000</c:v>
                </c:pt>
                <c:pt idx="21">
                  <c:v>214075386.000000</c:v>
                </c:pt>
                <c:pt idx="22">
                  <c:v>214116750.000000</c:v>
                </c:pt>
                <c:pt idx="23">
                  <c:v>214288146.000000</c:v>
                </c:pt>
                <c:pt idx="24">
                  <c:v>214349274.000000</c:v>
                </c:pt>
                <c:pt idx="25">
                  <c:v>215145288.000000</c:v>
                </c:pt>
                <c:pt idx="26">
                  <c:v>215145288.000000</c:v>
                </c:pt>
                <c:pt idx="27">
                  <c:v>215288064.000000</c:v>
                </c:pt>
                <c:pt idx="28">
                  <c:v>217477926.000000</c:v>
                </c:pt>
                <c:pt idx="29">
                  <c:v>220305139.038000</c:v>
                </c:pt>
                <c:pt idx="30">
                  <c:v>222662404.025707</c:v>
                </c:pt>
                <c:pt idx="31">
                  <c:v>222662404.025707</c:v>
                </c:pt>
                <c:pt idx="32">
                  <c:v>222974131.391343</c:v>
                </c:pt>
                <c:pt idx="33">
                  <c:v>224155894.287717</c:v>
                </c:pt>
                <c:pt idx="34">
                  <c:v>224985271.096581</c:v>
                </c:pt>
                <c:pt idx="35">
                  <c:v>225030268.150801</c:v>
                </c:pt>
              </c:numCache>
            </c:numRef>
          </c:val>
          <c:smooth val="0"/>
        </c:ser>
        <c:ser>
          <c:idx val="8"/>
          <c:order val="8"/>
          <c:tx>
            <c:strRef>
              <c:f>'depto - dividendos'!$CF$2:$CF$3</c:f>
              <c:strCache>
                <c:ptCount val="1"/>
                <c:pt idx="0">
                  <c:v>liquido</c:v>
                </c:pt>
              </c:strCache>
            </c:strRef>
          </c:tx>
          <c:spPr>
            <a:solidFill>
              <a:srgbClr val="2C4B6A"/>
            </a:solidFill>
            <a:ln w="12700" cap="flat">
              <a:solidFill>
                <a:srgbClr val="68B3FA">
                  <a:alpha val="50903"/>
                </a:srgbClr>
              </a:solidFill>
              <a:prstDash val="solid"/>
              <a:miter lim="400000"/>
            </a:ln>
            <a:effectLst/>
          </c:spPr>
          <c:marker>
            <c:symbol val="none"/>
            <c:size val="4"/>
            <c:spPr>
              <a:solidFill>
                <a:srgbClr val="2C4B6A"/>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dividendos'!$CF$5:$CF$160</c:f>
              <c:numCache>
                <c:ptCount val="36"/>
                <c:pt idx="0">
                  <c:v>0.000000</c:v>
                </c:pt>
                <c:pt idx="1">
                  <c:v>0.000000</c:v>
                </c:pt>
                <c:pt idx="2">
                  <c:v>2590180.000000</c:v>
                </c:pt>
                <c:pt idx="3">
                  <c:v>6590180.000000</c:v>
                </c:pt>
                <c:pt idx="4">
                  <c:v>10590180.000000</c:v>
                </c:pt>
                <c:pt idx="5">
                  <c:v>16582969.000000</c:v>
                </c:pt>
                <c:pt idx="6">
                  <c:v>19688735.000000</c:v>
                </c:pt>
                <c:pt idx="7">
                  <c:v>4332241.000000</c:v>
                </c:pt>
                <c:pt idx="8">
                  <c:v>4332241.000000</c:v>
                </c:pt>
                <c:pt idx="9">
                  <c:v>14275453.000000</c:v>
                </c:pt>
                <c:pt idx="10">
                  <c:v>35074047.000000</c:v>
                </c:pt>
                <c:pt idx="11">
                  <c:v>3071246.000000</c:v>
                </c:pt>
                <c:pt idx="12">
                  <c:v>3071246.000000</c:v>
                </c:pt>
                <c:pt idx="13">
                  <c:v>4776572.400000</c:v>
                </c:pt>
                <c:pt idx="14">
                  <c:v>5912818.000000</c:v>
                </c:pt>
                <c:pt idx="15">
                  <c:v>5553109.000000</c:v>
                </c:pt>
                <c:pt idx="16">
                  <c:v>3330381.750000</c:v>
                </c:pt>
                <c:pt idx="17">
                  <c:v>362597.000000</c:v>
                </c:pt>
                <c:pt idx="18">
                  <c:v>1144754.000000</c:v>
                </c:pt>
                <c:pt idx="19">
                  <c:v>2199193.000000</c:v>
                </c:pt>
                <c:pt idx="20">
                  <c:v>-1316399.000000</c:v>
                </c:pt>
                <c:pt idx="21">
                  <c:v>-141123.000000</c:v>
                </c:pt>
                <c:pt idx="22">
                  <c:v>-1645628.000000</c:v>
                </c:pt>
                <c:pt idx="23">
                  <c:v>18610.000000</c:v>
                </c:pt>
                <c:pt idx="24">
                  <c:v>245877.000000</c:v>
                </c:pt>
                <c:pt idx="25">
                  <c:v>1880927.000000</c:v>
                </c:pt>
                <c:pt idx="26">
                  <c:v>1880927.000000</c:v>
                </c:pt>
                <c:pt idx="27">
                  <c:v>20268684.000000</c:v>
                </c:pt>
                <c:pt idx="28">
                  <c:v>17512018.000000</c:v>
                </c:pt>
                <c:pt idx="29">
                  <c:v>14512018.000000</c:v>
                </c:pt>
                <c:pt idx="30">
                  <c:v>11512018.000000</c:v>
                </c:pt>
                <c:pt idx="31">
                  <c:v>8512018.000000</c:v>
                </c:pt>
                <c:pt idx="32">
                  <c:v>5512018.000000</c:v>
                </c:pt>
                <c:pt idx="33">
                  <c:v>17512018.000000</c:v>
                </c:pt>
                <c:pt idx="34">
                  <c:v>17512018.000000</c:v>
                </c:pt>
                <c:pt idx="35">
                  <c:v>17512018.000000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2.4e+08"/>
          <c:min val="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majorUnit val="2e+07"/>
        <c:minorUnit val="1e+07"/>
      </c:valAx>
      <c:spPr>
        <a:noFill/>
        <a:ln w="12700" cap="flat">
          <a:noFill/>
          <a:miter lim="400000"/>
        </a:ln>
        <a:effectLst/>
      </c:spPr>
    </c:plotArea>
    <c:legend>
      <c:legendPos val="t"/>
      <c:layout>
        <c:manualLayout>
          <c:xMode val="edge"/>
          <c:yMode val="edge"/>
          <c:x val="0"/>
          <c:y val="0"/>
          <c:w val="1"/>
          <c:h val="0.0660256"/>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60.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31606"/>
          <c:y val="0.126878"/>
          <c:w val="0.782376"/>
          <c:h val="0.810538"/>
        </c:manualLayout>
      </c:layout>
      <c:areaChart>
        <c:grouping val="standard"/>
        <c:varyColors val="0"/>
        <c:ser>
          <c:idx val="2"/>
          <c:order val="0"/>
          <c:tx>
            <c:strRef>
              <c:f>'depto - dividendos'!$H$2:$H$4</c:f>
              <c:strCache/>
            </c:strRef>
          </c:tx>
          <c:spPr>
            <a:solidFill>
              <a:srgbClr val="ABABAB">
                <a:alpha val="29920"/>
              </a:srgbClr>
            </a:solidFill>
            <a:ln w="12700" cap="flat">
              <a:noFill/>
              <a:miter lim="400000"/>
            </a:ln>
            <a:effectLst/>
          </c:spP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showLegendKey val="0"/>
            <c:showVal val="0"/>
            <c:showCatName val="0"/>
            <c:showSerName val="0"/>
            <c:showPercent val="0"/>
            <c:showBubbleSize val="0"/>
            <c:showLeaderLines val="0"/>
          </c:dLbls>
          <c:cat>
            <c:strRef>
              <c:f>'depto - dividendos'!$A$5:$A$165</c:f>
              <c:strCache>
                <c:ptCount val="0"/>
              </c:strCache>
            </c:strRef>
          </c:cat>
          <c:val>
            <c:numRef>
              <c:f>'depto - dividendos'!$H$5:$H$160</c:f>
              <c:numCache>
                <c:ptCount val="0"/>
              </c:numCache>
            </c:numRef>
          </c:val>
        </c:ser>
        <c:axId val="2094734555"/>
        <c:axId val="2094734556"/>
      </c:areaChart>
      <c:barChart>
        <c:barDir val="col"/>
        <c:grouping val="clustered"/>
        <c:varyColors val="0"/>
        <c:ser>
          <c:idx val="1"/>
          <c:order val="1"/>
          <c:tx>
            <c:strRef>
              <c:f>'depto - dividendos'!$G$2:$G$4</c:f>
              <c:strCache/>
            </c:strRef>
          </c:tx>
          <c:spPr>
            <a:solidFill>
              <a:srgbClr val="72B9ED"/>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dividendos'!$A$5:$A$165</c:f>
              <c:strCache>
                <c:ptCount val="0"/>
              </c:strCache>
            </c:strRef>
          </c:cat>
          <c:val>
            <c:numRef>
              <c:f>'depto - dividendos'!$G$5:$G$160</c:f>
              <c:numCache>
                <c:ptCount val="0"/>
              </c:numCache>
            </c:numRef>
          </c:val>
        </c:ser>
        <c:gapWidth val="80"/>
        <c:overlap val="-10"/>
        <c:axId val="2094734555"/>
        <c:axId val="2094734556"/>
      </c:barChart>
      <c:lineChart>
        <c:grouping val="standard"/>
        <c:varyColors val="0"/>
        <c:ser>
          <c:idx val="0"/>
          <c:order val="2"/>
          <c:tx>
            <c:strRef>
              <c:f>'depto - dividendos'!$F$2:$F$4</c:f>
              <c:strCache/>
            </c:strRef>
          </c:tx>
          <c:spPr>
            <a:solidFill>
              <a:srgbClr val="FFFFFF"/>
            </a:solidFill>
            <a:ln w="50800" cap="flat">
              <a:solidFill>
                <a:srgbClr val="51A7F9"/>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'depto - dividendos'!$A$5:$A$165</c:f>
              <c:strCache>
                <c:ptCount val="0"/>
              </c:strCache>
            </c:strRef>
          </c:cat>
          <c:val>
            <c:numRef>
              <c:f>'depto - dividendos'!$F$5:$F$160</c:f>
              <c:numCache>
                <c:ptCount val="0"/>
              </c:numCache>
            </c:numRef>
          </c:val>
          <c:smooth val="0"/>
        </c:ser>
        <c:marker val="1"/>
        <c:axId val="2094734552"/>
        <c:axId val="2094734553"/>
      </c:lineChart>
      <c:lineChart>
        <c:grouping val="standard"/>
        <c:varyColors val="0"/>
        <c:ser>
          <c:idx val="3"/>
          <c:order val="3"/>
          <c:tx>
            <c:strRef>
              <c:f>'depto - dividendos'!$I$2:$I$4</c:f>
              <c:strCache/>
            </c:strRef>
          </c:tx>
          <c:spPr>
            <a:solidFill>
              <a:srgbClr val="FFFFFF"/>
            </a:solidFill>
            <a:ln w="50800" cap="flat">
              <a:solidFill>
                <a:srgbClr val="EF951A"/>
              </a:solidFill>
              <a:prstDash val="solid"/>
              <a:miter lim="400000"/>
            </a:ln>
            <a:effectLst/>
          </c:spPr>
          <c:marker>
            <c:symbol val="none"/>
            <c:size val="4"/>
            <c:spPr>
              <a:solidFill>
                <a:srgbClr val="FFFFFF"/>
              </a:solidFill>
              <a:ln w="50800" cap="flat">
                <a:solidFill>
                  <a:srgbClr val="EF951A"/>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'depto - dividendos'!$A$5:$A$165</c:f>
              <c:strCache>
                <c:ptCount val="0"/>
              </c:strCache>
            </c:strRef>
          </c:cat>
          <c:val>
            <c:numRef>
              <c:f>'depto - dividendos'!$I$5:$I$160</c:f>
              <c:numCache>
                <c:ptCount val="0"/>
              </c:numCache>
            </c:numRef>
          </c:val>
          <c:smooth val="0"/>
        </c:ser>
        <c:marker val="1"/>
        <c:axId val="2094734555"/>
        <c:axId val="2094734556"/>
      </c:lineChart>
      <c:catAx>
        <c:axId val="2094734552"/>
        <c:scaling>
          <c:orientation val="minMax"/>
        </c:scaling>
        <c:delete val="0"/>
        <c:axPos val="b"/>
        <c:numFmt formatCode="General"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30000"/>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catAx>
        <c:axId val="2094734555"/>
        <c:scaling>
          <c:orientation val="minMax"/>
        </c:scaling>
        <c:delete val="0"/>
        <c:axPos val="b"/>
        <c:majorTickMark val="out"/>
        <c:minorTickMark val="none"/>
        <c:tickLblPos val="none"/>
        <c:spPr>
          <a:ln w="12700" cap="flat">
            <a:noFill/>
            <a:prstDash val="solid"/>
            <a:miter lim="400000"/>
          </a:ln>
        </c:spPr>
        <c:crossAx val="2094734556"/>
        <c:crosses val="autoZero"/>
        <c:auto val="1"/>
        <c:lblAlgn val="ctr"/>
        <c:noMultiLvlLbl val="1"/>
      </c:catAx>
      <c:valAx>
        <c:axId val="2094734556"/>
        <c:scaling>
          <c:orientation val="minMax"/>
          <c:max val="0.11"/>
          <c:min val="-0.01"/>
        </c:scaling>
        <c:delete val="0"/>
        <c:axPos val="r"/>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5"/>
        <c:crosses val="max"/>
        <c:crossBetween val="between"/>
      </c:valAx>
      <c:spPr>
        <a:noFill/>
        <a:ln w="12700" cap="flat">
          <a:noFill/>
          <a:miter lim="400000"/>
        </a:ln>
        <a:effectLst/>
      </c:spPr>
    </c:plotArea>
    <c:legend>
      <c:legendPos val="t"/>
      <c:layout>
        <c:manualLayout>
          <c:xMode val="edge"/>
          <c:yMode val="edge"/>
          <c:x val="0.11504"/>
          <c:y val="0"/>
          <c:w val="0.776073"/>
          <c:h val="0.065066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6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93618"/>
          <c:y val="0.126667"/>
          <c:w val="0.793651"/>
          <c:h val="0.809167"/>
        </c:manualLayout>
      </c:layout>
      <c:lineChart>
        <c:grouping val="standard"/>
        <c:varyColors val="0"/>
        <c:ser>
          <c:idx val="0"/>
          <c:order val="0"/>
          <c:tx>
            <c:strRef>
              <c:f>'depto - dividendos'!$L$2</c:f>
              <c:strCache/>
            </c:strRef>
          </c:tx>
          <c:spPr>
            <a:solidFill>
              <a:srgbClr val="FFFFFF"/>
            </a:solidFill>
            <a:ln w="50800" cap="flat">
              <a:solidFill>
                <a:srgbClr val="CD5248"/>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dividendos'!$L$5:$L$160</c:f>
              <c:numCache>
                <c:ptCount val="36"/>
                <c:pt idx="0">
                  <c:v>1.000000</c:v>
                </c:pt>
                <c:pt idx="1">
                  <c:v>1.008520</c:v>
                </c:pt>
                <c:pt idx="2">
                  <c:v>1.002266</c:v>
                </c:pt>
                <c:pt idx="3">
                  <c:v>0.986414</c:v>
                </c:pt>
                <c:pt idx="4">
                  <c:v>0.970495</c:v>
                </c:pt>
                <c:pt idx="5">
                  <c:v>0.954513</c:v>
                </c:pt>
                <c:pt idx="6">
                  <c:v>0.938465</c:v>
                </c:pt>
                <c:pt idx="7">
                  <c:v>0.808086</c:v>
                </c:pt>
                <c:pt idx="8">
                  <c:v>0.791448</c:v>
                </c:pt>
                <c:pt idx="9">
                  <c:v>0.774743</c:v>
                </c:pt>
                <c:pt idx="10">
                  <c:v>0.757970</c:v>
                </c:pt>
                <c:pt idx="11">
                  <c:v>0.655859</c:v>
                </c:pt>
                <c:pt idx="12">
                  <c:v>0.638607</c:v>
                </c:pt>
                <c:pt idx="13">
                  <c:v>0.627618</c:v>
                </c:pt>
                <c:pt idx="14">
                  <c:v>0.620636</c:v>
                </c:pt>
                <c:pt idx="15">
                  <c:v>0.613371</c:v>
                </c:pt>
                <c:pt idx="16">
                  <c:v>0.606077</c:v>
                </c:pt>
                <c:pt idx="17">
                  <c:v>0.603669</c:v>
                </c:pt>
                <c:pt idx="18">
                  <c:v>0.601093</c:v>
                </c:pt>
                <c:pt idx="19">
                  <c:v>0.594937</c:v>
                </c:pt>
                <c:pt idx="20">
                  <c:v>0.592405</c:v>
                </c:pt>
                <c:pt idx="21">
                  <c:v>0.588608</c:v>
                </c:pt>
                <c:pt idx="22">
                  <c:v>0.585822</c:v>
                </c:pt>
                <c:pt idx="23">
                  <c:v>0.582280</c:v>
                </c:pt>
                <c:pt idx="24">
                  <c:v>0.579243</c:v>
                </c:pt>
                <c:pt idx="25">
                  <c:v>0.503404</c:v>
                </c:pt>
                <c:pt idx="26">
                  <c:v>0.500506</c:v>
                </c:pt>
                <c:pt idx="27">
                  <c:v>0.482628</c:v>
                </c:pt>
                <c:pt idx="28">
                  <c:v>0.464677</c:v>
                </c:pt>
                <c:pt idx="29">
                  <c:v>0.446639</c:v>
                </c:pt>
                <c:pt idx="30">
                  <c:v>0.442138</c:v>
                </c:pt>
                <c:pt idx="31">
                  <c:v>0.438631</c:v>
                </c:pt>
                <c:pt idx="32">
                  <c:v>0.434098</c:v>
                </c:pt>
                <c:pt idx="33">
                  <c:v>0.430559</c:v>
                </c:pt>
                <c:pt idx="34">
                  <c:v>0.427005</c:v>
                </c:pt>
                <c:pt idx="35">
                  <c:v>0.423437</c:v>
                </c:pt>
              </c:numCache>
            </c:numRef>
          </c:val>
          <c:smooth val="0"/>
        </c:ser>
        <c:ser>
          <c:idx val="1"/>
          <c:order val="1"/>
          <c:tx>
            <c:strRef>
              <c:f>'depto - dividendos'!$M$2</c:f>
              <c:strCache>
                <c:ptCount val="1"/>
                <c:pt idx="0">
                  <c:v>restante</c:v>
                </c:pt>
              </c:strCache>
            </c:strRef>
          </c:tx>
          <c:spPr>
            <a:solidFill>
              <a:srgbClr val="FFFFFF"/>
            </a:solidFill>
            <a:ln w="50800" cap="flat">
              <a:solidFill>
                <a:srgbClr val="497BA1"/>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dividendos'!$M$5:$M$160</c:f>
              <c:numCache>
                <c:ptCount val="36"/>
                <c:pt idx="0">
                  <c:v>146632532.000000</c:v>
                </c:pt>
                <c:pt idx="1">
                  <c:v>148537645.000000</c:v>
                </c:pt>
                <c:pt idx="2">
                  <c:v>148507657.000000</c:v>
                </c:pt>
                <c:pt idx="3">
                  <c:v>146514662.000000</c:v>
                </c:pt>
                <c:pt idx="4">
                  <c:v>144080221.000000</c:v>
                </c:pt>
                <c:pt idx="5">
                  <c:v>142677909.000000</c:v>
                </c:pt>
                <c:pt idx="6">
                  <c:v>140667010.000000</c:v>
                </c:pt>
                <c:pt idx="7">
                  <c:v>121600057.000000</c:v>
                </c:pt>
                <c:pt idx="8">
                  <c:v>118820206.000000</c:v>
                </c:pt>
                <c:pt idx="9">
                  <c:v>117412648.000000</c:v>
                </c:pt>
                <c:pt idx="10">
                  <c:v>114900370.000000</c:v>
                </c:pt>
                <c:pt idx="11">
                  <c:v>99460230.000000</c:v>
                </c:pt>
                <c:pt idx="12">
                  <c:v>96843989.000000</c:v>
                </c:pt>
                <c:pt idx="13">
                  <c:v>96174107.000000</c:v>
                </c:pt>
                <c:pt idx="14">
                  <c:v>95491654.000000</c:v>
                </c:pt>
                <c:pt idx="15">
                  <c:v>94826483.000000</c:v>
                </c:pt>
                <c:pt idx="16">
                  <c:v>93886625.000000</c:v>
                </c:pt>
                <c:pt idx="17">
                  <c:v>93663876.000000</c:v>
                </c:pt>
                <c:pt idx="18">
                  <c:v>92968974.000000</c:v>
                </c:pt>
                <c:pt idx="19">
                  <c:v>92791278.000000</c:v>
                </c:pt>
                <c:pt idx="20">
                  <c:v>92420219.000000</c:v>
                </c:pt>
                <c:pt idx="21">
                  <c:v>92171347.000000</c:v>
                </c:pt>
                <c:pt idx="22">
                  <c:v>91752937.000000</c:v>
                </c:pt>
                <c:pt idx="23">
                  <c:v>91271187.000000</c:v>
                </c:pt>
                <c:pt idx="24">
                  <c:v>90820927.000000</c:v>
                </c:pt>
                <c:pt idx="25">
                  <c:v>79223097.000000</c:v>
                </c:pt>
                <c:pt idx="26">
                  <c:v>78767080.000000</c:v>
                </c:pt>
                <c:pt idx="27">
                  <c:v>76003835.000000</c:v>
                </c:pt>
                <c:pt idx="28">
                  <c:v>73921291.000000</c:v>
                </c:pt>
                <c:pt idx="29">
                  <c:v>71975476.000000</c:v>
                </c:pt>
                <c:pt idx="30">
                  <c:v>72012535.000000</c:v>
                </c:pt>
                <c:pt idx="31">
                  <c:v>71441401.000000</c:v>
                </c:pt>
                <c:pt idx="32">
                  <c:v>70801996.000000</c:v>
                </c:pt>
                <c:pt idx="33">
                  <c:v>70596915.000000</c:v>
                </c:pt>
                <c:pt idx="34">
                  <c:v>70273270.000000</c:v>
                </c:pt>
                <c:pt idx="35">
                  <c:v>69699975.000000</c:v>
                </c:pt>
              </c:numCache>
            </c:numRef>
          </c:val>
          <c:smooth val="0"/>
        </c:ser>
        <c:ser>
          <c:idx val="2"/>
          <c:order val="2"/>
          <c:tx>
            <c:strRef>
              <c:f>'depto - dividendos'!$Q$2</c:f>
              <c:strCache>
                <c:ptCount val="1"/>
                <c:pt idx="0">
                  <c:v>valor neto</c:v>
                </c:pt>
              </c:strCache>
            </c:strRef>
          </c:tx>
          <c:spPr>
            <a:solidFill>
              <a:srgbClr val="FFFFFF"/>
            </a:solidFill>
            <a:ln w="50800" cap="flat">
              <a:solidFill>
                <a:srgbClr val="3B67D1"/>
              </a:solidFill>
              <a:prstDash val="solid"/>
              <a:miter lim="400000"/>
            </a:ln>
            <a:effectLst/>
          </c:spPr>
          <c:marker>
            <c:symbol val="none"/>
            <c:size val="4"/>
            <c:spPr>
              <a:solidFill>
                <a:srgbClr val="FFFFFF"/>
              </a:solidFill>
              <a:ln w="50800" cap="flat">
                <a:solidFill>
                  <a:srgbClr val="FBE12B"/>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dividendos'!$Q$5:$Q$160</c:f>
              <c:numCache>
                <c:ptCount val="36"/>
                <c:pt idx="0">
                  <c:v>53827132.000000</c:v>
                </c:pt>
                <c:pt idx="1">
                  <c:v>52810967.000000</c:v>
                </c:pt>
                <c:pt idx="2">
                  <c:v>54056495.000000</c:v>
                </c:pt>
                <c:pt idx="3">
                  <c:v>56542672.000000</c:v>
                </c:pt>
                <c:pt idx="4">
                  <c:v>58878455.000000</c:v>
                </c:pt>
                <c:pt idx="5">
                  <c:v>61670727.000000</c:v>
                </c:pt>
                <c:pt idx="6">
                  <c:v>64246520.000000</c:v>
                </c:pt>
                <c:pt idx="7">
                  <c:v>84118289.000000</c:v>
                </c:pt>
                <c:pt idx="8">
                  <c:v>86421050.000000</c:v>
                </c:pt>
                <c:pt idx="9">
                  <c:v>89770286.000000</c:v>
                </c:pt>
                <c:pt idx="10">
                  <c:v>92335916.000000</c:v>
                </c:pt>
                <c:pt idx="11">
                  <c:v>107857056.000000</c:v>
                </c:pt>
                <c:pt idx="12">
                  <c:v>110473297.000000</c:v>
                </c:pt>
                <c:pt idx="13">
                  <c:v>113313871.000000</c:v>
                </c:pt>
                <c:pt idx="14">
                  <c:v>114850064.000000</c:v>
                </c:pt>
                <c:pt idx="15">
                  <c:v>116523901.000000</c:v>
                </c:pt>
                <c:pt idx="16">
                  <c:v>117887389.000000</c:v>
                </c:pt>
                <c:pt idx="17">
                  <c:v>118450554.000000</c:v>
                </c:pt>
                <c:pt idx="18">
                  <c:v>118473858.000000</c:v>
                </c:pt>
                <c:pt idx="19">
                  <c:v>120431233.000000</c:v>
                </c:pt>
                <c:pt idx="20">
                  <c:v>120857209.000000</c:v>
                </c:pt>
                <c:pt idx="21">
                  <c:v>121904039.000000</c:v>
                </c:pt>
                <c:pt idx="22">
                  <c:v>122363813.000000</c:v>
                </c:pt>
                <c:pt idx="23">
                  <c:v>123016959.000000</c:v>
                </c:pt>
                <c:pt idx="24">
                  <c:v>123528347.000000</c:v>
                </c:pt>
                <c:pt idx="25">
                  <c:v>135922191.000000</c:v>
                </c:pt>
                <c:pt idx="26">
                  <c:v>136378208.000000</c:v>
                </c:pt>
                <c:pt idx="27">
                  <c:v>139284229.000000</c:v>
                </c:pt>
                <c:pt idx="28">
                  <c:v>143556635.000000</c:v>
                </c:pt>
                <c:pt idx="29">
                  <c:v>148329663.000000</c:v>
                </c:pt>
                <c:pt idx="30">
                  <c:v>150649869.000000</c:v>
                </c:pt>
                <c:pt idx="31">
                  <c:v>151221003.000000</c:v>
                </c:pt>
                <c:pt idx="32">
                  <c:v>152172136.000000</c:v>
                </c:pt>
                <c:pt idx="33">
                  <c:v>153558979.000000</c:v>
                </c:pt>
                <c:pt idx="34">
                  <c:v>154712001.000000</c:v>
                </c:pt>
                <c:pt idx="35">
                  <c:v>155330293.000000</c:v>
                </c:pt>
              </c:numCache>
            </c:numRef>
          </c:val>
          <c:smooth val="0"/>
        </c:ser>
        <c:ser>
          <c:idx val="3"/>
          <c:order val="3"/>
          <c:tx>
            <c:strRef>
              <c:f>'depto - dividendos'!$U$2</c:f>
              <c:strCache>
                <c:ptCount val="1"/>
                <c:pt idx="0">
                  <c:v>valor</c:v>
                </c:pt>
              </c:strCache>
            </c:strRef>
          </c:tx>
          <c:spPr>
            <a:solidFill>
              <a:srgbClr val="FFFFFF"/>
            </a:solidFill>
            <a:ln w="50800" cap="flat">
              <a:solidFill>
                <a:srgbClr val="EF951A"/>
              </a:solidFill>
              <a:prstDash val="solid"/>
              <a:miter lim="400000"/>
            </a:ln>
            <a:effectLst/>
          </c:spPr>
          <c:marker>
            <c:symbol val="none"/>
            <c:size val="4"/>
            <c:spPr>
              <a:solidFill>
                <a:srgbClr val="FFFFFF"/>
              </a:solidFill>
              <a:ln w="50800" cap="flat">
                <a:solidFill>
                  <a:srgbClr val="EF951A"/>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dividendos'!$U$5:$U$160</c:f>
              <c:numCache>
                <c:ptCount val="36"/>
                <c:pt idx="0">
                  <c:v>200459664.000000</c:v>
                </c:pt>
                <c:pt idx="1">
                  <c:v>201348612.000000</c:v>
                </c:pt>
                <c:pt idx="2">
                  <c:v>202564152.000000</c:v>
                </c:pt>
                <c:pt idx="3">
                  <c:v>203057334.000000</c:v>
                </c:pt>
                <c:pt idx="4">
                  <c:v>202958676.000000</c:v>
                </c:pt>
                <c:pt idx="5">
                  <c:v>204348636.000000</c:v>
                </c:pt>
                <c:pt idx="6">
                  <c:v>204913530.000000</c:v>
                </c:pt>
                <c:pt idx="7">
                  <c:v>205718346.000000</c:v>
                </c:pt>
                <c:pt idx="8">
                  <c:v>205241256.000000</c:v>
                </c:pt>
                <c:pt idx="9">
                  <c:v>207182934.000000</c:v>
                </c:pt>
                <c:pt idx="10">
                  <c:v>207236286.000000</c:v>
                </c:pt>
                <c:pt idx="11">
                  <c:v>207317286.000000</c:v>
                </c:pt>
                <c:pt idx="12">
                  <c:v>207317286.000000</c:v>
                </c:pt>
                <c:pt idx="13">
                  <c:v>209487978.000000</c:v>
                </c:pt>
                <c:pt idx="14">
                  <c:v>210341718.000000</c:v>
                </c:pt>
                <c:pt idx="15">
                  <c:v>211350384.000000</c:v>
                </c:pt>
                <c:pt idx="16">
                  <c:v>211774014.000000</c:v>
                </c:pt>
                <c:pt idx="17">
                  <c:v>212114430.000000</c:v>
                </c:pt>
                <c:pt idx="18">
                  <c:v>211442832.000000</c:v>
                </c:pt>
                <c:pt idx="19">
                  <c:v>213222510.000000</c:v>
                </c:pt>
                <c:pt idx="20">
                  <c:v>213277428.000000</c:v>
                </c:pt>
                <c:pt idx="21">
                  <c:v>214075386.000000</c:v>
                </c:pt>
                <c:pt idx="22">
                  <c:v>214116750.000000</c:v>
                </c:pt>
                <c:pt idx="23">
                  <c:v>214288146.000000</c:v>
                </c:pt>
                <c:pt idx="24">
                  <c:v>214349274.000000</c:v>
                </c:pt>
                <c:pt idx="25">
                  <c:v>215145288.000000</c:v>
                </c:pt>
                <c:pt idx="26">
                  <c:v>215145288.000000</c:v>
                </c:pt>
                <c:pt idx="27">
                  <c:v>215288064.000000</c:v>
                </c:pt>
                <c:pt idx="28">
                  <c:v>217477926.000000</c:v>
                </c:pt>
                <c:pt idx="29">
                  <c:v>220305139.038000</c:v>
                </c:pt>
                <c:pt idx="30">
                  <c:v>222662404.025707</c:v>
                </c:pt>
                <c:pt idx="31">
                  <c:v>222662404.025707</c:v>
                </c:pt>
                <c:pt idx="32">
                  <c:v>222974131.391343</c:v>
                </c:pt>
                <c:pt idx="33">
                  <c:v>224155894.287717</c:v>
                </c:pt>
                <c:pt idx="34">
                  <c:v>224985271.096581</c:v>
                </c:pt>
                <c:pt idx="35">
                  <c:v>225030268.150801</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5e+07"/>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183319"/>
          <c:y val="0"/>
          <c:w val="0.756104"/>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6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2117"/>
          <c:y val="0.125"/>
          <c:w val="0.842824"/>
          <c:h val="0.811513"/>
        </c:manualLayout>
      </c:layout>
      <c:lineChart>
        <c:grouping val="standard"/>
        <c:varyColors val="0"/>
        <c:ser>
          <c:idx val="0"/>
          <c:order val="0"/>
          <c:tx>
            <c:strRef>
              <c:f>'depto - dividendos'!$M$2:$M$3</c:f>
              <c:strCache>
                <c:ptCount val="1"/>
                <c:pt idx="0">
                  <c:v>restante</c:v>
                </c:pt>
              </c:strCache>
            </c:strRef>
          </c:tx>
          <c:spPr>
            <a:solidFill>
              <a:srgbClr val="FFFFFF"/>
            </a:solidFill>
            <a:ln w="50800" cap="flat">
              <a:solidFill>
                <a:srgbClr val="CD5248">
                  <a:alpha val="70000"/>
                </a:srgbClr>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dividendos'!$M$5:$M$160</c:f>
              <c:numCache>
                <c:ptCount val="36"/>
                <c:pt idx="0">
                  <c:v>146632532.000000</c:v>
                </c:pt>
                <c:pt idx="1">
                  <c:v>148537645.000000</c:v>
                </c:pt>
                <c:pt idx="2">
                  <c:v>148507657.000000</c:v>
                </c:pt>
                <c:pt idx="3">
                  <c:v>146514662.000000</c:v>
                </c:pt>
                <c:pt idx="4">
                  <c:v>144080221.000000</c:v>
                </c:pt>
                <c:pt idx="5">
                  <c:v>142677909.000000</c:v>
                </c:pt>
                <c:pt idx="6">
                  <c:v>140667010.000000</c:v>
                </c:pt>
                <c:pt idx="7">
                  <c:v>121600057.000000</c:v>
                </c:pt>
                <c:pt idx="8">
                  <c:v>118820206.000000</c:v>
                </c:pt>
                <c:pt idx="9">
                  <c:v>117412648.000000</c:v>
                </c:pt>
                <c:pt idx="10">
                  <c:v>114900370.000000</c:v>
                </c:pt>
                <c:pt idx="11">
                  <c:v>99460230.000000</c:v>
                </c:pt>
                <c:pt idx="12">
                  <c:v>96843989.000000</c:v>
                </c:pt>
                <c:pt idx="13">
                  <c:v>96174107.000000</c:v>
                </c:pt>
                <c:pt idx="14">
                  <c:v>95491654.000000</c:v>
                </c:pt>
                <c:pt idx="15">
                  <c:v>94826483.000000</c:v>
                </c:pt>
                <c:pt idx="16">
                  <c:v>93886625.000000</c:v>
                </c:pt>
                <c:pt idx="17">
                  <c:v>93663876.000000</c:v>
                </c:pt>
                <c:pt idx="18">
                  <c:v>92968974.000000</c:v>
                </c:pt>
                <c:pt idx="19">
                  <c:v>92791278.000000</c:v>
                </c:pt>
                <c:pt idx="20">
                  <c:v>92420219.000000</c:v>
                </c:pt>
                <c:pt idx="21">
                  <c:v>92171347.000000</c:v>
                </c:pt>
                <c:pt idx="22">
                  <c:v>91752937.000000</c:v>
                </c:pt>
                <c:pt idx="23">
                  <c:v>91271187.000000</c:v>
                </c:pt>
                <c:pt idx="24">
                  <c:v>90820927.000000</c:v>
                </c:pt>
                <c:pt idx="25">
                  <c:v>79223097.000000</c:v>
                </c:pt>
                <c:pt idx="26">
                  <c:v>78767080.000000</c:v>
                </c:pt>
                <c:pt idx="27">
                  <c:v>76003835.000000</c:v>
                </c:pt>
                <c:pt idx="28">
                  <c:v>73921291.000000</c:v>
                </c:pt>
                <c:pt idx="29">
                  <c:v>71975476.000000</c:v>
                </c:pt>
                <c:pt idx="30">
                  <c:v>72012535.000000</c:v>
                </c:pt>
                <c:pt idx="31">
                  <c:v>71441401.000000</c:v>
                </c:pt>
                <c:pt idx="32">
                  <c:v>70801996.000000</c:v>
                </c:pt>
                <c:pt idx="33">
                  <c:v>70596915.000000</c:v>
                </c:pt>
                <c:pt idx="34">
                  <c:v>70273270.000000</c:v>
                </c:pt>
                <c:pt idx="35">
                  <c:v>69699975.000000</c:v>
                </c:pt>
              </c:numCache>
            </c:numRef>
          </c:val>
          <c:smooth val="0"/>
        </c:ser>
        <c:ser>
          <c:idx val="1"/>
          <c:order val="1"/>
          <c:tx>
            <c:strRef>
              <c:f>'depto - dividendos'!$CC$2:$CC$3</c:f>
              <c:strCache>
                <c:ptCount val="1"/>
                <c:pt idx="0">
                  <c:v>amortizacion acm</c:v>
                </c:pt>
              </c:strCache>
            </c:strRef>
          </c:tx>
          <c:spPr>
            <a:solidFill>
              <a:srgbClr val="FFFFFF"/>
            </a:solidFill>
            <a:ln w="50800" cap="flat">
              <a:solidFill>
                <a:srgbClr val="497BA1"/>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dividendos'!$CC$5:$CC$160</c:f>
              <c:numCache>
                <c:ptCount val="35"/>
                <c:pt idx="1">
                  <c:v>0.000000</c:v>
                </c:pt>
                <c:pt idx="2">
                  <c:v>926381.000000</c:v>
                </c:pt>
                <c:pt idx="3">
                  <c:v>3281278.000000</c:v>
                </c:pt>
                <c:pt idx="4">
                  <c:v>5644532.000000</c:v>
                </c:pt>
                <c:pt idx="5">
                  <c:v>8033575.000000</c:v>
                </c:pt>
                <c:pt idx="6">
                  <c:v>10438887.000000</c:v>
                </c:pt>
                <c:pt idx="7">
                  <c:v>30058322.000000</c:v>
                </c:pt>
                <c:pt idx="8">
                  <c:v>32556165.000000</c:v>
                </c:pt>
                <c:pt idx="9">
                  <c:v>35087817.000000</c:v>
                </c:pt>
                <c:pt idx="10">
                  <c:v>37630331.000000</c:v>
                </c:pt>
                <c:pt idx="11">
                  <c:v>53115383.000000</c:v>
                </c:pt>
                <c:pt idx="12">
                  <c:v>55731624.000000</c:v>
                </c:pt>
                <c:pt idx="13">
                  <c:v>57415500.000000</c:v>
                </c:pt>
                <c:pt idx="14">
                  <c:v>58489898.000000</c:v>
                </c:pt>
                <c:pt idx="15">
                  <c:v>59612982.000000</c:v>
                </c:pt>
                <c:pt idx="16">
                  <c:v>60742910.000000</c:v>
                </c:pt>
                <c:pt idx="17">
                  <c:v>61116579.000000</c:v>
                </c:pt>
                <c:pt idx="18">
                  <c:v>61514920.000000</c:v>
                </c:pt>
                <c:pt idx="19">
                  <c:v>62475121.000000</c:v>
                </c:pt>
                <c:pt idx="20">
                  <c:v>62870079.000000</c:v>
                </c:pt>
                <c:pt idx="21">
                  <c:v>63464733.000000</c:v>
                </c:pt>
                <c:pt idx="22">
                  <c:v>63900952.000000</c:v>
                </c:pt>
                <c:pt idx="23">
                  <c:v>64456149.000000</c:v>
                </c:pt>
                <c:pt idx="24">
                  <c:v>64932445.000000</c:v>
                </c:pt>
                <c:pt idx="25">
                  <c:v>76867552.000000</c:v>
                </c:pt>
                <c:pt idx="26">
                  <c:v>77323568.000000</c:v>
                </c:pt>
                <c:pt idx="27">
                  <c:v>80139085.000000</c:v>
                </c:pt>
                <c:pt idx="28">
                  <c:v>82994723.000000</c:v>
                </c:pt>
                <c:pt idx="29">
                  <c:v>85901514.649189</c:v>
                </c:pt>
                <c:pt idx="30">
                  <c:v>86634595.139728</c:v>
                </c:pt>
                <c:pt idx="31">
                  <c:v>87205727.068940</c:v>
                </c:pt>
                <c:pt idx="32">
                  <c:v>87945151.604593</c:v>
                </c:pt>
                <c:pt idx="33">
                  <c:v>88525482.312504</c:v>
                </c:pt>
                <c:pt idx="34">
                  <c:v>89110335.447918</c:v>
                </c:pt>
                <c:pt idx="35">
                  <c:v>89697686.340001</c:v>
                </c:pt>
              </c:numCache>
            </c:numRef>
          </c:val>
          <c:smooth val="0"/>
        </c:ser>
        <c:ser>
          <c:idx val="2"/>
          <c:order val="2"/>
          <c:tx>
            <c:strRef>
              <c:f>'depto - dividendos'!$BW$2:$BW$3</c:f>
              <c:strCache>
                <c:ptCount val="1"/>
                <c:pt idx="0">
                  <c:v>interes acum</c:v>
                </c:pt>
              </c:strCache>
            </c:strRef>
          </c:tx>
          <c:spPr>
            <a:solidFill>
              <a:srgbClr val="FFFFFF"/>
            </a:solidFill>
            <a:ln w="50800" cap="flat">
              <a:solidFill>
                <a:srgbClr val="3B67D1"/>
              </a:solidFill>
              <a:prstDash val="solid"/>
              <a:miter lim="400000"/>
            </a:ln>
            <a:effectLst/>
          </c:spPr>
          <c:marker>
            <c:symbol val="none"/>
            <c:size val="4"/>
            <c:spPr>
              <a:solidFill>
                <a:srgbClr val="FFFFFF"/>
              </a:solidFill>
              <a:ln w="50800" cap="flat">
                <a:solidFill>
                  <a:srgbClr val="FBE12B"/>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dividendos'!$BW$5:$BW$160</c:f>
              <c:numCache>
                <c:ptCount val="34"/>
                <c:pt idx="2">
                  <c:v>0.000000</c:v>
                </c:pt>
                <c:pt idx="3">
                  <c:v>602761.000000</c:v>
                </c:pt>
                <c:pt idx="4">
                  <c:v>1195727.000000</c:v>
                </c:pt>
                <c:pt idx="5">
                  <c:v>1783150.000000</c:v>
                </c:pt>
                <c:pt idx="6">
                  <c:v>2362532.000000</c:v>
                </c:pt>
                <c:pt idx="7">
                  <c:v>2526538.000000</c:v>
                </c:pt>
                <c:pt idx="8">
                  <c:v>3018163.000000</c:v>
                </c:pt>
                <c:pt idx="9">
                  <c:v>3504272.000000</c:v>
                </c:pt>
                <c:pt idx="10">
                  <c:v>3980286.000000</c:v>
                </c:pt>
                <c:pt idx="11">
                  <c:v>4095234.000000</c:v>
                </c:pt>
                <c:pt idx="12">
                  <c:v>4498700.000000</c:v>
                </c:pt>
                <c:pt idx="13">
                  <c:v>4895726.000000</c:v>
                </c:pt>
                <c:pt idx="14">
                  <c:v>5287550.000000</c:v>
                </c:pt>
                <c:pt idx="15">
                  <c:v>5676904.000000</c:v>
                </c:pt>
                <c:pt idx="16">
                  <c:v>6062493.000000</c:v>
                </c:pt>
                <c:pt idx="17">
                  <c:v>6444138.000000</c:v>
                </c:pt>
                <c:pt idx="18">
                  <c:v>6823071.000000</c:v>
                </c:pt>
                <c:pt idx="19">
                  <c:v>7203574.000000</c:v>
                </c:pt>
                <c:pt idx="20">
                  <c:v>7580297.000000</c:v>
                </c:pt>
                <c:pt idx="21">
                  <c:v>7956840.000000</c:v>
                </c:pt>
                <c:pt idx="22">
                  <c:v>8331053.000000</c:v>
                </c:pt>
                <c:pt idx="23">
                  <c:v>8703799.000000</c:v>
                </c:pt>
                <c:pt idx="24">
                  <c:v>9074413.000000</c:v>
                </c:pt>
                <c:pt idx="25">
                  <c:v>9159306.000000</c:v>
                </c:pt>
                <c:pt idx="26">
                  <c:v>9481215.000000</c:v>
                </c:pt>
                <c:pt idx="27">
                  <c:v>9801504.000000</c:v>
                </c:pt>
                <c:pt idx="28">
                  <c:v>10113569.000000</c:v>
                </c:pt>
                <c:pt idx="29">
                  <c:v>10415664.350811</c:v>
                </c:pt>
                <c:pt idx="30">
                  <c:v>10709139.860272</c:v>
                </c:pt>
                <c:pt idx="31">
                  <c:v>10999657.931060</c:v>
                </c:pt>
                <c:pt idx="32">
                  <c:v>11288275.395407</c:v>
                </c:pt>
                <c:pt idx="33">
                  <c:v>11575423.687497</c:v>
                </c:pt>
                <c:pt idx="34">
                  <c:v>11861284.552082</c:v>
                </c:pt>
                <c:pt idx="35">
                  <c:v>12144842.659999</c:v>
                </c:pt>
              </c:numCache>
            </c:numRef>
          </c:val>
          <c:smooth val="0"/>
        </c:ser>
        <c:ser>
          <c:idx val="3"/>
          <c:order val="3"/>
          <c:tx>
            <c:strRef>
              <c:f>'depto - dividendos'!$BZ$2:$BZ$3</c:f>
              <c:strCache>
                <c:ptCount val="1"/>
                <c:pt idx="0">
                  <c:v>int oculto acum</c:v>
                </c:pt>
              </c:strCache>
            </c:strRef>
          </c:tx>
          <c:spPr>
            <a:solidFill>
              <a:srgbClr val="FFFFFF"/>
            </a:solidFill>
            <a:ln w="50800" cap="flat">
              <a:solidFill>
                <a:srgbClr val="EF951A"/>
              </a:solidFill>
              <a:prstDash val="solid"/>
              <a:miter lim="400000"/>
            </a:ln>
            <a:effectLst/>
          </c:spPr>
          <c:marker>
            <c:symbol val="none"/>
            <c:size val="4"/>
            <c:spPr>
              <a:solidFill>
                <a:srgbClr val="FFFFFF"/>
              </a:solidFill>
              <a:ln w="50800" cap="flat">
                <a:solidFill>
                  <a:srgbClr val="EF951A"/>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dividendos'!$BZ$5:$BZ$160</c:f>
              <c:numCache>
                <c:ptCount val="35"/>
                <c:pt idx="1">
                  <c:v>1905113.000000</c:v>
                </c:pt>
                <c:pt idx="2">
                  <c:v>2801506.000000</c:v>
                </c:pt>
                <c:pt idx="3">
                  <c:v>3163408.000000</c:v>
                </c:pt>
                <c:pt idx="4">
                  <c:v>3092221.000000</c:v>
                </c:pt>
                <c:pt idx="5">
                  <c:v>4078952.000000</c:v>
                </c:pt>
                <c:pt idx="6">
                  <c:v>4473365.000000</c:v>
                </c:pt>
                <c:pt idx="7">
                  <c:v>5025847.000000</c:v>
                </c:pt>
                <c:pt idx="8">
                  <c:v>4743839.000000</c:v>
                </c:pt>
                <c:pt idx="9">
                  <c:v>5867933.000000</c:v>
                </c:pt>
                <c:pt idx="10">
                  <c:v>5898169.000000</c:v>
                </c:pt>
                <c:pt idx="11">
                  <c:v>5943081.000000</c:v>
                </c:pt>
                <c:pt idx="12">
                  <c:v>5943081.000000</c:v>
                </c:pt>
                <c:pt idx="13">
                  <c:v>6957075.000000</c:v>
                </c:pt>
                <c:pt idx="14">
                  <c:v>7349020.000000</c:v>
                </c:pt>
                <c:pt idx="15">
                  <c:v>7806933.000000</c:v>
                </c:pt>
                <c:pt idx="16">
                  <c:v>7997003.000000</c:v>
                </c:pt>
                <c:pt idx="17">
                  <c:v>8147923.000000</c:v>
                </c:pt>
                <c:pt idx="18">
                  <c:v>7851362.000000</c:v>
                </c:pt>
                <c:pt idx="19">
                  <c:v>8633867.000000</c:v>
                </c:pt>
                <c:pt idx="20">
                  <c:v>8657766.000000</c:v>
                </c:pt>
                <c:pt idx="21">
                  <c:v>9003548.000000</c:v>
                </c:pt>
                <c:pt idx="22">
                  <c:v>9021357.000000</c:v>
                </c:pt>
                <c:pt idx="23">
                  <c:v>9094804.000000</c:v>
                </c:pt>
                <c:pt idx="24">
                  <c:v>9120840.000000</c:v>
                </c:pt>
                <c:pt idx="25">
                  <c:v>9458117.000000</c:v>
                </c:pt>
                <c:pt idx="26">
                  <c:v>9458116.000000</c:v>
                </c:pt>
                <c:pt idx="27">
                  <c:v>9510388.000000</c:v>
                </c:pt>
                <c:pt idx="28">
                  <c:v>10283482.000000</c:v>
                </c:pt>
                <c:pt idx="29">
                  <c:v>11244458.649189</c:v>
                </c:pt>
                <c:pt idx="30">
                  <c:v>12014598.139728</c:v>
                </c:pt>
                <c:pt idx="31">
                  <c:v>12014596.068940</c:v>
                </c:pt>
                <c:pt idx="32">
                  <c:v>12114615.604593</c:v>
                </c:pt>
                <c:pt idx="33">
                  <c:v>12489865.312503</c:v>
                </c:pt>
                <c:pt idx="34">
                  <c:v>12751073.447918</c:v>
                </c:pt>
                <c:pt idx="35">
                  <c:v>12765129.340001</c:v>
                </c:pt>
              </c:numCache>
            </c:numRef>
          </c:val>
          <c:smooth val="0"/>
        </c:ser>
        <c:ser>
          <c:idx val="4"/>
          <c:order val="4"/>
          <c:tx>
            <c:strRef>
              <c:f>'depto - dividendos'!$CI$2:$CI$3</c:f>
              <c:strCache>
                <c:ptCount val="1"/>
                <c:pt idx="0">
                  <c:v>inv + cripto + liquido</c:v>
                </c:pt>
              </c:strCache>
            </c:strRef>
          </c:tx>
          <c:spPr>
            <a:solidFill>
              <a:srgbClr val="FFFFFF"/>
            </a:solidFill>
            <a:ln w="25400" cap="flat">
              <a:solidFill>
                <a:srgbClr val="1C1DC0">
                  <a:alpha val="78738"/>
                </a:srgbClr>
              </a:solidFill>
              <a:prstDash val="solid"/>
              <a:miter lim="400000"/>
            </a:ln>
            <a:effectLst/>
          </c:spPr>
          <c:marker>
            <c:symbol val="none"/>
            <c:size val="4"/>
            <c:spPr>
              <a:solidFill>
                <a:srgbClr val="FFFFFF"/>
              </a:solidFill>
              <a:ln w="50800" cap="flat">
                <a:solidFill>
                  <a:srgbClr val="FB4912"/>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dividendos'!$CI$5:$CI$160</c:f>
              <c:numCache>
                <c:ptCount val="36"/>
                <c:pt idx="0">
                  <c:v>37197239.000000</c:v>
                </c:pt>
                <c:pt idx="1">
                  <c:v>38390140.000000</c:v>
                </c:pt>
                <c:pt idx="2">
                  <c:v>42319547.000000</c:v>
                </c:pt>
                <c:pt idx="3">
                  <c:v>46089469.000000</c:v>
                </c:pt>
                <c:pt idx="4">
                  <c:v>47425126.000000</c:v>
                </c:pt>
                <c:pt idx="5">
                  <c:v>54086802.000000</c:v>
                </c:pt>
                <c:pt idx="6">
                  <c:v>60614809.000000</c:v>
                </c:pt>
                <c:pt idx="7">
                  <c:v>49524688.000000</c:v>
                </c:pt>
                <c:pt idx="8">
                  <c:v>49524688.000000</c:v>
                </c:pt>
                <c:pt idx="9">
                  <c:v>56751941.000000</c:v>
                </c:pt>
                <c:pt idx="10">
                  <c:v>72883890.000000</c:v>
                </c:pt>
                <c:pt idx="11">
                  <c:v>24882945.000000</c:v>
                </c:pt>
                <c:pt idx="12">
                  <c:v>24882945.000000</c:v>
                </c:pt>
                <c:pt idx="13">
                  <c:v>15381801.400000</c:v>
                </c:pt>
                <c:pt idx="14">
                  <c:v>15656040.000000</c:v>
                </c:pt>
                <c:pt idx="15">
                  <c:v>15962906.000000</c:v>
                </c:pt>
                <c:pt idx="16">
                  <c:v>14583853.750000</c:v>
                </c:pt>
                <c:pt idx="17">
                  <c:v>12412759.000000</c:v>
                </c:pt>
                <c:pt idx="18">
                  <c:v>13161803.000000</c:v>
                </c:pt>
                <c:pt idx="19">
                  <c:v>14765312.000000</c:v>
                </c:pt>
                <c:pt idx="20">
                  <c:v>11266626.000000</c:v>
                </c:pt>
                <c:pt idx="21">
                  <c:v>11634903.000000</c:v>
                </c:pt>
                <c:pt idx="22">
                  <c:v>9970369.000000</c:v>
                </c:pt>
                <c:pt idx="23">
                  <c:v>11150610.000000</c:v>
                </c:pt>
                <c:pt idx="24">
                  <c:v>11156169.000000</c:v>
                </c:pt>
                <c:pt idx="25">
                  <c:v>13268201.000000</c:v>
                </c:pt>
                <c:pt idx="26">
                  <c:v>13268201.000000</c:v>
                </c:pt>
                <c:pt idx="27">
                  <c:v>32932385.000000</c:v>
                </c:pt>
                <c:pt idx="28">
                  <c:v>30652946.000000</c:v>
                </c:pt>
                <c:pt idx="29">
                  <c:v>27652946.000000</c:v>
                </c:pt>
                <c:pt idx="30">
                  <c:v>24652946.000000</c:v>
                </c:pt>
                <c:pt idx="31">
                  <c:v>21652946.000000</c:v>
                </c:pt>
                <c:pt idx="32">
                  <c:v>18652946.000000</c:v>
                </c:pt>
                <c:pt idx="33">
                  <c:v>30652946.000000</c:v>
                </c:pt>
                <c:pt idx="34">
                  <c:v>30652946.000000</c:v>
                </c:pt>
                <c:pt idx="35">
                  <c:v>30652946.000000</c:v>
                </c:pt>
              </c:numCache>
            </c:numRef>
          </c:val>
          <c:smooth val="0"/>
        </c:ser>
        <c:ser>
          <c:idx val="5"/>
          <c:order val="5"/>
          <c:tx>
            <c:strRef>
              <c:f>'depto - dividendos'!$CK$2:$CK$3</c:f>
              <c:strCache>
                <c:ptCount val="1"/>
                <c:pt idx="0">
                  <c:v>total</c:v>
                </c:pt>
              </c:strCache>
            </c:strRef>
          </c:tx>
          <c:spPr>
            <a:solidFill>
              <a:srgbClr val="FFFFFF"/>
            </a:solidFill>
            <a:ln w="25400" cap="flat">
              <a:solidFill>
                <a:srgbClr val="C1B4E4">
                  <a:alpha val="93448"/>
                </a:srgbClr>
              </a:solidFill>
              <a:prstDash val="solid"/>
              <a:miter lim="400000"/>
            </a:ln>
            <a:effectLst/>
          </c:spPr>
          <c:marker>
            <c:symbol val="none"/>
            <c:size val="4"/>
            <c:spPr>
              <a:solidFill>
                <a:srgbClr val="FFFFFF"/>
              </a:solidFill>
              <a:ln w="50800" cap="flat">
                <a:solidFill>
                  <a:srgbClr val="885CB2"/>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dividendos'!$CK$5:$CK$160</c:f>
              <c:numCache>
                <c:ptCount val="36"/>
                <c:pt idx="0">
                  <c:v>73090238.000000</c:v>
                </c:pt>
                <c:pt idx="1">
                  <c:v>74794282.400000</c:v>
                </c:pt>
                <c:pt idx="2">
                  <c:v>81484277.850000</c:v>
                </c:pt>
                <c:pt idx="3">
                  <c:v>85342668.150000</c:v>
                </c:pt>
                <c:pt idx="4">
                  <c:v>85872879.400000</c:v>
                </c:pt>
                <c:pt idx="5">
                  <c:v>92879221.550000</c:v>
                </c:pt>
                <c:pt idx="6">
                  <c:v>102361140.600000</c:v>
                </c:pt>
                <c:pt idx="7">
                  <c:v>93060406.600000</c:v>
                </c:pt>
                <c:pt idx="8">
                  <c:v>93060406.600000</c:v>
                </c:pt>
                <c:pt idx="9">
                  <c:v>101323989.550000</c:v>
                </c:pt>
                <c:pt idx="10">
                  <c:v>117554803.900000</c:v>
                </c:pt>
                <c:pt idx="11">
                  <c:v>69553858.900000</c:v>
                </c:pt>
                <c:pt idx="12">
                  <c:v>67257650.050000</c:v>
                </c:pt>
                <c:pt idx="13">
                  <c:v>55245384.000000</c:v>
                </c:pt>
                <c:pt idx="14">
                  <c:v>55845947.950000</c:v>
                </c:pt>
                <c:pt idx="15">
                  <c:v>58561215.300000</c:v>
                </c:pt>
                <c:pt idx="16">
                  <c:v>59559407.850000</c:v>
                </c:pt>
                <c:pt idx="17">
                  <c:v>60516393.100000</c:v>
                </c:pt>
                <c:pt idx="18">
                  <c:v>61761336.950000</c:v>
                </c:pt>
                <c:pt idx="19">
                  <c:v>65834187.300000</c:v>
                </c:pt>
                <c:pt idx="20">
                  <c:v>63486874.700000</c:v>
                </c:pt>
                <c:pt idx="21">
                  <c:v>63021323.100000</c:v>
                </c:pt>
                <c:pt idx="22">
                  <c:v>60977896.900000</c:v>
                </c:pt>
                <c:pt idx="23">
                  <c:v>61221719.100000</c:v>
                </c:pt>
                <c:pt idx="24">
                  <c:v>61480248.500000</c:v>
                </c:pt>
                <c:pt idx="25">
                  <c:v>63721625.650000</c:v>
                </c:pt>
                <c:pt idx="26">
                  <c:v>63721625.650000</c:v>
                </c:pt>
                <c:pt idx="27">
                  <c:v>88926675.050000</c:v>
                </c:pt>
                <c:pt idx="28">
                  <c:v>86240890.850000</c:v>
                </c:pt>
                <c:pt idx="29">
                  <c:v>83240890.850000</c:v>
                </c:pt>
                <c:pt idx="30">
                  <c:v>80240890.850000</c:v>
                </c:pt>
                <c:pt idx="31">
                  <c:v>77240890.850000</c:v>
                </c:pt>
                <c:pt idx="32">
                  <c:v>74240890.850000</c:v>
                </c:pt>
                <c:pt idx="33">
                  <c:v>86240890.850000</c:v>
                </c:pt>
                <c:pt idx="34">
                  <c:v>86240890.850000</c:v>
                </c:pt>
                <c:pt idx="35">
                  <c:v>86240890.850000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14862"/>
          <c:y val="0"/>
          <c:w val="0.795374"/>
          <c:h val="0.10394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6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39087"/>
          <c:y val="0.126878"/>
          <c:w val="0.855913"/>
          <c:h val="0.810538"/>
        </c:manualLayout>
      </c:layout>
      <c:barChart>
        <c:barDir val="col"/>
        <c:grouping val="stacked"/>
        <c:varyColors val="0"/>
        <c:ser>
          <c:idx val="0"/>
          <c:order val="0"/>
          <c:tx>
            <c:strRef>
              <c:f>'depto - dividendos'!$AZ$2</c:f>
              <c:strCache/>
            </c:strRef>
          </c:tx>
          <c:spPr>
            <a:solidFill>
              <a:srgbClr val="25BA26"/>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dividendos'!$AZ$5:$AZ$160</c:f>
              <c:numCache>
                <c:ptCount val="31"/>
                <c:pt idx="2">
                  <c:v>213443.000000</c:v>
                </c:pt>
                <c:pt idx="3">
                  <c:v>53483.000000</c:v>
                </c:pt>
                <c:pt idx="4">
                  <c:v>53356.000000</c:v>
                </c:pt>
                <c:pt idx="5">
                  <c:v>53619.000000</c:v>
                </c:pt>
                <c:pt idx="6">
                  <c:v>53665.000000</c:v>
                </c:pt>
                <c:pt idx="8">
                  <c:v>52800.000000</c:v>
                </c:pt>
                <c:pt idx="9">
                  <c:v>53292.000000</c:v>
                </c:pt>
                <c:pt idx="10">
                  <c:v>53095.000000</c:v>
                </c:pt>
                <c:pt idx="12">
                  <c:v>52336.000000</c:v>
                </c:pt>
                <c:pt idx="13">
                  <c:v>52772.000000</c:v>
                </c:pt>
                <c:pt idx="14">
                  <c:v>52913.000000</c:v>
                </c:pt>
                <c:pt idx="15">
                  <c:v>53120.000000</c:v>
                </c:pt>
                <c:pt idx="16">
                  <c:v>53179.000000</c:v>
                </c:pt>
                <c:pt idx="17">
                  <c:v>44686.000000</c:v>
                </c:pt>
                <c:pt idx="18">
                  <c:v>44528.000000</c:v>
                </c:pt>
                <c:pt idx="19">
                  <c:v>44887.000000</c:v>
                </c:pt>
                <c:pt idx="20">
                  <c:v>44856.000000</c:v>
                </c:pt>
                <c:pt idx="21">
                  <c:v>44674.000000</c:v>
                </c:pt>
                <c:pt idx="22">
                  <c:v>44659.000000</c:v>
                </c:pt>
                <c:pt idx="23">
                  <c:v>44675.000000</c:v>
                </c:pt>
                <c:pt idx="24">
                  <c:v>44668.000000</c:v>
                </c:pt>
                <c:pt idx="26">
                  <c:v>44340.000000</c:v>
                </c:pt>
                <c:pt idx="27">
                  <c:v>44354.000000</c:v>
                </c:pt>
                <c:pt idx="28">
                  <c:v>44692.000000</c:v>
                </c:pt>
                <c:pt idx="29">
                  <c:v>45155.000000</c:v>
                </c:pt>
                <c:pt idx="30">
                  <c:v>45522.000000</c:v>
                </c:pt>
                <c:pt idx="31">
                  <c:v>45493.000000</c:v>
                </c:pt>
                <c:pt idx="32">
                  <c:v>45537.000000</c:v>
                </c:pt>
                <c:pt idx="33">
                  <c:v>45749.000000</c:v>
                </c:pt>
                <c:pt idx="34">
                  <c:v>45893.000000</c:v>
                </c:pt>
                <c:pt idx="35">
                  <c:v>45881.000000</c:v>
                </c:pt>
              </c:numCache>
            </c:numRef>
          </c:val>
        </c:ser>
        <c:ser>
          <c:idx val="1"/>
          <c:order val="1"/>
          <c:tx>
            <c:strRef>
              <c:f>'depto - dividendos'!$BG$2</c:f>
              <c:strCache>
                <c:ptCount val="1"/>
                <c:pt idx="0">
                  <c:v>interés</c:v>
                </c:pt>
              </c:strCache>
            </c:strRef>
          </c:tx>
          <c:spPr>
            <a:solidFill>
              <a:srgbClr val="CD5248">
                <a:alpha val="72222"/>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dividendos'!$BG$5:$BG$160</c:f>
              <c:numCache>
                <c:ptCount val="33"/>
                <c:pt idx="3">
                  <c:v>602761.000000</c:v>
                </c:pt>
                <c:pt idx="4">
                  <c:v>592966.000000</c:v>
                </c:pt>
                <c:pt idx="5">
                  <c:v>587423.000000</c:v>
                </c:pt>
                <c:pt idx="6">
                  <c:v>579382.000000</c:v>
                </c:pt>
                <c:pt idx="7">
                  <c:v>164006.000000</c:v>
                </c:pt>
                <c:pt idx="8">
                  <c:v>491625.000000</c:v>
                </c:pt>
                <c:pt idx="9">
                  <c:v>486109.000000</c:v>
                </c:pt>
                <c:pt idx="10">
                  <c:v>476014.000000</c:v>
                </c:pt>
                <c:pt idx="11">
                  <c:v>114948.000000</c:v>
                </c:pt>
                <c:pt idx="12">
                  <c:v>403466.000000</c:v>
                </c:pt>
                <c:pt idx="13">
                  <c:v>397026.000000</c:v>
                </c:pt>
                <c:pt idx="14">
                  <c:v>391824.000000</c:v>
                </c:pt>
                <c:pt idx="15">
                  <c:v>389354.000000</c:v>
                </c:pt>
                <c:pt idx="16">
                  <c:v>385589.000000</c:v>
                </c:pt>
                <c:pt idx="17">
                  <c:v>381645.000000</c:v>
                </c:pt>
                <c:pt idx="18">
                  <c:v>378933.000000</c:v>
                </c:pt>
                <c:pt idx="19">
                  <c:v>380503.000000</c:v>
                </c:pt>
                <c:pt idx="20">
                  <c:v>376723.000000</c:v>
                </c:pt>
                <c:pt idx="21">
                  <c:v>376543.000000</c:v>
                </c:pt>
                <c:pt idx="22">
                  <c:v>374213.000000</c:v>
                </c:pt>
                <c:pt idx="23">
                  <c:v>372746.000000</c:v>
                </c:pt>
                <c:pt idx="24">
                  <c:v>370614.000000</c:v>
                </c:pt>
                <c:pt idx="25">
                  <c:v>84893.000000</c:v>
                </c:pt>
                <c:pt idx="26">
                  <c:v>321909.000000</c:v>
                </c:pt>
                <c:pt idx="27">
                  <c:v>320289.000000</c:v>
                </c:pt>
                <c:pt idx="28">
                  <c:v>312065.000000</c:v>
                </c:pt>
                <c:pt idx="29">
                  <c:v>302095.350811</c:v>
                </c:pt>
                <c:pt idx="30">
                  <c:v>293475.509461</c:v>
                </c:pt>
                <c:pt idx="31">
                  <c:v>290518.070788</c:v>
                </c:pt>
                <c:pt idx="32">
                  <c:v>288617.464347</c:v>
                </c:pt>
                <c:pt idx="33">
                  <c:v>287148.292089</c:v>
                </c:pt>
                <c:pt idx="34">
                  <c:v>285860.864586</c:v>
                </c:pt>
                <c:pt idx="35">
                  <c:v>283558.107916</c:v>
                </c:pt>
              </c:numCache>
            </c:numRef>
          </c:val>
        </c:ser>
        <c:ser>
          <c:idx val="2"/>
          <c:order val="2"/>
          <c:tx>
            <c:strRef>
              <c:f>'depto - dividendos'!$BA$2</c:f>
              <c:strCache>
                <c:ptCount val="1"/>
                <c:pt idx="0">
                  <c:v>amortización</c:v>
                </c:pt>
              </c:strCache>
            </c:strRef>
          </c:tx>
          <c:spPr>
            <a:solidFill>
              <a:srgbClr val="5E99C5"/>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dividendos'!$BA$5:$BA$160</c:f>
              <c:numCache>
                <c:ptCount val="31"/>
                <c:pt idx="2">
                  <c:v>188520.000000</c:v>
                </c:pt>
                <c:pt idx="3">
                  <c:v>188802.000000</c:v>
                </c:pt>
                <c:pt idx="4">
                  <c:v>186726.000000</c:v>
                </c:pt>
                <c:pt idx="5">
                  <c:v>185969.000000</c:v>
                </c:pt>
                <c:pt idx="6">
                  <c:v>184399.000000</c:v>
                </c:pt>
                <c:pt idx="8">
                  <c:v>157298.000000</c:v>
                </c:pt>
                <c:pt idx="9">
                  <c:v>156358.000000</c:v>
                </c:pt>
                <c:pt idx="10">
                  <c:v>153934.000000</c:v>
                </c:pt>
                <c:pt idx="12">
                  <c:v>131174.000000</c:v>
                </c:pt>
                <c:pt idx="13">
                  <c:v>129770.000000</c:v>
                </c:pt>
                <c:pt idx="14">
                  <c:v>128756.000000</c:v>
                </c:pt>
                <c:pt idx="15">
                  <c:v>128622.000000</c:v>
                </c:pt>
                <c:pt idx="16">
                  <c:v>128068.000000</c:v>
                </c:pt>
                <c:pt idx="17">
                  <c:v>127441.000000</c:v>
                </c:pt>
                <c:pt idx="18">
                  <c:v>127218.000000</c:v>
                </c:pt>
                <c:pt idx="19">
                  <c:v>128431.000000</c:v>
                </c:pt>
                <c:pt idx="20">
                  <c:v>127848.000000</c:v>
                </c:pt>
                <c:pt idx="21">
                  <c:v>128469.125863</c:v>
                </c:pt>
                <c:pt idx="22">
                  <c:v>128367.000000</c:v>
                </c:pt>
                <c:pt idx="23">
                  <c:v>128565.354513</c:v>
                </c:pt>
                <c:pt idx="24">
                  <c:v>128522.000000</c:v>
                </c:pt>
                <c:pt idx="26">
                  <c:v>112242.000000</c:v>
                </c:pt>
                <c:pt idx="27">
                  <c:v>112275.877184</c:v>
                </c:pt>
                <c:pt idx="28">
                  <c:v>109999.957624</c:v>
                </c:pt>
                <c:pt idx="29">
                  <c:v>110759.491115</c:v>
                </c:pt>
                <c:pt idx="30">
                  <c:v>108157.438648</c:v>
                </c:pt>
                <c:pt idx="31">
                  <c:v>107623.470678</c:v>
                </c:pt>
                <c:pt idx="32">
                  <c:v>107474.456528</c:v>
                </c:pt>
                <c:pt idx="33">
                  <c:v>107484.696953</c:v>
                </c:pt>
                <c:pt idx="34">
                  <c:v>107561.473877</c:v>
                </c:pt>
                <c:pt idx="35">
                  <c:v>107253.139615</c:v>
                </c:pt>
              </c:numCache>
            </c:numRef>
          </c:val>
        </c:ser>
        <c:ser>
          <c:idx val="3"/>
          <c:order val="3"/>
          <c:tx>
            <c:strRef>
              <c:f>'depto - dividendos'!$BC$2</c:f>
              <c:strCache>
                <c:ptCount val="1"/>
                <c:pt idx="0">
                  <c:v>amortización ext</c:v>
                </c:pt>
              </c:strCache>
            </c:strRef>
          </c:tx>
          <c:spPr>
            <a:solidFill>
              <a:srgbClr val="497B9F"/>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dividendos'!$BC$5:$BC$160</c:f>
              <c:numCache>
                <c:ptCount val="34"/>
                <c:pt idx="2">
                  <c:v>737861.000000</c:v>
                </c:pt>
                <c:pt idx="3">
                  <c:v>2166095.000000</c:v>
                </c:pt>
                <c:pt idx="4">
                  <c:v>2176528.000000</c:v>
                </c:pt>
                <c:pt idx="5">
                  <c:v>2203074.000000</c:v>
                </c:pt>
                <c:pt idx="6">
                  <c:v>2220913.000000</c:v>
                </c:pt>
                <c:pt idx="7">
                  <c:v>19619435.000000</c:v>
                </c:pt>
                <c:pt idx="8">
                  <c:v>2340545.000000</c:v>
                </c:pt>
                <c:pt idx="9">
                  <c:v>2375294.000000</c:v>
                </c:pt>
                <c:pt idx="10">
                  <c:v>2388580.000000</c:v>
                </c:pt>
                <c:pt idx="11">
                  <c:v>15485052.000000</c:v>
                </c:pt>
                <c:pt idx="12">
                  <c:v>2485067.000000</c:v>
                </c:pt>
                <c:pt idx="13">
                  <c:v>1554106.000000</c:v>
                </c:pt>
                <c:pt idx="14">
                  <c:v>945642.000000</c:v>
                </c:pt>
                <c:pt idx="15">
                  <c:v>994462.000000</c:v>
                </c:pt>
                <c:pt idx="16">
                  <c:v>1001860.000000</c:v>
                </c:pt>
                <c:pt idx="17">
                  <c:v>246228.000000</c:v>
                </c:pt>
                <c:pt idx="18">
                  <c:v>271123.000000</c:v>
                </c:pt>
                <c:pt idx="19">
                  <c:v>831770.000000</c:v>
                </c:pt>
                <c:pt idx="20">
                  <c:v>267110.000000</c:v>
                </c:pt>
                <c:pt idx="21">
                  <c:v>466184.874137</c:v>
                </c:pt>
                <c:pt idx="22">
                  <c:v>307852.000000</c:v>
                </c:pt>
                <c:pt idx="23">
                  <c:v>426631.645487</c:v>
                </c:pt>
                <c:pt idx="24">
                  <c:v>347774.000000</c:v>
                </c:pt>
                <c:pt idx="25">
                  <c:v>11935107.000000</c:v>
                </c:pt>
                <c:pt idx="26">
                  <c:v>343774.000000</c:v>
                </c:pt>
                <c:pt idx="27">
                  <c:v>2703241.122816</c:v>
                </c:pt>
                <c:pt idx="28">
                  <c:v>2745638.042376</c:v>
                </c:pt>
                <c:pt idx="29">
                  <c:v>2796032.158073</c:v>
                </c:pt>
                <c:pt idx="30">
                  <c:v>624923.051892</c:v>
                </c:pt>
                <c:pt idx="31">
                  <c:v>463508.458533</c:v>
                </c:pt>
                <c:pt idx="32">
                  <c:v>631950.079125</c:v>
                </c:pt>
                <c:pt idx="33">
                  <c:v>472846.010958</c:v>
                </c:pt>
                <c:pt idx="34">
                  <c:v>477291.661538</c:v>
                </c:pt>
                <c:pt idx="35">
                  <c:v>480097.752468</c:v>
                </c:pt>
              </c:numCache>
            </c:numRef>
          </c:val>
        </c:ser>
        <c:gapWidth val="40"/>
        <c:overlap val="100"/>
        <c:axId val="2094734552"/>
        <c:axId val="2094734553"/>
      </c:barChart>
      <c:catAx>
        <c:axId val="2094734552"/>
        <c:scaling>
          <c:orientation val="minMax"/>
        </c:scaling>
        <c:delete val="0"/>
        <c:axPos val="b"/>
        <c:numFmt formatCode="&quot;$&quot;#,##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3.5e+06"/>
          <c:min val="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500000"/>
        <c:minorUnit val="250000"/>
      </c:valAx>
      <c:spPr>
        <a:noFill/>
        <a:ln w="12700" cap="flat">
          <a:noFill/>
          <a:miter lim="400000"/>
        </a:ln>
        <a:effectLst/>
      </c:spPr>
    </c:plotArea>
    <c:legend>
      <c:legendPos val="t"/>
      <c:layout>
        <c:manualLayout>
          <c:xMode val="edge"/>
          <c:yMode val="edge"/>
          <c:x val="0.127915"/>
          <c:y val="0"/>
          <c:w val="0.820184"/>
          <c:h val="0.065066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6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43229"/>
          <c:y val="0.126878"/>
          <c:w val="0.900677"/>
          <c:h val="0.810538"/>
        </c:manualLayout>
      </c:layout>
      <c:barChart>
        <c:barDir val="col"/>
        <c:grouping val="percentStacked"/>
        <c:varyColors val="0"/>
        <c:ser>
          <c:idx val="0"/>
          <c:order val="0"/>
          <c:tx>
            <c:strRef>
              <c:f>'depto - dividendos'!$AZ$2</c:f>
              <c:strCache/>
            </c:strRef>
          </c:tx>
          <c:spPr>
            <a:solidFill>
              <a:srgbClr val="25BA26"/>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dividendos'!$AZ$5:$AZ$160</c:f>
              <c:numCache>
                <c:ptCount val="31"/>
                <c:pt idx="2">
                  <c:v>213443.000000</c:v>
                </c:pt>
                <c:pt idx="3">
                  <c:v>53483.000000</c:v>
                </c:pt>
                <c:pt idx="4">
                  <c:v>53356.000000</c:v>
                </c:pt>
                <c:pt idx="5">
                  <c:v>53619.000000</c:v>
                </c:pt>
                <c:pt idx="6">
                  <c:v>53665.000000</c:v>
                </c:pt>
                <c:pt idx="8">
                  <c:v>52800.000000</c:v>
                </c:pt>
                <c:pt idx="9">
                  <c:v>53292.000000</c:v>
                </c:pt>
                <c:pt idx="10">
                  <c:v>53095.000000</c:v>
                </c:pt>
                <c:pt idx="12">
                  <c:v>52336.000000</c:v>
                </c:pt>
                <c:pt idx="13">
                  <c:v>52772.000000</c:v>
                </c:pt>
                <c:pt idx="14">
                  <c:v>52913.000000</c:v>
                </c:pt>
                <c:pt idx="15">
                  <c:v>53120.000000</c:v>
                </c:pt>
                <c:pt idx="16">
                  <c:v>53179.000000</c:v>
                </c:pt>
                <c:pt idx="17">
                  <c:v>44686.000000</c:v>
                </c:pt>
                <c:pt idx="18">
                  <c:v>44528.000000</c:v>
                </c:pt>
                <c:pt idx="19">
                  <c:v>44887.000000</c:v>
                </c:pt>
                <c:pt idx="20">
                  <c:v>44856.000000</c:v>
                </c:pt>
                <c:pt idx="21">
                  <c:v>44674.000000</c:v>
                </c:pt>
                <c:pt idx="22">
                  <c:v>44659.000000</c:v>
                </c:pt>
                <c:pt idx="23">
                  <c:v>44675.000000</c:v>
                </c:pt>
                <c:pt idx="24">
                  <c:v>44668.000000</c:v>
                </c:pt>
                <c:pt idx="26">
                  <c:v>44340.000000</c:v>
                </c:pt>
                <c:pt idx="27">
                  <c:v>44354.000000</c:v>
                </c:pt>
                <c:pt idx="28">
                  <c:v>44692.000000</c:v>
                </c:pt>
                <c:pt idx="29">
                  <c:v>45155.000000</c:v>
                </c:pt>
                <c:pt idx="30">
                  <c:v>45522.000000</c:v>
                </c:pt>
                <c:pt idx="31">
                  <c:v>45493.000000</c:v>
                </c:pt>
                <c:pt idx="32">
                  <c:v>45537.000000</c:v>
                </c:pt>
                <c:pt idx="33">
                  <c:v>45749.000000</c:v>
                </c:pt>
                <c:pt idx="34">
                  <c:v>45893.000000</c:v>
                </c:pt>
                <c:pt idx="35">
                  <c:v>45881.000000</c:v>
                </c:pt>
              </c:numCache>
            </c:numRef>
          </c:val>
        </c:ser>
        <c:ser>
          <c:idx val="1"/>
          <c:order val="1"/>
          <c:tx>
            <c:strRef>
              <c:f>'depto - dividendos'!$BG$2</c:f>
              <c:strCache>
                <c:ptCount val="1"/>
                <c:pt idx="0">
                  <c:v>interés</c:v>
                </c:pt>
              </c:strCache>
            </c:strRef>
          </c:tx>
          <c:spPr>
            <a:solidFill>
              <a:srgbClr val="CD5248">
                <a:alpha val="72222"/>
              </a:srgbClr>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dividendos'!$BG$5:$BG$160</c:f>
              <c:numCache>
                <c:ptCount val="33"/>
                <c:pt idx="3">
                  <c:v>602761.000000</c:v>
                </c:pt>
                <c:pt idx="4">
                  <c:v>592966.000000</c:v>
                </c:pt>
                <c:pt idx="5">
                  <c:v>587423.000000</c:v>
                </c:pt>
                <c:pt idx="6">
                  <c:v>579382.000000</c:v>
                </c:pt>
                <c:pt idx="7">
                  <c:v>164006.000000</c:v>
                </c:pt>
                <c:pt idx="8">
                  <c:v>491625.000000</c:v>
                </c:pt>
                <c:pt idx="9">
                  <c:v>486109.000000</c:v>
                </c:pt>
                <c:pt idx="10">
                  <c:v>476014.000000</c:v>
                </c:pt>
                <c:pt idx="11">
                  <c:v>114948.000000</c:v>
                </c:pt>
                <c:pt idx="12">
                  <c:v>403466.000000</c:v>
                </c:pt>
                <c:pt idx="13">
                  <c:v>397026.000000</c:v>
                </c:pt>
                <c:pt idx="14">
                  <c:v>391824.000000</c:v>
                </c:pt>
                <c:pt idx="15">
                  <c:v>389354.000000</c:v>
                </c:pt>
                <c:pt idx="16">
                  <c:v>385589.000000</c:v>
                </c:pt>
                <c:pt idx="17">
                  <c:v>381645.000000</c:v>
                </c:pt>
                <c:pt idx="18">
                  <c:v>378933.000000</c:v>
                </c:pt>
                <c:pt idx="19">
                  <c:v>380503.000000</c:v>
                </c:pt>
                <c:pt idx="20">
                  <c:v>376723.000000</c:v>
                </c:pt>
                <c:pt idx="21">
                  <c:v>376543.000000</c:v>
                </c:pt>
                <c:pt idx="22">
                  <c:v>374213.000000</c:v>
                </c:pt>
                <c:pt idx="23">
                  <c:v>372746.000000</c:v>
                </c:pt>
                <c:pt idx="24">
                  <c:v>370614.000000</c:v>
                </c:pt>
                <c:pt idx="25">
                  <c:v>84893.000000</c:v>
                </c:pt>
                <c:pt idx="26">
                  <c:v>321909.000000</c:v>
                </c:pt>
                <c:pt idx="27">
                  <c:v>320289.000000</c:v>
                </c:pt>
                <c:pt idx="28">
                  <c:v>312065.000000</c:v>
                </c:pt>
                <c:pt idx="29">
                  <c:v>302095.350811</c:v>
                </c:pt>
                <c:pt idx="30">
                  <c:v>293475.509461</c:v>
                </c:pt>
                <c:pt idx="31">
                  <c:v>290518.070788</c:v>
                </c:pt>
                <c:pt idx="32">
                  <c:v>288617.464347</c:v>
                </c:pt>
                <c:pt idx="33">
                  <c:v>287148.292089</c:v>
                </c:pt>
                <c:pt idx="34">
                  <c:v>285860.864586</c:v>
                </c:pt>
                <c:pt idx="35">
                  <c:v>283558.107916</c:v>
                </c:pt>
              </c:numCache>
            </c:numRef>
          </c:val>
        </c:ser>
        <c:ser>
          <c:idx val="2"/>
          <c:order val="2"/>
          <c:tx>
            <c:strRef>
              <c:f>'depto - dividendos'!$BA$2</c:f>
              <c:strCache>
                <c:ptCount val="1"/>
                <c:pt idx="0">
                  <c:v>amortización</c:v>
                </c:pt>
              </c:strCache>
            </c:strRef>
          </c:tx>
          <c:spPr>
            <a:solidFill>
              <a:srgbClr val="5E99C5"/>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dividendos'!$BA$5:$BA$160</c:f>
              <c:numCache>
                <c:ptCount val="31"/>
                <c:pt idx="2">
                  <c:v>188520.000000</c:v>
                </c:pt>
                <c:pt idx="3">
                  <c:v>188802.000000</c:v>
                </c:pt>
                <c:pt idx="4">
                  <c:v>186726.000000</c:v>
                </c:pt>
                <c:pt idx="5">
                  <c:v>185969.000000</c:v>
                </c:pt>
                <c:pt idx="6">
                  <c:v>184399.000000</c:v>
                </c:pt>
                <c:pt idx="8">
                  <c:v>157298.000000</c:v>
                </c:pt>
                <c:pt idx="9">
                  <c:v>156358.000000</c:v>
                </c:pt>
                <c:pt idx="10">
                  <c:v>153934.000000</c:v>
                </c:pt>
                <c:pt idx="12">
                  <c:v>131174.000000</c:v>
                </c:pt>
                <c:pt idx="13">
                  <c:v>129770.000000</c:v>
                </c:pt>
                <c:pt idx="14">
                  <c:v>128756.000000</c:v>
                </c:pt>
                <c:pt idx="15">
                  <c:v>128622.000000</c:v>
                </c:pt>
                <c:pt idx="16">
                  <c:v>128068.000000</c:v>
                </c:pt>
                <c:pt idx="17">
                  <c:v>127441.000000</c:v>
                </c:pt>
                <c:pt idx="18">
                  <c:v>127218.000000</c:v>
                </c:pt>
                <c:pt idx="19">
                  <c:v>128431.000000</c:v>
                </c:pt>
                <c:pt idx="20">
                  <c:v>127848.000000</c:v>
                </c:pt>
                <c:pt idx="21">
                  <c:v>128469.125863</c:v>
                </c:pt>
                <c:pt idx="22">
                  <c:v>128367.000000</c:v>
                </c:pt>
                <c:pt idx="23">
                  <c:v>128565.354513</c:v>
                </c:pt>
                <c:pt idx="24">
                  <c:v>128522.000000</c:v>
                </c:pt>
                <c:pt idx="26">
                  <c:v>112242.000000</c:v>
                </c:pt>
                <c:pt idx="27">
                  <c:v>112275.877184</c:v>
                </c:pt>
                <c:pt idx="28">
                  <c:v>109999.957624</c:v>
                </c:pt>
                <c:pt idx="29">
                  <c:v>110759.491115</c:v>
                </c:pt>
                <c:pt idx="30">
                  <c:v>108157.438648</c:v>
                </c:pt>
                <c:pt idx="31">
                  <c:v>107623.470678</c:v>
                </c:pt>
                <c:pt idx="32">
                  <c:v>107474.456528</c:v>
                </c:pt>
                <c:pt idx="33">
                  <c:v>107484.696953</c:v>
                </c:pt>
                <c:pt idx="34">
                  <c:v>107561.473877</c:v>
                </c:pt>
                <c:pt idx="35">
                  <c:v>107253.139615</c:v>
                </c:pt>
              </c:numCache>
            </c:numRef>
          </c:val>
        </c:ser>
        <c:ser>
          <c:idx val="3"/>
          <c:order val="3"/>
          <c:tx>
            <c:strRef>
              <c:f>'depto - dividendos'!$BC$2</c:f>
              <c:strCache>
                <c:ptCount val="1"/>
                <c:pt idx="0">
                  <c:v>amortización ext</c:v>
                </c:pt>
              </c:strCache>
            </c:strRef>
          </c:tx>
          <c:spPr>
            <a:solidFill>
              <a:srgbClr val="497B9F"/>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dividendos'!$BC$5:$BC$160</c:f>
              <c:numCache>
                <c:ptCount val="34"/>
                <c:pt idx="2">
                  <c:v>737861.000000</c:v>
                </c:pt>
                <c:pt idx="3">
                  <c:v>2166095.000000</c:v>
                </c:pt>
                <c:pt idx="4">
                  <c:v>2176528.000000</c:v>
                </c:pt>
                <c:pt idx="5">
                  <c:v>2203074.000000</c:v>
                </c:pt>
                <c:pt idx="6">
                  <c:v>2220913.000000</c:v>
                </c:pt>
                <c:pt idx="7">
                  <c:v>19619435.000000</c:v>
                </c:pt>
                <c:pt idx="8">
                  <c:v>2340545.000000</c:v>
                </c:pt>
                <c:pt idx="9">
                  <c:v>2375294.000000</c:v>
                </c:pt>
                <c:pt idx="10">
                  <c:v>2388580.000000</c:v>
                </c:pt>
                <c:pt idx="11">
                  <c:v>15485052.000000</c:v>
                </c:pt>
                <c:pt idx="12">
                  <c:v>2485067.000000</c:v>
                </c:pt>
                <c:pt idx="13">
                  <c:v>1554106.000000</c:v>
                </c:pt>
                <c:pt idx="14">
                  <c:v>945642.000000</c:v>
                </c:pt>
                <c:pt idx="15">
                  <c:v>994462.000000</c:v>
                </c:pt>
                <c:pt idx="16">
                  <c:v>1001860.000000</c:v>
                </c:pt>
                <c:pt idx="17">
                  <c:v>246228.000000</c:v>
                </c:pt>
                <c:pt idx="18">
                  <c:v>271123.000000</c:v>
                </c:pt>
                <c:pt idx="19">
                  <c:v>831770.000000</c:v>
                </c:pt>
                <c:pt idx="20">
                  <c:v>267110.000000</c:v>
                </c:pt>
                <c:pt idx="21">
                  <c:v>466184.874137</c:v>
                </c:pt>
                <c:pt idx="22">
                  <c:v>307852.000000</c:v>
                </c:pt>
                <c:pt idx="23">
                  <c:v>426631.645487</c:v>
                </c:pt>
                <c:pt idx="24">
                  <c:v>347774.000000</c:v>
                </c:pt>
                <c:pt idx="25">
                  <c:v>11935107.000000</c:v>
                </c:pt>
                <c:pt idx="26">
                  <c:v>343774.000000</c:v>
                </c:pt>
                <c:pt idx="27">
                  <c:v>2703241.122816</c:v>
                </c:pt>
                <c:pt idx="28">
                  <c:v>2745638.042376</c:v>
                </c:pt>
                <c:pt idx="29">
                  <c:v>2796032.158073</c:v>
                </c:pt>
                <c:pt idx="30">
                  <c:v>624923.051892</c:v>
                </c:pt>
                <c:pt idx="31">
                  <c:v>463508.458533</c:v>
                </c:pt>
                <c:pt idx="32">
                  <c:v>631950.079125</c:v>
                </c:pt>
                <c:pt idx="33">
                  <c:v>472846.010958</c:v>
                </c:pt>
                <c:pt idx="34">
                  <c:v>477291.661538</c:v>
                </c:pt>
                <c:pt idx="35">
                  <c:v>480097.752468</c:v>
                </c:pt>
              </c:numCache>
            </c:numRef>
          </c:val>
        </c:ser>
        <c:gapWidth val="40"/>
        <c:overlap val="100"/>
        <c:axId val="2094734552"/>
        <c:axId val="2094734553"/>
      </c:barChart>
      <c:catAx>
        <c:axId val="2094734552"/>
        <c:scaling>
          <c:orientation val="minMax"/>
        </c:scaling>
        <c:delete val="0"/>
        <c:axPos val="b"/>
        <c:numFmt formatCode="&quot;$&quot;#,##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0.1"/>
        <c:minorUnit val="0.05"/>
      </c:valAx>
      <c:spPr>
        <a:noFill/>
        <a:ln w="12700" cap="flat">
          <a:noFill/>
          <a:miter lim="400000"/>
        </a:ln>
        <a:effectLst/>
      </c:spPr>
    </c:plotArea>
    <c:legend>
      <c:legendPos val="t"/>
      <c:layout>
        <c:manualLayout>
          <c:xMode val="edge"/>
          <c:yMode val="edge"/>
          <c:x val="0.0825697"/>
          <c:y val="0"/>
          <c:w val="0.86283"/>
          <c:h val="0.065066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6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27012"/>
          <c:y val="0.0651801"/>
          <c:w val="0.876546"/>
          <c:h val="0.896591"/>
        </c:manualLayout>
      </c:layout>
      <c:barChart>
        <c:barDir val="col"/>
        <c:grouping val="clustered"/>
        <c:varyColors val="0"/>
        <c:ser>
          <c:idx val="0"/>
          <c:order val="0"/>
          <c:tx>
            <c:strRef>
              <c:f>'depto - dividendos'!$O$2:$O$4</c:f>
              <c:strCache>
                <c:ptCount val="1"/>
                <c:pt idx="0">
                  <c:v>∆ credito</c:v>
                </c:pt>
              </c:strCache>
            </c:strRef>
          </c:tx>
          <c:spPr>
            <a:solidFill>
              <a:schemeClr val="accent1">
                <a:satOff val="11152"/>
                <a:lumOff val="9508"/>
              </a:scheme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25400" cap="flat">
                <a:solidFill>
                  <a:srgbClr val="53ABFF"/>
                </a:solidFill>
                <a:prstDash val="solid"/>
                <a:miter lim="400000"/>
              </a:ln>
              <a:effectLst>
                <a:outerShdw sx="100000" sy="100000" kx="0" ky="0" algn="tl" rotWithShape="1" blurRad="12700" dist="25400" dir="7320000">
                  <a:srgbClr val="000000">
                    <a:alpha val="25000"/>
                  </a:srgbClr>
                </a:outerShdw>
              </a:effectLst>
            </c:spPr>
            <c:trendlineType val="movingAvg"/>
            <c:period val="3"/>
            <c:forward val="0"/>
            <c:backward val="0"/>
            <c:dispRSqr val="0"/>
            <c:dispEq val="0"/>
          </c:trendline>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dividendos'!$O$5:$O$160</c:f>
              <c:numCache>
                <c:ptCount val="36"/>
                <c:pt idx="0">
                  <c:v>0.000000</c:v>
                </c:pt>
                <c:pt idx="1">
                  <c:v>1905113.000000</c:v>
                </c:pt>
                <c:pt idx="2">
                  <c:v>-29988.000000</c:v>
                </c:pt>
                <c:pt idx="3">
                  <c:v>-1992995.000000</c:v>
                </c:pt>
                <c:pt idx="4">
                  <c:v>-2434441.000000</c:v>
                </c:pt>
                <c:pt idx="5">
                  <c:v>-1402312.000000</c:v>
                </c:pt>
                <c:pt idx="6">
                  <c:v>-2010899.000000</c:v>
                </c:pt>
                <c:pt idx="7">
                  <c:v>-19066953.000000</c:v>
                </c:pt>
                <c:pt idx="8">
                  <c:v>-2779851.000000</c:v>
                </c:pt>
                <c:pt idx="9">
                  <c:v>-1407558.000000</c:v>
                </c:pt>
                <c:pt idx="10">
                  <c:v>-2512278.000000</c:v>
                </c:pt>
                <c:pt idx="11">
                  <c:v>-15440140.000000</c:v>
                </c:pt>
                <c:pt idx="12">
                  <c:v>-2616241.000000</c:v>
                </c:pt>
                <c:pt idx="13">
                  <c:v>-669882.000000</c:v>
                </c:pt>
                <c:pt idx="14">
                  <c:v>-682453.000000</c:v>
                </c:pt>
                <c:pt idx="15">
                  <c:v>-665171.000000</c:v>
                </c:pt>
                <c:pt idx="16">
                  <c:v>-939858.000000</c:v>
                </c:pt>
                <c:pt idx="17">
                  <c:v>-222749.000000</c:v>
                </c:pt>
                <c:pt idx="18">
                  <c:v>-694902.000000</c:v>
                </c:pt>
                <c:pt idx="19">
                  <c:v>-177696.000000</c:v>
                </c:pt>
                <c:pt idx="20">
                  <c:v>-371059.000000</c:v>
                </c:pt>
                <c:pt idx="21">
                  <c:v>-248872.000000</c:v>
                </c:pt>
                <c:pt idx="22">
                  <c:v>-418410.000000</c:v>
                </c:pt>
                <c:pt idx="23">
                  <c:v>-481750.000000</c:v>
                </c:pt>
                <c:pt idx="24">
                  <c:v>-450260.000000</c:v>
                </c:pt>
                <c:pt idx="25">
                  <c:v>-11597830.000000</c:v>
                </c:pt>
                <c:pt idx="26">
                  <c:v>-456017.000000</c:v>
                </c:pt>
                <c:pt idx="27">
                  <c:v>-2763245.000000</c:v>
                </c:pt>
                <c:pt idx="28">
                  <c:v>-2082544.000000</c:v>
                </c:pt>
                <c:pt idx="29">
                  <c:v>-1945815.000000</c:v>
                </c:pt>
                <c:pt idx="30">
                  <c:v>37059.000000</c:v>
                </c:pt>
                <c:pt idx="31">
                  <c:v>-571134.000000</c:v>
                </c:pt>
                <c:pt idx="32">
                  <c:v>-639405.000000</c:v>
                </c:pt>
                <c:pt idx="33">
                  <c:v>-205081.000000</c:v>
                </c:pt>
                <c:pt idx="34">
                  <c:v>-323645.000000</c:v>
                </c:pt>
                <c:pt idx="35">
                  <c:v>-573295.000000</c:v>
                </c:pt>
              </c:numCache>
            </c:numRef>
          </c:val>
        </c:ser>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500000"/>
          <c:min val="-4e+06"/>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between"/>
      </c:valAx>
      <c:spPr>
        <a:noFill/>
        <a:ln w="12700" cap="flat">
          <a:noFill/>
          <a:miter lim="400000"/>
        </a:ln>
        <a:effectLst/>
      </c:spPr>
    </c:plotArea>
    <c:legend>
      <c:legendPos val="t"/>
      <c:layout>
        <c:manualLayout>
          <c:xMode val="edge"/>
          <c:yMode val="edge"/>
          <c:x val="0.122354"/>
          <c:y val="0"/>
          <c:w val="0.764263"/>
          <c:h val="0.0455832"/>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6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352683"/>
          <c:y val="0.126667"/>
          <c:w val="0.903804"/>
          <c:h val="0.809167"/>
        </c:manualLayout>
      </c:layout>
      <c:lineChart>
        <c:grouping val="standard"/>
        <c:varyColors val="0"/>
        <c:ser>
          <c:idx val="0"/>
          <c:order val="0"/>
          <c:tx>
            <c:strRef>
              <c:f>'depto - Table 1-2'!$G$1:$G$2</c:f>
              <c:strCache/>
            </c:strRef>
          </c:tx>
          <c:spPr>
            <a:solidFill>
              <a:srgbClr val="FFFFFF"/>
            </a:solidFill>
            <a:ln w="50800" cap="flat">
              <a:solidFill>
                <a:srgbClr val="51A7F9"/>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trendline>
            <c:spPr>
              <a:noFill/>
              <a:ln w="25400" cap="flat">
                <a:solidFill>
                  <a:srgbClr val="53ABFF"/>
                </a:solidFill>
                <a:prstDash val="solid"/>
                <a:miter lim="400000"/>
              </a:ln>
              <a:effectLst/>
            </c:spPr>
            <c:trendlineType val="movingAvg"/>
            <c:period val="3"/>
            <c:forward val="0"/>
            <c:backward val="0"/>
            <c:dispRSqr val="0"/>
            <c:dispEq val="0"/>
          </c:trendline>
          <c:cat>
            <c:strRef>
              <c:f>'depto - Table 1-2'!$A$3:$B$52</c:f>
              <c:strCache>
                <c:ptCount val="0"/>
              </c:strCache>
            </c:strRef>
          </c:cat>
          <c:val>
            <c:numRef>
              <c:f>'depto - Table 1-2'!$G$3:$G$52</c:f>
              <c:numCache>
                <c:ptCount val="0"/>
              </c:numCache>
            </c:numRef>
          </c:val>
          <c:smooth val="0"/>
        </c:ser>
        <c:marker val="1"/>
        <c:axId val="2094734552"/>
        <c:axId val="2094734553"/>
      </c:lineChart>
      <c:lineChart>
        <c:grouping val="standard"/>
        <c:varyColors val="0"/>
        <c:ser>
          <c:idx val="1"/>
          <c:order val="1"/>
          <c:tx>
            <c:strRef>
              <c:f>'depto - Table 1-2'!$F$1:$F$2</c:f>
              <c:strCache/>
            </c:strRef>
          </c:tx>
          <c:spPr>
            <a:solidFill>
              <a:srgbClr val="FFFFFF"/>
            </a:solidFill>
            <a:ln w="50800" cap="flat">
              <a:solidFill>
                <a:srgbClr val="70BF41"/>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'depto - Table 1-2'!$A$3:$B$52</c:f>
              <c:strCache>
                <c:ptCount val="0"/>
              </c:strCache>
            </c:strRef>
          </c:cat>
          <c:val>
            <c:numRef>
              <c:f>'depto - Table 1-2'!$F$3:$F$52</c:f>
              <c:numCache>
                <c:ptCount val="0"/>
              </c:numCache>
            </c:numRef>
          </c:val>
          <c:smooth val="0"/>
        </c:ser>
        <c:marker val="1"/>
        <c:axId val="2094734555"/>
        <c:axId val="2094734556"/>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catAx>
        <c:axId val="2094734555"/>
        <c:scaling>
          <c:orientation val="minMax"/>
        </c:scaling>
        <c:delete val="0"/>
        <c:axPos val="b"/>
        <c:majorTickMark val="out"/>
        <c:minorTickMark val="none"/>
        <c:tickLblPos val="none"/>
        <c:spPr>
          <a:ln w="12700" cap="flat">
            <a:noFill/>
            <a:prstDash val="solid"/>
            <a:miter lim="400000"/>
          </a:ln>
        </c:spPr>
        <c:crossAx val="2094734556"/>
        <c:crosses val="autoZero"/>
        <c:auto val="1"/>
        <c:lblAlgn val="ctr"/>
        <c:noMultiLvlLbl val="1"/>
      </c:catAx>
      <c:valAx>
        <c:axId val="2094734556"/>
        <c:scaling>
          <c:orientation val="minMax"/>
        </c:scaling>
        <c:delete val="0"/>
        <c:axPos val="r"/>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5"/>
        <c:crosses val="max"/>
        <c:crossBetween val="between"/>
      </c:valAx>
      <c:spPr>
        <a:noFill/>
        <a:ln w="12700" cap="flat">
          <a:noFill/>
          <a:miter lim="400000"/>
        </a:ln>
        <a:effectLst/>
      </c:spPr>
    </c:plotArea>
    <c:legend>
      <c:legendPos val="t"/>
      <c:layout>
        <c:manualLayout>
          <c:xMode val="edge"/>
          <c:yMode val="edge"/>
          <c:x val="0.0587329"/>
          <c:y val="0"/>
          <c:w val="0.870217"/>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6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24208"/>
          <c:y val="0.126667"/>
          <c:w val="0.932579"/>
          <c:h val="0.809167"/>
        </c:manualLayout>
      </c:layout>
      <c:lineChart>
        <c:grouping val="standard"/>
        <c:varyColors val="0"/>
        <c:ser>
          <c:idx val="0"/>
          <c:order val="0"/>
          <c:tx>
            <c:strRef>
              <c:f>'depto - Table 1-2'!$J$1:$J$2</c:f>
              <c:strCache>
                <c:ptCount val="1"/>
                <c:pt idx="0">
                  <c:v>electricidad + gas</c:v>
                </c:pt>
              </c:strCache>
            </c:strRef>
          </c:tx>
          <c:spPr>
            <a:solidFill>
              <a:srgbClr val="FFFFFF"/>
            </a:solidFill>
            <a:ln w="50800" cap="flat">
              <a:solidFill>
                <a:srgbClr val="51A7F9">
                  <a:alpha val="21877"/>
                </a:srgbClr>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25400" cap="flat">
                <a:solidFill>
                  <a:srgbClr val="53ABFF"/>
                </a:solidFill>
                <a:prstDash val="solid"/>
                <a:miter lim="400000"/>
              </a:ln>
              <a:effectLst/>
            </c:spPr>
            <c:trendlineType val="movingAvg"/>
            <c:period val="3"/>
            <c:forward val="0"/>
            <c:backward val="0"/>
            <c:dispRSqr val="0"/>
            <c:dispEq val="0"/>
          </c:trendline>
          <c:cat>
            <c:strRef>
              <c:f>'depto - Table 1-2'!$A$3:$B$52</c:f>
              <c:strCache>
                <c:ptCount val="50"/>
                <c:pt idx="0">
                  <c:v>2023 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2024 January</c:v>
                </c:pt>
                <c:pt idx="13">
                  <c:v>February</c:v>
                </c:pt>
                <c:pt idx="14">
                  <c:v>March</c:v>
                </c:pt>
                <c:pt idx="15">
                  <c:v>April</c:v>
                </c:pt>
                <c:pt idx="16">
                  <c:v>lastarria -&gt; May</c:v>
                </c:pt>
                <c:pt idx="17">
                  <c:v>-&gt; suecia June</c:v>
                </c:pt>
                <c:pt idx="18">
                  <c:v>July</c:v>
                </c:pt>
                <c:pt idx="19">
                  <c:v>August</c:v>
                </c:pt>
                <c:pt idx="20">
                  <c:v>September</c:v>
                </c:pt>
                <c:pt idx="21">
                  <c:v>October</c:v>
                </c:pt>
                <c:pt idx="22">
                  <c:v>November</c:v>
                </c:pt>
                <c:pt idx="23">
                  <c:v>December</c:v>
                </c:pt>
                <c:pt idx="24">
                  <c:v>2025 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2026 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2027 January</c:v>
                </c:pt>
                <c:pt idx="49">
                  <c:v/>
                </c:pt>
              </c:strCache>
            </c:strRef>
          </c:cat>
          <c:val>
            <c:numRef>
              <c:f>'depto - Table 1-2'!$J$3:$J$52</c:f>
              <c:numCache>
                <c:ptCount val="23"/>
                <c:pt idx="17">
                  <c:v>86332.000000</c:v>
                </c:pt>
                <c:pt idx="18">
                  <c:v>76281.000000</c:v>
                </c:pt>
                <c:pt idx="19">
                  <c:v>157940.000000</c:v>
                </c:pt>
                <c:pt idx="20">
                  <c:v>48853.000000</c:v>
                </c:pt>
                <c:pt idx="21">
                  <c:v>88244.000000</c:v>
                </c:pt>
                <c:pt idx="22">
                  <c:v>32998.000000</c:v>
                </c:pt>
                <c:pt idx="23">
                  <c:v>56025.000000</c:v>
                </c:pt>
                <c:pt idx="24">
                  <c:v>64832.000000</c:v>
                </c:pt>
                <c:pt idx="25">
                  <c:v>78900.000000</c:v>
                </c:pt>
                <c:pt idx="26">
                  <c:v>7465.000000</c:v>
                </c:pt>
                <c:pt idx="27">
                  <c:v>65007.000000</c:v>
                </c:pt>
                <c:pt idx="28">
                  <c:v>85608.000000</c:v>
                </c:pt>
                <c:pt idx="29">
                  <c:v>146903.000000</c:v>
                </c:pt>
                <c:pt idx="30">
                  <c:v>61320.000000</c:v>
                </c:pt>
                <c:pt idx="31">
                  <c:v>123650.000000</c:v>
                </c:pt>
                <c:pt idx="32">
                  <c:v>64310.000000</c:v>
                </c:pt>
                <c:pt idx="33">
                  <c:v>81721.000000</c:v>
                </c:pt>
                <c:pt idx="34">
                  <c:v>40918.000000</c:v>
                </c:pt>
                <c:pt idx="35">
                  <c:v>76135.000000</c:v>
                </c:pt>
                <c:pt idx="36">
                  <c:v>83301.000000</c:v>
                </c:pt>
                <c:pt idx="37">
                  <c:v>87113.000000</c:v>
                </c:pt>
                <c:pt idx="38">
                  <c:v>57684.000000</c:v>
                </c:pt>
                <c:pt idx="39">
                  <c:v>20354.000000</c:v>
                </c:pt>
              </c:numCache>
            </c:numRef>
          </c:val>
          <c:smooth val="0"/>
        </c:ser>
        <c:marker val="1"/>
        <c:axId val="2094734552"/>
        <c:axId val="2094734553"/>
      </c:lineChart>
      <c:catAx>
        <c:axId val="2094734552"/>
        <c:scaling>
          <c:orientation val="minMax"/>
        </c:scaling>
        <c:delete val="0"/>
        <c:axPos val="b"/>
        <c:numFmt formatCode="#,##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majorUnit val="40000"/>
        <c:minorUnit val="20000"/>
      </c:valAx>
      <c:spPr>
        <a:noFill/>
        <a:ln w="12700" cap="flat">
          <a:noFill/>
          <a:miter lim="400000"/>
        </a:ln>
        <a:effectLst/>
      </c:spPr>
    </c:plotArea>
    <c:legend>
      <c:legendPos val="t"/>
      <c:layout>
        <c:manualLayout>
          <c:xMode val="edge"/>
          <c:yMode val="edge"/>
          <c:x val="0.0866885"/>
          <c:y val="0"/>
          <c:w val="0.9"/>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6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27012"/>
          <c:y val="0.0651801"/>
          <c:w val="0.876546"/>
          <c:h val="0.896591"/>
        </c:manualLayout>
      </c:layout>
      <c:barChart>
        <c:barDir val="col"/>
        <c:grouping val="clustered"/>
        <c:varyColors val="0"/>
        <c:ser>
          <c:idx val="0"/>
          <c:order val="0"/>
          <c:tx>
            <c:strRef>
              <c:f>'depto - dividendos'!$O$2:$O$4</c:f>
              <c:strCache>
                <c:ptCount val="1"/>
                <c:pt idx="0">
                  <c:v>∆ credito</c:v>
                </c:pt>
              </c:strCache>
            </c:strRef>
          </c:tx>
          <c:spPr>
            <a:solidFill>
              <a:schemeClr val="accent1">
                <a:satOff val="11152"/>
                <a:lumOff val="9508"/>
              </a:schemeClr>
            </a:solidFill>
            <a:ln w="12700" cap="flat">
              <a:noFill/>
              <a:miter lim="400000"/>
            </a:ln>
            <a:effectLst/>
          </c:spPr>
          <c:invertIfNegative val="0"/>
          <c:dLbls>
            <c:numFmt formatCode="&quot;$&quot;#,##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25400" cap="flat">
                <a:solidFill>
                  <a:srgbClr val="53ABFF"/>
                </a:solidFill>
                <a:prstDash val="solid"/>
                <a:miter lim="400000"/>
              </a:ln>
              <a:effectLst>
                <a:outerShdw sx="100000" sy="100000" kx="0" ky="0" algn="tl" rotWithShape="1" blurRad="12700" dist="25400" dir="7320000">
                  <a:srgbClr val="000000">
                    <a:alpha val="25000"/>
                  </a:srgbClr>
                </a:outerShdw>
              </a:effectLst>
            </c:spPr>
            <c:trendlineType val="movingAvg"/>
            <c:period val="3"/>
            <c:forward val="0"/>
            <c:backward val="0"/>
            <c:dispRSqr val="0"/>
            <c:dispEq val="0"/>
          </c:trendline>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dividendos'!$O$5:$O$160</c:f>
              <c:numCache>
                <c:ptCount val="36"/>
                <c:pt idx="0">
                  <c:v>0.000000</c:v>
                </c:pt>
                <c:pt idx="1">
                  <c:v>1905113.000000</c:v>
                </c:pt>
                <c:pt idx="2">
                  <c:v>-29988.000000</c:v>
                </c:pt>
                <c:pt idx="3">
                  <c:v>-1992995.000000</c:v>
                </c:pt>
                <c:pt idx="4">
                  <c:v>-2434441.000000</c:v>
                </c:pt>
                <c:pt idx="5">
                  <c:v>-1402312.000000</c:v>
                </c:pt>
                <c:pt idx="6">
                  <c:v>-2010899.000000</c:v>
                </c:pt>
                <c:pt idx="7">
                  <c:v>-19066953.000000</c:v>
                </c:pt>
                <c:pt idx="8">
                  <c:v>-2779851.000000</c:v>
                </c:pt>
                <c:pt idx="9">
                  <c:v>-1407558.000000</c:v>
                </c:pt>
                <c:pt idx="10">
                  <c:v>-2512278.000000</c:v>
                </c:pt>
                <c:pt idx="11">
                  <c:v>-15440140.000000</c:v>
                </c:pt>
                <c:pt idx="12">
                  <c:v>-2616241.000000</c:v>
                </c:pt>
                <c:pt idx="13">
                  <c:v>-669882.000000</c:v>
                </c:pt>
                <c:pt idx="14">
                  <c:v>-682453.000000</c:v>
                </c:pt>
                <c:pt idx="15">
                  <c:v>-665171.000000</c:v>
                </c:pt>
                <c:pt idx="16">
                  <c:v>-939858.000000</c:v>
                </c:pt>
                <c:pt idx="17">
                  <c:v>-222749.000000</c:v>
                </c:pt>
                <c:pt idx="18">
                  <c:v>-694902.000000</c:v>
                </c:pt>
                <c:pt idx="19">
                  <c:v>-177696.000000</c:v>
                </c:pt>
                <c:pt idx="20">
                  <c:v>-371059.000000</c:v>
                </c:pt>
                <c:pt idx="21">
                  <c:v>-248872.000000</c:v>
                </c:pt>
                <c:pt idx="22">
                  <c:v>-418410.000000</c:v>
                </c:pt>
                <c:pt idx="23">
                  <c:v>-481750.000000</c:v>
                </c:pt>
                <c:pt idx="24">
                  <c:v>-450260.000000</c:v>
                </c:pt>
                <c:pt idx="25">
                  <c:v>-11597830.000000</c:v>
                </c:pt>
                <c:pt idx="26">
                  <c:v>-456017.000000</c:v>
                </c:pt>
                <c:pt idx="27">
                  <c:v>-2763245.000000</c:v>
                </c:pt>
                <c:pt idx="28">
                  <c:v>-2082544.000000</c:v>
                </c:pt>
                <c:pt idx="29">
                  <c:v>-1945815.000000</c:v>
                </c:pt>
                <c:pt idx="30">
                  <c:v>37059.000000</c:v>
                </c:pt>
                <c:pt idx="31">
                  <c:v>-571134.000000</c:v>
                </c:pt>
                <c:pt idx="32">
                  <c:v>-639405.000000</c:v>
                </c:pt>
                <c:pt idx="33">
                  <c:v>-205081.000000</c:v>
                </c:pt>
                <c:pt idx="34">
                  <c:v>-323645.000000</c:v>
                </c:pt>
                <c:pt idx="35">
                  <c:v>-573295.000000</c:v>
                </c:pt>
              </c:numCache>
            </c:numRef>
          </c:val>
        </c:ser>
        <c:ser>
          <c:idx val="1"/>
          <c:order val="1"/>
          <c:tx>
            <c:strRef>
              <c:f>'depto - dividendos'!$V$2:$V$4</c:f>
              <c:strCache/>
            </c:strRef>
          </c:tx>
          <c:spPr>
            <a:solidFill>
              <a:srgbClr val="76C580">
                <a:alpha val="27089"/>
              </a:srgb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trendline>
            <c:spPr>
              <a:noFill/>
              <a:ln w="25400" cap="flat">
                <a:solidFill>
                  <a:srgbClr val="8EF252">
                    <a:alpha val="64124"/>
                  </a:srgbClr>
                </a:solidFill>
                <a:prstDash val="solid"/>
                <a:miter lim="400000"/>
              </a:ln>
              <a:effectLst>
                <a:outerShdw sx="100000" sy="100000" kx="0" ky="0" algn="tl" rotWithShape="1" blurRad="12700" dist="25400" dir="7320000">
                  <a:srgbClr val="000000">
                    <a:alpha val="25000"/>
                  </a:srgbClr>
                </a:outerShdw>
              </a:effectLst>
            </c:spPr>
            <c:trendlineType val="movingAvg"/>
            <c:period val="3"/>
            <c:forward val="0"/>
            <c:backward val="0"/>
            <c:dispRSqr val="0"/>
            <c:dispEq val="0"/>
          </c:trendline>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dividendos'!$V$5:$V$160</c:f>
              <c:numCache>
                <c:ptCount val="36"/>
                <c:pt idx="0">
                  <c:v>-53827132.000000</c:v>
                </c:pt>
                <c:pt idx="1">
                  <c:v>1016165.000000</c:v>
                </c:pt>
                <c:pt idx="2">
                  <c:v>-1245528.000000</c:v>
                </c:pt>
                <c:pt idx="3">
                  <c:v>-2486177.000000</c:v>
                </c:pt>
                <c:pt idx="4">
                  <c:v>-2335783.000000</c:v>
                </c:pt>
                <c:pt idx="5">
                  <c:v>-2792272.000000</c:v>
                </c:pt>
                <c:pt idx="6">
                  <c:v>-2575793.000000</c:v>
                </c:pt>
                <c:pt idx="7">
                  <c:v>-19871769.000000</c:v>
                </c:pt>
                <c:pt idx="8">
                  <c:v>-2302761.000000</c:v>
                </c:pt>
                <c:pt idx="9">
                  <c:v>-3349236.000000</c:v>
                </c:pt>
                <c:pt idx="10">
                  <c:v>-2565630.000000</c:v>
                </c:pt>
                <c:pt idx="11">
                  <c:v>-15521140.000000</c:v>
                </c:pt>
                <c:pt idx="12">
                  <c:v>-2616241.000000</c:v>
                </c:pt>
                <c:pt idx="13">
                  <c:v>-2840574.000000</c:v>
                </c:pt>
                <c:pt idx="14">
                  <c:v>-1536193.000000</c:v>
                </c:pt>
                <c:pt idx="15">
                  <c:v>-1673837.000000</c:v>
                </c:pt>
                <c:pt idx="16">
                  <c:v>-1363488.000000</c:v>
                </c:pt>
                <c:pt idx="17">
                  <c:v>-563165.000000</c:v>
                </c:pt>
                <c:pt idx="18">
                  <c:v>-23304.000000</c:v>
                </c:pt>
                <c:pt idx="19">
                  <c:v>-1957375.000000</c:v>
                </c:pt>
                <c:pt idx="20">
                  <c:v>-425976.000000</c:v>
                </c:pt>
                <c:pt idx="21">
                  <c:v>-1046830.000000</c:v>
                </c:pt>
                <c:pt idx="22">
                  <c:v>-459774.000000</c:v>
                </c:pt>
                <c:pt idx="23">
                  <c:v>-653146.000000</c:v>
                </c:pt>
                <c:pt idx="24">
                  <c:v>-511388.000000</c:v>
                </c:pt>
                <c:pt idx="25">
                  <c:v>-12393844.000000</c:v>
                </c:pt>
                <c:pt idx="26">
                  <c:v>-456017.000000</c:v>
                </c:pt>
                <c:pt idx="27">
                  <c:v>-2906021.000000</c:v>
                </c:pt>
                <c:pt idx="28">
                  <c:v>-4272406.000000</c:v>
                </c:pt>
                <c:pt idx="29">
                  <c:v>-4773028.000000</c:v>
                </c:pt>
                <c:pt idx="30">
                  <c:v>-2320206.000000</c:v>
                </c:pt>
                <c:pt idx="31">
                  <c:v>-571134.000000</c:v>
                </c:pt>
                <c:pt idx="32">
                  <c:v>-951133.000000</c:v>
                </c:pt>
                <c:pt idx="33">
                  <c:v>-1386843.000000</c:v>
                </c:pt>
                <c:pt idx="34">
                  <c:v>-1153022.000000</c:v>
                </c:pt>
                <c:pt idx="35">
                  <c:v>-618292.000000</c:v>
                </c:pt>
              </c:numCache>
            </c:numRef>
          </c:val>
        </c:ser>
        <c:gapWidth val="100"/>
        <c:overlap val="-10"/>
        <c:axId val="2094734552"/>
        <c:axId val="2094734553"/>
      </c:barChart>
      <c:catAx>
        <c:axId val="2094734552"/>
        <c:scaling>
          <c:orientation val="minMax"/>
        </c:scaling>
        <c:delete val="0"/>
        <c:axPos val="b"/>
        <c:numFmt formatCode="&quot;$&quot;#,##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5e+06"/>
          <c:min val="-4e+06"/>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between"/>
      </c:valAx>
      <c:spPr>
        <a:noFill/>
        <a:ln w="12700" cap="flat">
          <a:noFill/>
          <a:miter lim="400000"/>
        </a:ln>
        <a:effectLst/>
      </c:spPr>
    </c:plotArea>
    <c:legend>
      <c:legendPos val="t"/>
      <c:layout>
        <c:manualLayout>
          <c:xMode val="edge"/>
          <c:yMode val="edge"/>
          <c:x val="0.122354"/>
          <c:y val="0"/>
          <c:w val="0.764263"/>
          <c:h val="0.0455832"/>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6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43229"/>
          <c:y val="0.126667"/>
          <c:w val="0.900677"/>
          <c:h val="0.809167"/>
        </c:manualLayout>
      </c:layout>
      <c:barChart>
        <c:barDir val="col"/>
        <c:grouping val="percentStacked"/>
        <c:varyColors val="0"/>
        <c:ser>
          <c:idx val="0"/>
          <c:order val="0"/>
          <c:tx>
            <c:strRef>
              <c:f>'depto - dividendos'!$K$2</c:f>
              <c:strCache>
                <c:ptCount val="1"/>
                <c:pt idx="0">
                  <c:v>credito restante uf</c:v>
                </c:pt>
              </c:strCache>
            </c:strRef>
          </c:tx>
          <c:spPr>
            <a:solidFill>
              <a:srgbClr val="CE5248"/>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dividendos'!$K$5:$K$160</c:f>
              <c:numCache>
                <c:ptCount val="36"/>
                <c:pt idx="0">
                  <c:v>3950.000000</c:v>
                </c:pt>
                <c:pt idx="1">
                  <c:v>3983.654400</c:v>
                </c:pt>
                <c:pt idx="2">
                  <c:v>3958.950000</c:v>
                </c:pt>
                <c:pt idx="3">
                  <c:v>3896.333900</c:v>
                </c:pt>
                <c:pt idx="4">
                  <c:v>3833.456200</c:v>
                </c:pt>
                <c:pt idx="5">
                  <c:v>3770.324700</c:v>
                </c:pt>
                <c:pt idx="6">
                  <c:v>3706.938500</c:v>
                </c:pt>
                <c:pt idx="7">
                  <c:v>3191.938500</c:v>
                </c:pt>
                <c:pt idx="8">
                  <c:v>3126.219000</c:v>
                </c:pt>
                <c:pt idx="9">
                  <c:v>3060.234200</c:v>
                </c:pt>
                <c:pt idx="10">
                  <c:v>2993.983400</c:v>
                </c:pt>
                <c:pt idx="11">
                  <c:v>2590.643800</c:v>
                </c:pt>
                <c:pt idx="12">
                  <c:v>2522.498500</c:v>
                </c:pt>
                <c:pt idx="13">
                  <c:v>2479.093000</c:v>
                </c:pt>
                <c:pt idx="14">
                  <c:v>2451.510500</c:v>
                </c:pt>
                <c:pt idx="15">
                  <c:v>2422.815600</c:v>
                </c:pt>
                <c:pt idx="16">
                  <c:v>2394.003700</c:v>
                </c:pt>
                <c:pt idx="17">
                  <c:v>2384.490900</c:v>
                </c:pt>
                <c:pt idx="18">
                  <c:v>2374.317700</c:v>
                </c:pt>
                <c:pt idx="19">
                  <c:v>2350.000000</c:v>
                </c:pt>
                <c:pt idx="20">
                  <c:v>2340.000000</c:v>
                </c:pt>
                <c:pt idx="21">
                  <c:v>2325.000000</c:v>
                </c:pt>
                <c:pt idx="22">
                  <c:v>2313.998600</c:v>
                </c:pt>
                <c:pt idx="23">
                  <c:v>2300.007800</c:v>
                </c:pt>
                <c:pt idx="24">
                  <c:v>2288.008700</c:v>
                </c:pt>
                <c:pt idx="25">
                  <c:v>1988.445700</c:v>
                </c:pt>
                <c:pt idx="26">
                  <c:v>1977.000000</c:v>
                </c:pt>
                <c:pt idx="27">
                  <c:v>1906.379300</c:v>
                </c:pt>
                <c:pt idx="28">
                  <c:v>1835.473500</c:v>
                </c:pt>
                <c:pt idx="29">
                  <c:v>1764.223800</c:v>
                </c:pt>
                <c:pt idx="30">
                  <c:v>1746.445200</c:v>
                </c:pt>
                <c:pt idx="31">
                  <c:v>1732.594100</c:v>
                </c:pt>
                <c:pt idx="32">
                  <c:v>1714.686700</c:v>
                </c:pt>
                <c:pt idx="33">
                  <c:v>1700.706300</c:v>
                </c:pt>
                <c:pt idx="34">
                  <c:v>1686.668900</c:v>
                </c:pt>
                <c:pt idx="35">
                  <c:v>1672.574400</c:v>
                </c:pt>
              </c:numCache>
            </c:numRef>
          </c:val>
        </c:ser>
        <c:ser>
          <c:idx val="1"/>
          <c:order val="1"/>
          <c:tx>
            <c:strRef>
              <c:f>'depto - dividendos'!$P$2</c:f>
              <c:strCache>
                <c:ptCount val="1"/>
                <c:pt idx="0">
                  <c:v>valor neto uf</c:v>
                </c:pt>
              </c:strCache>
            </c:strRef>
          </c:tx>
          <c:spPr>
            <a:solidFill>
              <a:srgbClr val="497BA0"/>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dividendos'!$P$5:$P$160</c:f>
              <c:numCache>
                <c:ptCount val="36"/>
                <c:pt idx="0">
                  <c:v>1450.000000</c:v>
                </c:pt>
                <c:pt idx="1">
                  <c:v>1416.345600</c:v>
                </c:pt>
                <c:pt idx="2">
                  <c:v>1441.050000</c:v>
                </c:pt>
                <c:pt idx="3">
                  <c:v>1503.666100</c:v>
                </c:pt>
                <c:pt idx="4">
                  <c:v>1566.543800</c:v>
                </c:pt>
                <c:pt idx="5">
                  <c:v>1629.675300</c:v>
                </c:pt>
                <c:pt idx="6">
                  <c:v>1693.061500</c:v>
                </c:pt>
                <c:pt idx="7">
                  <c:v>2208.061500</c:v>
                </c:pt>
                <c:pt idx="8">
                  <c:v>2273.781000</c:v>
                </c:pt>
                <c:pt idx="9">
                  <c:v>2339.765800</c:v>
                </c:pt>
                <c:pt idx="10">
                  <c:v>2406.016600</c:v>
                </c:pt>
                <c:pt idx="11">
                  <c:v>2809.356200</c:v>
                </c:pt>
                <c:pt idx="12">
                  <c:v>2877.501500</c:v>
                </c:pt>
                <c:pt idx="13">
                  <c:v>2920.907000</c:v>
                </c:pt>
                <c:pt idx="14">
                  <c:v>2948.489500</c:v>
                </c:pt>
                <c:pt idx="15">
                  <c:v>2977.184400</c:v>
                </c:pt>
                <c:pt idx="16">
                  <c:v>3005.996300</c:v>
                </c:pt>
                <c:pt idx="17">
                  <c:v>3015.509100</c:v>
                </c:pt>
                <c:pt idx="18">
                  <c:v>3025.682300</c:v>
                </c:pt>
                <c:pt idx="19">
                  <c:v>3050.000000</c:v>
                </c:pt>
                <c:pt idx="20">
                  <c:v>3060.000000</c:v>
                </c:pt>
                <c:pt idx="21">
                  <c:v>3075.000000</c:v>
                </c:pt>
                <c:pt idx="22">
                  <c:v>3086.001400</c:v>
                </c:pt>
                <c:pt idx="23">
                  <c:v>3099.992200</c:v>
                </c:pt>
                <c:pt idx="24">
                  <c:v>3111.991300</c:v>
                </c:pt>
                <c:pt idx="25">
                  <c:v>3411.554300</c:v>
                </c:pt>
                <c:pt idx="26">
                  <c:v>3423.000000</c:v>
                </c:pt>
                <c:pt idx="27">
                  <c:v>3493.620700</c:v>
                </c:pt>
                <c:pt idx="28">
                  <c:v>3564.526500</c:v>
                </c:pt>
                <c:pt idx="29">
                  <c:v>3635.776200</c:v>
                </c:pt>
                <c:pt idx="30">
                  <c:v>3653.554800</c:v>
                </c:pt>
                <c:pt idx="31">
                  <c:v>3667.405900</c:v>
                </c:pt>
                <c:pt idx="32">
                  <c:v>3685.313300</c:v>
                </c:pt>
                <c:pt idx="33">
                  <c:v>3699.293700</c:v>
                </c:pt>
                <c:pt idx="34">
                  <c:v>3713.331100</c:v>
                </c:pt>
                <c:pt idx="35">
                  <c:v>3727.425600</c:v>
                </c:pt>
              </c:numCache>
            </c:numRef>
          </c:val>
        </c:ser>
        <c:gapWidth val="40"/>
        <c:overlap val="100"/>
        <c:axId val="2094734552"/>
        <c:axId val="2094734553"/>
      </c:barChart>
      <c:catAx>
        <c:axId val="2094734552"/>
        <c:scaling>
          <c:orientation val="minMax"/>
        </c:scaling>
        <c:delete val="0"/>
        <c:axPos val="b"/>
        <c:numFmt formatCode="[&lt;0]&quot;UF &quot;* (#,###.????);&quot;UF &quot;* #,###.????"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lt;0]&quot;UF &quot;* (#,###.????);&quot;UF &quot;* #,###.????"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0.25"/>
        <c:minorUnit val="0.125"/>
      </c:valAx>
      <c:spPr>
        <a:noFill/>
        <a:ln w="12700" cap="flat">
          <a:noFill/>
          <a:miter lim="400000"/>
        </a:ln>
        <a:effectLst/>
      </c:spPr>
    </c:plotArea>
    <c:legend>
      <c:legendPos val="t"/>
      <c:layout>
        <c:manualLayout>
          <c:xMode val="edge"/>
          <c:yMode val="edge"/>
          <c:x val="0.0825697"/>
          <c:y val="0"/>
          <c:w val="0.86283"/>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70.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43229"/>
          <c:y val="0.126667"/>
          <c:w val="0.900677"/>
          <c:h val="0.809167"/>
        </c:manualLayout>
      </c:layout>
      <c:barChart>
        <c:barDir val="col"/>
        <c:grouping val="percentStacked"/>
        <c:varyColors val="0"/>
        <c:ser>
          <c:idx val="0"/>
          <c:order val="0"/>
          <c:tx>
            <c:strRef>
              <c:f>'depto - dividendos'!$K$2</c:f>
              <c:strCache>
                <c:ptCount val="1"/>
                <c:pt idx="0">
                  <c:v>credito restante uf</c:v>
                </c:pt>
              </c:strCache>
            </c:strRef>
          </c:tx>
          <c:spPr>
            <a:solidFill>
              <a:srgbClr val="CE5248"/>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dividendos'!$K$5:$K$160</c:f>
              <c:numCache>
                <c:ptCount val="36"/>
                <c:pt idx="0">
                  <c:v>3950.000000</c:v>
                </c:pt>
                <c:pt idx="1">
                  <c:v>3983.654400</c:v>
                </c:pt>
                <c:pt idx="2">
                  <c:v>3958.950000</c:v>
                </c:pt>
                <c:pt idx="3">
                  <c:v>3896.333900</c:v>
                </c:pt>
                <c:pt idx="4">
                  <c:v>3833.456200</c:v>
                </c:pt>
                <c:pt idx="5">
                  <c:v>3770.324700</c:v>
                </c:pt>
                <c:pt idx="6">
                  <c:v>3706.938500</c:v>
                </c:pt>
                <c:pt idx="7">
                  <c:v>3191.938500</c:v>
                </c:pt>
                <c:pt idx="8">
                  <c:v>3126.219000</c:v>
                </c:pt>
                <c:pt idx="9">
                  <c:v>3060.234200</c:v>
                </c:pt>
                <c:pt idx="10">
                  <c:v>2993.983400</c:v>
                </c:pt>
                <c:pt idx="11">
                  <c:v>2590.643800</c:v>
                </c:pt>
                <c:pt idx="12">
                  <c:v>2522.498500</c:v>
                </c:pt>
                <c:pt idx="13">
                  <c:v>2479.093000</c:v>
                </c:pt>
                <c:pt idx="14">
                  <c:v>2451.510500</c:v>
                </c:pt>
                <c:pt idx="15">
                  <c:v>2422.815600</c:v>
                </c:pt>
                <c:pt idx="16">
                  <c:v>2394.003700</c:v>
                </c:pt>
                <c:pt idx="17">
                  <c:v>2384.490900</c:v>
                </c:pt>
                <c:pt idx="18">
                  <c:v>2374.317700</c:v>
                </c:pt>
                <c:pt idx="19">
                  <c:v>2350.000000</c:v>
                </c:pt>
                <c:pt idx="20">
                  <c:v>2340.000000</c:v>
                </c:pt>
                <c:pt idx="21">
                  <c:v>2325.000000</c:v>
                </c:pt>
                <c:pt idx="22">
                  <c:v>2313.998600</c:v>
                </c:pt>
                <c:pt idx="23">
                  <c:v>2300.007800</c:v>
                </c:pt>
                <c:pt idx="24">
                  <c:v>2288.008700</c:v>
                </c:pt>
                <c:pt idx="25">
                  <c:v>1988.445700</c:v>
                </c:pt>
                <c:pt idx="26">
                  <c:v>1977.000000</c:v>
                </c:pt>
                <c:pt idx="27">
                  <c:v>1906.379300</c:v>
                </c:pt>
                <c:pt idx="28">
                  <c:v>1835.473500</c:v>
                </c:pt>
                <c:pt idx="29">
                  <c:v>1764.223800</c:v>
                </c:pt>
                <c:pt idx="30">
                  <c:v>1746.445200</c:v>
                </c:pt>
                <c:pt idx="31">
                  <c:v>1732.594100</c:v>
                </c:pt>
                <c:pt idx="32">
                  <c:v>1714.686700</c:v>
                </c:pt>
                <c:pt idx="33">
                  <c:v>1700.706300</c:v>
                </c:pt>
                <c:pt idx="34">
                  <c:v>1686.668900</c:v>
                </c:pt>
                <c:pt idx="35">
                  <c:v>1672.574400</c:v>
                </c:pt>
              </c:numCache>
            </c:numRef>
          </c:val>
        </c:ser>
        <c:ser>
          <c:idx val="1"/>
          <c:order val="1"/>
          <c:tx>
            <c:strRef>
              <c:f>'depto - dividendos'!$R$2</c:f>
              <c:strCache>
                <c:ptCount val="1"/>
                <c:pt idx="0">
                  <c:v>pagado neto uf</c:v>
                </c:pt>
              </c:strCache>
            </c:strRef>
          </c:tx>
          <c:spPr>
            <a:solidFill>
              <a:srgbClr val="497BA0"/>
            </a:soli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'depto - dividendos'!$A$5:$A$160</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dividendos'!$R$5:$R$160</c:f>
              <c:numCache>
                <c:ptCount val="36"/>
                <c:pt idx="0">
                  <c:v>0.000000</c:v>
                </c:pt>
                <c:pt idx="1">
                  <c:v>-33.654400</c:v>
                </c:pt>
                <c:pt idx="2">
                  <c:v>-8.950000</c:v>
                </c:pt>
                <c:pt idx="3">
                  <c:v>53.666100</c:v>
                </c:pt>
                <c:pt idx="4">
                  <c:v>116.543800</c:v>
                </c:pt>
                <c:pt idx="5">
                  <c:v>179.675300</c:v>
                </c:pt>
                <c:pt idx="6">
                  <c:v>243.061500</c:v>
                </c:pt>
                <c:pt idx="7">
                  <c:v>758.061500</c:v>
                </c:pt>
                <c:pt idx="8">
                  <c:v>823.781000</c:v>
                </c:pt>
                <c:pt idx="9">
                  <c:v>889.765800</c:v>
                </c:pt>
                <c:pt idx="10">
                  <c:v>956.016600</c:v>
                </c:pt>
                <c:pt idx="11">
                  <c:v>1359.356200</c:v>
                </c:pt>
                <c:pt idx="12">
                  <c:v>1427.501500</c:v>
                </c:pt>
                <c:pt idx="13">
                  <c:v>1470.907000</c:v>
                </c:pt>
                <c:pt idx="14">
                  <c:v>1498.489500</c:v>
                </c:pt>
                <c:pt idx="15">
                  <c:v>1527.184400</c:v>
                </c:pt>
                <c:pt idx="16">
                  <c:v>1555.996300</c:v>
                </c:pt>
                <c:pt idx="17">
                  <c:v>1565.509100</c:v>
                </c:pt>
                <c:pt idx="18">
                  <c:v>1575.682300</c:v>
                </c:pt>
                <c:pt idx="19">
                  <c:v>1600.000000</c:v>
                </c:pt>
                <c:pt idx="20">
                  <c:v>1610.000000</c:v>
                </c:pt>
                <c:pt idx="21">
                  <c:v>1625.000000</c:v>
                </c:pt>
                <c:pt idx="22">
                  <c:v>1636.001400</c:v>
                </c:pt>
                <c:pt idx="23">
                  <c:v>1649.992200</c:v>
                </c:pt>
                <c:pt idx="24">
                  <c:v>1661.991300</c:v>
                </c:pt>
                <c:pt idx="25">
                  <c:v>1961.554300</c:v>
                </c:pt>
                <c:pt idx="26">
                  <c:v>1973.000000</c:v>
                </c:pt>
                <c:pt idx="27">
                  <c:v>2043.620700</c:v>
                </c:pt>
                <c:pt idx="28">
                  <c:v>2114.526500</c:v>
                </c:pt>
                <c:pt idx="29">
                  <c:v>2185.776200</c:v>
                </c:pt>
                <c:pt idx="30">
                  <c:v>2203.554800</c:v>
                </c:pt>
                <c:pt idx="31">
                  <c:v>2217.405900</c:v>
                </c:pt>
                <c:pt idx="32">
                  <c:v>2235.313300</c:v>
                </c:pt>
                <c:pt idx="33">
                  <c:v>2249.293700</c:v>
                </c:pt>
                <c:pt idx="34">
                  <c:v>2263.331100</c:v>
                </c:pt>
                <c:pt idx="35">
                  <c:v>2277.425600</c:v>
                </c:pt>
              </c:numCache>
            </c:numRef>
          </c:val>
        </c:ser>
        <c:gapWidth val="40"/>
        <c:overlap val="100"/>
        <c:axId val="2094734552"/>
        <c:axId val="2094734553"/>
      </c:barChart>
      <c:catAx>
        <c:axId val="2094734552"/>
        <c:scaling>
          <c:orientation val="minMax"/>
        </c:scaling>
        <c:delete val="0"/>
        <c:axPos val="b"/>
        <c:numFmt formatCode="[&lt;0]&quot;UF &quot;* (#,###.????);&quot;UF &quot;* #,###.????"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lt;0]&quot;UF &quot;* (#,###.????);&quot;UF &quot;* #,###.????"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0.25"/>
        <c:minorUnit val="0.125"/>
      </c:valAx>
      <c:spPr>
        <a:noFill/>
        <a:ln w="12700" cap="flat">
          <a:noFill/>
          <a:miter lim="400000"/>
        </a:ln>
        <a:effectLst/>
      </c:spPr>
    </c:plotArea>
    <c:legend>
      <c:legendPos val="t"/>
      <c:layout>
        <c:manualLayout>
          <c:xMode val="edge"/>
          <c:yMode val="edge"/>
          <c:x val="0.0825697"/>
          <c:y val="0"/>
          <c:w val="0.86283"/>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7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03394"/>
          <c:y val="0.0651801"/>
          <c:w val="0.889541"/>
          <c:h val="0.896591"/>
        </c:manualLayout>
      </c:layout>
      <c:lineChart>
        <c:grouping val="standard"/>
        <c:varyColors val="0"/>
        <c:ser>
          <c:idx val="0"/>
          <c:order val="0"/>
          <c:tx>
            <c:strRef>
              <c:f>'depto - dividendos'!$BG$2:$BG$4</c:f>
              <c:strCache>
                <c:ptCount val="1"/>
                <c:pt idx="0">
                  <c:v>interés</c:v>
                </c:pt>
              </c:strCache>
            </c:strRef>
          </c:tx>
          <c:spPr>
            <a:solidFill>
              <a:srgbClr val="FFFFFF"/>
            </a:solidFill>
            <a:ln w="50800" cap="flat">
              <a:solidFill>
                <a:srgbClr val="EC4613">
                  <a:alpha val="44582"/>
                </a:srgbClr>
              </a:solidFill>
              <a:prstDash val="solid"/>
              <a:miter lim="400000"/>
            </a:ln>
            <a:effectLst/>
          </c:spPr>
          <c:marker>
            <c:symbol val="none"/>
            <c:size val="4"/>
            <c:spPr>
              <a:solidFill>
                <a:srgbClr val="FFFFFF"/>
              </a:solidFill>
              <a:ln w="50800" cap="flat">
                <a:solidFill>
                  <a:srgbClr val="567691"/>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dividendos'!$BG$5:$BG$160</c:f>
              <c:numCache>
                <c:ptCount val="33"/>
                <c:pt idx="3">
                  <c:v>602761.000000</c:v>
                </c:pt>
                <c:pt idx="4">
                  <c:v>592966.000000</c:v>
                </c:pt>
                <c:pt idx="5">
                  <c:v>587423.000000</c:v>
                </c:pt>
                <c:pt idx="6">
                  <c:v>579382.000000</c:v>
                </c:pt>
                <c:pt idx="7">
                  <c:v>164006.000000</c:v>
                </c:pt>
                <c:pt idx="8">
                  <c:v>491625.000000</c:v>
                </c:pt>
                <c:pt idx="9">
                  <c:v>486109.000000</c:v>
                </c:pt>
                <c:pt idx="10">
                  <c:v>476014.000000</c:v>
                </c:pt>
                <c:pt idx="11">
                  <c:v>114948.000000</c:v>
                </c:pt>
                <c:pt idx="12">
                  <c:v>403466.000000</c:v>
                </c:pt>
                <c:pt idx="13">
                  <c:v>397026.000000</c:v>
                </c:pt>
                <c:pt idx="14">
                  <c:v>391824.000000</c:v>
                </c:pt>
                <c:pt idx="15">
                  <c:v>389354.000000</c:v>
                </c:pt>
                <c:pt idx="16">
                  <c:v>385589.000000</c:v>
                </c:pt>
                <c:pt idx="17">
                  <c:v>381645.000000</c:v>
                </c:pt>
                <c:pt idx="18">
                  <c:v>378933.000000</c:v>
                </c:pt>
                <c:pt idx="19">
                  <c:v>380503.000000</c:v>
                </c:pt>
                <c:pt idx="20">
                  <c:v>376723.000000</c:v>
                </c:pt>
                <c:pt idx="21">
                  <c:v>376543.000000</c:v>
                </c:pt>
                <c:pt idx="22">
                  <c:v>374213.000000</c:v>
                </c:pt>
                <c:pt idx="23">
                  <c:v>372746.000000</c:v>
                </c:pt>
                <c:pt idx="24">
                  <c:v>370614.000000</c:v>
                </c:pt>
                <c:pt idx="25">
                  <c:v>84893.000000</c:v>
                </c:pt>
                <c:pt idx="26">
                  <c:v>321909.000000</c:v>
                </c:pt>
                <c:pt idx="27">
                  <c:v>320289.000000</c:v>
                </c:pt>
                <c:pt idx="28">
                  <c:v>312065.000000</c:v>
                </c:pt>
                <c:pt idx="29">
                  <c:v>302095.350811</c:v>
                </c:pt>
                <c:pt idx="30">
                  <c:v>293475.509461</c:v>
                </c:pt>
                <c:pt idx="31">
                  <c:v>290518.070788</c:v>
                </c:pt>
                <c:pt idx="32">
                  <c:v>288617.464347</c:v>
                </c:pt>
                <c:pt idx="33">
                  <c:v>287148.292089</c:v>
                </c:pt>
                <c:pt idx="34">
                  <c:v>285860.864586</c:v>
                </c:pt>
                <c:pt idx="35">
                  <c:v>283558.107916</c:v>
                </c:pt>
              </c:numCache>
            </c:numRef>
          </c:val>
          <c:smooth val="0"/>
        </c:ser>
        <c:ser>
          <c:idx val="1"/>
          <c:order val="1"/>
          <c:tx>
            <c:strRef>
              <c:f>'depto - dividendos'!$BJ$2:$BJ$4</c:f>
              <c:strCache>
                <c:ptCount val="1"/>
                <c:pt idx="0">
                  <c:v>interés oculto</c:v>
                </c:pt>
              </c:strCache>
            </c:strRef>
          </c:tx>
          <c:spPr>
            <a:solidFill>
              <a:srgbClr val="FFFFFF"/>
            </a:solidFill>
            <a:ln w="25400" cap="flat">
              <a:solidFill>
                <a:srgbClr val="5F99C5">
                  <a:alpha val="50251"/>
                </a:srgbClr>
              </a:solidFill>
              <a:prstDash val="solid"/>
              <a:miter lim="400000"/>
            </a:ln>
            <a:effectLst/>
          </c:spPr>
          <c:marker>
            <c:symbol val="none"/>
            <c:size val="4"/>
            <c:spPr>
              <a:solidFill>
                <a:srgbClr val="FFFFFF"/>
              </a:solidFill>
              <a:ln w="50800" cap="flat">
                <a:solidFill>
                  <a:srgbClr val="5B704E"/>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dividendos'!$BJ$5:$BJ$160</c:f>
              <c:numCache>
                <c:ptCount val="35"/>
                <c:pt idx="1">
                  <c:v>1905113.000000</c:v>
                </c:pt>
                <c:pt idx="2">
                  <c:v>896393.000000</c:v>
                </c:pt>
                <c:pt idx="3">
                  <c:v>361902.000000</c:v>
                </c:pt>
                <c:pt idx="4">
                  <c:v>-71187.000000</c:v>
                </c:pt>
                <c:pt idx="5">
                  <c:v>986731.000000</c:v>
                </c:pt>
                <c:pt idx="6">
                  <c:v>394413.000000</c:v>
                </c:pt>
                <c:pt idx="7">
                  <c:v>552482.000000</c:v>
                </c:pt>
                <c:pt idx="8">
                  <c:v>-282008.000000</c:v>
                </c:pt>
                <c:pt idx="9">
                  <c:v>1124094.000000</c:v>
                </c:pt>
                <c:pt idx="10">
                  <c:v>30236.000000</c:v>
                </c:pt>
                <c:pt idx="11">
                  <c:v>44912.000000</c:v>
                </c:pt>
                <c:pt idx="12">
                  <c:v>0.000000</c:v>
                </c:pt>
                <c:pt idx="13">
                  <c:v>1013994.000000</c:v>
                </c:pt>
                <c:pt idx="14">
                  <c:v>391945.000000</c:v>
                </c:pt>
                <c:pt idx="15">
                  <c:v>457913.000000</c:v>
                </c:pt>
                <c:pt idx="16">
                  <c:v>190070.000000</c:v>
                </c:pt>
                <c:pt idx="17">
                  <c:v>150920.000000</c:v>
                </c:pt>
                <c:pt idx="18">
                  <c:v>-296561.000000</c:v>
                </c:pt>
                <c:pt idx="19">
                  <c:v>782505.000000</c:v>
                </c:pt>
                <c:pt idx="20">
                  <c:v>23899.000000</c:v>
                </c:pt>
                <c:pt idx="21">
                  <c:v>345782.000000</c:v>
                </c:pt>
                <c:pt idx="22">
                  <c:v>17809.000000</c:v>
                </c:pt>
                <c:pt idx="23">
                  <c:v>73447.000000</c:v>
                </c:pt>
                <c:pt idx="24">
                  <c:v>26036.000000</c:v>
                </c:pt>
                <c:pt idx="25">
                  <c:v>337277.000000</c:v>
                </c:pt>
                <c:pt idx="26">
                  <c:v>-1.000000</c:v>
                </c:pt>
                <c:pt idx="27">
                  <c:v>52272.000000</c:v>
                </c:pt>
                <c:pt idx="28">
                  <c:v>773094.000000</c:v>
                </c:pt>
                <c:pt idx="29">
                  <c:v>960976.649189</c:v>
                </c:pt>
                <c:pt idx="30">
                  <c:v>770139.490539</c:v>
                </c:pt>
                <c:pt idx="31">
                  <c:v>-2.070788</c:v>
                </c:pt>
                <c:pt idx="32">
                  <c:v>100019.535653</c:v>
                </c:pt>
                <c:pt idx="33">
                  <c:v>375249.707911</c:v>
                </c:pt>
                <c:pt idx="34">
                  <c:v>261208.135414</c:v>
                </c:pt>
                <c:pt idx="35">
                  <c:v>14055.892084</c:v>
                </c:pt>
              </c:numCache>
            </c:numRef>
          </c:val>
          <c:smooth val="0"/>
        </c:ser>
        <c:ser>
          <c:idx val="2"/>
          <c:order val="2"/>
          <c:tx>
            <c:strRef>
              <c:f>'depto - dividendos'!$BL$2:$BL$4</c:f>
              <c:strCache>
                <c:ptCount val="1"/>
                <c:pt idx="0">
                  <c:v>interés real</c:v>
                </c:pt>
              </c:strCache>
            </c:strRef>
          </c:tx>
          <c:spPr>
            <a:solidFill>
              <a:srgbClr val="FFFFFF"/>
            </a:solidFill>
            <a:ln w="12700" cap="flat">
              <a:solidFill>
                <a:srgbClr val="EC4613">
                  <a:alpha val="62388"/>
                </a:srgbClr>
              </a:solidFill>
              <a:prstDash val="solid"/>
              <a:miter lim="400000"/>
            </a:ln>
            <a:effectLst/>
          </c:spPr>
          <c:marker>
            <c:symbol val="none"/>
            <c:size val="4"/>
            <c:spPr>
              <a:solidFill>
                <a:srgbClr val="FFFFFF"/>
              </a:solidFill>
              <a:ln w="50800" cap="flat">
                <a:solidFill>
                  <a:srgbClr val="BA9844"/>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50800" cap="flat">
                <a:solidFill>
                  <a:srgbClr val="EC4613"/>
                </a:solidFill>
                <a:prstDash val="solid"/>
                <a:miter lim="400000"/>
              </a:ln>
              <a:effectLst/>
            </c:spPr>
            <c:trendlineType val="movingAvg"/>
            <c:period val="3"/>
            <c:forward val="0"/>
            <c:backward val="0"/>
            <c:dispRSqr val="0"/>
            <c:dispEq val="0"/>
          </c:trendline>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dividendos'!$BL$5:$BL$160</c:f>
              <c:numCache>
                <c:ptCount val="35"/>
                <c:pt idx="1">
                  <c:v>1905113.000000</c:v>
                </c:pt>
                <c:pt idx="2">
                  <c:v>896393.000000</c:v>
                </c:pt>
                <c:pt idx="3">
                  <c:v>964663.000000</c:v>
                </c:pt>
                <c:pt idx="4">
                  <c:v>521779.000000</c:v>
                </c:pt>
                <c:pt idx="5">
                  <c:v>1574154.000000</c:v>
                </c:pt>
                <c:pt idx="6">
                  <c:v>973795.000000</c:v>
                </c:pt>
                <c:pt idx="7">
                  <c:v>716488.000000</c:v>
                </c:pt>
                <c:pt idx="8">
                  <c:v>209617.000000</c:v>
                </c:pt>
                <c:pt idx="9">
                  <c:v>1610203.000000</c:v>
                </c:pt>
                <c:pt idx="10">
                  <c:v>506250.000000</c:v>
                </c:pt>
                <c:pt idx="11">
                  <c:v>159860.000000</c:v>
                </c:pt>
                <c:pt idx="12">
                  <c:v>403466.000000</c:v>
                </c:pt>
                <c:pt idx="13">
                  <c:v>1411020.000000</c:v>
                </c:pt>
                <c:pt idx="14">
                  <c:v>783769.000000</c:v>
                </c:pt>
                <c:pt idx="15">
                  <c:v>847267.000000</c:v>
                </c:pt>
                <c:pt idx="16">
                  <c:v>575659.000000</c:v>
                </c:pt>
                <c:pt idx="17">
                  <c:v>532565.000000</c:v>
                </c:pt>
                <c:pt idx="18">
                  <c:v>82372.000000</c:v>
                </c:pt>
                <c:pt idx="19">
                  <c:v>1163008.000000</c:v>
                </c:pt>
                <c:pt idx="20">
                  <c:v>400622.000000</c:v>
                </c:pt>
                <c:pt idx="21">
                  <c:v>722325.000000</c:v>
                </c:pt>
                <c:pt idx="22">
                  <c:v>392022.000000</c:v>
                </c:pt>
                <c:pt idx="23">
                  <c:v>446193.000000</c:v>
                </c:pt>
                <c:pt idx="24">
                  <c:v>396650.000000</c:v>
                </c:pt>
                <c:pt idx="25">
                  <c:v>422170.000000</c:v>
                </c:pt>
                <c:pt idx="26">
                  <c:v>321908.000000</c:v>
                </c:pt>
                <c:pt idx="27">
                  <c:v>372561.000000</c:v>
                </c:pt>
                <c:pt idx="28">
                  <c:v>1085159.000000</c:v>
                </c:pt>
                <c:pt idx="29">
                  <c:v>1263072.000000</c:v>
                </c:pt>
                <c:pt idx="30">
                  <c:v>1063615.000000</c:v>
                </c:pt>
                <c:pt idx="31">
                  <c:v>290516.000000</c:v>
                </c:pt>
                <c:pt idx="32">
                  <c:v>388637.000000</c:v>
                </c:pt>
                <c:pt idx="33">
                  <c:v>662398.000000</c:v>
                </c:pt>
                <c:pt idx="34">
                  <c:v>547069.000000</c:v>
                </c:pt>
                <c:pt idx="35">
                  <c:v>297614.000000</c:v>
                </c:pt>
              </c:numCache>
            </c:numRef>
          </c:val>
          <c:smooth val="0"/>
        </c:ser>
        <c:ser>
          <c:idx val="3"/>
          <c:order val="3"/>
          <c:tx>
            <c:strRef>
              <c:f>'depto - dividendos'!$BE$2:$BE$4</c:f>
              <c:strCache/>
            </c:strRef>
          </c:tx>
          <c:spPr>
            <a:solidFill>
              <a:srgbClr val="FFFFFF"/>
            </a:solidFill>
            <a:ln w="12700" cap="flat">
              <a:solidFill>
                <a:srgbClr val="9C7AD9"/>
              </a:solidFill>
              <a:prstDash val="solid"/>
              <a:miter lim="400000"/>
            </a:ln>
            <a:effectLst/>
          </c:spPr>
          <c:marker>
            <c:symbol val="none"/>
            <c:size val="4"/>
            <c:spPr>
              <a:solidFill>
                <a:srgbClr val="FFFFFF"/>
              </a:solidFill>
              <a:ln w="50800" cap="flat">
                <a:solidFill>
                  <a:srgbClr val="AC5A49"/>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dividendos'!$BE$5:$BE$160</c:f>
              <c:numCache>
                <c:ptCount val="34"/>
                <c:pt idx="2">
                  <c:v>926381.000000</c:v>
                </c:pt>
                <c:pt idx="3">
                  <c:v>2354897.000000</c:v>
                </c:pt>
                <c:pt idx="4">
                  <c:v>2363254.000000</c:v>
                </c:pt>
                <c:pt idx="5">
                  <c:v>2389043.000000</c:v>
                </c:pt>
                <c:pt idx="6">
                  <c:v>2405312.000000</c:v>
                </c:pt>
                <c:pt idx="7">
                  <c:v>19619435.000000</c:v>
                </c:pt>
                <c:pt idx="8">
                  <c:v>2497843.000000</c:v>
                </c:pt>
                <c:pt idx="9">
                  <c:v>2531652.000000</c:v>
                </c:pt>
                <c:pt idx="10">
                  <c:v>2542514.000000</c:v>
                </c:pt>
                <c:pt idx="11">
                  <c:v>15485052.000000</c:v>
                </c:pt>
                <c:pt idx="12">
                  <c:v>2616241.000000</c:v>
                </c:pt>
                <c:pt idx="13">
                  <c:v>1683876.000000</c:v>
                </c:pt>
                <c:pt idx="14">
                  <c:v>1074398.000000</c:v>
                </c:pt>
                <c:pt idx="15">
                  <c:v>1123084.000000</c:v>
                </c:pt>
                <c:pt idx="16">
                  <c:v>1129928.000000</c:v>
                </c:pt>
                <c:pt idx="17">
                  <c:v>373669.000000</c:v>
                </c:pt>
                <c:pt idx="18">
                  <c:v>398341.000000</c:v>
                </c:pt>
                <c:pt idx="19">
                  <c:v>960201.000000</c:v>
                </c:pt>
                <c:pt idx="20">
                  <c:v>394958.000000</c:v>
                </c:pt>
                <c:pt idx="21">
                  <c:v>594654.000000</c:v>
                </c:pt>
                <c:pt idx="22">
                  <c:v>436219.000000</c:v>
                </c:pt>
                <c:pt idx="23">
                  <c:v>555197.000000</c:v>
                </c:pt>
                <c:pt idx="24">
                  <c:v>476296.000000</c:v>
                </c:pt>
                <c:pt idx="25">
                  <c:v>11935107.000000</c:v>
                </c:pt>
                <c:pt idx="26">
                  <c:v>456016.000000</c:v>
                </c:pt>
                <c:pt idx="27">
                  <c:v>2815517.000000</c:v>
                </c:pt>
                <c:pt idx="28">
                  <c:v>2855638.000000</c:v>
                </c:pt>
                <c:pt idx="29">
                  <c:v>2906791.649189</c:v>
                </c:pt>
                <c:pt idx="30">
                  <c:v>733080.490539</c:v>
                </c:pt>
                <c:pt idx="31">
                  <c:v>571131.929212</c:v>
                </c:pt>
                <c:pt idx="32">
                  <c:v>739424.535653</c:v>
                </c:pt>
                <c:pt idx="33">
                  <c:v>580330.707911</c:v>
                </c:pt>
                <c:pt idx="34">
                  <c:v>584853.135414</c:v>
                </c:pt>
                <c:pt idx="35">
                  <c:v>587350.892084</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5e+06"/>
          <c:min val="-20000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midCat"/>
      </c:valAx>
      <c:spPr>
        <a:noFill/>
        <a:ln w="12700" cap="flat">
          <a:noFill/>
          <a:miter lim="400000"/>
        </a:ln>
        <a:effectLst/>
      </c:spPr>
    </c:plotArea>
    <c:legend>
      <c:legendPos val="t"/>
      <c:layout>
        <c:manualLayout>
          <c:xMode val="edge"/>
          <c:yMode val="edge"/>
          <c:x val="0.131471"/>
          <c:y val="0"/>
          <c:w val="0.777923"/>
          <c:h val="0.0455832"/>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7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44914"/>
          <c:y val="0.126878"/>
          <c:w val="0.850086"/>
          <c:h val="0.810538"/>
        </c:manualLayout>
      </c:layout>
      <c:lineChart>
        <c:grouping val="standard"/>
        <c:varyColors val="0"/>
        <c:ser>
          <c:idx val="0"/>
          <c:order val="0"/>
          <c:tx>
            <c:strRef>
              <c:f>'depto - dividendos'!$BA$2</c:f>
              <c:strCache>
                <c:ptCount val="1"/>
                <c:pt idx="0">
                  <c:v>amortización</c:v>
                </c:pt>
              </c:strCache>
            </c:strRef>
          </c:tx>
          <c:spPr>
            <a:solidFill>
              <a:srgbClr val="FFFFFF"/>
            </a:solidFill>
            <a:ln w="25400" cap="flat">
              <a:solidFill>
                <a:srgbClr val="5F99C5">
                  <a:alpha val="50388"/>
                </a:srgbClr>
              </a:solidFill>
              <a:prstDash val="solid"/>
              <a:miter lim="400000"/>
            </a:ln>
            <a:effectLst/>
          </c:spPr>
          <c:marker>
            <c:symbol val="none"/>
            <c:size val="4"/>
            <c:spPr>
              <a:solidFill>
                <a:srgbClr val="FFFFFF"/>
              </a:solidFill>
              <a:ln w="50800" cap="flat">
                <a:solidFill>
                  <a:srgbClr val="567691"/>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dividendos'!$BA$5:$BA$160</c:f>
              <c:numCache>
                <c:ptCount val="31"/>
                <c:pt idx="2">
                  <c:v>188520.000000</c:v>
                </c:pt>
                <c:pt idx="3">
                  <c:v>188802.000000</c:v>
                </c:pt>
                <c:pt idx="4">
                  <c:v>186726.000000</c:v>
                </c:pt>
                <c:pt idx="5">
                  <c:v>185969.000000</c:v>
                </c:pt>
                <c:pt idx="6">
                  <c:v>184399.000000</c:v>
                </c:pt>
                <c:pt idx="8">
                  <c:v>157298.000000</c:v>
                </c:pt>
                <c:pt idx="9">
                  <c:v>156358.000000</c:v>
                </c:pt>
                <c:pt idx="10">
                  <c:v>153934.000000</c:v>
                </c:pt>
                <c:pt idx="12">
                  <c:v>131174.000000</c:v>
                </c:pt>
                <c:pt idx="13">
                  <c:v>129770.000000</c:v>
                </c:pt>
                <c:pt idx="14">
                  <c:v>128756.000000</c:v>
                </c:pt>
                <c:pt idx="15">
                  <c:v>128622.000000</c:v>
                </c:pt>
                <c:pt idx="16">
                  <c:v>128068.000000</c:v>
                </c:pt>
                <c:pt idx="17">
                  <c:v>127441.000000</c:v>
                </c:pt>
                <c:pt idx="18">
                  <c:v>127218.000000</c:v>
                </c:pt>
                <c:pt idx="19">
                  <c:v>128431.000000</c:v>
                </c:pt>
                <c:pt idx="20">
                  <c:v>127848.000000</c:v>
                </c:pt>
                <c:pt idx="21">
                  <c:v>128469.125863</c:v>
                </c:pt>
                <c:pt idx="22">
                  <c:v>128367.000000</c:v>
                </c:pt>
                <c:pt idx="23">
                  <c:v>128565.354513</c:v>
                </c:pt>
                <c:pt idx="24">
                  <c:v>128522.000000</c:v>
                </c:pt>
                <c:pt idx="26">
                  <c:v>112242.000000</c:v>
                </c:pt>
                <c:pt idx="27">
                  <c:v>112275.877184</c:v>
                </c:pt>
                <c:pt idx="28">
                  <c:v>109999.957624</c:v>
                </c:pt>
                <c:pt idx="29">
                  <c:v>110759.491115</c:v>
                </c:pt>
                <c:pt idx="30">
                  <c:v>108157.438648</c:v>
                </c:pt>
                <c:pt idx="31">
                  <c:v>107623.470678</c:v>
                </c:pt>
                <c:pt idx="32">
                  <c:v>107474.456528</c:v>
                </c:pt>
                <c:pt idx="33">
                  <c:v>107484.696953</c:v>
                </c:pt>
                <c:pt idx="34">
                  <c:v>107561.473877</c:v>
                </c:pt>
                <c:pt idx="35">
                  <c:v>107253.139615</c:v>
                </c:pt>
              </c:numCache>
            </c:numRef>
          </c:val>
          <c:smooth val="0"/>
        </c:ser>
        <c:ser>
          <c:idx val="1"/>
          <c:order val="1"/>
          <c:tx>
            <c:strRef>
              <c:f>'depto - dividendos'!$BC$2</c:f>
              <c:strCache>
                <c:ptCount val="1"/>
                <c:pt idx="0">
                  <c:v>amortización ext</c:v>
                </c:pt>
              </c:strCache>
            </c:strRef>
          </c:tx>
          <c:spPr>
            <a:solidFill>
              <a:srgbClr val="FFFFFF"/>
            </a:solidFill>
            <a:ln w="25400" cap="flat">
              <a:solidFill>
                <a:srgbClr val="5F99C5">
                  <a:alpha val="50251"/>
                </a:srgbClr>
              </a:solidFill>
              <a:prstDash val="solid"/>
              <a:miter lim="400000"/>
            </a:ln>
            <a:effectLst/>
          </c:spPr>
          <c:marker>
            <c:symbol val="none"/>
            <c:size val="4"/>
            <c:spPr>
              <a:solidFill>
                <a:srgbClr val="FFFFFF"/>
              </a:solidFill>
              <a:ln w="50800" cap="flat">
                <a:solidFill>
                  <a:srgbClr val="5B704E"/>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dividendos'!$BC$5:$BC$160</c:f>
              <c:numCache>
                <c:ptCount val="34"/>
                <c:pt idx="2">
                  <c:v>737861.000000</c:v>
                </c:pt>
                <c:pt idx="3">
                  <c:v>2166095.000000</c:v>
                </c:pt>
                <c:pt idx="4">
                  <c:v>2176528.000000</c:v>
                </c:pt>
                <c:pt idx="5">
                  <c:v>2203074.000000</c:v>
                </c:pt>
                <c:pt idx="6">
                  <c:v>2220913.000000</c:v>
                </c:pt>
                <c:pt idx="7">
                  <c:v>19619435.000000</c:v>
                </c:pt>
                <c:pt idx="8">
                  <c:v>2340545.000000</c:v>
                </c:pt>
                <c:pt idx="9">
                  <c:v>2375294.000000</c:v>
                </c:pt>
                <c:pt idx="10">
                  <c:v>2388580.000000</c:v>
                </c:pt>
                <c:pt idx="11">
                  <c:v>15485052.000000</c:v>
                </c:pt>
                <c:pt idx="12">
                  <c:v>2485067.000000</c:v>
                </c:pt>
                <c:pt idx="13">
                  <c:v>1554106.000000</c:v>
                </c:pt>
                <c:pt idx="14">
                  <c:v>945642.000000</c:v>
                </c:pt>
                <c:pt idx="15">
                  <c:v>994462.000000</c:v>
                </c:pt>
                <c:pt idx="16">
                  <c:v>1001860.000000</c:v>
                </c:pt>
                <c:pt idx="17">
                  <c:v>246228.000000</c:v>
                </c:pt>
                <c:pt idx="18">
                  <c:v>271123.000000</c:v>
                </c:pt>
                <c:pt idx="19">
                  <c:v>831770.000000</c:v>
                </c:pt>
                <c:pt idx="20">
                  <c:v>267110.000000</c:v>
                </c:pt>
                <c:pt idx="21">
                  <c:v>466184.874137</c:v>
                </c:pt>
                <c:pt idx="22">
                  <c:v>307852.000000</c:v>
                </c:pt>
                <c:pt idx="23">
                  <c:v>426631.645487</c:v>
                </c:pt>
                <c:pt idx="24">
                  <c:v>347774.000000</c:v>
                </c:pt>
                <c:pt idx="25">
                  <c:v>11935107.000000</c:v>
                </c:pt>
                <c:pt idx="26">
                  <c:v>343774.000000</c:v>
                </c:pt>
                <c:pt idx="27">
                  <c:v>2703241.122816</c:v>
                </c:pt>
                <c:pt idx="28">
                  <c:v>2745638.042376</c:v>
                </c:pt>
                <c:pt idx="29">
                  <c:v>2796032.158073</c:v>
                </c:pt>
                <c:pt idx="30">
                  <c:v>624923.051892</c:v>
                </c:pt>
                <c:pt idx="31">
                  <c:v>463508.458533</c:v>
                </c:pt>
                <c:pt idx="32">
                  <c:v>631950.079125</c:v>
                </c:pt>
                <c:pt idx="33">
                  <c:v>472846.010958</c:v>
                </c:pt>
                <c:pt idx="34">
                  <c:v>477291.661538</c:v>
                </c:pt>
                <c:pt idx="35">
                  <c:v>480097.752468</c:v>
                </c:pt>
              </c:numCache>
            </c:numRef>
          </c:val>
          <c:smooth val="0"/>
        </c:ser>
        <c:ser>
          <c:idx val="2"/>
          <c:order val="2"/>
          <c:tx>
            <c:strRef>
              <c:f>'depto - dividendos'!$BE$2</c:f>
              <c:strCache/>
            </c:strRef>
          </c:tx>
          <c:spPr>
            <a:solidFill>
              <a:srgbClr val="FFFFFF"/>
            </a:solidFill>
            <a:ln w="25400" cap="flat">
              <a:solidFill>
                <a:srgbClr val="5F99C5"/>
              </a:solidFill>
              <a:prstDash val="solid"/>
              <a:miter lim="400000"/>
            </a:ln>
            <a:effectLst/>
          </c:spPr>
          <c:marker>
            <c:symbol val="none"/>
            <c:size val="4"/>
            <c:spPr>
              <a:solidFill>
                <a:srgbClr val="FFFFFF"/>
              </a:solidFill>
              <a:ln w="50800" cap="flat">
                <a:solidFill>
                  <a:srgbClr val="BA9844"/>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dividendos'!$BE$5:$BE$160</c:f>
              <c:numCache>
                <c:ptCount val="34"/>
                <c:pt idx="2">
                  <c:v>926381.000000</c:v>
                </c:pt>
                <c:pt idx="3">
                  <c:v>2354897.000000</c:v>
                </c:pt>
                <c:pt idx="4">
                  <c:v>2363254.000000</c:v>
                </c:pt>
                <c:pt idx="5">
                  <c:v>2389043.000000</c:v>
                </c:pt>
                <c:pt idx="6">
                  <c:v>2405312.000000</c:v>
                </c:pt>
                <c:pt idx="7">
                  <c:v>19619435.000000</c:v>
                </c:pt>
                <c:pt idx="8">
                  <c:v>2497843.000000</c:v>
                </c:pt>
                <c:pt idx="9">
                  <c:v>2531652.000000</c:v>
                </c:pt>
                <c:pt idx="10">
                  <c:v>2542514.000000</c:v>
                </c:pt>
                <c:pt idx="11">
                  <c:v>15485052.000000</c:v>
                </c:pt>
                <c:pt idx="12">
                  <c:v>2616241.000000</c:v>
                </c:pt>
                <c:pt idx="13">
                  <c:v>1683876.000000</c:v>
                </c:pt>
                <c:pt idx="14">
                  <c:v>1074398.000000</c:v>
                </c:pt>
                <c:pt idx="15">
                  <c:v>1123084.000000</c:v>
                </c:pt>
                <c:pt idx="16">
                  <c:v>1129928.000000</c:v>
                </c:pt>
                <c:pt idx="17">
                  <c:v>373669.000000</c:v>
                </c:pt>
                <c:pt idx="18">
                  <c:v>398341.000000</c:v>
                </c:pt>
                <c:pt idx="19">
                  <c:v>960201.000000</c:v>
                </c:pt>
                <c:pt idx="20">
                  <c:v>394958.000000</c:v>
                </c:pt>
                <c:pt idx="21">
                  <c:v>594654.000000</c:v>
                </c:pt>
                <c:pt idx="22">
                  <c:v>436219.000000</c:v>
                </c:pt>
                <c:pt idx="23">
                  <c:v>555197.000000</c:v>
                </c:pt>
                <c:pt idx="24">
                  <c:v>476296.000000</c:v>
                </c:pt>
                <c:pt idx="25">
                  <c:v>11935107.000000</c:v>
                </c:pt>
                <c:pt idx="26">
                  <c:v>456016.000000</c:v>
                </c:pt>
                <c:pt idx="27">
                  <c:v>2815517.000000</c:v>
                </c:pt>
                <c:pt idx="28">
                  <c:v>2855638.000000</c:v>
                </c:pt>
                <c:pt idx="29">
                  <c:v>2906791.649189</c:v>
                </c:pt>
                <c:pt idx="30">
                  <c:v>733080.490539</c:v>
                </c:pt>
                <c:pt idx="31">
                  <c:v>571131.929212</c:v>
                </c:pt>
                <c:pt idx="32">
                  <c:v>739424.535653</c:v>
                </c:pt>
                <c:pt idx="33">
                  <c:v>580330.707911</c:v>
                </c:pt>
                <c:pt idx="34">
                  <c:v>584853.135414</c:v>
                </c:pt>
                <c:pt idx="35">
                  <c:v>587350.892084</c:v>
                </c:pt>
              </c:numCache>
            </c:numRef>
          </c:val>
          <c:smooth val="0"/>
        </c:ser>
        <c:ser>
          <c:idx val="3"/>
          <c:order val="3"/>
          <c:tx>
            <c:strRef>
              <c:f>'depto - dividendos'!$BG$2</c:f>
              <c:strCache>
                <c:ptCount val="1"/>
                <c:pt idx="0">
                  <c:v>interés</c:v>
                </c:pt>
              </c:strCache>
            </c:strRef>
          </c:tx>
          <c:spPr>
            <a:solidFill>
              <a:srgbClr val="FFFFFF"/>
            </a:solidFill>
            <a:ln w="25400" cap="flat">
              <a:solidFill>
                <a:srgbClr val="CE5248"/>
              </a:solidFill>
              <a:prstDash val="solid"/>
              <a:miter lim="400000"/>
            </a:ln>
            <a:effectLst/>
          </c:spPr>
          <c:marker>
            <c:symbol val="none"/>
            <c:size val="4"/>
            <c:spPr>
              <a:solidFill>
                <a:srgbClr val="FFFFFF"/>
              </a:solidFill>
              <a:ln w="50800" cap="flat">
                <a:solidFill>
                  <a:srgbClr val="AC5A49"/>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dividendos'!$BG$5:$BG$160</c:f>
              <c:numCache>
                <c:ptCount val="33"/>
                <c:pt idx="3">
                  <c:v>602761.000000</c:v>
                </c:pt>
                <c:pt idx="4">
                  <c:v>592966.000000</c:v>
                </c:pt>
                <c:pt idx="5">
                  <c:v>587423.000000</c:v>
                </c:pt>
                <c:pt idx="6">
                  <c:v>579382.000000</c:v>
                </c:pt>
                <c:pt idx="7">
                  <c:v>164006.000000</c:v>
                </c:pt>
                <c:pt idx="8">
                  <c:v>491625.000000</c:v>
                </c:pt>
                <c:pt idx="9">
                  <c:v>486109.000000</c:v>
                </c:pt>
                <c:pt idx="10">
                  <c:v>476014.000000</c:v>
                </c:pt>
                <c:pt idx="11">
                  <c:v>114948.000000</c:v>
                </c:pt>
                <c:pt idx="12">
                  <c:v>403466.000000</c:v>
                </c:pt>
                <c:pt idx="13">
                  <c:v>397026.000000</c:v>
                </c:pt>
                <c:pt idx="14">
                  <c:v>391824.000000</c:v>
                </c:pt>
                <c:pt idx="15">
                  <c:v>389354.000000</c:v>
                </c:pt>
                <c:pt idx="16">
                  <c:v>385589.000000</c:v>
                </c:pt>
                <c:pt idx="17">
                  <c:v>381645.000000</c:v>
                </c:pt>
                <c:pt idx="18">
                  <c:v>378933.000000</c:v>
                </c:pt>
                <c:pt idx="19">
                  <c:v>380503.000000</c:v>
                </c:pt>
                <c:pt idx="20">
                  <c:v>376723.000000</c:v>
                </c:pt>
                <c:pt idx="21">
                  <c:v>376543.000000</c:v>
                </c:pt>
                <c:pt idx="22">
                  <c:v>374213.000000</c:v>
                </c:pt>
                <c:pt idx="23">
                  <c:v>372746.000000</c:v>
                </c:pt>
                <c:pt idx="24">
                  <c:v>370614.000000</c:v>
                </c:pt>
                <c:pt idx="25">
                  <c:v>84893.000000</c:v>
                </c:pt>
                <c:pt idx="26">
                  <c:v>321909.000000</c:v>
                </c:pt>
                <c:pt idx="27">
                  <c:v>320289.000000</c:v>
                </c:pt>
                <c:pt idx="28">
                  <c:v>312065.000000</c:v>
                </c:pt>
                <c:pt idx="29">
                  <c:v>302095.350811</c:v>
                </c:pt>
                <c:pt idx="30">
                  <c:v>293475.509461</c:v>
                </c:pt>
                <c:pt idx="31">
                  <c:v>290518.070788</c:v>
                </c:pt>
                <c:pt idx="32">
                  <c:v>288617.464347</c:v>
                </c:pt>
                <c:pt idx="33">
                  <c:v>287148.292089</c:v>
                </c:pt>
                <c:pt idx="34">
                  <c:v>285860.864586</c:v>
                </c:pt>
                <c:pt idx="35">
                  <c:v>283558.107916</c:v>
                </c:pt>
              </c:numCache>
            </c:numRef>
          </c:val>
          <c:smooth val="0"/>
        </c:ser>
        <c:ser>
          <c:idx val="4"/>
          <c:order val="4"/>
          <c:tx>
            <c:strRef>
              <c:f>'depto - dividendos'!$BJ$2</c:f>
              <c:strCache>
                <c:ptCount val="1"/>
                <c:pt idx="0">
                  <c:v>interés oculto</c:v>
                </c:pt>
              </c:strCache>
            </c:strRef>
          </c:tx>
          <c:spPr>
            <a:solidFill>
              <a:srgbClr val="FFFFFF"/>
            </a:solidFill>
            <a:ln w="6350" cap="flat">
              <a:solidFill>
                <a:srgbClr val="CE5248">
                  <a:alpha val="50279"/>
                </a:srgbClr>
              </a:solidFill>
              <a:prstDash val="solid"/>
              <a:miter lim="400000"/>
            </a:ln>
            <a:effectLst/>
          </c:spPr>
          <c:marker>
            <c:symbol val="none"/>
            <c:size val="4"/>
            <c:spPr>
              <a:solidFill>
                <a:srgbClr val="FFFFFF"/>
              </a:solidFill>
              <a:ln w="50800" cap="flat">
                <a:solidFill>
                  <a:srgbClr val="615973"/>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dividendos'!$BJ$5:$BJ$160</c:f>
              <c:numCache>
                <c:ptCount val="35"/>
                <c:pt idx="1">
                  <c:v>1905113.000000</c:v>
                </c:pt>
                <c:pt idx="2">
                  <c:v>896393.000000</c:v>
                </c:pt>
                <c:pt idx="3">
                  <c:v>361902.000000</c:v>
                </c:pt>
                <c:pt idx="4">
                  <c:v>-71187.000000</c:v>
                </c:pt>
                <c:pt idx="5">
                  <c:v>986731.000000</c:v>
                </c:pt>
                <c:pt idx="6">
                  <c:v>394413.000000</c:v>
                </c:pt>
                <c:pt idx="7">
                  <c:v>552482.000000</c:v>
                </c:pt>
                <c:pt idx="8">
                  <c:v>-282008.000000</c:v>
                </c:pt>
                <c:pt idx="9">
                  <c:v>1124094.000000</c:v>
                </c:pt>
                <c:pt idx="10">
                  <c:v>30236.000000</c:v>
                </c:pt>
                <c:pt idx="11">
                  <c:v>44912.000000</c:v>
                </c:pt>
                <c:pt idx="12">
                  <c:v>0.000000</c:v>
                </c:pt>
                <c:pt idx="13">
                  <c:v>1013994.000000</c:v>
                </c:pt>
                <c:pt idx="14">
                  <c:v>391945.000000</c:v>
                </c:pt>
                <c:pt idx="15">
                  <c:v>457913.000000</c:v>
                </c:pt>
                <c:pt idx="16">
                  <c:v>190070.000000</c:v>
                </c:pt>
                <c:pt idx="17">
                  <c:v>150920.000000</c:v>
                </c:pt>
                <c:pt idx="18">
                  <c:v>-296561.000000</c:v>
                </c:pt>
                <c:pt idx="19">
                  <c:v>782505.000000</c:v>
                </c:pt>
                <c:pt idx="20">
                  <c:v>23899.000000</c:v>
                </c:pt>
                <c:pt idx="21">
                  <c:v>345782.000000</c:v>
                </c:pt>
                <c:pt idx="22">
                  <c:v>17809.000000</c:v>
                </c:pt>
                <c:pt idx="23">
                  <c:v>73447.000000</c:v>
                </c:pt>
                <c:pt idx="24">
                  <c:v>26036.000000</c:v>
                </c:pt>
                <c:pt idx="25">
                  <c:v>337277.000000</c:v>
                </c:pt>
                <c:pt idx="26">
                  <c:v>-1.000000</c:v>
                </c:pt>
                <c:pt idx="27">
                  <c:v>52272.000000</c:v>
                </c:pt>
                <c:pt idx="28">
                  <c:v>773094.000000</c:v>
                </c:pt>
                <c:pt idx="29">
                  <c:v>960976.649189</c:v>
                </c:pt>
                <c:pt idx="30">
                  <c:v>770139.490539</c:v>
                </c:pt>
                <c:pt idx="31">
                  <c:v>-2.070788</c:v>
                </c:pt>
                <c:pt idx="32">
                  <c:v>100019.535653</c:v>
                </c:pt>
                <c:pt idx="33">
                  <c:v>375249.707911</c:v>
                </c:pt>
                <c:pt idx="34">
                  <c:v>261208.135414</c:v>
                </c:pt>
                <c:pt idx="35">
                  <c:v>14055.892084</c:v>
                </c:pt>
              </c:numCache>
            </c:numRef>
          </c:val>
          <c:smooth val="0"/>
        </c:ser>
        <c:ser>
          <c:idx val="5"/>
          <c:order val="5"/>
          <c:tx>
            <c:strRef>
              <c:f>'depto - dividendos'!$BL$2</c:f>
              <c:strCache>
                <c:ptCount val="1"/>
                <c:pt idx="0">
                  <c:v>interés real</c:v>
                </c:pt>
              </c:strCache>
            </c:strRef>
          </c:tx>
          <c:spPr>
            <a:solidFill>
              <a:srgbClr val="FFFFFF"/>
            </a:solidFill>
            <a:ln w="6350" cap="flat">
              <a:solidFill>
                <a:srgbClr val="CE5248">
                  <a:alpha val="50853"/>
                </a:srgbClr>
              </a:solidFill>
              <a:prstDash val="solid"/>
              <a:miter lim="400000"/>
            </a:ln>
            <a:effectLst/>
          </c:spPr>
          <c:marker>
            <c:symbol val="none"/>
            <c:size val="4"/>
            <c:spPr>
              <a:solidFill>
                <a:srgbClr val="FFFFFF"/>
              </a:solidFill>
              <a:ln w="50800" cap="flat">
                <a:solidFill>
                  <a:srgbClr val="8E928C"/>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12700" cap="flat">
                <a:solidFill>
                  <a:srgbClr val="BD4B42">
                    <a:alpha val="96625"/>
                  </a:srgbClr>
                </a:solidFill>
                <a:prstDash val="solid"/>
                <a:miter lim="400000"/>
              </a:ln>
              <a:effectLst/>
            </c:spPr>
            <c:trendlineType val="movingAvg"/>
            <c:period val="3"/>
            <c:forward val="0"/>
            <c:backward val="0"/>
            <c:dispRSqr val="0"/>
            <c:dispEq val="0"/>
          </c:trendline>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dividendos'!$BL$5:$BL$160</c:f>
              <c:numCache>
                <c:ptCount val="35"/>
                <c:pt idx="1">
                  <c:v>1905113.000000</c:v>
                </c:pt>
                <c:pt idx="2">
                  <c:v>896393.000000</c:v>
                </c:pt>
                <c:pt idx="3">
                  <c:v>964663.000000</c:v>
                </c:pt>
                <c:pt idx="4">
                  <c:v>521779.000000</c:v>
                </c:pt>
                <c:pt idx="5">
                  <c:v>1574154.000000</c:v>
                </c:pt>
                <c:pt idx="6">
                  <c:v>973795.000000</c:v>
                </c:pt>
                <c:pt idx="7">
                  <c:v>716488.000000</c:v>
                </c:pt>
                <c:pt idx="8">
                  <c:v>209617.000000</c:v>
                </c:pt>
                <c:pt idx="9">
                  <c:v>1610203.000000</c:v>
                </c:pt>
                <c:pt idx="10">
                  <c:v>506250.000000</c:v>
                </c:pt>
                <c:pt idx="11">
                  <c:v>159860.000000</c:v>
                </c:pt>
                <c:pt idx="12">
                  <c:v>403466.000000</c:v>
                </c:pt>
                <c:pt idx="13">
                  <c:v>1411020.000000</c:v>
                </c:pt>
                <c:pt idx="14">
                  <c:v>783769.000000</c:v>
                </c:pt>
                <c:pt idx="15">
                  <c:v>847267.000000</c:v>
                </c:pt>
                <c:pt idx="16">
                  <c:v>575659.000000</c:v>
                </c:pt>
                <c:pt idx="17">
                  <c:v>532565.000000</c:v>
                </c:pt>
                <c:pt idx="18">
                  <c:v>82372.000000</c:v>
                </c:pt>
                <c:pt idx="19">
                  <c:v>1163008.000000</c:v>
                </c:pt>
                <c:pt idx="20">
                  <c:v>400622.000000</c:v>
                </c:pt>
                <c:pt idx="21">
                  <c:v>722325.000000</c:v>
                </c:pt>
                <c:pt idx="22">
                  <c:v>392022.000000</c:v>
                </c:pt>
                <c:pt idx="23">
                  <c:v>446193.000000</c:v>
                </c:pt>
                <c:pt idx="24">
                  <c:v>396650.000000</c:v>
                </c:pt>
                <c:pt idx="25">
                  <c:v>422170.000000</c:v>
                </c:pt>
                <c:pt idx="26">
                  <c:v>321908.000000</c:v>
                </c:pt>
                <c:pt idx="27">
                  <c:v>372561.000000</c:v>
                </c:pt>
                <c:pt idx="28">
                  <c:v>1085159.000000</c:v>
                </c:pt>
                <c:pt idx="29">
                  <c:v>1263072.000000</c:v>
                </c:pt>
                <c:pt idx="30">
                  <c:v>1063615.000000</c:v>
                </c:pt>
                <c:pt idx="31">
                  <c:v>290516.000000</c:v>
                </c:pt>
                <c:pt idx="32">
                  <c:v>388637.000000</c:v>
                </c:pt>
                <c:pt idx="33">
                  <c:v>662398.000000</c:v>
                </c:pt>
                <c:pt idx="34">
                  <c:v>547069.000000</c:v>
                </c:pt>
                <c:pt idx="35">
                  <c:v>297614.000000</c:v>
                </c:pt>
              </c:numCache>
            </c:numRef>
          </c:val>
          <c:smooth val="0"/>
        </c:ser>
        <c:ser>
          <c:idx val="6"/>
          <c:order val="6"/>
          <c:tx>
            <c:strRef>
              <c:f>'depto - dividendos'!$K$2</c:f>
              <c:strCache>
                <c:ptCount val="1"/>
                <c:pt idx="0">
                  <c:v>credito restante uf</c:v>
                </c:pt>
              </c:strCache>
            </c:strRef>
          </c:tx>
          <c:spPr>
            <a:solidFill>
              <a:srgbClr val="FFFFFF"/>
            </a:solidFill>
            <a:ln w="25400" cap="flat">
              <a:solidFill>
                <a:srgbClr val="746B85"/>
              </a:solidFill>
              <a:prstDash val="solid"/>
              <a:miter lim="400000"/>
            </a:ln>
            <a:effectLst/>
          </c:spPr>
          <c:marker>
            <c:symbol val="none"/>
            <c:size val="4"/>
            <c:spPr>
              <a:solidFill>
                <a:srgbClr val="FFFFFF"/>
              </a:solidFill>
              <a:ln w="50800" cap="flat">
                <a:solidFill>
                  <a:srgbClr val="6786A0"/>
                </a:solidFill>
                <a:prstDash val="solid"/>
                <a:miter lim="400000"/>
              </a:ln>
              <a:effectLst/>
            </c:spPr>
          </c:marker>
          <c:dLbls>
            <c:numFmt formatCode="[&lt;0]&quot;UF &quot;* (#,###.????);&quot;UF &quot;* #,###.????"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dividendos'!$K$5:$K$160</c:f>
              <c:numCache>
                <c:ptCount val="36"/>
                <c:pt idx="0">
                  <c:v>3950.000000</c:v>
                </c:pt>
                <c:pt idx="1">
                  <c:v>3983.654400</c:v>
                </c:pt>
                <c:pt idx="2">
                  <c:v>3958.950000</c:v>
                </c:pt>
                <c:pt idx="3">
                  <c:v>3896.333900</c:v>
                </c:pt>
                <c:pt idx="4">
                  <c:v>3833.456200</c:v>
                </c:pt>
                <c:pt idx="5">
                  <c:v>3770.324700</c:v>
                </c:pt>
                <c:pt idx="6">
                  <c:v>3706.938500</c:v>
                </c:pt>
                <c:pt idx="7">
                  <c:v>3191.938500</c:v>
                </c:pt>
                <c:pt idx="8">
                  <c:v>3126.219000</c:v>
                </c:pt>
                <c:pt idx="9">
                  <c:v>3060.234200</c:v>
                </c:pt>
                <c:pt idx="10">
                  <c:v>2993.983400</c:v>
                </c:pt>
                <c:pt idx="11">
                  <c:v>2590.643800</c:v>
                </c:pt>
                <c:pt idx="12">
                  <c:v>2522.498500</c:v>
                </c:pt>
                <c:pt idx="13">
                  <c:v>2479.093000</c:v>
                </c:pt>
                <c:pt idx="14">
                  <c:v>2451.510500</c:v>
                </c:pt>
                <c:pt idx="15">
                  <c:v>2422.815600</c:v>
                </c:pt>
                <c:pt idx="16">
                  <c:v>2394.003700</c:v>
                </c:pt>
                <c:pt idx="17">
                  <c:v>2384.490900</c:v>
                </c:pt>
                <c:pt idx="18">
                  <c:v>2374.317700</c:v>
                </c:pt>
                <c:pt idx="19">
                  <c:v>2350.000000</c:v>
                </c:pt>
                <c:pt idx="20">
                  <c:v>2340.000000</c:v>
                </c:pt>
                <c:pt idx="21">
                  <c:v>2325.000000</c:v>
                </c:pt>
                <c:pt idx="22">
                  <c:v>2313.998600</c:v>
                </c:pt>
                <c:pt idx="23">
                  <c:v>2300.007800</c:v>
                </c:pt>
                <c:pt idx="24">
                  <c:v>2288.008700</c:v>
                </c:pt>
                <c:pt idx="25">
                  <c:v>1988.445700</c:v>
                </c:pt>
                <c:pt idx="26">
                  <c:v>1977.000000</c:v>
                </c:pt>
                <c:pt idx="27">
                  <c:v>1906.379300</c:v>
                </c:pt>
                <c:pt idx="28">
                  <c:v>1835.473500</c:v>
                </c:pt>
                <c:pt idx="29">
                  <c:v>1764.223800</c:v>
                </c:pt>
                <c:pt idx="30">
                  <c:v>1746.445200</c:v>
                </c:pt>
                <c:pt idx="31">
                  <c:v>1732.594100</c:v>
                </c:pt>
                <c:pt idx="32">
                  <c:v>1714.686700</c:v>
                </c:pt>
                <c:pt idx="33">
                  <c:v>1700.706300</c:v>
                </c:pt>
                <c:pt idx="34">
                  <c:v>1686.668900</c:v>
                </c:pt>
                <c:pt idx="35">
                  <c:v>1672.574400</c:v>
                </c:pt>
              </c:numCache>
            </c:numRef>
          </c:val>
          <c:smooth val="0"/>
        </c:ser>
        <c:ser>
          <c:idx val="7"/>
          <c:order val="7"/>
          <c:tx>
            <c:strRef>
              <c:f>'depto - dividendos'!$J$2</c:f>
              <c:strCache/>
            </c:strRef>
          </c:tx>
          <c:spPr>
            <a:solidFill>
              <a:srgbClr val="615973"/>
            </a:solidFill>
            <a:ln w="25400" cap="flat">
              <a:solidFill>
                <a:srgbClr val="615973"/>
              </a:solidFill>
              <a:prstDash val="solid"/>
              <a:miter lim="400000"/>
            </a:ln>
            <a:effectLst/>
          </c:spPr>
          <c:marker>
            <c:symbol val="circle"/>
            <c:size val="4"/>
            <c:spPr>
              <a:solidFill>
                <a:srgbClr val="615973"/>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dividendos'!$J$5:$J$160</c:f>
              <c:numCache>
                <c:ptCount val="34"/>
                <c:pt idx="2">
                  <c:v>1200000.000000</c:v>
                </c:pt>
                <c:pt idx="3">
                  <c:v>3011141.000000</c:v>
                </c:pt>
                <c:pt idx="4">
                  <c:v>3009576.000000</c:v>
                </c:pt>
                <c:pt idx="5">
                  <c:v>3030085.000000</c:v>
                </c:pt>
                <c:pt idx="6">
                  <c:v>3038359.000000</c:v>
                </c:pt>
                <c:pt idx="7">
                  <c:v>19783442.000000</c:v>
                </c:pt>
                <c:pt idx="8">
                  <c:v>3042268.000000</c:v>
                </c:pt>
                <c:pt idx="9">
                  <c:v>3071042.000000</c:v>
                </c:pt>
                <c:pt idx="10">
                  <c:v>3071622.000000</c:v>
                </c:pt>
                <c:pt idx="11">
                  <c:v>15600000.000000</c:v>
                </c:pt>
                <c:pt idx="12">
                  <c:v>3072815.000000</c:v>
                </c:pt>
                <c:pt idx="13">
                  <c:v>2133674.000000</c:v>
                </c:pt>
                <c:pt idx="14">
                  <c:v>1519135.000000</c:v>
                </c:pt>
                <c:pt idx="15">
                  <c:v>1565558.000000</c:v>
                </c:pt>
                <c:pt idx="16">
                  <c:v>1568696.000000</c:v>
                </c:pt>
                <c:pt idx="17">
                  <c:v>800000.000000</c:v>
                </c:pt>
                <c:pt idx="18">
                  <c:v>821802.000000</c:v>
                </c:pt>
                <c:pt idx="19">
                  <c:v>1385591.000000</c:v>
                </c:pt>
                <c:pt idx="20">
                  <c:v>816537.000000</c:v>
                </c:pt>
                <c:pt idx="21">
                  <c:v>1015871.000000</c:v>
                </c:pt>
                <c:pt idx="22">
                  <c:v>855091.000000</c:v>
                </c:pt>
                <c:pt idx="23">
                  <c:v>972618.000000</c:v>
                </c:pt>
                <c:pt idx="24">
                  <c:v>891578.000000</c:v>
                </c:pt>
                <c:pt idx="25">
                  <c:v>12020000.000000</c:v>
                </c:pt>
                <c:pt idx="26">
                  <c:v>822265.000000</c:v>
                </c:pt>
                <c:pt idx="27">
                  <c:v>3180160.000000</c:v>
                </c:pt>
                <c:pt idx="28">
                  <c:v>3212395.000000</c:v>
                </c:pt>
                <c:pt idx="29">
                  <c:v>3254042.000000</c:v>
                </c:pt>
                <c:pt idx="30">
                  <c:v>1072078.000000</c:v>
                </c:pt>
                <c:pt idx="31">
                  <c:v>907143.000000</c:v>
                </c:pt>
                <c:pt idx="32">
                  <c:v>1073579.000000</c:v>
                </c:pt>
                <c:pt idx="33">
                  <c:v>913228.000000</c:v>
                </c:pt>
                <c:pt idx="34">
                  <c:v>916607.000000</c:v>
                </c:pt>
                <c:pt idx="35">
                  <c:v>916790.000000</c:v>
                </c:pt>
              </c:numCache>
            </c:numRef>
          </c:val>
          <c:smooth val="0"/>
        </c:ser>
        <c:ser>
          <c:idx val="8"/>
          <c:order val="8"/>
          <c:tx>
            <c:strRef>
              <c:f>'depto - dividendos'!$N$2:$N$3</c:f>
              <c:strCache/>
            </c:strRef>
          </c:tx>
          <c:spPr>
            <a:solidFill>
              <a:srgbClr val="FFFFFF"/>
            </a:solidFill>
            <a:ln w="25400" cap="flat">
              <a:solidFill>
                <a:srgbClr val="71A5CD"/>
              </a:solidFill>
              <a:prstDash val="solid"/>
              <a:miter lim="400000"/>
            </a:ln>
            <a:effectLst/>
          </c:spPr>
          <c:marker>
            <c:symbol val="none"/>
            <c:size val="4"/>
            <c:spPr>
              <a:solidFill>
                <a:srgbClr val="FFFFFF"/>
              </a:solidFill>
              <a:ln w="50800" cap="flat">
                <a:solidFill>
                  <a:srgbClr val="C3A458"/>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dividendos'!$N$5:$N$160</c:f>
              <c:numCache>
                <c:ptCount val="36"/>
                <c:pt idx="0">
                  <c:v>1.000000</c:v>
                </c:pt>
                <c:pt idx="1">
                  <c:v>1.012992</c:v>
                </c:pt>
                <c:pt idx="2">
                  <c:v>1.012788</c:v>
                </c:pt>
                <c:pt idx="3">
                  <c:v>0.999196</c:v>
                </c:pt>
                <c:pt idx="4">
                  <c:v>0.982594</c:v>
                </c:pt>
                <c:pt idx="5">
                  <c:v>0.973030</c:v>
                </c:pt>
                <c:pt idx="6">
                  <c:v>0.959317</c:v>
                </c:pt>
                <c:pt idx="7">
                  <c:v>0.829284</c:v>
                </c:pt>
                <c:pt idx="8">
                  <c:v>0.810326</c:v>
                </c:pt>
                <c:pt idx="9">
                  <c:v>0.800727</c:v>
                </c:pt>
                <c:pt idx="10">
                  <c:v>0.783594</c:v>
                </c:pt>
                <c:pt idx="11">
                  <c:v>0.678296</c:v>
                </c:pt>
                <c:pt idx="12">
                  <c:v>0.660454</c:v>
                </c:pt>
                <c:pt idx="13">
                  <c:v>0.655885</c:v>
                </c:pt>
                <c:pt idx="14">
                  <c:v>0.651231</c:v>
                </c:pt>
                <c:pt idx="15">
                  <c:v>0.646695</c:v>
                </c:pt>
                <c:pt idx="16">
                  <c:v>0.640285</c:v>
                </c:pt>
                <c:pt idx="17">
                  <c:v>0.638766</c:v>
                </c:pt>
                <c:pt idx="18">
                  <c:v>0.634027</c:v>
                </c:pt>
                <c:pt idx="19">
                  <c:v>0.632815</c:v>
                </c:pt>
                <c:pt idx="20">
                  <c:v>0.630285</c:v>
                </c:pt>
                <c:pt idx="21">
                  <c:v>0.628587</c:v>
                </c:pt>
                <c:pt idx="22">
                  <c:v>0.625734</c:v>
                </c:pt>
                <c:pt idx="23">
                  <c:v>0.622448</c:v>
                </c:pt>
                <c:pt idx="24">
                  <c:v>0.619378</c:v>
                </c:pt>
                <c:pt idx="25">
                  <c:v>0.540283</c:v>
                </c:pt>
                <c:pt idx="26">
                  <c:v>0.537173</c:v>
                </c:pt>
                <c:pt idx="27">
                  <c:v>0.518329</c:v>
                </c:pt>
                <c:pt idx="28">
                  <c:v>0.504126</c:v>
                </c:pt>
                <c:pt idx="29">
                  <c:v>0.490856</c:v>
                </c:pt>
                <c:pt idx="30">
                  <c:v>0.491109</c:v>
                </c:pt>
                <c:pt idx="31">
                  <c:v>0.487214</c:v>
                </c:pt>
                <c:pt idx="32">
                  <c:v>0.482853</c:v>
                </c:pt>
                <c:pt idx="33">
                  <c:v>0.481455</c:v>
                </c:pt>
                <c:pt idx="34">
                  <c:v>0.479247</c:v>
                </c:pt>
                <c:pt idx="35">
                  <c:v>0.475338</c:v>
                </c:pt>
              </c:numCache>
            </c:numRef>
          </c:val>
          <c:smooth val="0"/>
        </c:ser>
        <c:ser>
          <c:idx val="9"/>
          <c:order val="9"/>
          <c:tx>
            <c:strRef>
              <c:f>'depto - dividendos'!$O$2:$O$3</c:f>
              <c:strCache>
                <c:ptCount val="1"/>
                <c:pt idx="0">
                  <c:v>∆ credito</c:v>
                </c:pt>
              </c:strCache>
            </c:strRef>
          </c:tx>
          <c:spPr>
            <a:solidFill>
              <a:srgbClr val="FFFFFF"/>
            </a:solidFill>
            <a:ln w="25400" cap="flat">
              <a:solidFill>
                <a:srgbClr val="D4665D"/>
              </a:solidFill>
              <a:prstDash val="solid"/>
              <a:miter lim="400000"/>
            </a:ln>
            <a:effectLst/>
          </c:spPr>
          <c:marker>
            <c:symbol val="none"/>
            <c:size val="4"/>
            <c:spPr>
              <a:solidFill>
                <a:srgbClr val="FFFFFF"/>
              </a:solidFill>
              <a:ln w="50800" cap="flat">
                <a:solidFill>
                  <a:srgbClr val="B76B5C"/>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dividendos'!$A$5:$A$150,'depto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dividendos'!$O$5:$O$160</c:f>
              <c:numCache>
                <c:ptCount val="36"/>
                <c:pt idx="0">
                  <c:v>0.000000</c:v>
                </c:pt>
                <c:pt idx="1">
                  <c:v>1905113.000000</c:v>
                </c:pt>
                <c:pt idx="2">
                  <c:v>-29988.000000</c:v>
                </c:pt>
                <c:pt idx="3">
                  <c:v>-1992995.000000</c:v>
                </c:pt>
                <c:pt idx="4">
                  <c:v>-2434441.000000</c:v>
                </c:pt>
                <c:pt idx="5">
                  <c:v>-1402312.000000</c:v>
                </c:pt>
                <c:pt idx="6">
                  <c:v>-2010899.000000</c:v>
                </c:pt>
                <c:pt idx="7">
                  <c:v>-19066953.000000</c:v>
                </c:pt>
                <c:pt idx="8">
                  <c:v>-2779851.000000</c:v>
                </c:pt>
                <c:pt idx="9">
                  <c:v>-1407558.000000</c:v>
                </c:pt>
                <c:pt idx="10">
                  <c:v>-2512278.000000</c:v>
                </c:pt>
                <c:pt idx="11">
                  <c:v>-15440140.000000</c:v>
                </c:pt>
                <c:pt idx="12">
                  <c:v>-2616241.000000</c:v>
                </c:pt>
                <c:pt idx="13">
                  <c:v>-669882.000000</c:v>
                </c:pt>
                <c:pt idx="14">
                  <c:v>-682453.000000</c:v>
                </c:pt>
                <c:pt idx="15">
                  <c:v>-665171.000000</c:v>
                </c:pt>
                <c:pt idx="16">
                  <c:v>-939858.000000</c:v>
                </c:pt>
                <c:pt idx="17">
                  <c:v>-222749.000000</c:v>
                </c:pt>
                <c:pt idx="18">
                  <c:v>-694902.000000</c:v>
                </c:pt>
                <c:pt idx="19">
                  <c:v>-177696.000000</c:v>
                </c:pt>
                <c:pt idx="20">
                  <c:v>-371059.000000</c:v>
                </c:pt>
                <c:pt idx="21">
                  <c:v>-248872.000000</c:v>
                </c:pt>
                <c:pt idx="22">
                  <c:v>-418410.000000</c:v>
                </c:pt>
                <c:pt idx="23">
                  <c:v>-481750.000000</c:v>
                </c:pt>
                <c:pt idx="24">
                  <c:v>-450260.000000</c:v>
                </c:pt>
                <c:pt idx="25">
                  <c:v>-11597830.000000</c:v>
                </c:pt>
                <c:pt idx="26">
                  <c:v>-456017.000000</c:v>
                </c:pt>
                <c:pt idx="27">
                  <c:v>-2763245.000000</c:v>
                </c:pt>
                <c:pt idx="28">
                  <c:v>-2082544.000000</c:v>
                </c:pt>
                <c:pt idx="29">
                  <c:v>-1945815.000000</c:v>
                </c:pt>
                <c:pt idx="30">
                  <c:v>37059.000000</c:v>
                </c:pt>
                <c:pt idx="31">
                  <c:v>-571134.000000</c:v>
                </c:pt>
                <c:pt idx="32">
                  <c:v>-639405.000000</c:v>
                </c:pt>
                <c:pt idx="33">
                  <c:v>-205081.000000</c:v>
                </c:pt>
                <c:pt idx="34">
                  <c:v>-323645.000000</c:v>
                </c:pt>
                <c:pt idx="35">
                  <c:v>-573295.000000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3.5e+06"/>
          <c:min val="-2.5e+06"/>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midCat"/>
        <c:majorUnit val="500000"/>
        <c:minorUnit val="250000"/>
      </c:valAx>
      <c:spPr>
        <a:noFill/>
        <a:ln w="12700" cap="flat">
          <a:noFill/>
          <a:miter lim="400000"/>
        </a:ln>
        <a:effectLst/>
      </c:spPr>
    </c:plotArea>
    <c:legend>
      <c:legendPos val="t"/>
      <c:layout>
        <c:manualLayout>
          <c:xMode val="edge"/>
          <c:yMode val="edge"/>
          <c:x val="0.144446"/>
          <c:y val="0"/>
          <c:w val="0.810344"/>
          <c:h val="0.10513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7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44914"/>
          <c:y val="0.126878"/>
          <c:w val="0.850086"/>
          <c:h val="0.810538"/>
        </c:manualLayout>
      </c:layout>
      <c:lineChart>
        <c:grouping val="standard"/>
        <c:varyColors val="0"/>
        <c:ser>
          <c:idx val="0"/>
          <c:order val="0"/>
          <c:tx>
            <c:strRef>
              <c:f>'depto - dividendos'!$BA$2:$BA$4</c:f>
              <c:strCache>
                <c:ptCount val="1"/>
                <c:pt idx="0">
                  <c:v>amortización</c:v>
                </c:pt>
              </c:strCache>
            </c:strRef>
          </c:tx>
          <c:spPr>
            <a:solidFill>
              <a:srgbClr val="FFFFFF"/>
            </a:solidFill>
            <a:ln w="25400" cap="flat">
              <a:solidFill>
                <a:srgbClr val="5F99C5">
                  <a:alpha val="50388"/>
                </a:srgbClr>
              </a:solidFill>
              <a:prstDash val="solid"/>
              <a:miter lim="400000"/>
            </a:ln>
            <a:effectLst/>
          </c:spPr>
          <c:marker>
            <c:symbol val="none"/>
            <c:size val="4"/>
            <c:spPr>
              <a:solidFill>
                <a:srgbClr val="FFFFFF"/>
              </a:solidFill>
              <a:ln w="50800" cap="flat">
                <a:solidFill>
                  <a:srgbClr val="56769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dividendos'!$BA$5:$BA$160</c:f>
              <c:numCache>
                <c:ptCount val="31"/>
                <c:pt idx="2">
                  <c:v>188520.000000</c:v>
                </c:pt>
                <c:pt idx="3">
                  <c:v>188802.000000</c:v>
                </c:pt>
                <c:pt idx="4">
                  <c:v>186726.000000</c:v>
                </c:pt>
                <c:pt idx="5">
                  <c:v>185969.000000</c:v>
                </c:pt>
                <c:pt idx="6">
                  <c:v>184399.000000</c:v>
                </c:pt>
                <c:pt idx="8">
                  <c:v>157298.000000</c:v>
                </c:pt>
                <c:pt idx="9">
                  <c:v>156358.000000</c:v>
                </c:pt>
                <c:pt idx="10">
                  <c:v>153934.000000</c:v>
                </c:pt>
                <c:pt idx="12">
                  <c:v>131174.000000</c:v>
                </c:pt>
                <c:pt idx="13">
                  <c:v>129770.000000</c:v>
                </c:pt>
                <c:pt idx="14">
                  <c:v>128756.000000</c:v>
                </c:pt>
                <c:pt idx="15">
                  <c:v>128622.000000</c:v>
                </c:pt>
                <c:pt idx="16">
                  <c:v>128068.000000</c:v>
                </c:pt>
                <c:pt idx="17">
                  <c:v>127441.000000</c:v>
                </c:pt>
                <c:pt idx="18">
                  <c:v>127218.000000</c:v>
                </c:pt>
                <c:pt idx="19">
                  <c:v>128431.000000</c:v>
                </c:pt>
                <c:pt idx="20">
                  <c:v>127848.000000</c:v>
                </c:pt>
                <c:pt idx="21">
                  <c:v>128469.125863</c:v>
                </c:pt>
                <c:pt idx="22">
                  <c:v>128367.000000</c:v>
                </c:pt>
                <c:pt idx="23">
                  <c:v>128565.354513</c:v>
                </c:pt>
                <c:pt idx="24">
                  <c:v>128522.000000</c:v>
                </c:pt>
                <c:pt idx="26">
                  <c:v>112242.000000</c:v>
                </c:pt>
                <c:pt idx="27">
                  <c:v>112275.877184</c:v>
                </c:pt>
                <c:pt idx="28">
                  <c:v>109999.957624</c:v>
                </c:pt>
                <c:pt idx="29">
                  <c:v>110759.491115</c:v>
                </c:pt>
                <c:pt idx="30">
                  <c:v>108157.438648</c:v>
                </c:pt>
                <c:pt idx="31">
                  <c:v>107623.470678</c:v>
                </c:pt>
                <c:pt idx="32">
                  <c:v>107474.456528</c:v>
                </c:pt>
                <c:pt idx="33">
                  <c:v>107484.696953</c:v>
                </c:pt>
                <c:pt idx="34">
                  <c:v>107561.473877</c:v>
                </c:pt>
                <c:pt idx="35">
                  <c:v>107253.139615</c:v>
                </c:pt>
              </c:numCache>
            </c:numRef>
          </c:val>
          <c:smooth val="0"/>
        </c:ser>
        <c:ser>
          <c:idx val="1"/>
          <c:order val="1"/>
          <c:tx>
            <c:strRef>
              <c:f>'depto - dividendos'!$BC$2:$BC$4</c:f>
              <c:strCache>
                <c:ptCount val="1"/>
                <c:pt idx="0">
                  <c:v>amortización ext</c:v>
                </c:pt>
              </c:strCache>
            </c:strRef>
          </c:tx>
          <c:spPr>
            <a:solidFill>
              <a:srgbClr val="FFFFFF"/>
            </a:solidFill>
            <a:ln w="25400" cap="flat">
              <a:solidFill>
                <a:srgbClr val="5F99C5">
                  <a:alpha val="50251"/>
                </a:srgbClr>
              </a:solidFill>
              <a:prstDash val="solid"/>
              <a:miter lim="400000"/>
            </a:ln>
            <a:effectLst/>
          </c:spPr>
          <c:marker>
            <c:symbol val="none"/>
            <c:size val="4"/>
            <c:spPr>
              <a:solidFill>
                <a:srgbClr val="FFFFFF"/>
              </a:solidFill>
              <a:ln w="50800" cap="flat">
                <a:solidFill>
                  <a:srgbClr val="5B704E"/>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dividendos'!$BC$5:$BC$160</c:f>
              <c:numCache>
                <c:ptCount val="34"/>
                <c:pt idx="2">
                  <c:v>737861.000000</c:v>
                </c:pt>
                <c:pt idx="3">
                  <c:v>2166095.000000</c:v>
                </c:pt>
                <c:pt idx="4">
                  <c:v>2176528.000000</c:v>
                </c:pt>
                <c:pt idx="5">
                  <c:v>2203074.000000</c:v>
                </c:pt>
                <c:pt idx="6">
                  <c:v>2220913.000000</c:v>
                </c:pt>
                <c:pt idx="7">
                  <c:v>19619435.000000</c:v>
                </c:pt>
                <c:pt idx="8">
                  <c:v>2340545.000000</c:v>
                </c:pt>
                <c:pt idx="9">
                  <c:v>2375294.000000</c:v>
                </c:pt>
                <c:pt idx="10">
                  <c:v>2388580.000000</c:v>
                </c:pt>
                <c:pt idx="11">
                  <c:v>15485052.000000</c:v>
                </c:pt>
                <c:pt idx="12">
                  <c:v>2485067.000000</c:v>
                </c:pt>
                <c:pt idx="13">
                  <c:v>1554106.000000</c:v>
                </c:pt>
                <c:pt idx="14">
                  <c:v>945642.000000</c:v>
                </c:pt>
                <c:pt idx="15">
                  <c:v>994462.000000</c:v>
                </c:pt>
                <c:pt idx="16">
                  <c:v>1001860.000000</c:v>
                </c:pt>
                <c:pt idx="17">
                  <c:v>246228.000000</c:v>
                </c:pt>
                <c:pt idx="18">
                  <c:v>271123.000000</c:v>
                </c:pt>
                <c:pt idx="19">
                  <c:v>831770.000000</c:v>
                </c:pt>
                <c:pt idx="20">
                  <c:v>267110.000000</c:v>
                </c:pt>
                <c:pt idx="21">
                  <c:v>466184.874137</c:v>
                </c:pt>
                <c:pt idx="22">
                  <c:v>307852.000000</c:v>
                </c:pt>
                <c:pt idx="23">
                  <c:v>426631.645487</c:v>
                </c:pt>
                <c:pt idx="24">
                  <c:v>347774.000000</c:v>
                </c:pt>
                <c:pt idx="25">
                  <c:v>11935107.000000</c:v>
                </c:pt>
                <c:pt idx="26">
                  <c:v>343774.000000</c:v>
                </c:pt>
                <c:pt idx="27">
                  <c:v>2703241.122816</c:v>
                </c:pt>
                <c:pt idx="28">
                  <c:v>2745638.042376</c:v>
                </c:pt>
                <c:pt idx="29">
                  <c:v>2796032.158073</c:v>
                </c:pt>
                <c:pt idx="30">
                  <c:v>624923.051892</c:v>
                </c:pt>
                <c:pt idx="31">
                  <c:v>463508.458533</c:v>
                </c:pt>
                <c:pt idx="32">
                  <c:v>631950.079125</c:v>
                </c:pt>
                <c:pt idx="33">
                  <c:v>472846.010958</c:v>
                </c:pt>
                <c:pt idx="34">
                  <c:v>477291.661538</c:v>
                </c:pt>
                <c:pt idx="35">
                  <c:v>480097.752468</c:v>
                </c:pt>
              </c:numCache>
            </c:numRef>
          </c:val>
          <c:smooth val="0"/>
        </c:ser>
        <c:ser>
          <c:idx val="2"/>
          <c:order val="2"/>
          <c:tx>
            <c:strRef>
              <c:f>'depto - dividendos'!$BG$2:$BG$4</c:f>
              <c:strCache>
                <c:ptCount val="1"/>
                <c:pt idx="0">
                  <c:v>interés</c:v>
                </c:pt>
              </c:strCache>
            </c:strRef>
          </c:tx>
          <c:spPr>
            <a:solidFill>
              <a:srgbClr val="FFFFFF"/>
            </a:solidFill>
            <a:ln w="25400" cap="flat">
              <a:solidFill>
                <a:srgbClr val="5F99C5"/>
              </a:solidFill>
              <a:prstDash val="solid"/>
              <a:miter lim="400000"/>
            </a:ln>
            <a:effectLst/>
          </c:spPr>
          <c:marker>
            <c:symbol val="none"/>
            <c:size val="4"/>
            <c:spPr>
              <a:solidFill>
                <a:srgbClr val="FFFFFF"/>
              </a:solidFill>
              <a:ln w="50800" cap="flat">
                <a:solidFill>
                  <a:srgbClr val="BA9844"/>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dividendos'!$BG$5:$BG$160</c:f>
              <c:numCache>
                <c:ptCount val="33"/>
                <c:pt idx="3">
                  <c:v>602761.000000</c:v>
                </c:pt>
                <c:pt idx="4">
                  <c:v>592966.000000</c:v>
                </c:pt>
                <c:pt idx="5">
                  <c:v>587423.000000</c:v>
                </c:pt>
                <c:pt idx="6">
                  <c:v>579382.000000</c:v>
                </c:pt>
                <c:pt idx="7">
                  <c:v>164006.000000</c:v>
                </c:pt>
                <c:pt idx="8">
                  <c:v>491625.000000</c:v>
                </c:pt>
                <c:pt idx="9">
                  <c:v>486109.000000</c:v>
                </c:pt>
                <c:pt idx="10">
                  <c:v>476014.000000</c:v>
                </c:pt>
                <c:pt idx="11">
                  <c:v>114948.000000</c:v>
                </c:pt>
                <c:pt idx="12">
                  <c:v>403466.000000</c:v>
                </c:pt>
                <c:pt idx="13">
                  <c:v>397026.000000</c:v>
                </c:pt>
                <c:pt idx="14">
                  <c:v>391824.000000</c:v>
                </c:pt>
                <c:pt idx="15">
                  <c:v>389354.000000</c:v>
                </c:pt>
                <c:pt idx="16">
                  <c:v>385589.000000</c:v>
                </c:pt>
                <c:pt idx="17">
                  <c:v>381645.000000</c:v>
                </c:pt>
                <c:pt idx="18">
                  <c:v>378933.000000</c:v>
                </c:pt>
                <c:pt idx="19">
                  <c:v>380503.000000</c:v>
                </c:pt>
                <c:pt idx="20">
                  <c:v>376723.000000</c:v>
                </c:pt>
                <c:pt idx="21">
                  <c:v>376543.000000</c:v>
                </c:pt>
                <c:pt idx="22">
                  <c:v>374213.000000</c:v>
                </c:pt>
                <c:pt idx="23">
                  <c:v>372746.000000</c:v>
                </c:pt>
                <c:pt idx="24">
                  <c:v>370614.000000</c:v>
                </c:pt>
                <c:pt idx="25">
                  <c:v>84893.000000</c:v>
                </c:pt>
                <c:pt idx="26">
                  <c:v>321909.000000</c:v>
                </c:pt>
                <c:pt idx="27">
                  <c:v>320289.000000</c:v>
                </c:pt>
                <c:pt idx="28">
                  <c:v>312065.000000</c:v>
                </c:pt>
                <c:pt idx="29">
                  <c:v>302095.350811</c:v>
                </c:pt>
                <c:pt idx="30">
                  <c:v>293475.509461</c:v>
                </c:pt>
                <c:pt idx="31">
                  <c:v>290518.070788</c:v>
                </c:pt>
                <c:pt idx="32">
                  <c:v>288617.464347</c:v>
                </c:pt>
                <c:pt idx="33">
                  <c:v>287148.292089</c:v>
                </c:pt>
                <c:pt idx="34">
                  <c:v>285860.864586</c:v>
                </c:pt>
                <c:pt idx="35">
                  <c:v>283558.107916</c:v>
                </c:pt>
              </c:numCache>
            </c:numRef>
          </c:val>
          <c:smooth val="0"/>
        </c:ser>
        <c:ser>
          <c:idx val="3"/>
          <c:order val="3"/>
          <c:tx>
            <c:strRef>
              <c:f>'depto - dividendos'!$BJ$2:$BJ$4</c:f>
              <c:strCache>
                <c:ptCount val="1"/>
                <c:pt idx="0">
                  <c:v>interés oculto</c:v>
                </c:pt>
              </c:strCache>
            </c:strRef>
          </c:tx>
          <c:spPr>
            <a:solidFill>
              <a:srgbClr val="FFFFFF"/>
            </a:solidFill>
            <a:ln w="25400" cap="flat">
              <a:solidFill>
                <a:srgbClr val="CE5248"/>
              </a:solidFill>
              <a:prstDash val="solid"/>
              <a:miter lim="400000"/>
            </a:ln>
            <a:effectLst/>
          </c:spPr>
          <c:marker>
            <c:symbol val="none"/>
            <c:size val="4"/>
            <c:spPr>
              <a:solidFill>
                <a:srgbClr val="FFFFFF"/>
              </a:solidFill>
              <a:ln w="50800" cap="flat">
                <a:solidFill>
                  <a:srgbClr val="AC5A49"/>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dividendos'!$BJ$5:$BJ$160</c:f>
              <c:numCache>
                <c:ptCount val="35"/>
                <c:pt idx="1">
                  <c:v>1905113.000000</c:v>
                </c:pt>
                <c:pt idx="2">
                  <c:v>896393.000000</c:v>
                </c:pt>
                <c:pt idx="3">
                  <c:v>361902.000000</c:v>
                </c:pt>
                <c:pt idx="4">
                  <c:v>-71187.000000</c:v>
                </c:pt>
                <c:pt idx="5">
                  <c:v>986731.000000</c:v>
                </c:pt>
                <c:pt idx="6">
                  <c:v>394413.000000</c:v>
                </c:pt>
                <c:pt idx="7">
                  <c:v>552482.000000</c:v>
                </c:pt>
                <c:pt idx="8">
                  <c:v>-282008.000000</c:v>
                </c:pt>
                <c:pt idx="9">
                  <c:v>1124094.000000</c:v>
                </c:pt>
                <c:pt idx="10">
                  <c:v>30236.000000</c:v>
                </c:pt>
                <c:pt idx="11">
                  <c:v>44912.000000</c:v>
                </c:pt>
                <c:pt idx="12">
                  <c:v>0.000000</c:v>
                </c:pt>
                <c:pt idx="13">
                  <c:v>1013994.000000</c:v>
                </c:pt>
                <c:pt idx="14">
                  <c:v>391945.000000</c:v>
                </c:pt>
                <c:pt idx="15">
                  <c:v>457913.000000</c:v>
                </c:pt>
                <c:pt idx="16">
                  <c:v>190070.000000</c:v>
                </c:pt>
                <c:pt idx="17">
                  <c:v>150920.000000</c:v>
                </c:pt>
                <c:pt idx="18">
                  <c:v>-296561.000000</c:v>
                </c:pt>
                <c:pt idx="19">
                  <c:v>782505.000000</c:v>
                </c:pt>
                <c:pt idx="20">
                  <c:v>23899.000000</c:v>
                </c:pt>
                <c:pt idx="21">
                  <c:v>345782.000000</c:v>
                </c:pt>
                <c:pt idx="22">
                  <c:v>17809.000000</c:v>
                </c:pt>
                <c:pt idx="23">
                  <c:v>73447.000000</c:v>
                </c:pt>
                <c:pt idx="24">
                  <c:v>26036.000000</c:v>
                </c:pt>
                <c:pt idx="25">
                  <c:v>337277.000000</c:v>
                </c:pt>
                <c:pt idx="26">
                  <c:v>-1.000000</c:v>
                </c:pt>
                <c:pt idx="27">
                  <c:v>52272.000000</c:v>
                </c:pt>
                <c:pt idx="28">
                  <c:v>773094.000000</c:v>
                </c:pt>
                <c:pt idx="29">
                  <c:v>960976.649189</c:v>
                </c:pt>
                <c:pt idx="30">
                  <c:v>770139.490539</c:v>
                </c:pt>
                <c:pt idx="31">
                  <c:v>-2.070788</c:v>
                </c:pt>
                <c:pt idx="32">
                  <c:v>100019.535653</c:v>
                </c:pt>
                <c:pt idx="33">
                  <c:v>375249.707911</c:v>
                </c:pt>
                <c:pt idx="34">
                  <c:v>261208.135414</c:v>
                </c:pt>
                <c:pt idx="35">
                  <c:v>14055.892084</c:v>
                </c:pt>
              </c:numCache>
            </c:numRef>
          </c:val>
          <c:smooth val="0"/>
        </c:ser>
        <c:ser>
          <c:idx val="4"/>
          <c:order val="4"/>
          <c:tx>
            <c:strRef>
              <c:f>'depto - dividendos'!$BL$2:$BL$4</c:f>
              <c:strCache>
                <c:ptCount val="1"/>
                <c:pt idx="0">
                  <c:v>interés real</c:v>
                </c:pt>
              </c:strCache>
            </c:strRef>
          </c:tx>
          <c:spPr>
            <a:solidFill>
              <a:srgbClr val="FFFFFF"/>
            </a:solidFill>
            <a:ln w="6350" cap="flat">
              <a:solidFill>
                <a:srgbClr val="CE5248">
                  <a:alpha val="50279"/>
                </a:srgbClr>
              </a:solidFill>
              <a:prstDash val="solid"/>
              <a:miter lim="400000"/>
            </a:ln>
            <a:effectLst/>
          </c:spPr>
          <c:marker>
            <c:symbol val="none"/>
            <c:size val="4"/>
            <c:spPr>
              <a:solidFill>
                <a:srgbClr val="FFFFFF"/>
              </a:solidFill>
              <a:ln w="50800" cap="flat">
                <a:solidFill>
                  <a:srgbClr val="615973"/>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dividendos'!$BL$5:$BL$160</c:f>
              <c:numCache>
                <c:ptCount val="35"/>
                <c:pt idx="1">
                  <c:v>1905113.000000</c:v>
                </c:pt>
                <c:pt idx="2">
                  <c:v>896393.000000</c:v>
                </c:pt>
                <c:pt idx="3">
                  <c:v>964663.000000</c:v>
                </c:pt>
                <c:pt idx="4">
                  <c:v>521779.000000</c:v>
                </c:pt>
                <c:pt idx="5">
                  <c:v>1574154.000000</c:v>
                </c:pt>
                <c:pt idx="6">
                  <c:v>973795.000000</c:v>
                </c:pt>
                <c:pt idx="7">
                  <c:v>716488.000000</c:v>
                </c:pt>
                <c:pt idx="8">
                  <c:v>209617.000000</c:v>
                </c:pt>
                <c:pt idx="9">
                  <c:v>1610203.000000</c:v>
                </c:pt>
                <c:pt idx="10">
                  <c:v>506250.000000</c:v>
                </c:pt>
                <c:pt idx="11">
                  <c:v>159860.000000</c:v>
                </c:pt>
                <c:pt idx="12">
                  <c:v>403466.000000</c:v>
                </c:pt>
                <c:pt idx="13">
                  <c:v>1411020.000000</c:v>
                </c:pt>
                <c:pt idx="14">
                  <c:v>783769.000000</c:v>
                </c:pt>
                <c:pt idx="15">
                  <c:v>847267.000000</c:v>
                </c:pt>
                <c:pt idx="16">
                  <c:v>575659.000000</c:v>
                </c:pt>
                <c:pt idx="17">
                  <c:v>532565.000000</c:v>
                </c:pt>
                <c:pt idx="18">
                  <c:v>82372.000000</c:v>
                </c:pt>
                <c:pt idx="19">
                  <c:v>1163008.000000</c:v>
                </c:pt>
                <c:pt idx="20">
                  <c:v>400622.000000</c:v>
                </c:pt>
                <c:pt idx="21">
                  <c:v>722325.000000</c:v>
                </c:pt>
                <c:pt idx="22">
                  <c:v>392022.000000</c:v>
                </c:pt>
                <c:pt idx="23">
                  <c:v>446193.000000</c:v>
                </c:pt>
                <c:pt idx="24">
                  <c:v>396650.000000</c:v>
                </c:pt>
                <c:pt idx="25">
                  <c:v>422170.000000</c:v>
                </c:pt>
                <c:pt idx="26">
                  <c:v>321908.000000</c:v>
                </c:pt>
                <c:pt idx="27">
                  <c:v>372561.000000</c:v>
                </c:pt>
                <c:pt idx="28">
                  <c:v>1085159.000000</c:v>
                </c:pt>
                <c:pt idx="29">
                  <c:v>1263072.000000</c:v>
                </c:pt>
                <c:pt idx="30">
                  <c:v>1063615.000000</c:v>
                </c:pt>
                <c:pt idx="31">
                  <c:v>290516.000000</c:v>
                </c:pt>
                <c:pt idx="32">
                  <c:v>388637.000000</c:v>
                </c:pt>
                <c:pt idx="33">
                  <c:v>662398.000000</c:v>
                </c:pt>
                <c:pt idx="34">
                  <c:v>547069.000000</c:v>
                </c:pt>
                <c:pt idx="35">
                  <c:v>297614.000000</c:v>
                </c:pt>
              </c:numCache>
            </c:numRef>
          </c:val>
          <c:smooth val="0"/>
        </c:ser>
        <c:ser>
          <c:idx val="5"/>
          <c:order val="5"/>
          <c:tx>
            <c:strRef>
              <c:f>'depto - dividendos'!$N$2:$N$4</c:f>
              <c:strCache/>
            </c:strRef>
          </c:tx>
          <c:spPr>
            <a:solidFill>
              <a:srgbClr val="FFFFFF"/>
            </a:solidFill>
            <a:ln w="6350" cap="flat">
              <a:solidFill>
                <a:srgbClr val="CE5248">
                  <a:alpha val="50853"/>
                </a:srgbClr>
              </a:solidFill>
              <a:prstDash val="solid"/>
              <a:miter lim="400000"/>
            </a:ln>
            <a:effectLst/>
          </c:spPr>
          <c:marker>
            <c:symbol val="none"/>
            <c:size val="4"/>
            <c:spPr>
              <a:solidFill>
                <a:srgbClr val="FFFFFF"/>
              </a:solidFill>
              <a:ln w="50800" cap="flat">
                <a:solidFill>
                  <a:srgbClr val="8E928C"/>
                </a:solidFill>
                <a:prstDash val="solid"/>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12700" cap="flat">
                <a:solidFill>
                  <a:srgbClr val="BD4B42">
                    <a:alpha val="96625"/>
                  </a:srgbClr>
                </a:solidFill>
                <a:prstDash val="solid"/>
                <a:miter lim="400000"/>
              </a:ln>
              <a:effectLst/>
            </c:spPr>
            <c:trendlineType val="movingAvg"/>
            <c:period val="3"/>
            <c:forward val="0"/>
            <c:backward val="0"/>
            <c:dispRSqr val="0"/>
            <c:dispEq val="0"/>
          </c:trendline>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dividendos'!$N$5:$N$160</c:f>
              <c:numCache>
                <c:ptCount val="36"/>
                <c:pt idx="0">
                  <c:v>1.000000</c:v>
                </c:pt>
                <c:pt idx="1">
                  <c:v>1.012992</c:v>
                </c:pt>
                <c:pt idx="2">
                  <c:v>1.012788</c:v>
                </c:pt>
                <c:pt idx="3">
                  <c:v>0.999196</c:v>
                </c:pt>
                <c:pt idx="4">
                  <c:v>0.982594</c:v>
                </c:pt>
                <c:pt idx="5">
                  <c:v>0.973030</c:v>
                </c:pt>
                <c:pt idx="6">
                  <c:v>0.959317</c:v>
                </c:pt>
                <c:pt idx="7">
                  <c:v>0.829284</c:v>
                </c:pt>
                <c:pt idx="8">
                  <c:v>0.810326</c:v>
                </c:pt>
                <c:pt idx="9">
                  <c:v>0.800727</c:v>
                </c:pt>
                <c:pt idx="10">
                  <c:v>0.783594</c:v>
                </c:pt>
                <c:pt idx="11">
                  <c:v>0.678296</c:v>
                </c:pt>
                <c:pt idx="12">
                  <c:v>0.660454</c:v>
                </c:pt>
                <c:pt idx="13">
                  <c:v>0.655885</c:v>
                </c:pt>
                <c:pt idx="14">
                  <c:v>0.651231</c:v>
                </c:pt>
                <c:pt idx="15">
                  <c:v>0.646695</c:v>
                </c:pt>
                <c:pt idx="16">
                  <c:v>0.640285</c:v>
                </c:pt>
                <c:pt idx="17">
                  <c:v>0.638766</c:v>
                </c:pt>
                <c:pt idx="18">
                  <c:v>0.634027</c:v>
                </c:pt>
                <c:pt idx="19">
                  <c:v>0.632815</c:v>
                </c:pt>
                <c:pt idx="20">
                  <c:v>0.630285</c:v>
                </c:pt>
                <c:pt idx="21">
                  <c:v>0.628587</c:v>
                </c:pt>
                <c:pt idx="22">
                  <c:v>0.625734</c:v>
                </c:pt>
                <c:pt idx="23">
                  <c:v>0.622448</c:v>
                </c:pt>
                <c:pt idx="24">
                  <c:v>0.619378</c:v>
                </c:pt>
                <c:pt idx="25">
                  <c:v>0.540283</c:v>
                </c:pt>
                <c:pt idx="26">
                  <c:v>0.537173</c:v>
                </c:pt>
                <c:pt idx="27">
                  <c:v>0.518329</c:v>
                </c:pt>
                <c:pt idx="28">
                  <c:v>0.504126</c:v>
                </c:pt>
                <c:pt idx="29">
                  <c:v>0.490856</c:v>
                </c:pt>
                <c:pt idx="30">
                  <c:v>0.491109</c:v>
                </c:pt>
                <c:pt idx="31">
                  <c:v>0.487214</c:v>
                </c:pt>
                <c:pt idx="32">
                  <c:v>0.482853</c:v>
                </c:pt>
                <c:pt idx="33">
                  <c:v>0.481455</c:v>
                </c:pt>
                <c:pt idx="34">
                  <c:v>0.479247</c:v>
                </c:pt>
                <c:pt idx="35">
                  <c:v>0.475338</c:v>
                </c:pt>
              </c:numCache>
            </c:numRef>
          </c:val>
          <c:smooth val="0"/>
        </c:ser>
        <c:ser>
          <c:idx val="6"/>
          <c:order val="6"/>
          <c:tx>
            <c:strRef>
              <c:f>'depto - dividendos'!$O$2:$O$4</c:f>
              <c:strCache>
                <c:ptCount val="1"/>
                <c:pt idx="0">
                  <c:v>∆ credito</c:v>
                </c:pt>
              </c:strCache>
            </c:strRef>
          </c:tx>
          <c:spPr>
            <a:solidFill>
              <a:srgbClr val="FFFFFF"/>
            </a:solidFill>
            <a:ln w="25400" cap="flat">
              <a:solidFill>
                <a:srgbClr val="746B85"/>
              </a:solidFill>
              <a:prstDash val="solid"/>
              <a:miter lim="400000"/>
            </a:ln>
            <a:effectLst/>
          </c:spPr>
          <c:marker>
            <c:symbol val="none"/>
            <c:size val="4"/>
            <c:spPr>
              <a:solidFill>
                <a:srgbClr val="FFFFFF"/>
              </a:solidFill>
              <a:ln w="50800" cap="flat">
                <a:solidFill>
                  <a:srgbClr val="6786A0"/>
                </a:solidFill>
                <a:prstDash val="solid"/>
                <a:miter lim="400000"/>
              </a:ln>
              <a:effectLst/>
            </c:spPr>
          </c:marker>
          <c:dLbls>
            <c:numFmt formatCode="[&lt;0]&quot;UF &quot;* (#,###.????);&quot;UF &quot;* #,###.????"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dividendos'!$O$5:$O$160</c:f>
              <c:numCache>
                <c:ptCount val="36"/>
                <c:pt idx="0">
                  <c:v>0.000000</c:v>
                </c:pt>
                <c:pt idx="1">
                  <c:v>1905113.000000</c:v>
                </c:pt>
                <c:pt idx="2">
                  <c:v>-29988.000000</c:v>
                </c:pt>
                <c:pt idx="3">
                  <c:v>-1992995.000000</c:v>
                </c:pt>
                <c:pt idx="4">
                  <c:v>-2434441.000000</c:v>
                </c:pt>
                <c:pt idx="5">
                  <c:v>-1402312.000000</c:v>
                </c:pt>
                <c:pt idx="6">
                  <c:v>-2010899.000000</c:v>
                </c:pt>
                <c:pt idx="7">
                  <c:v>-19066953.000000</c:v>
                </c:pt>
                <c:pt idx="8">
                  <c:v>-2779851.000000</c:v>
                </c:pt>
                <c:pt idx="9">
                  <c:v>-1407558.000000</c:v>
                </c:pt>
                <c:pt idx="10">
                  <c:v>-2512278.000000</c:v>
                </c:pt>
                <c:pt idx="11">
                  <c:v>-15440140.000000</c:v>
                </c:pt>
                <c:pt idx="12">
                  <c:v>-2616241.000000</c:v>
                </c:pt>
                <c:pt idx="13">
                  <c:v>-669882.000000</c:v>
                </c:pt>
                <c:pt idx="14">
                  <c:v>-682453.000000</c:v>
                </c:pt>
                <c:pt idx="15">
                  <c:v>-665171.000000</c:v>
                </c:pt>
                <c:pt idx="16">
                  <c:v>-939858.000000</c:v>
                </c:pt>
                <c:pt idx="17">
                  <c:v>-222749.000000</c:v>
                </c:pt>
                <c:pt idx="18">
                  <c:v>-694902.000000</c:v>
                </c:pt>
                <c:pt idx="19">
                  <c:v>-177696.000000</c:v>
                </c:pt>
                <c:pt idx="20">
                  <c:v>-371059.000000</c:v>
                </c:pt>
                <c:pt idx="21">
                  <c:v>-248872.000000</c:v>
                </c:pt>
                <c:pt idx="22">
                  <c:v>-418410.000000</c:v>
                </c:pt>
                <c:pt idx="23">
                  <c:v>-481750.000000</c:v>
                </c:pt>
                <c:pt idx="24">
                  <c:v>-450260.000000</c:v>
                </c:pt>
                <c:pt idx="25">
                  <c:v>-11597830.000000</c:v>
                </c:pt>
                <c:pt idx="26">
                  <c:v>-456017.000000</c:v>
                </c:pt>
                <c:pt idx="27">
                  <c:v>-2763245.000000</c:v>
                </c:pt>
                <c:pt idx="28">
                  <c:v>-2082544.000000</c:v>
                </c:pt>
                <c:pt idx="29">
                  <c:v>-1945815.000000</c:v>
                </c:pt>
                <c:pt idx="30">
                  <c:v>37059.000000</c:v>
                </c:pt>
                <c:pt idx="31">
                  <c:v>-571134.000000</c:v>
                </c:pt>
                <c:pt idx="32">
                  <c:v>-639405.000000</c:v>
                </c:pt>
                <c:pt idx="33">
                  <c:v>-205081.000000</c:v>
                </c:pt>
                <c:pt idx="34">
                  <c:v>-323645.000000</c:v>
                </c:pt>
                <c:pt idx="35">
                  <c:v>-573295.000000</c:v>
                </c:pt>
              </c:numCache>
            </c:numRef>
          </c:val>
          <c:smooth val="0"/>
        </c:ser>
        <c:ser>
          <c:idx val="7"/>
          <c:order val="7"/>
          <c:tx>
            <c:strRef>
              <c:f>'depto - dividendos'!$BE$2:$BE$4</c:f>
              <c:strCache/>
            </c:strRef>
          </c:tx>
          <c:spPr>
            <a:solidFill>
              <a:srgbClr val="615973"/>
            </a:solidFill>
            <a:ln w="25400" cap="flat">
              <a:solidFill>
                <a:srgbClr val="615973"/>
              </a:solidFill>
              <a:prstDash val="solid"/>
              <a:miter lim="400000"/>
            </a:ln>
            <a:effectLst/>
          </c:spPr>
          <c:marker>
            <c:symbol val="circle"/>
            <c:size val="4"/>
            <c:spPr>
              <a:solidFill>
                <a:srgbClr val="615973"/>
              </a:solidFill>
              <a:ln w="50800" cap="flat">
                <a:noFill/>
                <a:miter lim="400000"/>
              </a:ln>
              <a:effectLst/>
            </c:spPr>
          </c:marker>
          <c:dLbls>
            <c:numFmt formatCode="&quot;$&quot;#,##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dividendos'!$BE$5:$BE$160</c:f>
              <c:numCache>
                <c:ptCount val="34"/>
                <c:pt idx="2">
                  <c:v>926381.000000</c:v>
                </c:pt>
                <c:pt idx="3">
                  <c:v>2354897.000000</c:v>
                </c:pt>
                <c:pt idx="4">
                  <c:v>2363254.000000</c:v>
                </c:pt>
                <c:pt idx="5">
                  <c:v>2389043.000000</c:v>
                </c:pt>
                <c:pt idx="6">
                  <c:v>2405312.000000</c:v>
                </c:pt>
                <c:pt idx="7">
                  <c:v>19619435.000000</c:v>
                </c:pt>
                <c:pt idx="8">
                  <c:v>2497843.000000</c:v>
                </c:pt>
                <c:pt idx="9">
                  <c:v>2531652.000000</c:v>
                </c:pt>
                <c:pt idx="10">
                  <c:v>2542514.000000</c:v>
                </c:pt>
                <c:pt idx="11">
                  <c:v>15485052.000000</c:v>
                </c:pt>
                <c:pt idx="12">
                  <c:v>2616241.000000</c:v>
                </c:pt>
                <c:pt idx="13">
                  <c:v>1683876.000000</c:v>
                </c:pt>
                <c:pt idx="14">
                  <c:v>1074398.000000</c:v>
                </c:pt>
                <c:pt idx="15">
                  <c:v>1123084.000000</c:v>
                </c:pt>
                <c:pt idx="16">
                  <c:v>1129928.000000</c:v>
                </c:pt>
                <c:pt idx="17">
                  <c:v>373669.000000</c:v>
                </c:pt>
                <c:pt idx="18">
                  <c:v>398341.000000</c:v>
                </c:pt>
                <c:pt idx="19">
                  <c:v>960201.000000</c:v>
                </c:pt>
                <c:pt idx="20">
                  <c:v>394958.000000</c:v>
                </c:pt>
                <c:pt idx="21">
                  <c:v>594654.000000</c:v>
                </c:pt>
                <c:pt idx="22">
                  <c:v>436219.000000</c:v>
                </c:pt>
                <c:pt idx="23">
                  <c:v>555197.000000</c:v>
                </c:pt>
                <c:pt idx="24">
                  <c:v>476296.000000</c:v>
                </c:pt>
                <c:pt idx="25">
                  <c:v>11935107.000000</c:v>
                </c:pt>
                <c:pt idx="26">
                  <c:v>456016.000000</c:v>
                </c:pt>
                <c:pt idx="27">
                  <c:v>2815517.000000</c:v>
                </c:pt>
                <c:pt idx="28">
                  <c:v>2855638.000000</c:v>
                </c:pt>
                <c:pt idx="29">
                  <c:v>2906791.649189</c:v>
                </c:pt>
                <c:pt idx="30">
                  <c:v>733080.490539</c:v>
                </c:pt>
                <c:pt idx="31">
                  <c:v>571131.929212</c:v>
                </c:pt>
                <c:pt idx="32">
                  <c:v>739424.535653</c:v>
                </c:pt>
                <c:pt idx="33">
                  <c:v>580330.707911</c:v>
                </c:pt>
                <c:pt idx="34">
                  <c:v>584853.135414</c:v>
                </c:pt>
                <c:pt idx="35">
                  <c:v>587350.892084</c:v>
                </c:pt>
              </c:numCache>
            </c:numRef>
          </c:val>
          <c:smooth val="0"/>
        </c:ser>
        <c:marker val="1"/>
        <c:axId val="2094734552"/>
        <c:axId val="2094734553"/>
      </c:lineChart>
      <c:catAx>
        <c:axId val="2094734552"/>
        <c:scaling>
          <c:orientation val="minMax"/>
        </c:scaling>
        <c:delete val="0"/>
        <c:axPos val="b"/>
        <c:numFmt formatCode="#,##0"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3.5e+06"/>
          <c:min val="-2.5e+06"/>
        </c:scaling>
        <c:delete val="0"/>
        <c:axPos val="l"/>
        <c:majorGridlines>
          <c:spPr>
            <a:ln w="3175" cap="flat">
              <a:solidFill>
                <a:srgbClr val="B8B8B8"/>
              </a:solidFill>
              <a:prstDash val="solid"/>
              <a:miter lim="400000"/>
            </a:ln>
          </c:spPr>
        </c:majorGridlines>
        <c:numFmt formatCode="#,##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midCat"/>
        <c:majorUnit val="500000"/>
        <c:minorUnit val="250000"/>
      </c:valAx>
      <c:spPr>
        <a:noFill/>
        <a:ln w="12700" cap="flat">
          <a:noFill/>
          <a:miter lim="400000"/>
        </a:ln>
        <a:effectLst/>
      </c:spPr>
    </c:plotArea>
    <c:legend>
      <c:legendPos val="t"/>
      <c:layout>
        <c:manualLayout>
          <c:xMode val="edge"/>
          <c:yMode val="edge"/>
          <c:x val="0.144446"/>
          <c:y val="0"/>
          <c:w val="0.810344"/>
          <c:h val="0.10513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7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64966"/>
          <c:y val="0.126878"/>
          <c:w val="0.829548"/>
          <c:h val="0.810538"/>
        </c:manualLayout>
      </c:layout>
      <c:lineChart>
        <c:grouping val="standard"/>
        <c:varyColors val="0"/>
        <c:ser>
          <c:idx val="0"/>
          <c:order val="0"/>
          <c:tx>
            <c:strRef>
              <c:f>'depto - dividendos'!$CL$2:$CL$4</c:f>
              <c:strCache>
                <c:ptCount val="1"/>
                <c:pt idx="0">
                  <c:v>remaining</c:v>
                </c:pt>
              </c:strCache>
            </c:strRef>
          </c:tx>
          <c:spPr>
            <a:solidFill>
              <a:srgbClr val="FFFFFF"/>
            </a:solidFill>
            <a:ln w="50800" cap="flat">
              <a:solidFill>
                <a:srgbClr val="EC4613">
                  <a:alpha val="49484"/>
                </a:srgbClr>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dividendos'!$CL$5:$CL$160</c:f>
              <c:numCache>
                <c:ptCount val="36"/>
                <c:pt idx="0">
                  <c:v>73542294.000000</c:v>
                </c:pt>
                <c:pt idx="1">
                  <c:v>73743362.600000</c:v>
                </c:pt>
                <c:pt idx="2">
                  <c:v>67023379.150000</c:v>
                </c:pt>
                <c:pt idx="3">
                  <c:v>61171993.850000</c:v>
                </c:pt>
                <c:pt idx="4">
                  <c:v>58207341.600000</c:v>
                </c:pt>
                <c:pt idx="5">
                  <c:v>49798687.450000</c:v>
                </c:pt>
                <c:pt idx="6">
                  <c:v>38305869.400000</c:v>
                </c:pt>
                <c:pt idx="7">
                  <c:v>28539650.400000</c:v>
                </c:pt>
                <c:pt idx="8">
                  <c:v>25759799.400000</c:v>
                </c:pt>
                <c:pt idx="9">
                  <c:v>16088658.450000</c:v>
                </c:pt>
                <c:pt idx="10">
                  <c:v>-2654433.900000</c:v>
                </c:pt>
                <c:pt idx="11">
                  <c:v>29906371.100000</c:v>
                </c:pt>
                <c:pt idx="12">
                  <c:v>29586338.950000</c:v>
                </c:pt>
                <c:pt idx="13">
                  <c:v>40928723.000000</c:v>
                </c:pt>
                <c:pt idx="14">
                  <c:v>39645706.050000</c:v>
                </c:pt>
                <c:pt idx="15">
                  <c:v>36265267.700000</c:v>
                </c:pt>
                <c:pt idx="16">
                  <c:v>34327217.150000</c:v>
                </c:pt>
                <c:pt idx="17">
                  <c:v>33147482.900000</c:v>
                </c:pt>
                <c:pt idx="18">
                  <c:v>31207637.050000</c:v>
                </c:pt>
                <c:pt idx="19">
                  <c:v>26957090.700000</c:v>
                </c:pt>
                <c:pt idx="20">
                  <c:v>28933344.300000</c:v>
                </c:pt>
                <c:pt idx="21">
                  <c:v>29150023.900000</c:v>
                </c:pt>
                <c:pt idx="22">
                  <c:v>30775040.100000</c:v>
                </c:pt>
                <c:pt idx="23">
                  <c:v>30049467.900000</c:v>
                </c:pt>
                <c:pt idx="24">
                  <c:v>29340678.500000</c:v>
                </c:pt>
                <c:pt idx="25">
                  <c:v>15501471.350000</c:v>
                </c:pt>
                <c:pt idx="26">
                  <c:v>15045454.350000</c:v>
                </c:pt>
                <c:pt idx="27">
                  <c:v>-12922840.050000</c:v>
                </c:pt>
                <c:pt idx="28">
                  <c:v>-12319599.850000</c:v>
                </c:pt>
                <c:pt idx="29">
                  <c:v>-11265414.850000</c:v>
                </c:pt>
                <c:pt idx="30">
                  <c:v>-8228355.850000</c:v>
                </c:pt>
                <c:pt idx="31">
                  <c:v>-5799489.850000</c:v>
                </c:pt>
                <c:pt idx="32">
                  <c:v>-3438894.850000</c:v>
                </c:pt>
                <c:pt idx="33">
                  <c:v>-15643975.850000</c:v>
                </c:pt>
                <c:pt idx="34">
                  <c:v>-15967620.850000</c:v>
                </c:pt>
                <c:pt idx="35">
                  <c:v>-16540915.850000</c:v>
                </c:pt>
              </c:numCache>
            </c:numRef>
          </c:val>
          <c:smooth val="0"/>
        </c:ser>
        <c:ser>
          <c:idx val="1"/>
          <c:order val="1"/>
          <c:tx>
            <c:strRef>
              <c:f>'depto - dividendos'!$CK$2:$CK$4</c:f>
              <c:strCache>
                <c:ptCount val="1"/>
                <c:pt idx="0">
                  <c:v>total</c:v>
                </c:pt>
              </c:strCache>
            </c:strRef>
          </c:tx>
          <c:spPr>
            <a:solidFill>
              <a:srgbClr val="FFFFFF"/>
            </a:solidFill>
            <a:ln w="25400" cap="flat">
              <a:solidFill>
                <a:srgbClr val="467B9F">
                  <a:alpha val="76510"/>
                </a:srgbClr>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dividendos'!$CK$5:$CK$160</c:f>
              <c:numCache>
                <c:ptCount val="36"/>
                <c:pt idx="0">
                  <c:v>73090238.000000</c:v>
                </c:pt>
                <c:pt idx="1">
                  <c:v>74794282.400000</c:v>
                </c:pt>
                <c:pt idx="2">
                  <c:v>81484277.850000</c:v>
                </c:pt>
                <c:pt idx="3">
                  <c:v>85342668.150000</c:v>
                </c:pt>
                <c:pt idx="4">
                  <c:v>85872879.400000</c:v>
                </c:pt>
                <c:pt idx="5">
                  <c:v>92879221.550000</c:v>
                </c:pt>
                <c:pt idx="6">
                  <c:v>102361140.600000</c:v>
                </c:pt>
                <c:pt idx="7">
                  <c:v>93060406.600000</c:v>
                </c:pt>
                <c:pt idx="8">
                  <c:v>93060406.600000</c:v>
                </c:pt>
                <c:pt idx="9">
                  <c:v>101323989.550000</c:v>
                </c:pt>
                <c:pt idx="10">
                  <c:v>117554803.900000</c:v>
                </c:pt>
                <c:pt idx="11">
                  <c:v>69553858.900000</c:v>
                </c:pt>
                <c:pt idx="12">
                  <c:v>67257650.050000</c:v>
                </c:pt>
                <c:pt idx="13">
                  <c:v>55245384.000000</c:v>
                </c:pt>
                <c:pt idx="14">
                  <c:v>55845947.950000</c:v>
                </c:pt>
                <c:pt idx="15">
                  <c:v>58561215.300000</c:v>
                </c:pt>
                <c:pt idx="16">
                  <c:v>59559407.850000</c:v>
                </c:pt>
                <c:pt idx="17">
                  <c:v>60516393.100000</c:v>
                </c:pt>
                <c:pt idx="18">
                  <c:v>61761336.950000</c:v>
                </c:pt>
                <c:pt idx="19">
                  <c:v>65834187.300000</c:v>
                </c:pt>
                <c:pt idx="20">
                  <c:v>63486874.700000</c:v>
                </c:pt>
                <c:pt idx="21">
                  <c:v>63021323.100000</c:v>
                </c:pt>
                <c:pt idx="22">
                  <c:v>60977896.900000</c:v>
                </c:pt>
                <c:pt idx="23">
                  <c:v>61221719.100000</c:v>
                </c:pt>
                <c:pt idx="24">
                  <c:v>61480248.500000</c:v>
                </c:pt>
                <c:pt idx="25">
                  <c:v>63721625.650000</c:v>
                </c:pt>
                <c:pt idx="26">
                  <c:v>63721625.650000</c:v>
                </c:pt>
                <c:pt idx="27">
                  <c:v>88926675.050000</c:v>
                </c:pt>
                <c:pt idx="28">
                  <c:v>86240890.850000</c:v>
                </c:pt>
                <c:pt idx="29">
                  <c:v>83240890.850000</c:v>
                </c:pt>
                <c:pt idx="30">
                  <c:v>80240890.850000</c:v>
                </c:pt>
                <c:pt idx="31">
                  <c:v>77240890.850000</c:v>
                </c:pt>
                <c:pt idx="32">
                  <c:v>74240890.850000</c:v>
                </c:pt>
                <c:pt idx="33">
                  <c:v>86240890.850000</c:v>
                </c:pt>
                <c:pt idx="34">
                  <c:v>86240890.850000</c:v>
                </c:pt>
                <c:pt idx="35">
                  <c:v>86240890.850000</c:v>
                </c:pt>
              </c:numCache>
            </c:numRef>
          </c:val>
          <c:smooth val="0"/>
        </c:ser>
        <c:ser>
          <c:idx val="2"/>
          <c:order val="2"/>
          <c:tx>
            <c:strRef>
              <c:f>'depto - dividendos'!$CM$2:$CM$4</c:f>
              <c:strCache>
                <c:ptCount val="1"/>
                <c:pt idx="0">
                  <c:v>remaining - retiro</c:v>
                </c:pt>
              </c:strCache>
            </c:strRef>
          </c:tx>
          <c:spPr>
            <a:solidFill>
              <a:srgbClr val="FFFFFF"/>
            </a:solidFill>
            <a:ln w="50800" cap="flat">
              <a:solidFill>
                <a:srgbClr val="EC4613">
                  <a:alpha val="11392"/>
                </a:srgbClr>
              </a:solidFill>
              <a:prstDash val="solid"/>
              <a:miter lim="400000"/>
            </a:ln>
            <a:effectLst/>
          </c:spPr>
          <c:marker>
            <c:symbol val="none"/>
            <c:size val="4"/>
            <c:spPr>
              <a:solidFill>
                <a:srgbClr val="FFFFFF"/>
              </a:solidFill>
              <a:ln w="50800" cap="flat">
                <a:solidFill>
                  <a:srgbClr val="FBE12B"/>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dividendos'!$CM$5:$CM$160</c:f>
              <c:numCache>
                <c:ptCount val="36"/>
                <c:pt idx="0">
                  <c:v>109435293.000000</c:v>
                </c:pt>
                <c:pt idx="1">
                  <c:v>110147505.000000</c:v>
                </c:pt>
                <c:pt idx="2">
                  <c:v>106188110.000000</c:v>
                </c:pt>
                <c:pt idx="3">
                  <c:v>100425193.000000</c:v>
                </c:pt>
                <c:pt idx="4">
                  <c:v>96655095.000000</c:v>
                </c:pt>
                <c:pt idx="5">
                  <c:v>88591107.000000</c:v>
                </c:pt>
                <c:pt idx="6">
                  <c:v>80052201.000000</c:v>
                </c:pt>
                <c:pt idx="7">
                  <c:v>72075369.000000</c:v>
                </c:pt>
                <c:pt idx="8">
                  <c:v>69295518.000000</c:v>
                </c:pt>
                <c:pt idx="9">
                  <c:v>60660707.000000</c:v>
                </c:pt>
                <c:pt idx="10">
                  <c:v>42016480.000000</c:v>
                </c:pt>
                <c:pt idx="11">
                  <c:v>74577285.000000</c:v>
                </c:pt>
                <c:pt idx="12">
                  <c:v>71961044.000000</c:v>
                </c:pt>
                <c:pt idx="13">
                  <c:v>80792305.600000</c:v>
                </c:pt>
                <c:pt idx="14">
                  <c:v>79835614.000000</c:v>
                </c:pt>
                <c:pt idx="15">
                  <c:v>78863577.000000</c:v>
                </c:pt>
                <c:pt idx="16">
                  <c:v>79302771.250000</c:v>
                </c:pt>
                <c:pt idx="17">
                  <c:v>81251117.000000</c:v>
                </c:pt>
                <c:pt idx="18">
                  <c:v>79807171.000000</c:v>
                </c:pt>
                <c:pt idx="19">
                  <c:v>78025966.000000</c:v>
                </c:pt>
                <c:pt idx="20">
                  <c:v>81153593.000000</c:v>
                </c:pt>
                <c:pt idx="21">
                  <c:v>80536444.000000</c:v>
                </c:pt>
                <c:pt idx="22">
                  <c:v>81782568.000000</c:v>
                </c:pt>
                <c:pt idx="23">
                  <c:v>80120577.000000</c:v>
                </c:pt>
                <c:pt idx="24">
                  <c:v>79664758.000000</c:v>
                </c:pt>
                <c:pt idx="25">
                  <c:v>65954896.000000</c:v>
                </c:pt>
                <c:pt idx="26">
                  <c:v>65498879.000000</c:v>
                </c:pt>
                <c:pt idx="27">
                  <c:v>43071450.000000</c:v>
                </c:pt>
                <c:pt idx="28">
                  <c:v>43268345.000000</c:v>
                </c:pt>
                <c:pt idx="29">
                  <c:v>44322530.000000</c:v>
                </c:pt>
                <c:pt idx="30">
                  <c:v>47359589.000000</c:v>
                </c:pt>
                <c:pt idx="31">
                  <c:v>49788455.000000</c:v>
                </c:pt>
                <c:pt idx="32">
                  <c:v>52149050.000000</c:v>
                </c:pt>
                <c:pt idx="33">
                  <c:v>39943969.000000</c:v>
                </c:pt>
                <c:pt idx="34">
                  <c:v>39620324.000000</c:v>
                </c:pt>
                <c:pt idx="35">
                  <c:v>39047029.000000</c:v>
                </c:pt>
              </c:numCache>
            </c:numRef>
          </c:val>
          <c:smooth val="0"/>
        </c:ser>
        <c:ser>
          <c:idx val="3"/>
          <c:order val="3"/>
          <c:tx>
            <c:strRef>
              <c:f>'depto - dividendos'!$M$2:$M$4</c:f>
              <c:strCache>
                <c:ptCount val="1"/>
                <c:pt idx="0">
                  <c:v>restante</c:v>
                </c:pt>
              </c:strCache>
            </c:strRef>
          </c:tx>
          <c:spPr>
            <a:solidFill>
              <a:srgbClr val="FFFFFF"/>
            </a:solidFill>
            <a:ln w="50800" cap="flat">
              <a:solidFill>
                <a:srgbClr val="EF951A"/>
              </a:solidFill>
              <a:prstDash val="solid"/>
              <a:miter lim="400000"/>
            </a:ln>
            <a:effectLst/>
          </c:spPr>
          <c:marker>
            <c:symbol val="none"/>
            <c:size val="4"/>
            <c:spPr>
              <a:solidFill>
                <a:srgbClr val="FFFFFF"/>
              </a:solidFill>
              <a:ln w="50800" cap="flat">
                <a:solidFill>
                  <a:srgbClr val="EF951A"/>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dividendos'!$M$5:$M$160</c:f>
              <c:numCache>
                <c:ptCount val="36"/>
                <c:pt idx="0">
                  <c:v>146632532.000000</c:v>
                </c:pt>
                <c:pt idx="1">
                  <c:v>148537645.000000</c:v>
                </c:pt>
                <c:pt idx="2">
                  <c:v>148507657.000000</c:v>
                </c:pt>
                <c:pt idx="3">
                  <c:v>146514662.000000</c:v>
                </c:pt>
                <c:pt idx="4">
                  <c:v>144080221.000000</c:v>
                </c:pt>
                <c:pt idx="5">
                  <c:v>142677909.000000</c:v>
                </c:pt>
                <c:pt idx="6">
                  <c:v>140667010.000000</c:v>
                </c:pt>
                <c:pt idx="7">
                  <c:v>121600057.000000</c:v>
                </c:pt>
                <c:pt idx="8">
                  <c:v>118820206.000000</c:v>
                </c:pt>
                <c:pt idx="9">
                  <c:v>117412648.000000</c:v>
                </c:pt>
                <c:pt idx="10">
                  <c:v>114900370.000000</c:v>
                </c:pt>
                <c:pt idx="11">
                  <c:v>99460230.000000</c:v>
                </c:pt>
                <c:pt idx="12">
                  <c:v>96843989.000000</c:v>
                </c:pt>
                <c:pt idx="13">
                  <c:v>96174107.000000</c:v>
                </c:pt>
                <c:pt idx="14">
                  <c:v>95491654.000000</c:v>
                </c:pt>
                <c:pt idx="15">
                  <c:v>94826483.000000</c:v>
                </c:pt>
                <c:pt idx="16">
                  <c:v>93886625.000000</c:v>
                </c:pt>
                <c:pt idx="17">
                  <c:v>93663876.000000</c:v>
                </c:pt>
                <c:pt idx="18">
                  <c:v>92968974.000000</c:v>
                </c:pt>
                <c:pt idx="19">
                  <c:v>92791278.000000</c:v>
                </c:pt>
                <c:pt idx="20">
                  <c:v>92420219.000000</c:v>
                </c:pt>
                <c:pt idx="21">
                  <c:v>92171347.000000</c:v>
                </c:pt>
                <c:pt idx="22">
                  <c:v>91752937.000000</c:v>
                </c:pt>
                <c:pt idx="23">
                  <c:v>91271187.000000</c:v>
                </c:pt>
                <c:pt idx="24">
                  <c:v>90820927.000000</c:v>
                </c:pt>
                <c:pt idx="25">
                  <c:v>79223097.000000</c:v>
                </c:pt>
                <c:pt idx="26">
                  <c:v>78767080.000000</c:v>
                </c:pt>
                <c:pt idx="27">
                  <c:v>76003835.000000</c:v>
                </c:pt>
                <c:pt idx="28">
                  <c:v>73921291.000000</c:v>
                </c:pt>
                <c:pt idx="29">
                  <c:v>71975476.000000</c:v>
                </c:pt>
                <c:pt idx="30">
                  <c:v>72012535.000000</c:v>
                </c:pt>
                <c:pt idx="31">
                  <c:v>71441401.000000</c:v>
                </c:pt>
                <c:pt idx="32">
                  <c:v>70801996.000000</c:v>
                </c:pt>
                <c:pt idx="33">
                  <c:v>70596915.000000</c:v>
                </c:pt>
                <c:pt idx="34">
                  <c:v>70273270.000000</c:v>
                </c:pt>
                <c:pt idx="35">
                  <c:v>69699975.000000</c:v>
                </c:pt>
              </c:numCache>
            </c:numRef>
          </c:val>
          <c:smooth val="0"/>
        </c:ser>
        <c:ser>
          <c:idx val="4"/>
          <c:order val="4"/>
          <c:tx>
            <c:strRef>
              <c:f>'depto - dividendos'!$CI$2:$CI$4</c:f>
              <c:strCache>
                <c:ptCount val="1"/>
                <c:pt idx="0">
                  <c:v>inv + cripto + liquido</c:v>
                </c:pt>
              </c:strCache>
            </c:strRef>
          </c:tx>
          <c:spPr>
            <a:solidFill>
              <a:srgbClr val="FFFFFF"/>
            </a:solidFill>
            <a:ln w="25400" cap="flat">
              <a:solidFill>
                <a:srgbClr val="467B9F">
                  <a:alpha val="21096"/>
                </a:srgbClr>
              </a:solidFill>
              <a:prstDash val="solid"/>
              <a:miter lim="400000"/>
            </a:ln>
            <a:effectLst/>
          </c:spPr>
          <c:marker>
            <c:symbol val="none"/>
            <c:size val="4"/>
            <c:spPr>
              <a:solidFill>
                <a:srgbClr val="FFFFFF"/>
              </a:solidFill>
              <a:ln w="50800" cap="flat">
                <a:solidFill>
                  <a:srgbClr val="FB4912"/>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dividendos'!$CI$5:$CI$160</c:f>
              <c:numCache>
                <c:ptCount val="36"/>
                <c:pt idx="0">
                  <c:v>37197239.000000</c:v>
                </c:pt>
                <c:pt idx="1">
                  <c:v>38390140.000000</c:v>
                </c:pt>
                <c:pt idx="2">
                  <c:v>42319547.000000</c:v>
                </c:pt>
                <c:pt idx="3">
                  <c:v>46089469.000000</c:v>
                </c:pt>
                <c:pt idx="4">
                  <c:v>47425126.000000</c:v>
                </c:pt>
                <c:pt idx="5">
                  <c:v>54086802.000000</c:v>
                </c:pt>
                <c:pt idx="6">
                  <c:v>60614809.000000</c:v>
                </c:pt>
                <c:pt idx="7">
                  <c:v>49524688.000000</c:v>
                </c:pt>
                <c:pt idx="8">
                  <c:v>49524688.000000</c:v>
                </c:pt>
                <c:pt idx="9">
                  <c:v>56751941.000000</c:v>
                </c:pt>
                <c:pt idx="10">
                  <c:v>72883890.000000</c:v>
                </c:pt>
                <c:pt idx="11">
                  <c:v>24882945.000000</c:v>
                </c:pt>
                <c:pt idx="12">
                  <c:v>24882945.000000</c:v>
                </c:pt>
                <c:pt idx="13">
                  <c:v>15381801.400000</c:v>
                </c:pt>
                <c:pt idx="14">
                  <c:v>15656040.000000</c:v>
                </c:pt>
                <c:pt idx="15">
                  <c:v>15962906.000000</c:v>
                </c:pt>
                <c:pt idx="16">
                  <c:v>14583853.750000</c:v>
                </c:pt>
                <c:pt idx="17">
                  <c:v>12412759.000000</c:v>
                </c:pt>
                <c:pt idx="18">
                  <c:v>13161803.000000</c:v>
                </c:pt>
                <c:pt idx="19">
                  <c:v>14765312.000000</c:v>
                </c:pt>
                <c:pt idx="20">
                  <c:v>11266626.000000</c:v>
                </c:pt>
                <c:pt idx="21">
                  <c:v>11634903.000000</c:v>
                </c:pt>
                <c:pt idx="22">
                  <c:v>9970369.000000</c:v>
                </c:pt>
                <c:pt idx="23">
                  <c:v>11150610.000000</c:v>
                </c:pt>
                <c:pt idx="24">
                  <c:v>11156169.000000</c:v>
                </c:pt>
                <c:pt idx="25">
                  <c:v>13268201.000000</c:v>
                </c:pt>
                <c:pt idx="26">
                  <c:v>13268201.000000</c:v>
                </c:pt>
                <c:pt idx="27">
                  <c:v>32932385.000000</c:v>
                </c:pt>
                <c:pt idx="28">
                  <c:v>30652946.000000</c:v>
                </c:pt>
                <c:pt idx="29">
                  <c:v>27652946.000000</c:v>
                </c:pt>
                <c:pt idx="30">
                  <c:v>24652946.000000</c:v>
                </c:pt>
                <c:pt idx="31">
                  <c:v>21652946.000000</c:v>
                </c:pt>
                <c:pt idx="32">
                  <c:v>18652946.000000</c:v>
                </c:pt>
                <c:pt idx="33">
                  <c:v>30652946.000000</c:v>
                </c:pt>
                <c:pt idx="34">
                  <c:v>30652946.000000</c:v>
                </c:pt>
                <c:pt idx="35">
                  <c:v>30652946.000000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2e+07"/>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min"/>
        <c:crossBetween val="midCat"/>
      </c:valAx>
      <c:spPr>
        <a:noFill/>
        <a:ln w="12700" cap="flat">
          <a:noFill/>
          <a:miter lim="400000"/>
        </a:ln>
        <a:effectLst/>
      </c:spPr>
    </c:plotArea>
    <c:legend>
      <c:legendPos val="t"/>
      <c:layout>
        <c:manualLayout>
          <c:xMode val="edge"/>
          <c:yMode val="edge"/>
          <c:x val="0.147401"/>
          <c:y val="0"/>
          <c:w val="0.822865"/>
          <c:h val="0.10513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7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09971"/>
          <c:y val="0.126667"/>
          <c:w val="0.903031"/>
          <c:h val="0.809167"/>
        </c:manualLayout>
      </c:layout>
      <c:lineChart>
        <c:grouping val="standard"/>
        <c:varyColors val="0"/>
        <c:ser>
          <c:idx val="0"/>
          <c:order val="0"/>
          <c:tx>
            <c:strRef>
              <c:f>'depto - dividendos'!$E$2:$E$4</c:f>
              <c:strCache/>
            </c:strRef>
          </c:tx>
          <c:spPr>
            <a:solidFill>
              <a:srgbClr val="FFFFFF"/>
            </a:solidFill>
            <a:ln w="50800" cap="flat">
              <a:solidFill>
                <a:srgbClr val="51A7F9"/>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dividendos'!$A$5:$A$155,'depto - dividendos'!$A$161:$A$165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dividendos'!$E$5:$E$160</c:f>
              <c:numCache>
                <c:ptCount val="34"/>
                <c:pt idx="2">
                  <c:v>0.008030</c:v>
                </c:pt>
                <c:pt idx="3">
                  <c:v>0.020227</c:v>
                </c:pt>
                <c:pt idx="4">
                  <c:v>0.020551</c:v>
                </c:pt>
                <c:pt idx="5">
                  <c:v>0.020887</c:v>
                </c:pt>
                <c:pt idx="6">
                  <c:v>0.021237</c:v>
                </c:pt>
                <c:pt idx="7">
                  <c:v>0.140090</c:v>
                </c:pt>
                <c:pt idx="8">
                  <c:v>0.025077</c:v>
                </c:pt>
                <c:pt idx="9">
                  <c:v>0.025604</c:v>
                </c:pt>
                <c:pt idx="10">
                  <c:v>0.026154</c:v>
                </c:pt>
                <c:pt idx="11">
                  <c:v>0.135717</c:v>
                </c:pt>
                <c:pt idx="12">
                  <c:v>0.030895</c:v>
                </c:pt>
                <c:pt idx="13">
                  <c:v>0.021804</c:v>
                </c:pt>
                <c:pt idx="14">
                  <c:v>0.015732</c:v>
                </c:pt>
                <c:pt idx="15">
                  <c:v>0.016316</c:v>
                </c:pt>
                <c:pt idx="16">
                  <c:v>0.016510</c:v>
                </c:pt>
                <c:pt idx="17">
                  <c:v>0.008507</c:v>
                </c:pt>
                <c:pt idx="18">
                  <c:v>0.008802</c:v>
                </c:pt>
                <c:pt idx="19">
                  <c:v>0.014779</c:v>
                </c:pt>
                <c:pt idx="20">
                  <c:v>0.008797</c:v>
                </c:pt>
                <c:pt idx="21">
                  <c:v>0.010951</c:v>
                </c:pt>
                <c:pt idx="22">
                  <c:v>0.009275</c:v>
                </c:pt>
                <c:pt idx="23">
                  <c:v>0.010592</c:v>
                </c:pt>
                <c:pt idx="24">
                  <c:v>0.009766</c:v>
                </c:pt>
                <c:pt idx="25">
                  <c:v>0.131859</c:v>
                </c:pt>
                <c:pt idx="26">
                  <c:v>0.010379</c:v>
                </c:pt>
                <c:pt idx="27">
                  <c:v>0.040347</c:v>
                </c:pt>
                <c:pt idx="28">
                  <c:v>0.041841</c:v>
                </c:pt>
                <c:pt idx="29">
                  <c:v>0.043455</c:v>
                </c:pt>
                <c:pt idx="30">
                  <c:v>0.014737</c:v>
                </c:pt>
                <c:pt idx="31">
                  <c:v>0.012597</c:v>
                </c:pt>
                <c:pt idx="32">
                  <c:v>0.015006</c:v>
                </c:pt>
                <c:pt idx="33">
                  <c:v>0.012830</c:v>
                </c:pt>
                <c:pt idx="34">
                  <c:v>0.012936</c:v>
                </c:pt>
                <c:pt idx="35">
                  <c:v>0.013043</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0.05"/>
          <c:min val="0"/>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718763"/>
          <c:y val="0"/>
          <c:w val="0.895756"/>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7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2117"/>
          <c:y val="0.125"/>
          <c:w val="0.842824"/>
          <c:h val="0.811513"/>
        </c:manualLayout>
      </c:layout>
      <c:lineChart>
        <c:grouping val="standard"/>
        <c:varyColors val="0"/>
        <c:ser>
          <c:idx val="0"/>
          <c:order val="0"/>
          <c:tx>
            <c:strRef>
              <c:f>'depto - dividendos'!$Q$2:$Q$4</c:f>
              <c:strCache>
                <c:ptCount val="1"/>
                <c:pt idx="0">
                  <c:v>valor neto</c:v>
                </c:pt>
              </c:strCache>
            </c:strRef>
          </c:tx>
          <c:spPr>
            <a:solidFill>
              <a:srgbClr val="FFFFFF"/>
            </a:solidFill>
            <a:ln w="50800" cap="flat">
              <a:solidFill>
                <a:srgbClr val="CD5248">
                  <a:alpha val="70000"/>
                </a:srgbClr>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dividendos'!$Q$5:$Q$160</c:f>
              <c:numCache>
                <c:ptCount val="36"/>
                <c:pt idx="0">
                  <c:v>53827132.000000</c:v>
                </c:pt>
                <c:pt idx="1">
                  <c:v>52810967.000000</c:v>
                </c:pt>
                <c:pt idx="2">
                  <c:v>54056495.000000</c:v>
                </c:pt>
                <c:pt idx="3">
                  <c:v>56542672.000000</c:v>
                </c:pt>
                <c:pt idx="4">
                  <c:v>58878455.000000</c:v>
                </c:pt>
                <c:pt idx="5">
                  <c:v>61670727.000000</c:v>
                </c:pt>
                <c:pt idx="6">
                  <c:v>64246520.000000</c:v>
                </c:pt>
                <c:pt idx="7">
                  <c:v>84118289.000000</c:v>
                </c:pt>
                <c:pt idx="8">
                  <c:v>86421050.000000</c:v>
                </c:pt>
                <c:pt idx="9">
                  <c:v>89770286.000000</c:v>
                </c:pt>
                <c:pt idx="10">
                  <c:v>92335916.000000</c:v>
                </c:pt>
                <c:pt idx="11">
                  <c:v>107857056.000000</c:v>
                </c:pt>
                <c:pt idx="12">
                  <c:v>110473297.000000</c:v>
                </c:pt>
                <c:pt idx="13">
                  <c:v>113313871.000000</c:v>
                </c:pt>
                <c:pt idx="14">
                  <c:v>114850064.000000</c:v>
                </c:pt>
                <c:pt idx="15">
                  <c:v>116523901.000000</c:v>
                </c:pt>
                <c:pt idx="16">
                  <c:v>117887389.000000</c:v>
                </c:pt>
                <c:pt idx="17">
                  <c:v>118450554.000000</c:v>
                </c:pt>
                <c:pt idx="18">
                  <c:v>118473858.000000</c:v>
                </c:pt>
                <c:pt idx="19">
                  <c:v>120431233.000000</c:v>
                </c:pt>
                <c:pt idx="20">
                  <c:v>120857209.000000</c:v>
                </c:pt>
                <c:pt idx="21">
                  <c:v>121904039.000000</c:v>
                </c:pt>
                <c:pt idx="22">
                  <c:v>122363813.000000</c:v>
                </c:pt>
                <c:pt idx="23">
                  <c:v>123016959.000000</c:v>
                </c:pt>
                <c:pt idx="24">
                  <c:v>123528347.000000</c:v>
                </c:pt>
                <c:pt idx="25">
                  <c:v>135922191.000000</c:v>
                </c:pt>
                <c:pt idx="26">
                  <c:v>136378208.000000</c:v>
                </c:pt>
                <c:pt idx="27">
                  <c:v>139284229.000000</c:v>
                </c:pt>
                <c:pt idx="28">
                  <c:v>143556635.000000</c:v>
                </c:pt>
                <c:pt idx="29">
                  <c:v>148329663.000000</c:v>
                </c:pt>
                <c:pt idx="30">
                  <c:v>150649869.000000</c:v>
                </c:pt>
                <c:pt idx="31">
                  <c:v>151221003.000000</c:v>
                </c:pt>
                <c:pt idx="32">
                  <c:v>152172136.000000</c:v>
                </c:pt>
                <c:pt idx="33">
                  <c:v>153558979.000000</c:v>
                </c:pt>
                <c:pt idx="34">
                  <c:v>154712001.000000</c:v>
                </c:pt>
                <c:pt idx="35">
                  <c:v>155330293.000000</c:v>
                </c:pt>
              </c:numCache>
            </c:numRef>
          </c:val>
          <c:smooth val="0"/>
        </c:ser>
        <c:ser>
          <c:idx val="1"/>
          <c:order val="1"/>
          <c:tx>
            <c:strRef>
              <c:f>'depto - dividendos'!$BU$2:$BU$4</c:f>
              <c:strCache>
                <c:ptCount val="1"/>
                <c:pt idx="0">
                  <c:v>pago acumulado</c:v>
                </c:pt>
              </c:strCache>
            </c:strRef>
          </c:tx>
          <c:spPr>
            <a:solidFill>
              <a:srgbClr val="FFFFFF"/>
            </a:solidFill>
            <a:ln w="50800" cap="flat">
              <a:solidFill>
                <a:srgbClr val="497BA1"/>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'depto - dividendos'!$A$5:$A$165</c:f>
              <c:strCache>
                <c:ptCount val="36"/>
                <c:pt idx="0">
                  <c:v>pie</c:v>
                </c:pt>
                <c:pt idx="1">
                  <c:v/>
                </c:pt>
                <c:pt idx="2">
                  <c:v>4</c:v>
                </c:pt>
                <c:pt idx="3">
                  <c:v>5</c:v>
                </c:pt>
                <c:pt idx="4">
                  <c:v>6</c:v>
                </c:pt>
                <c:pt idx="5">
                  <c:v>7</c:v>
                </c:pt>
                <c:pt idx="6">
                  <c:v>8</c:v>
                </c:pt>
                <c:pt idx="7">
                  <c:v>prepago 1</c:v>
                </c:pt>
                <c:pt idx="8">
                  <c:v>9</c:v>
                </c:pt>
                <c:pt idx="9">
                  <c:v>10</c:v>
                </c:pt>
                <c:pt idx="10">
                  <c:v>11</c:v>
                </c:pt>
                <c:pt idx="11">
                  <c:v>prepago 2</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prepago 3</c:v>
                </c:pt>
                <c:pt idx="26">
                  <c:v>25</c:v>
                </c:pt>
                <c:pt idx="27">
                  <c:v>26</c:v>
                </c:pt>
                <c:pt idx="28">
                  <c:v>27</c:v>
                </c:pt>
                <c:pt idx="29">
                  <c:v>28</c:v>
                </c:pt>
                <c:pt idx="30">
                  <c:v>29</c:v>
                </c:pt>
                <c:pt idx="31">
                  <c:v>30</c:v>
                </c:pt>
                <c:pt idx="32">
                  <c:v>31</c:v>
                </c:pt>
                <c:pt idx="33">
                  <c:v>32</c:v>
                </c:pt>
                <c:pt idx="34">
                  <c:v>33</c:v>
                </c:pt>
                <c:pt idx="35">
                  <c:v>34</c:v>
                </c:pt>
              </c:strCache>
            </c:strRef>
          </c:cat>
          <c:val>
            <c:numRef>
              <c:f>'depto - dividendos'!$BU$5:$BU$160</c:f>
              <c:numCache>
                <c:ptCount val="36"/>
                <c:pt idx="0">
                  <c:v>53827132.000000</c:v>
                </c:pt>
                <c:pt idx="1">
                  <c:v>53827132.000000</c:v>
                </c:pt>
                <c:pt idx="2">
                  <c:v>55027132.000000</c:v>
                </c:pt>
                <c:pt idx="3">
                  <c:v>58038273.000000</c:v>
                </c:pt>
                <c:pt idx="4">
                  <c:v>61047849.000000</c:v>
                </c:pt>
                <c:pt idx="5">
                  <c:v>64077934.000000</c:v>
                </c:pt>
                <c:pt idx="6">
                  <c:v>67116293.000000</c:v>
                </c:pt>
                <c:pt idx="7">
                  <c:v>86899734.000000</c:v>
                </c:pt>
                <c:pt idx="8">
                  <c:v>89942002.000000</c:v>
                </c:pt>
                <c:pt idx="9">
                  <c:v>93013044.000000</c:v>
                </c:pt>
                <c:pt idx="10">
                  <c:v>96084666.000000</c:v>
                </c:pt>
                <c:pt idx="11">
                  <c:v>111684666.000000</c:v>
                </c:pt>
                <c:pt idx="12">
                  <c:v>114757481.000000</c:v>
                </c:pt>
                <c:pt idx="13">
                  <c:v>116891155.000000</c:v>
                </c:pt>
                <c:pt idx="14">
                  <c:v>118410290.000000</c:v>
                </c:pt>
                <c:pt idx="15">
                  <c:v>119975848.000000</c:v>
                </c:pt>
                <c:pt idx="16">
                  <c:v>121544544.000000</c:v>
                </c:pt>
                <c:pt idx="17">
                  <c:v>122344544.000000</c:v>
                </c:pt>
                <c:pt idx="18">
                  <c:v>123166346.000000</c:v>
                </c:pt>
                <c:pt idx="19">
                  <c:v>124551937.000000</c:v>
                </c:pt>
                <c:pt idx="20">
                  <c:v>125368474.000000</c:v>
                </c:pt>
                <c:pt idx="21">
                  <c:v>126384345.000000</c:v>
                </c:pt>
                <c:pt idx="22">
                  <c:v>127239436.000000</c:v>
                </c:pt>
                <c:pt idx="23">
                  <c:v>128212054.000000</c:v>
                </c:pt>
                <c:pt idx="24">
                  <c:v>129103632.000000</c:v>
                </c:pt>
                <c:pt idx="25">
                  <c:v>141123632.000000</c:v>
                </c:pt>
                <c:pt idx="26">
                  <c:v>141945897.000000</c:v>
                </c:pt>
                <c:pt idx="27">
                  <c:v>145126057.000000</c:v>
                </c:pt>
                <c:pt idx="28">
                  <c:v>148338452.000000</c:v>
                </c:pt>
                <c:pt idx="29">
                  <c:v>148338452.000000</c:v>
                </c:pt>
                <c:pt idx="30">
                  <c:v>148338452.000000</c:v>
                </c:pt>
                <c:pt idx="31">
                  <c:v>148338452.000000</c:v>
                </c:pt>
                <c:pt idx="32">
                  <c:v>148338452.000000</c:v>
                </c:pt>
                <c:pt idx="33">
                  <c:v>148338452.000000</c:v>
                </c:pt>
                <c:pt idx="34">
                  <c:v>148338452.000000</c:v>
                </c:pt>
                <c:pt idx="35">
                  <c:v>148338452.000000</c:v>
                </c:pt>
              </c:numCache>
            </c:numRef>
          </c:val>
          <c:smooth val="0"/>
        </c:ser>
        <c:marker val="1"/>
        <c:axId val="2094734552"/>
        <c:axId val="2094734553"/>
      </c:lineChart>
      <c:catAx>
        <c:axId val="2094734552"/>
        <c:scaling>
          <c:orientation val="minMax"/>
        </c:scaling>
        <c:delete val="0"/>
        <c:axPos val="b"/>
        <c:numFmt formatCode="&quot;$&quot;#,##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0"/>
        </c:scaling>
        <c:delete val="0"/>
        <c:axPos val="l"/>
        <c:majorGridlines>
          <c:spPr>
            <a:ln w="3175" cap="flat">
              <a:solidFill>
                <a:srgbClr val="B8B8B8"/>
              </a:solidFill>
              <a:prstDash val="solid"/>
              <a:miter lim="400000"/>
            </a:ln>
          </c:spPr>
        </c:majorGridlines>
        <c:numFmt formatCode="&quot;$&quot;#,##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14862"/>
          <c:y val="0"/>
          <c:w val="0.795374"/>
          <c:h val="0.064473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7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02199"/>
          <c:y val="0.126667"/>
          <c:w val="0.891902"/>
          <c:h val="0.809167"/>
        </c:manualLayout>
      </c:layout>
      <c:lineChart>
        <c:grouping val="standard"/>
        <c:varyColors val="0"/>
        <c:ser>
          <c:idx val="0"/>
          <c:order val="0"/>
          <c:tx>
            <c:strRef>
              <c:f>'variables - Table 1-1'!$C$1</c:f>
              <c:strCache>
                <c:ptCount val="1"/>
                <c:pt idx="0">
                  <c:v>eur</c:v>
                </c:pt>
              </c:strCache>
            </c:strRef>
          </c:tx>
          <c:spPr>
            <a:solidFill>
              <a:srgbClr val="FFFFFF"/>
            </a:solidFill>
            <a:ln w="50800" cap="flat">
              <a:solidFill>
                <a:srgbClr val="225ABA"/>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'variables - Table 1-1'!$A$2:$A$121</c:f>
              <c:strCache>
                <c:ptCount val="120"/>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pt idx="116">
                  <c:v>Feb 27</c:v>
                </c:pt>
                <c:pt idx="117">
                  <c:v>Mar 27</c:v>
                </c:pt>
                <c:pt idx="118">
                  <c:v>Apr 27</c:v>
                </c:pt>
                <c:pt idx="119">
                  <c:v>May 27</c:v>
                </c:pt>
              </c:strCache>
            </c:strRef>
          </c:cat>
          <c:val>
            <c:numRef>
              <c:f>'variables - Table 1-1'!$C$2:$C$121</c:f>
              <c:numCache>
                <c:ptCount val="120"/>
                <c:pt idx="0">
                  <c:v>742.849400</c:v>
                </c:pt>
                <c:pt idx="1">
                  <c:v>746.362500</c:v>
                </c:pt>
                <c:pt idx="2">
                  <c:v>733.670900</c:v>
                </c:pt>
                <c:pt idx="3">
                  <c:v>737.801100</c:v>
                </c:pt>
                <c:pt idx="4">
                  <c:v>723.270000</c:v>
                </c:pt>
                <c:pt idx="5">
                  <c:v>746.143700</c:v>
                </c:pt>
                <c:pt idx="6">
                  <c:v>719.769800</c:v>
                </c:pt>
                <c:pt idx="7">
                  <c:v>737.409300</c:v>
                </c:pt>
                <c:pt idx="8">
                  <c:v>710.771600</c:v>
                </c:pt>
                <c:pt idx="9">
                  <c:v>730.688400</c:v>
                </c:pt>
                <c:pt idx="10">
                  <c:v>714.323200</c:v>
                </c:pt>
                <c:pt idx="11">
                  <c:v>717.946500</c:v>
                </c:pt>
                <c:pt idx="12">
                  <c:v>735.097700</c:v>
                </c:pt>
                <c:pt idx="13">
                  <c:v>737.490000</c:v>
                </c:pt>
                <c:pt idx="14">
                  <c:v>767.160000</c:v>
                </c:pt>
                <c:pt idx="15">
                  <c:v>763.120000</c:v>
                </c:pt>
                <c:pt idx="16">
                  <c:v>772.790000</c:v>
                </c:pt>
                <c:pt idx="17">
                  <c:v>746.520000</c:v>
                </c:pt>
                <c:pt idx="18">
                  <c:v>783.930000</c:v>
                </c:pt>
                <c:pt idx="19">
                  <c:v>748.970000</c:v>
                </c:pt>
                <c:pt idx="20">
                  <c:v>725.170000</c:v>
                </c:pt>
                <c:pt idx="21">
                  <c:v>752.690000</c:v>
                </c:pt>
                <c:pt idx="22">
                  <c:v>739.030000</c:v>
                </c:pt>
                <c:pt idx="23">
                  <c:v>770.790000</c:v>
                </c:pt>
                <c:pt idx="24">
                  <c:v>758.970000</c:v>
                </c:pt>
                <c:pt idx="25">
                  <c:v>762.190000</c:v>
                </c:pt>
                <c:pt idx="26">
                  <c:v>787.270000</c:v>
                </c:pt>
                <c:pt idx="27">
                  <c:v>781.190000</c:v>
                </c:pt>
                <c:pt idx="28">
                  <c:v>793.841600</c:v>
                </c:pt>
                <c:pt idx="29">
                  <c:v>898.710900</c:v>
                </c:pt>
                <c:pt idx="30">
                  <c:v>820.904600</c:v>
                </c:pt>
                <c:pt idx="31">
                  <c:v>864.360700</c:v>
                </c:pt>
                <c:pt idx="32">
                  <c:v>878.648000</c:v>
                </c:pt>
                <c:pt idx="33">
                  <c:v>909.995300</c:v>
                </c:pt>
                <c:pt idx="34">
                  <c:v>902.445900</c:v>
                </c:pt>
                <c:pt idx="35">
                  <c:v>888.772100</c:v>
                </c:pt>
                <c:pt idx="36">
                  <c:v>913.149600</c:v>
                </c:pt>
                <c:pt idx="37">
                  <c:v>875.732900</c:v>
                </c:pt>
                <c:pt idx="38">
                  <c:v>919.812500</c:v>
                </c:pt>
                <c:pt idx="39">
                  <c:v>900.807100</c:v>
                </c:pt>
                <c:pt idx="40">
                  <c:v>892.073000</c:v>
                </c:pt>
                <c:pt idx="41">
                  <c:v>897.927300</c:v>
                </c:pt>
                <c:pt idx="42">
                  <c:v>860.815900</c:v>
                </c:pt>
                <c:pt idx="43">
                  <c:v>884.762500</c:v>
                </c:pt>
                <c:pt idx="44">
                  <c:v>845.142500</c:v>
                </c:pt>
                <c:pt idx="45">
                  <c:v>848.899700</c:v>
                </c:pt>
                <c:pt idx="46">
                  <c:v>830.025700</c:v>
                </c:pt>
                <c:pt idx="47">
                  <c:v>868.492300</c:v>
                </c:pt>
                <c:pt idx="48">
                  <c:v>861.161600</c:v>
                </c:pt>
                <c:pt idx="49">
                  <c:v>890.771500</c:v>
                </c:pt>
                <c:pt idx="50">
                  <c:v>909.615000</c:v>
                </c:pt>
                <c:pt idx="51">
                  <c:v>920.784400</c:v>
                </c:pt>
                <c:pt idx="52">
                  <c:v>920.787500</c:v>
                </c:pt>
                <c:pt idx="53">
                  <c:v>929.895100</c:v>
                </c:pt>
                <c:pt idx="54">
                  <c:v>942.165000</c:v>
                </c:pt>
                <c:pt idx="55">
                  <c:v>886.029600</c:v>
                </c:pt>
                <c:pt idx="56">
                  <c:v>891.821300</c:v>
                </c:pt>
                <c:pt idx="57">
                  <c:v>853.932900</c:v>
                </c:pt>
                <c:pt idx="58">
                  <c:v>875.114400</c:v>
                </c:pt>
                <c:pt idx="59">
                  <c:v>876.541400</c:v>
                </c:pt>
                <c:pt idx="60">
                  <c:v>944.619900</c:v>
                </c:pt>
                <c:pt idx="61">
                  <c:v>908.420100</c:v>
                </c:pt>
                <c:pt idx="62">
                  <c:v>871.275500</c:v>
                </c:pt>
                <c:pt idx="63">
                  <c:v>915.240300</c:v>
                </c:pt>
                <c:pt idx="64">
                  <c:v>924.795300</c:v>
                </c:pt>
                <c:pt idx="65">
                  <c:v>924.733800</c:v>
                </c:pt>
                <c:pt idx="66">
                  <c:v>904.076700</c:v>
                </c:pt>
                <c:pt idx="67">
                  <c:v>870.185700</c:v>
                </c:pt>
                <c:pt idx="68">
                  <c:v>858.961700</c:v>
                </c:pt>
                <c:pt idx="69">
                  <c:v>849.600000</c:v>
                </c:pt>
                <c:pt idx="70">
                  <c:v>875.210000</c:v>
                </c:pt>
                <c:pt idx="71">
                  <c:v>850.550000</c:v>
                </c:pt>
                <c:pt idx="72">
                  <c:v>860.930000</c:v>
                </c:pt>
                <c:pt idx="73">
                  <c:v>898.770000</c:v>
                </c:pt>
                <c:pt idx="74">
                  <c:v>921.200000</c:v>
                </c:pt>
                <c:pt idx="75">
                  <c:v>943.480000</c:v>
                </c:pt>
                <c:pt idx="76">
                  <c:v>947.910000</c:v>
                </c:pt>
                <c:pt idx="77">
                  <c:v>938.430000</c:v>
                </c:pt>
                <c:pt idx="78">
                  <c:v>965.730000</c:v>
                </c:pt>
                <c:pt idx="79">
                  <c:v>994.240000</c:v>
                </c:pt>
                <c:pt idx="80">
                  <c:v>1058.020000</c:v>
                </c:pt>
                <c:pt idx="81">
                  <c:v>1048.939900</c:v>
                </c:pt>
                <c:pt idx="82">
                  <c:v>1003.450000</c:v>
                </c:pt>
                <c:pt idx="83">
                  <c:v>970.050000</c:v>
                </c:pt>
                <c:pt idx="84">
                  <c:v>1004.970000</c:v>
                </c:pt>
                <c:pt idx="85">
                  <c:v>1022.390000</c:v>
                </c:pt>
                <c:pt idx="86">
                  <c:v>997.820000</c:v>
                </c:pt>
                <c:pt idx="87">
                  <c:v>992.310000</c:v>
                </c:pt>
                <c:pt idx="88">
                  <c:v>1022.830000</c:v>
                </c:pt>
                <c:pt idx="89">
                  <c:v>1014.170000</c:v>
                </c:pt>
                <c:pt idx="90">
                  <c:v>1024.670000</c:v>
                </c:pt>
                <c:pt idx="91">
                  <c:v>1014.840000</c:v>
                </c:pt>
                <c:pt idx="92">
                  <c:v>972.830000</c:v>
                </c:pt>
                <c:pt idx="93">
                  <c:v>997.660000</c:v>
                </c:pt>
                <c:pt idx="94">
                  <c:v>1060.110000</c:v>
                </c:pt>
                <c:pt idx="95">
                  <c:v>1048.410000</c:v>
                </c:pt>
                <c:pt idx="96">
                  <c:v>1077.420000</c:v>
                </c:pt>
                <c:pt idx="97">
                  <c:v>1106.880000</c:v>
                </c:pt>
                <c:pt idx="98">
                  <c:v>1116.400000</c:v>
                </c:pt>
                <c:pt idx="99">
                  <c:v>1107.630000</c:v>
                </c:pt>
                <c:pt idx="100">
                  <c:v>1081.020000</c:v>
                </c:pt>
                <c:pt idx="101">
                  <c:v>1059.720000</c:v>
                </c:pt>
                <c:pt idx="102">
                  <c:v>1060.280000</c:v>
                </c:pt>
                <c:pt idx="103">
                  <c:v>1010.940000</c:v>
                </c:pt>
                <c:pt idx="104">
                  <c:v>998.680000</c:v>
                </c:pt>
                <c:pt idx="105">
                  <c:v>1051.640000</c:v>
                </c:pt>
                <c:pt idx="106">
                  <c:v>1027.200000</c:v>
                </c:pt>
                <c:pt idx="107">
                  <c:v>1039.590000</c:v>
                </c:pt>
                <c:pt idx="108">
                  <c:v>1039.590000</c:v>
                </c:pt>
                <c:pt idx="109">
                  <c:v>1039.590000</c:v>
                </c:pt>
                <c:pt idx="110">
                  <c:v>1039.590000</c:v>
                </c:pt>
                <c:pt idx="111">
                  <c:v>1039.590000</c:v>
                </c:pt>
                <c:pt idx="112">
                  <c:v>1039.590000</c:v>
                </c:pt>
                <c:pt idx="113">
                  <c:v>1039.590000</c:v>
                </c:pt>
                <c:pt idx="114">
                  <c:v>1039.590000</c:v>
                </c:pt>
                <c:pt idx="115">
                  <c:v>1039.590000</c:v>
                </c:pt>
                <c:pt idx="116">
                  <c:v>1039.590000</c:v>
                </c:pt>
                <c:pt idx="117">
                  <c:v>1039.590000</c:v>
                </c:pt>
                <c:pt idx="118">
                  <c:v>1039.590000</c:v>
                </c:pt>
                <c:pt idx="119">
                  <c:v>1039.590000</c:v>
                </c:pt>
              </c:numCache>
            </c:numRef>
          </c:val>
          <c:smooth val="0"/>
        </c:ser>
        <c:ser>
          <c:idx val="1"/>
          <c:order val="1"/>
          <c:tx>
            <c:strRef>
              <c:f>'variables - Table 1-1'!$B$1</c:f>
              <c:strCache>
                <c:ptCount val="1"/>
                <c:pt idx="0">
                  <c:v>usd</c:v>
                </c:pt>
              </c:strCache>
            </c:strRef>
          </c:tx>
          <c:spPr>
            <a:solidFill>
              <a:srgbClr val="FFFFFF"/>
            </a:solidFill>
            <a:ln w="50800" cap="flat">
              <a:solidFill>
                <a:srgbClr val="70BF41"/>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'variables - Table 1-1'!$A$2:$A$121</c:f>
              <c:strCache>
                <c:ptCount val="120"/>
                <c:pt idx="0">
                  <c:v>Jun 17</c:v>
                </c:pt>
                <c:pt idx="1">
                  <c:v>Jul 17</c:v>
                </c:pt>
                <c:pt idx="2">
                  <c:v>Aug 17</c:v>
                </c:pt>
                <c:pt idx="3">
                  <c:v>Sep 17</c:v>
                </c:pt>
                <c:pt idx="4">
                  <c:v>Oct 17</c:v>
                </c:pt>
                <c:pt idx="5">
                  <c:v>Nov 17</c:v>
                </c:pt>
                <c:pt idx="6">
                  <c:v>Dec 17</c:v>
                </c:pt>
                <c:pt idx="7">
                  <c:v>Jan 18</c:v>
                </c:pt>
                <c:pt idx="8">
                  <c:v>Feb 18</c:v>
                </c:pt>
                <c:pt idx="9">
                  <c:v>Mar 18</c:v>
                </c:pt>
                <c:pt idx="10">
                  <c:v>Apr 18</c:v>
                </c:pt>
                <c:pt idx="11">
                  <c:v>May 18</c:v>
                </c:pt>
                <c:pt idx="12">
                  <c:v>Jun 18</c:v>
                </c:pt>
                <c:pt idx="13">
                  <c:v>Jul 18</c:v>
                </c:pt>
                <c:pt idx="14">
                  <c:v>Aug 18</c:v>
                </c:pt>
                <c:pt idx="15">
                  <c:v>Sep 18</c:v>
                </c:pt>
                <c:pt idx="16">
                  <c:v>Oct 18</c:v>
                </c:pt>
                <c:pt idx="17">
                  <c:v>Nov 18</c:v>
                </c:pt>
                <c:pt idx="18">
                  <c:v>Dec 18</c:v>
                </c:pt>
                <c:pt idx="19">
                  <c:v>Jan 19</c:v>
                </c:pt>
                <c:pt idx="20">
                  <c:v>Feb 19</c:v>
                </c:pt>
                <c:pt idx="21">
                  <c:v>Mar 19</c:v>
                </c:pt>
                <c:pt idx="22">
                  <c:v>Apr 19</c:v>
                </c:pt>
                <c:pt idx="23">
                  <c:v>May 19</c:v>
                </c:pt>
                <c:pt idx="24">
                  <c:v>Jun 19</c:v>
                </c:pt>
                <c:pt idx="25">
                  <c:v>Jul 19</c:v>
                </c:pt>
                <c:pt idx="26">
                  <c:v>Aug 19</c:v>
                </c:pt>
                <c:pt idx="27">
                  <c:v>Sep 19</c:v>
                </c:pt>
                <c:pt idx="28">
                  <c:v>Oct 19</c:v>
                </c:pt>
                <c:pt idx="29">
                  <c:v>Nov 19</c:v>
                </c:pt>
                <c:pt idx="30">
                  <c:v>Dec 19</c:v>
                </c:pt>
                <c:pt idx="31">
                  <c:v>Jan 20</c:v>
                </c:pt>
                <c:pt idx="32">
                  <c:v>Feb 20</c:v>
                </c:pt>
                <c:pt idx="33">
                  <c:v>Mar 20</c:v>
                </c:pt>
                <c:pt idx="34">
                  <c:v>Apr 20</c:v>
                </c:pt>
                <c:pt idx="35">
                  <c:v>May 20</c:v>
                </c:pt>
                <c:pt idx="36">
                  <c:v>Jun 20</c:v>
                </c:pt>
                <c:pt idx="37">
                  <c:v>Jul 20</c:v>
                </c:pt>
                <c:pt idx="38">
                  <c:v>Aug 20</c:v>
                </c:pt>
                <c:pt idx="39">
                  <c:v>Sep 20</c:v>
                </c:pt>
                <c:pt idx="40">
                  <c:v>Oct 20</c:v>
                </c:pt>
                <c:pt idx="41">
                  <c:v>Nov 20</c:v>
                </c:pt>
                <c:pt idx="42">
                  <c:v>Dec 20</c:v>
                </c:pt>
                <c:pt idx="43">
                  <c:v>Jan 21</c:v>
                </c:pt>
                <c:pt idx="44">
                  <c:v>Feb 21</c:v>
                </c:pt>
                <c:pt idx="45">
                  <c:v>Mar 21</c:v>
                </c:pt>
                <c:pt idx="46">
                  <c:v>Apr 21</c:v>
                </c:pt>
                <c:pt idx="47">
                  <c:v>May 21</c:v>
                </c:pt>
                <c:pt idx="48">
                  <c:v>Jun 21</c:v>
                </c:pt>
                <c:pt idx="49">
                  <c:v>Jul 21</c:v>
                </c:pt>
                <c:pt idx="50">
                  <c:v>Aug 21</c:v>
                </c:pt>
                <c:pt idx="51">
                  <c:v>Sep 21</c:v>
                </c:pt>
                <c:pt idx="52">
                  <c:v>Oct 21</c:v>
                </c:pt>
                <c:pt idx="53">
                  <c:v>Nov 21</c:v>
                </c:pt>
                <c:pt idx="54">
                  <c:v>Dec 21</c:v>
                </c:pt>
                <c:pt idx="55">
                  <c:v>Jan 22</c:v>
                </c:pt>
                <c:pt idx="56">
                  <c:v>Feb 22</c:v>
                </c:pt>
                <c:pt idx="57">
                  <c:v>Mar 22</c:v>
                </c:pt>
                <c:pt idx="58">
                  <c:v>Apr 22</c:v>
                </c:pt>
                <c:pt idx="59">
                  <c:v>May 22</c:v>
                </c:pt>
                <c:pt idx="60">
                  <c:v>Jun 22</c:v>
                </c:pt>
                <c:pt idx="61">
                  <c:v>Jul 22</c:v>
                </c:pt>
                <c:pt idx="62">
                  <c:v>Aug 22</c:v>
                </c:pt>
                <c:pt idx="63">
                  <c:v>Sep 22</c:v>
                </c:pt>
                <c:pt idx="64">
                  <c:v>Oct 22</c:v>
                </c:pt>
                <c:pt idx="65">
                  <c:v>Nov 22</c:v>
                </c:pt>
                <c:pt idx="66">
                  <c:v>Dec 22</c:v>
                </c:pt>
                <c:pt idx="67">
                  <c:v>Jan 23</c:v>
                </c:pt>
                <c:pt idx="68">
                  <c:v>Feb 23</c:v>
                </c:pt>
                <c:pt idx="69">
                  <c:v>Mar 23</c:v>
                </c:pt>
                <c:pt idx="70">
                  <c:v>Apr 23</c:v>
                </c:pt>
                <c:pt idx="71">
                  <c:v>May 23</c:v>
                </c:pt>
                <c:pt idx="72">
                  <c:v>Jun 23</c:v>
                </c:pt>
                <c:pt idx="73">
                  <c:v>Jul 23</c:v>
                </c:pt>
                <c:pt idx="74">
                  <c:v>Aug 23</c:v>
                </c:pt>
                <c:pt idx="75">
                  <c:v>Sep 23</c:v>
                </c:pt>
                <c:pt idx="76">
                  <c:v>Oct 23</c:v>
                </c:pt>
                <c:pt idx="77">
                  <c:v>Nov 23</c:v>
                </c:pt>
                <c:pt idx="78">
                  <c:v>Dec 23</c:v>
                </c:pt>
                <c:pt idx="79">
                  <c:v>Jan 24</c:v>
                </c:pt>
                <c:pt idx="80">
                  <c:v>Feb 24</c:v>
                </c:pt>
                <c:pt idx="81">
                  <c:v>Mar 24</c:v>
                </c:pt>
                <c:pt idx="82">
                  <c:v>Apr 24</c:v>
                </c:pt>
                <c:pt idx="83">
                  <c:v>May 24</c:v>
                </c:pt>
                <c:pt idx="84">
                  <c:v>Jun 24</c:v>
                </c:pt>
                <c:pt idx="85">
                  <c:v>Jul 24</c:v>
                </c:pt>
                <c:pt idx="86">
                  <c:v>Aug 24</c:v>
                </c:pt>
                <c:pt idx="87">
                  <c:v>Sep 24</c:v>
                </c:pt>
                <c:pt idx="88">
                  <c:v>Oct 24</c:v>
                </c:pt>
                <c:pt idx="89">
                  <c:v>Nov 24</c:v>
                </c:pt>
                <c:pt idx="90">
                  <c:v>Dec 24</c:v>
                </c:pt>
                <c:pt idx="91">
                  <c:v>Jan 25</c:v>
                </c:pt>
                <c:pt idx="92">
                  <c:v>Feb 25</c:v>
                </c:pt>
                <c:pt idx="93">
                  <c:v>Mar 25</c:v>
                </c:pt>
                <c:pt idx="94">
                  <c:v>Apr 25</c:v>
                </c:pt>
                <c:pt idx="95">
                  <c:v>May 25</c:v>
                </c:pt>
                <c:pt idx="96">
                  <c:v>Jun 25</c:v>
                </c:pt>
                <c:pt idx="97">
                  <c:v>Jul 25</c:v>
                </c:pt>
                <c:pt idx="98">
                  <c:v>Aug 25</c:v>
                </c:pt>
                <c:pt idx="99">
                  <c:v>Sep 25</c:v>
                </c:pt>
                <c:pt idx="100">
                  <c:v>Oct 25</c:v>
                </c:pt>
                <c:pt idx="101">
                  <c:v>Nov 25</c:v>
                </c:pt>
                <c:pt idx="102">
                  <c:v>Dec 25</c:v>
                </c:pt>
                <c:pt idx="103">
                  <c:v>Jan 26</c:v>
                </c:pt>
                <c:pt idx="104">
                  <c:v>Feb 26</c:v>
                </c:pt>
                <c:pt idx="105">
                  <c:v>Mar 26</c:v>
                </c:pt>
                <c:pt idx="106">
                  <c:v>Apr 26</c:v>
                </c:pt>
                <c:pt idx="107">
                  <c:v>May 26</c:v>
                </c:pt>
                <c:pt idx="108">
                  <c:v>Jun 26</c:v>
                </c:pt>
                <c:pt idx="109">
                  <c:v>Jul 26</c:v>
                </c:pt>
                <c:pt idx="110">
                  <c:v>Aug 26</c:v>
                </c:pt>
                <c:pt idx="111">
                  <c:v>Sep 26</c:v>
                </c:pt>
                <c:pt idx="112">
                  <c:v>Oct 26</c:v>
                </c:pt>
                <c:pt idx="113">
                  <c:v>Nov 26</c:v>
                </c:pt>
                <c:pt idx="114">
                  <c:v>Dec 26</c:v>
                </c:pt>
                <c:pt idx="115">
                  <c:v>Jan 27</c:v>
                </c:pt>
                <c:pt idx="116">
                  <c:v>Feb 27</c:v>
                </c:pt>
                <c:pt idx="117">
                  <c:v>Mar 27</c:v>
                </c:pt>
                <c:pt idx="118">
                  <c:v>Apr 27</c:v>
                </c:pt>
                <c:pt idx="119">
                  <c:v>May 27</c:v>
                </c:pt>
              </c:strCache>
            </c:strRef>
          </c:cat>
          <c:val>
            <c:numRef>
              <c:f>'variables - Table 1-1'!$B$2:$B$121</c:f>
              <c:numCache>
                <c:ptCount val="120"/>
                <c:pt idx="0">
                  <c:v>664.700000</c:v>
                </c:pt>
                <c:pt idx="1">
                  <c:v>653.200000</c:v>
                </c:pt>
                <c:pt idx="2">
                  <c:v>631.400000</c:v>
                </c:pt>
                <c:pt idx="3">
                  <c:v>635.400000</c:v>
                </c:pt>
                <c:pt idx="4">
                  <c:v>621.020000</c:v>
                </c:pt>
                <c:pt idx="5">
                  <c:v>643.800000</c:v>
                </c:pt>
                <c:pt idx="6">
                  <c:v>614.400000</c:v>
                </c:pt>
                <c:pt idx="7">
                  <c:v>606.400000</c:v>
                </c:pt>
                <c:pt idx="8">
                  <c:v>591.500000</c:v>
                </c:pt>
                <c:pt idx="9">
                  <c:v>603.400000</c:v>
                </c:pt>
                <c:pt idx="10">
                  <c:v>605.700000</c:v>
                </c:pt>
                <c:pt idx="11">
                  <c:v>627.200000</c:v>
                </c:pt>
                <c:pt idx="12">
                  <c:v>649.000000</c:v>
                </c:pt>
                <c:pt idx="13">
                  <c:v>638.100000</c:v>
                </c:pt>
                <c:pt idx="14">
                  <c:v>679.000000</c:v>
                </c:pt>
                <c:pt idx="15">
                  <c:v>659.400000</c:v>
                </c:pt>
                <c:pt idx="16">
                  <c:v>693.000000</c:v>
                </c:pt>
                <c:pt idx="17">
                  <c:v>670.000000</c:v>
                </c:pt>
                <c:pt idx="18">
                  <c:v>693.500000</c:v>
                </c:pt>
                <c:pt idx="19">
                  <c:v>663.400000</c:v>
                </c:pt>
                <c:pt idx="20">
                  <c:v>648.700000</c:v>
                </c:pt>
                <c:pt idx="21">
                  <c:v>682.100000</c:v>
                </c:pt>
                <c:pt idx="22">
                  <c:v>678.140000</c:v>
                </c:pt>
                <c:pt idx="23">
                  <c:v>709.640000</c:v>
                </c:pt>
                <c:pt idx="24">
                  <c:v>680.170000</c:v>
                </c:pt>
                <c:pt idx="25">
                  <c:v>699.000000</c:v>
                </c:pt>
                <c:pt idx="26">
                  <c:v>720.840000</c:v>
                </c:pt>
                <c:pt idx="27">
                  <c:v>725.990000</c:v>
                </c:pt>
                <c:pt idx="28">
                  <c:v>741.767700</c:v>
                </c:pt>
                <c:pt idx="29">
                  <c:v>828.400000</c:v>
                </c:pt>
                <c:pt idx="30">
                  <c:v>732.200000</c:v>
                </c:pt>
                <c:pt idx="31">
                  <c:v>796.800000</c:v>
                </c:pt>
                <c:pt idx="32">
                  <c:v>814.000000</c:v>
                </c:pt>
                <c:pt idx="33">
                  <c:v>859.200000</c:v>
                </c:pt>
                <c:pt idx="34">
                  <c:v>834.100000</c:v>
                </c:pt>
                <c:pt idx="35">
                  <c:v>808.100000</c:v>
                </c:pt>
                <c:pt idx="36">
                  <c:v>821.000000</c:v>
                </c:pt>
                <c:pt idx="37">
                  <c:v>761.000000</c:v>
                </c:pt>
                <c:pt idx="38">
                  <c:v>779.000000</c:v>
                </c:pt>
                <c:pt idx="39">
                  <c:v>784.100000</c:v>
                </c:pt>
                <c:pt idx="40">
                  <c:v>771.500000</c:v>
                </c:pt>
                <c:pt idx="41">
                  <c:v>768.200000</c:v>
                </c:pt>
                <c:pt idx="42">
                  <c:v>711.000000</c:v>
                </c:pt>
                <c:pt idx="43">
                  <c:v>735.500000</c:v>
                </c:pt>
                <c:pt idx="44">
                  <c:v>715.500000</c:v>
                </c:pt>
                <c:pt idx="45">
                  <c:v>728.800000</c:v>
                </c:pt>
                <c:pt idx="46">
                  <c:v>708.900000</c:v>
                </c:pt>
                <c:pt idx="47">
                  <c:v>724.000000</c:v>
                </c:pt>
                <c:pt idx="48">
                  <c:v>727.200000</c:v>
                </c:pt>
                <c:pt idx="49">
                  <c:v>759.780000</c:v>
                </c:pt>
                <c:pt idx="50">
                  <c:v>782.220000</c:v>
                </c:pt>
                <c:pt idx="51">
                  <c:v>809.500000</c:v>
                </c:pt>
                <c:pt idx="52">
                  <c:v>805.390000</c:v>
                </c:pt>
                <c:pt idx="53">
                  <c:v>843.500000</c:v>
                </c:pt>
                <c:pt idx="54">
                  <c:v>851.500000</c:v>
                </c:pt>
                <c:pt idx="55">
                  <c:v>794.688200</c:v>
                </c:pt>
                <c:pt idx="56">
                  <c:v>791.463700</c:v>
                </c:pt>
                <c:pt idx="57">
                  <c:v>788.630000</c:v>
                </c:pt>
                <c:pt idx="58">
                  <c:v>857.510000</c:v>
                </c:pt>
                <c:pt idx="59">
                  <c:v>829.990000</c:v>
                </c:pt>
                <c:pt idx="60">
                  <c:v>926.300000</c:v>
                </c:pt>
                <c:pt idx="61">
                  <c:v>908.450000</c:v>
                </c:pt>
                <c:pt idx="62">
                  <c:v>889.950000</c:v>
                </c:pt>
                <c:pt idx="63">
                  <c:v>963.250000</c:v>
                </c:pt>
                <c:pt idx="64">
                  <c:v>942.900000</c:v>
                </c:pt>
                <c:pt idx="65">
                  <c:v>900.050000</c:v>
                </c:pt>
                <c:pt idx="66">
                  <c:v>856.000000</c:v>
                </c:pt>
                <c:pt idx="67">
                  <c:v>807.000000</c:v>
                </c:pt>
                <c:pt idx="68">
                  <c:v>833.140000</c:v>
                </c:pt>
                <c:pt idx="69">
                  <c:v>788.820000</c:v>
                </c:pt>
                <c:pt idx="70">
                  <c:v>802.860000</c:v>
                </c:pt>
                <c:pt idx="71">
                  <c:v>804.350000</c:v>
                </c:pt>
                <c:pt idx="72">
                  <c:v>802.850000</c:v>
                </c:pt>
                <c:pt idx="73">
                  <c:v>827.790000</c:v>
                </c:pt>
                <c:pt idx="74">
                  <c:v>851.810000</c:v>
                </c:pt>
                <c:pt idx="75">
                  <c:v>904.900000</c:v>
                </c:pt>
                <c:pt idx="76">
                  <c:v>906.940000</c:v>
                </c:pt>
                <c:pt idx="77">
                  <c:v>869.150000</c:v>
                </c:pt>
                <c:pt idx="78">
                  <c:v>884.640000</c:v>
                </c:pt>
                <c:pt idx="79">
                  <c:v>932.150000</c:v>
                </c:pt>
                <c:pt idx="80">
                  <c:v>980.980000</c:v>
                </c:pt>
                <c:pt idx="81">
                  <c:v>980.460000</c:v>
                </c:pt>
                <c:pt idx="82">
                  <c:v>941.540000</c:v>
                </c:pt>
                <c:pt idx="83">
                  <c:v>916.840000</c:v>
                </c:pt>
                <c:pt idx="84">
                  <c:v>954.130000</c:v>
                </c:pt>
                <c:pt idx="85">
                  <c:v>955.540000</c:v>
                </c:pt>
                <c:pt idx="86">
                  <c:v>914.580000</c:v>
                </c:pt>
                <c:pt idx="87">
                  <c:v>899.750000</c:v>
                </c:pt>
                <c:pt idx="88">
                  <c:v>961.340000</c:v>
                </c:pt>
                <c:pt idx="89">
                  <c:v>977.440000</c:v>
                </c:pt>
                <c:pt idx="90">
                  <c:v>993.350000</c:v>
                </c:pt>
                <c:pt idx="91">
                  <c:v>983.770000</c:v>
                </c:pt>
                <c:pt idx="92">
                  <c:v>952.240000</c:v>
                </c:pt>
                <c:pt idx="93">
                  <c:v>916.335300</c:v>
                </c:pt>
                <c:pt idx="94">
                  <c:v>945.190000</c:v>
                </c:pt>
                <c:pt idx="95">
                  <c:v>938.430000</c:v>
                </c:pt>
                <c:pt idx="96">
                  <c:v>919.104300</c:v>
                </c:pt>
                <c:pt idx="97">
                  <c:v>981.430000</c:v>
                </c:pt>
                <c:pt idx="98">
                  <c:v>967.820000</c:v>
                </c:pt>
                <c:pt idx="99">
                  <c:v>964.940000</c:v>
                </c:pt>
                <c:pt idx="100">
                  <c:v>940.510000</c:v>
                </c:pt>
                <c:pt idx="101">
                  <c:v>926.880000</c:v>
                </c:pt>
                <c:pt idx="102">
                  <c:v>899.940000</c:v>
                </c:pt>
                <c:pt idx="103">
                  <c:v>859.160000</c:v>
                </c:pt>
                <c:pt idx="104">
                  <c:v>865.170000</c:v>
                </c:pt>
                <c:pt idx="105">
                  <c:v>930.220000</c:v>
                </c:pt>
                <c:pt idx="106">
                  <c:v>904.470000</c:v>
                </c:pt>
                <c:pt idx="107">
                  <c:v>886.940000</c:v>
                </c:pt>
                <c:pt idx="108">
                  <c:v>886.940000</c:v>
                </c:pt>
                <c:pt idx="109">
                  <c:v>886.940000</c:v>
                </c:pt>
                <c:pt idx="110">
                  <c:v>886.940000</c:v>
                </c:pt>
                <c:pt idx="111">
                  <c:v>886.940000</c:v>
                </c:pt>
                <c:pt idx="112">
                  <c:v>886.940000</c:v>
                </c:pt>
                <c:pt idx="113">
                  <c:v>886.940000</c:v>
                </c:pt>
                <c:pt idx="114">
                  <c:v>886.940000</c:v>
                </c:pt>
                <c:pt idx="115">
                  <c:v>886.940000</c:v>
                </c:pt>
                <c:pt idx="116">
                  <c:v>886.940000</c:v>
                </c:pt>
                <c:pt idx="117">
                  <c:v>886.940000</c:v>
                </c:pt>
                <c:pt idx="118">
                  <c:v>886.940000</c:v>
                </c:pt>
                <c:pt idx="119">
                  <c:v>886.940000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500"/>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833142"/>
          <c:y val="0"/>
          <c:w val="0.884717"/>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7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510234"/>
          <c:y val="0.120805"/>
          <c:w val="0.883331"/>
          <c:h val="0.814681"/>
        </c:manualLayout>
      </c:layout>
      <c:lineChart>
        <c:grouping val="standard"/>
        <c:varyColors val="0"/>
        <c:ser>
          <c:idx val="0"/>
          <c:order val="0"/>
          <c:tx>
            <c:strRef>
              <c:f>'tracking - Table 3'!$B$1:$B$2</c:f>
              <c:strCache>
                <c:ptCount val="1"/>
                <c:pt idx="0">
                  <c:v>Left Arm Flexed</c:v>
                </c:pt>
              </c:strCache>
            </c:strRef>
          </c:tx>
          <c:spPr>
            <a:solidFill>
              <a:srgbClr val="FFFFFF"/>
            </a:solidFill>
            <a:ln w="50800" cap="flat">
              <a:solidFill>
                <a:srgbClr val="51A7F9"/>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3'!$A$3:$A$80</c:f>
              <c:strCache>
                <c:ptCount val="78"/>
                <c:pt idx="0">
                  <c:v>24 May</c:v>
                </c:pt>
                <c:pt idx="1">
                  <c:v>30 May</c:v>
                </c:pt>
                <c:pt idx="2">
                  <c:v>6 Jun</c:v>
                </c:pt>
                <c:pt idx="3">
                  <c:v>13 Jun</c:v>
                </c:pt>
                <c:pt idx="4">
                  <c:v>20 Jun</c:v>
                </c:pt>
                <c:pt idx="5">
                  <c:v>27 Jun</c:v>
                </c:pt>
                <c:pt idx="6">
                  <c:v>4 Jul</c:v>
                </c:pt>
                <c:pt idx="7">
                  <c:v>11 Jul</c:v>
                </c:pt>
                <c:pt idx="8">
                  <c:v>18 Jul</c:v>
                </c:pt>
                <c:pt idx="9">
                  <c:v>25 Jul</c:v>
                </c:pt>
                <c:pt idx="10">
                  <c:v>1 Aug</c:v>
                </c:pt>
                <c:pt idx="11">
                  <c:v>8 Aug</c:v>
                </c:pt>
                <c:pt idx="12">
                  <c:v>15 Aug</c:v>
                </c:pt>
                <c:pt idx="13">
                  <c:v>22 Aug</c:v>
                </c:pt>
                <c:pt idx="14">
                  <c:v>29 Aug</c:v>
                </c:pt>
                <c:pt idx="15">
                  <c:v>5 Sep</c:v>
                </c:pt>
                <c:pt idx="16">
                  <c:v>12 Sep</c:v>
                </c:pt>
                <c:pt idx="17">
                  <c:v>19 Sep</c:v>
                </c:pt>
                <c:pt idx="18">
                  <c:v>26 Sep</c:v>
                </c:pt>
                <c:pt idx="19">
                  <c:v>3 Oct</c:v>
                </c:pt>
                <c:pt idx="20">
                  <c:v>10 Oct</c:v>
                </c:pt>
                <c:pt idx="21">
                  <c:v>17 Oct</c:v>
                </c:pt>
                <c:pt idx="22">
                  <c:v>24 Oct</c:v>
                </c:pt>
                <c:pt idx="23">
                  <c:v>31 Oct</c:v>
                </c:pt>
                <c:pt idx="24">
                  <c:v>7 Nov</c:v>
                </c:pt>
                <c:pt idx="25">
                  <c:v>14 Nov</c:v>
                </c:pt>
                <c:pt idx="26">
                  <c:v>21 Nov</c:v>
                </c:pt>
                <c:pt idx="27">
                  <c:v>28 Nov</c:v>
                </c:pt>
                <c:pt idx="28">
                  <c:v>5 Dec</c:v>
                </c:pt>
                <c:pt idx="29">
                  <c:v>12 Dec</c:v>
                </c:pt>
                <c:pt idx="30">
                  <c:v>19 Dec</c:v>
                </c:pt>
                <c:pt idx="31">
                  <c:v>26 Dec</c:v>
                </c:pt>
                <c:pt idx="32">
                  <c:v>2 Jan</c:v>
                </c:pt>
                <c:pt idx="33">
                  <c:v>9 Jan</c:v>
                </c:pt>
                <c:pt idx="34">
                  <c:v>16 Jan</c:v>
                </c:pt>
                <c:pt idx="35">
                  <c:v>23 Jan</c:v>
                </c:pt>
                <c:pt idx="36">
                  <c:v>30 Jan</c:v>
                </c:pt>
                <c:pt idx="37">
                  <c:v>6 Feb</c:v>
                </c:pt>
                <c:pt idx="38">
                  <c:v>13 Feb</c:v>
                </c:pt>
                <c:pt idx="39">
                  <c:v>20 Feb</c:v>
                </c:pt>
                <c:pt idx="40">
                  <c:v>27 Feb</c:v>
                </c:pt>
                <c:pt idx="41">
                  <c:v>6 Mar</c:v>
                </c:pt>
                <c:pt idx="42">
                  <c:v>13 Mar</c:v>
                </c:pt>
                <c:pt idx="43">
                  <c:v>20 Mar</c:v>
                </c:pt>
                <c:pt idx="44">
                  <c:v>27 Mar</c:v>
                </c:pt>
                <c:pt idx="45">
                  <c:v>3 Apr</c:v>
                </c:pt>
                <c:pt idx="46">
                  <c:v>10 Apr</c:v>
                </c:pt>
                <c:pt idx="47">
                  <c:v>17 Apr</c:v>
                </c:pt>
                <c:pt idx="48">
                  <c:v>24 Apr</c:v>
                </c:pt>
                <c:pt idx="49">
                  <c:v>1 May</c:v>
                </c:pt>
                <c:pt idx="50">
                  <c:v>8 May</c:v>
                </c:pt>
                <c:pt idx="51">
                  <c:v>15 May</c:v>
                </c:pt>
                <c:pt idx="52">
                  <c:v>22 May</c:v>
                </c:pt>
                <c:pt idx="53">
                  <c:v>29 May</c:v>
                </c:pt>
                <c:pt idx="54">
                  <c:v>5 Jun</c:v>
                </c:pt>
                <c:pt idx="55">
                  <c:v>12 Jun</c:v>
                </c:pt>
                <c:pt idx="56">
                  <c:v>19 Jun</c:v>
                </c:pt>
                <c:pt idx="57">
                  <c:v>26 Jun</c:v>
                </c:pt>
                <c:pt idx="58">
                  <c:v>3 Jul</c:v>
                </c:pt>
                <c:pt idx="59">
                  <c:v>10 Jul</c:v>
                </c:pt>
                <c:pt idx="60">
                  <c:v>17 Jul</c:v>
                </c:pt>
                <c:pt idx="61">
                  <c:v>24 Jul</c:v>
                </c:pt>
                <c:pt idx="62">
                  <c:v>31 Jul</c:v>
                </c:pt>
                <c:pt idx="63">
                  <c:v>7 Aug</c:v>
                </c:pt>
                <c:pt idx="64">
                  <c:v>14 Aug</c:v>
                </c:pt>
                <c:pt idx="65">
                  <c:v>21 Aug</c:v>
                </c:pt>
                <c:pt idx="66">
                  <c:v>28 Aug</c:v>
                </c:pt>
                <c:pt idx="67">
                  <c:v>4 Sep</c:v>
                </c:pt>
                <c:pt idx="68">
                  <c:v>11 Sep</c:v>
                </c:pt>
                <c:pt idx="69">
                  <c:v>18 Sep</c:v>
                </c:pt>
                <c:pt idx="70">
                  <c:v>25 Sep</c:v>
                </c:pt>
                <c:pt idx="71">
                  <c:v>2 Oct</c:v>
                </c:pt>
                <c:pt idx="72">
                  <c:v>9 Oct</c:v>
                </c:pt>
                <c:pt idx="73">
                  <c:v>16 Oct</c:v>
                </c:pt>
                <c:pt idx="74">
                  <c:v>23 Oct</c:v>
                </c:pt>
                <c:pt idx="75">
                  <c:v>30 Oct</c:v>
                </c:pt>
                <c:pt idx="76">
                  <c:v>6 Nov</c:v>
                </c:pt>
                <c:pt idx="77">
                  <c:v>13 Nov</c:v>
                </c:pt>
              </c:strCache>
            </c:strRef>
          </c:cat>
          <c:val>
            <c:numRef>
              <c:f>'tracking - Table 3'!$B$3:$B$80</c:f>
              <c:numCache>
                <c:ptCount val="31"/>
                <c:pt idx="0">
                  <c:v>30.200000</c:v>
                </c:pt>
                <c:pt idx="1">
                  <c:v>30.500000</c:v>
                </c:pt>
                <c:pt idx="2">
                  <c:v>31.200000</c:v>
                </c:pt>
                <c:pt idx="3">
                  <c:v>31.500000</c:v>
                </c:pt>
                <c:pt idx="4">
                  <c:v>31.600000</c:v>
                </c:pt>
                <c:pt idx="5">
                  <c:v>32.000000</c:v>
                </c:pt>
                <c:pt idx="6">
                  <c:v>32.500000</c:v>
                </c:pt>
                <c:pt idx="7">
                  <c:v>33.000000</c:v>
                </c:pt>
                <c:pt idx="8">
                  <c:v>33.200000</c:v>
                </c:pt>
                <c:pt idx="9">
                  <c:v>33.200000</c:v>
                </c:pt>
                <c:pt idx="10">
                  <c:v>33.400000</c:v>
                </c:pt>
                <c:pt idx="11">
                  <c:v>33.700000</c:v>
                </c:pt>
                <c:pt idx="12">
                  <c:v>33.700000</c:v>
                </c:pt>
                <c:pt idx="13">
                  <c:v>33.100000</c:v>
                </c:pt>
                <c:pt idx="33">
                  <c:v>31.500000</c:v>
                </c:pt>
                <c:pt idx="34">
                  <c:v>31.500000</c:v>
                </c:pt>
                <c:pt idx="35">
                  <c:v>32.000000</c:v>
                </c:pt>
                <c:pt idx="36">
                  <c:v>32.000000</c:v>
                </c:pt>
                <c:pt idx="37">
                  <c:v>32.500000</c:v>
                </c:pt>
                <c:pt idx="38">
                  <c:v>33.000000</c:v>
                </c:pt>
                <c:pt idx="40">
                  <c:v>32.800000</c:v>
                </c:pt>
                <c:pt idx="41">
                  <c:v>32.600000</c:v>
                </c:pt>
                <c:pt idx="42">
                  <c:v>33.200000</c:v>
                </c:pt>
                <c:pt idx="43">
                  <c:v>33.600000</c:v>
                </c:pt>
                <c:pt idx="44">
                  <c:v>33.500000</c:v>
                </c:pt>
                <c:pt idx="45">
                  <c:v>33.500000</c:v>
                </c:pt>
                <c:pt idx="46">
                  <c:v>33.500000</c:v>
                </c:pt>
                <c:pt idx="47">
                  <c:v>34.000000</c:v>
                </c:pt>
                <c:pt idx="48">
                  <c:v>34.400000</c:v>
                </c:pt>
                <c:pt idx="49">
                  <c:v>34.400000</c:v>
                </c:pt>
                <c:pt idx="69">
                  <c:v>34.800000</c:v>
                </c:pt>
              </c:numCache>
            </c:numRef>
          </c:val>
          <c:smooth val="0"/>
        </c:ser>
        <c:ser>
          <c:idx val="1"/>
          <c:order val="1"/>
          <c:tx>
            <c:strRef>
              <c:f>'tracking - Table 3'!$C$1:$C$2</c:f>
              <c:strCache>
                <c:ptCount val="1"/>
                <c:pt idx="0">
                  <c:v>Relaxed</c:v>
                </c:pt>
              </c:strCache>
            </c:strRef>
          </c:tx>
          <c:spPr>
            <a:solidFill>
              <a:srgbClr val="FFFFFF"/>
            </a:solidFill>
            <a:ln w="25400" cap="flat">
              <a:solidFill>
                <a:srgbClr val="51A7F9">
                  <a:alpha val="51206"/>
                </a:srgbClr>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3'!$A$3:$A$80</c:f>
              <c:strCache>
                <c:ptCount val="78"/>
                <c:pt idx="0">
                  <c:v>24 May</c:v>
                </c:pt>
                <c:pt idx="1">
                  <c:v>30 May</c:v>
                </c:pt>
                <c:pt idx="2">
                  <c:v>6 Jun</c:v>
                </c:pt>
                <c:pt idx="3">
                  <c:v>13 Jun</c:v>
                </c:pt>
                <c:pt idx="4">
                  <c:v>20 Jun</c:v>
                </c:pt>
                <c:pt idx="5">
                  <c:v>27 Jun</c:v>
                </c:pt>
                <c:pt idx="6">
                  <c:v>4 Jul</c:v>
                </c:pt>
                <c:pt idx="7">
                  <c:v>11 Jul</c:v>
                </c:pt>
                <c:pt idx="8">
                  <c:v>18 Jul</c:v>
                </c:pt>
                <c:pt idx="9">
                  <c:v>25 Jul</c:v>
                </c:pt>
                <c:pt idx="10">
                  <c:v>1 Aug</c:v>
                </c:pt>
                <c:pt idx="11">
                  <c:v>8 Aug</c:v>
                </c:pt>
                <c:pt idx="12">
                  <c:v>15 Aug</c:v>
                </c:pt>
                <c:pt idx="13">
                  <c:v>22 Aug</c:v>
                </c:pt>
                <c:pt idx="14">
                  <c:v>29 Aug</c:v>
                </c:pt>
                <c:pt idx="15">
                  <c:v>5 Sep</c:v>
                </c:pt>
                <c:pt idx="16">
                  <c:v>12 Sep</c:v>
                </c:pt>
                <c:pt idx="17">
                  <c:v>19 Sep</c:v>
                </c:pt>
                <c:pt idx="18">
                  <c:v>26 Sep</c:v>
                </c:pt>
                <c:pt idx="19">
                  <c:v>3 Oct</c:v>
                </c:pt>
                <c:pt idx="20">
                  <c:v>10 Oct</c:v>
                </c:pt>
                <c:pt idx="21">
                  <c:v>17 Oct</c:v>
                </c:pt>
                <c:pt idx="22">
                  <c:v>24 Oct</c:v>
                </c:pt>
                <c:pt idx="23">
                  <c:v>31 Oct</c:v>
                </c:pt>
                <c:pt idx="24">
                  <c:v>7 Nov</c:v>
                </c:pt>
                <c:pt idx="25">
                  <c:v>14 Nov</c:v>
                </c:pt>
                <c:pt idx="26">
                  <c:v>21 Nov</c:v>
                </c:pt>
                <c:pt idx="27">
                  <c:v>28 Nov</c:v>
                </c:pt>
                <c:pt idx="28">
                  <c:v>5 Dec</c:v>
                </c:pt>
                <c:pt idx="29">
                  <c:v>12 Dec</c:v>
                </c:pt>
                <c:pt idx="30">
                  <c:v>19 Dec</c:v>
                </c:pt>
                <c:pt idx="31">
                  <c:v>26 Dec</c:v>
                </c:pt>
                <c:pt idx="32">
                  <c:v>2 Jan</c:v>
                </c:pt>
                <c:pt idx="33">
                  <c:v>9 Jan</c:v>
                </c:pt>
                <c:pt idx="34">
                  <c:v>16 Jan</c:v>
                </c:pt>
                <c:pt idx="35">
                  <c:v>23 Jan</c:v>
                </c:pt>
                <c:pt idx="36">
                  <c:v>30 Jan</c:v>
                </c:pt>
                <c:pt idx="37">
                  <c:v>6 Feb</c:v>
                </c:pt>
                <c:pt idx="38">
                  <c:v>13 Feb</c:v>
                </c:pt>
                <c:pt idx="39">
                  <c:v>20 Feb</c:v>
                </c:pt>
                <c:pt idx="40">
                  <c:v>27 Feb</c:v>
                </c:pt>
                <c:pt idx="41">
                  <c:v>6 Mar</c:v>
                </c:pt>
                <c:pt idx="42">
                  <c:v>13 Mar</c:v>
                </c:pt>
                <c:pt idx="43">
                  <c:v>20 Mar</c:v>
                </c:pt>
                <c:pt idx="44">
                  <c:v>27 Mar</c:v>
                </c:pt>
                <c:pt idx="45">
                  <c:v>3 Apr</c:v>
                </c:pt>
                <c:pt idx="46">
                  <c:v>10 Apr</c:v>
                </c:pt>
                <c:pt idx="47">
                  <c:v>17 Apr</c:v>
                </c:pt>
                <c:pt idx="48">
                  <c:v>24 Apr</c:v>
                </c:pt>
                <c:pt idx="49">
                  <c:v>1 May</c:v>
                </c:pt>
                <c:pt idx="50">
                  <c:v>8 May</c:v>
                </c:pt>
                <c:pt idx="51">
                  <c:v>15 May</c:v>
                </c:pt>
                <c:pt idx="52">
                  <c:v>22 May</c:v>
                </c:pt>
                <c:pt idx="53">
                  <c:v>29 May</c:v>
                </c:pt>
                <c:pt idx="54">
                  <c:v>5 Jun</c:v>
                </c:pt>
                <c:pt idx="55">
                  <c:v>12 Jun</c:v>
                </c:pt>
                <c:pt idx="56">
                  <c:v>19 Jun</c:v>
                </c:pt>
                <c:pt idx="57">
                  <c:v>26 Jun</c:v>
                </c:pt>
                <c:pt idx="58">
                  <c:v>3 Jul</c:v>
                </c:pt>
                <c:pt idx="59">
                  <c:v>10 Jul</c:v>
                </c:pt>
                <c:pt idx="60">
                  <c:v>17 Jul</c:v>
                </c:pt>
                <c:pt idx="61">
                  <c:v>24 Jul</c:v>
                </c:pt>
                <c:pt idx="62">
                  <c:v>31 Jul</c:v>
                </c:pt>
                <c:pt idx="63">
                  <c:v>7 Aug</c:v>
                </c:pt>
                <c:pt idx="64">
                  <c:v>14 Aug</c:v>
                </c:pt>
                <c:pt idx="65">
                  <c:v>21 Aug</c:v>
                </c:pt>
                <c:pt idx="66">
                  <c:v>28 Aug</c:v>
                </c:pt>
                <c:pt idx="67">
                  <c:v>4 Sep</c:v>
                </c:pt>
                <c:pt idx="68">
                  <c:v>11 Sep</c:v>
                </c:pt>
                <c:pt idx="69">
                  <c:v>18 Sep</c:v>
                </c:pt>
                <c:pt idx="70">
                  <c:v>25 Sep</c:v>
                </c:pt>
                <c:pt idx="71">
                  <c:v>2 Oct</c:v>
                </c:pt>
                <c:pt idx="72">
                  <c:v>9 Oct</c:v>
                </c:pt>
                <c:pt idx="73">
                  <c:v>16 Oct</c:v>
                </c:pt>
                <c:pt idx="74">
                  <c:v>23 Oct</c:v>
                </c:pt>
                <c:pt idx="75">
                  <c:v>30 Oct</c:v>
                </c:pt>
                <c:pt idx="76">
                  <c:v>6 Nov</c:v>
                </c:pt>
                <c:pt idx="77">
                  <c:v>13 Nov</c:v>
                </c:pt>
              </c:strCache>
            </c:strRef>
          </c:cat>
          <c:val>
            <c:numRef>
              <c:f>'tracking - Table 3'!$C$3:$C$80</c:f>
              <c:numCache>
                <c:ptCount val="31"/>
                <c:pt idx="0">
                  <c:v>26.500000</c:v>
                </c:pt>
                <c:pt idx="1">
                  <c:v>27.000000</c:v>
                </c:pt>
                <c:pt idx="2">
                  <c:v>27.600000</c:v>
                </c:pt>
                <c:pt idx="3">
                  <c:v>28.400000</c:v>
                </c:pt>
                <c:pt idx="4">
                  <c:v>28.500000</c:v>
                </c:pt>
                <c:pt idx="5">
                  <c:v>28.500000</c:v>
                </c:pt>
                <c:pt idx="6">
                  <c:v>28.700000</c:v>
                </c:pt>
                <c:pt idx="7">
                  <c:v>29.500000</c:v>
                </c:pt>
                <c:pt idx="8">
                  <c:v>29.800000</c:v>
                </c:pt>
                <c:pt idx="9">
                  <c:v>29.500000</c:v>
                </c:pt>
                <c:pt idx="10">
                  <c:v>29.600000</c:v>
                </c:pt>
                <c:pt idx="11">
                  <c:v>29.500000</c:v>
                </c:pt>
                <c:pt idx="12">
                  <c:v>29.500000</c:v>
                </c:pt>
                <c:pt idx="13">
                  <c:v>29.200000</c:v>
                </c:pt>
                <c:pt idx="33">
                  <c:v>27.800000</c:v>
                </c:pt>
                <c:pt idx="34">
                  <c:v>27.800000</c:v>
                </c:pt>
                <c:pt idx="35">
                  <c:v>28.000000</c:v>
                </c:pt>
                <c:pt idx="36">
                  <c:v>28.000000</c:v>
                </c:pt>
                <c:pt idx="37">
                  <c:v>28.500000</c:v>
                </c:pt>
                <c:pt idx="38">
                  <c:v>29.000000</c:v>
                </c:pt>
                <c:pt idx="40">
                  <c:v>28.500000</c:v>
                </c:pt>
                <c:pt idx="41">
                  <c:v>28.800000</c:v>
                </c:pt>
                <c:pt idx="42">
                  <c:v>28.500000</c:v>
                </c:pt>
                <c:pt idx="43">
                  <c:v>29.300000</c:v>
                </c:pt>
                <c:pt idx="44">
                  <c:v>29.000000</c:v>
                </c:pt>
                <c:pt idx="45">
                  <c:v>29.200000</c:v>
                </c:pt>
                <c:pt idx="46">
                  <c:v>29.200000</c:v>
                </c:pt>
                <c:pt idx="47">
                  <c:v>29.800000</c:v>
                </c:pt>
                <c:pt idx="48">
                  <c:v>30.000000</c:v>
                </c:pt>
                <c:pt idx="49">
                  <c:v>30.000000</c:v>
                </c:pt>
                <c:pt idx="69">
                  <c:v>30.000000</c:v>
                </c:pt>
              </c:numCache>
            </c:numRef>
          </c:val>
          <c:smooth val="0"/>
        </c:ser>
        <c:ser>
          <c:idx val="2"/>
          <c:order val="2"/>
          <c:tx>
            <c:strRef>
              <c:f>'tracking - Table 3'!$D$1:$D$2</c:f>
              <c:strCache>
                <c:ptCount val="1"/>
                <c:pt idx="0">
                  <c:v>Right Arm Flexed</c:v>
                </c:pt>
              </c:strCache>
            </c:strRef>
          </c:tx>
          <c:spPr>
            <a:solidFill>
              <a:srgbClr val="FFFFFF"/>
            </a:solidFill>
            <a:ln w="50800" cap="flat">
              <a:solidFill>
                <a:srgbClr val="EF5C31"/>
              </a:solidFill>
              <a:prstDash val="solid"/>
              <a:miter lim="400000"/>
            </a:ln>
            <a:effectLst/>
          </c:spPr>
          <c:marker>
            <c:symbol val="none"/>
            <c:size val="4"/>
            <c:spPr>
              <a:solidFill>
                <a:srgbClr val="FFFFFF"/>
              </a:solidFill>
              <a:ln w="50800" cap="flat">
                <a:solidFill>
                  <a:srgbClr val="FBE12B"/>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3'!$A$3:$A$80</c:f>
              <c:strCache>
                <c:ptCount val="78"/>
                <c:pt idx="0">
                  <c:v>24 May</c:v>
                </c:pt>
                <c:pt idx="1">
                  <c:v>30 May</c:v>
                </c:pt>
                <c:pt idx="2">
                  <c:v>6 Jun</c:v>
                </c:pt>
                <c:pt idx="3">
                  <c:v>13 Jun</c:v>
                </c:pt>
                <c:pt idx="4">
                  <c:v>20 Jun</c:v>
                </c:pt>
                <c:pt idx="5">
                  <c:v>27 Jun</c:v>
                </c:pt>
                <c:pt idx="6">
                  <c:v>4 Jul</c:v>
                </c:pt>
                <c:pt idx="7">
                  <c:v>11 Jul</c:v>
                </c:pt>
                <c:pt idx="8">
                  <c:v>18 Jul</c:v>
                </c:pt>
                <c:pt idx="9">
                  <c:v>25 Jul</c:v>
                </c:pt>
                <c:pt idx="10">
                  <c:v>1 Aug</c:v>
                </c:pt>
                <c:pt idx="11">
                  <c:v>8 Aug</c:v>
                </c:pt>
                <c:pt idx="12">
                  <c:v>15 Aug</c:v>
                </c:pt>
                <c:pt idx="13">
                  <c:v>22 Aug</c:v>
                </c:pt>
                <c:pt idx="14">
                  <c:v>29 Aug</c:v>
                </c:pt>
                <c:pt idx="15">
                  <c:v>5 Sep</c:v>
                </c:pt>
                <c:pt idx="16">
                  <c:v>12 Sep</c:v>
                </c:pt>
                <c:pt idx="17">
                  <c:v>19 Sep</c:v>
                </c:pt>
                <c:pt idx="18">
                  <c:v>26 Sep</c:v>
                </c:pt>
                <c:pt idx="19">
                  <c:v>3 Oct</c:v>
                </c:pt>
                <c:pt idx="20">
                  <c:v>10 Oct</c:v>
                </c:pt>
                <c:pt idx="21">
                  <c:v>17 Oct</c:v>
                </c:pt>
                <c:pt idx="22">
                  <c:v>24 Oct</c:v>
                </c:pt>
                <c:pt idx="23">
                  <c:v>31 Oct</c:v>
                </c:pt>
                <c:pt idx="24">
                  <c:v>7 Nov</c:v>
                </c:pt>
                <c:pt idx="25">
                  <c:v>14 Nov</c:v>
                </c:pt>
                <c:pt idx="26">
                  <c:v>21 Nov</c:v>
                </c:pt>
                <c:pt idx="27">
                  <c:v>28 Nov</c:v>
                </c:pt>
                <c:pt idx="28">
                  <c:v>5 Dec</c:v>
                </c:pt>
                <c:pt idx="29">
                  <c:v>12 Dec</c:v>
                </c:pt>
                <c:pt idx="30">
                  <c:v>19 Dec</c:v>
                </c:pt>
                <c:pt idx="31">
                  <c:v>26 Dec</c:v>
                </c:pt>
                <c:pt idx="32">
                  <c:v>2 Jan</c:v>
                </c:pt>
                <c:pt idx="33">
                  <c:v>9 Jan</c:v>
                </c:pt>
                <c:pt idx="34">
                  <c:v>16 Jan</c:v>
                </c:pt>
                <c:pt idx="35">
                  <c:v>23 Jan</c:v>
                </c:pt>
                <c:pt idx="36">
                  <c:v>30 Jan</c:v>
                </c:pt>
                <c:pt idx="37">
                  <c:v>6 Feb</c:v>
                </c:pt>
                <c:pt idx="38">
                  <c:v>13 Feb</c:v>
                </c:pt>
                <c:pt idx="39">
                  <c:v>20 Feb</c:v>
                </c:pt>
                <c:pt idx="40">
                  <c:v>27 Feb</c:v>
                </c:pt>
                <c:pt idx="41">
                  <c:v>6 Mar</c:v>
                </c:pt>
                <c:pt idx="42">
                  <c:v>13 Mar</c:v>
                </c:pt>
                <c:pt idx="43">
                  <c:v>20 Mar</c:v>
                </c:pt>
                <c:pt idx="44">
                  <c:v>27 Mar</c:v>
                </c:pt>
                <c:pt idx="45">
                  <c:v>3 Apr</c:v>
                </c:pt>
                <c:pt idx="46">
                  <c:v>10 Apr</c:v>
                </c:pt>
                <c:pt idx="47">
                  <c:v>17 Apr</c:v>
                </c:pt>
                <c:pt idx="48">
                  <c:v>24 Apr</c:v>
                </c:pt>
                <c:pt idx="49">
                  <c:v>1 May</c:v>
                </c:pt>
                <c:pt idx="50">
                  <c:v>8 May</c:v>
                </c:pt>
                <c:pt idx="51">
                  <c:v>15 May</c:v>
                </c:pt>
                <c:pt idx="52">
                  <c:v>22 May</c:v>
                </c:pt>
                <c:pt idx="53">
                  <c:v>29 May</c:v>
                </c:pt>
                <c:pt idx="54">
                  <c:v>5 Jun</c:v>
                </c:pt>
                <c:pt idx="55">
                  <c:v>12 Jun</c:v>
                </c:pt>
                <c:pt idx="56">
                  <c:v>19 Jun</c:v>
                </c:pt>
                <c:pt idx="57">
                  <c:v>26 Jun</c:v>
                </c:pt>
                <c:pt idx="58">
                  <c:v>3 Jul</c:v>
                </c:pt>
                <c:pt idx="59">
                  <c:v>10 Jul</c:v>
                </c:pt>
                <c:pt idx="60">
                  <c:v>17 Jul</c:v>
                </c:pt>
                <c:pt idx="61">
                  <c:v>24 Jul</c:v>
                </c:pt>
                <c:pt idx="62">
                  <c:v>31 Jul</c:v>
                </c:pt>
                <c:pt idx="63">
                  <c:v>7 Aug</c:v>
                </c:pt>
                <c:pt idx="64">
                  <c:v>14 Aug</c:v>
                </c:pt>
                <c:pt idx="65">
                  <c:v>21 Aug</c:v>
                </c:pt>
                <c:pt idx="66">
                  <c:v>28 Aug</c:v>
                </c:pt>
                <c:pt idx="67">
                  <c:v>4 Sep</c:v>
                </c:pt>
                <c:pt idx="68">
                  <c:v>11 Sep</c:v>
                </c:pt>
                <c:pt idx="69">
                  <c:v>18 Sep</c:v>
                </c:pt>
                <c:pt idx="70">
                  <c:v>25 Sep</c:v>
                </c:pt>
                <c:pt idx="71">
                  <c:v>2 Oct</c:v>
                </c:pt>
                <c:pt idx="72">
                  <c:v>9 Oct</c:v>
                </c:pt>
                <c:pt idx="73">
                  <c:v>16 Oct</c:v>
                </c:pt>
                <c:pt idx="74">
                  <c:v>23 Oct</c:v>
                </c:pt>
                <c:pt idx="75">
                  <c:v>30 Oct</c:v>
                </c:pt>
                <c:pt idx="76">
                  <c:v>6 Nov</c:v>
                </c:pt>
                <c:pt idx="77">
                  <c:v>13 Nov</c:v>
                </c:pt>
              </c:strCache>
            </c:strRef>
          </c:cat>
          <c:val>
            <c:numRef>
              <c:f>'tracking - Table 3'!$D$3:$D$80</c:f>
              <c:numCache>
                <c:ptCount val="30"/>
                <c:pt idx="0">
                  <c:v>31.300000</c:v>
                </c:pt>
                <c:pt idx="1">
                  <c:v>31.200000</c:v>
                </c:pt>
                <c:pt idx="2">
                  <c:v>32.200000</c:v>
                </c:pt>
                <c:pt idx="3">
                  <c:v>32.500000</c:v>
                </c:pt>
                <c:pt idx="4">
                  <c:v>32.400000</c:v>
                </c:pt>
                <c:pt idx="5">
                  <c:v>33.000000</c:v>
                </c:pt>
                <c:pt idx="6">
                  <c:v>33.500000</c:v>
                </c:pt>
                <c:pt idx="7">
                  <c:v>33.800000</c:v>
                </c:pt>
                <c:pt idx="8">
                  <c:v>33.700000</c:v>
                </c:pt>
                <c:pt idx="9">
                  <c:v>34.000000</c:v>
                </c:pt>
                <c:pt idx="10">
                  <c:v>34.300000</c:v>
                </c:pt>
                <c:pt idx="11">
                  <c:v>34.100000</c:v>
                </c:pt>
                <c:pt idx="12">
                  <c:v>34.300000</c:v>
                </c:pt>
                <c:pt idx="13">
                  <c:v>33.800000</c:v>
                </c:pt>
                <c:pt idx="33">
                  <c:v>32.500000</c:v>
                </c:pt>
                <c:pt idx="34">
                  <c:v>32.500000</c:v>
                </c:pt>
                <c:pt idx="35">
                  <c:v>33.000000</c:v>
                </c:pt>
                <c:pt idx="36">
                  <c:v>33.000000</c:v>
                </c:pt>
                <c:pt idx="37">
                  <c:v>33.000000</c:v>
                </c:pt>
                <c:pt idx="38">
                  <c:v>33.500000</c:v>
                </c:pt>
                <c:pt idx="40">
                  <c:v>33.500000</c:v>
                </c:pt>
                <c:pt idx="41">
                  <c:v>33.100000</c:v>
                </c:pt>
                <c:pt idx="42">
                  <c:v>33.600000</c:v>
                </c:pt>
                <c:pt idx="43">
                  <c:v>33.500000</c:v>
                </c:pt>
                <c:pt idx="44">
                  <c:v>34.000000</c:v>
                </c:pt>
                <c:pt idx="45">
                  <c:v>34.000000</c:v>
                </c:pt>
                <c:pt idx="46">
                  <c:v>34.000000</c:v>
                </c:pt>
                <c:pt idx="47">
                  <c:v>34.600000</c:v>
                </c:pt>
                <c:pt idx="48">
                  <c:v>34.800000</c:v>
                </c:pt>
                <c:pt idx="49">
                  <c:v>35.300000</c:v>
                </c:pt>
              </c:numCache>
            </c:numRef>
          </c:val>
          <c:smooth val="0"/>
        </c:ser>
        <c:ser>
          <c:idx val="3"/>
          <c:order val="3"/>
          <c:tx>
            <c:strRef>
              <c:f>'tracking - Table 3'!$E$1:$E$2</c:f>
              <c:strCache>
                <c:ptCount val="1"/>
                <c:pt idx="0">
                  <c:v>Relaxed</c:v>
                </c:pt>
              </c:strCache>
            </c:strRef>
          </c:tx>
          <c:spPr>
            <a:solidFill>
              <a:srgbClr val="FFFFFF"/>
            </a:solidFill>
            <a:ln w="25400" cap="flat">
              <a:solidFill>
                <a:srgbClr val="F05C31">
                  <a:alpha val="50000"/>
                </a:srgbClr>
              </a:solidFill>
              <a:prstDash val="solid"/>
              <a:miter lim="400000"/>
            </a:ln>
            <a:effectLst/>
          </c:spPr>
          <c:marker>
            <c:symbol val="none"/>
            <c:size val="4"/>
            <c:spPr>
              <a:solidFill>
                <a:srgbClr val="FFFFFF"/>
              </a:solidFill>
              <a:ln w="50800" cap="flat">
                <a:solidFill>
                  <a:srgbClr val="EF951A"/>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3'!$A$3:$A$80</c:f>
              <c:strCache>
                <c:ptCount val="78"/>
                <c:pt idx="0">
                  <c:v>24 May</c:v>
                </c:pt>
                <c:pt idx="1">
                  <c:v>30 May</c:v>
                </c:pt>
                <c:pt idx="2">
                  <c:v>6 Jun</c:v>
                </c:pt>
                <c:pt idx="3">
                  <c:v>13 Jun</c:v>
                </c:pt>
                <c:pt idx="4">
                  <c:v>20 Jun</c:v>
                </c:pt>
                <c:pt idx="5">
                  <c:v>27 Jun</c:v>
                </c:pt>
                <c:pt idx="6">
                  <c:v>4 Jul</c:v>
                </c:pt>
                <c:pt idx="7">
                  <c:v>11 Jul</c:v>
                </c:pt>
                <c:pt idx="8">
                  <c:v>18 Jul</c:v>
                </c:pt>
                <c:pt idx="9">
                  <c:v>25 Jul</c:v>
                </c:pt>
                <c:pt idx="10">
                  <c:v>1 Aug</c:v>
                </c:pt>
                <c:pt idx="11">
                  <c:v>8 Aug</c:v>
                </c:pt>
                <c:pt idx="12">
                  <c:v>15 Aug</c:v>
                </c:pt>
                <c:pt idx="13">
                  <c:v>22 Aug</c:v>
                </c:pt>
                <c:pt idx="14">
                  <c:v>29 Aug</c:v>
                </c:pt>
                <c:pt idx="15">
                  <c:v>5 Sep</c:v>
                </c:pt>
                <c:pt idx="16">
                  <c:v>12 Sep</c:v>
                </c:pt>
                <c:pt idx="17">
                  <c:v>19 Sep</c:v>
                </c:pt>
                <c:pt idx="18">
                  <c:v>26 Sep</c:v>
                </c:pt>
                <c:pt idx="19">
                  <c:v>3 Oct</c:v>
                </c:pt>
                <c:pt idx="20">
                  <c:v>10 Oct</c:v>
                </c:pt>
                <c:pt idx="21">
                  <c:v>17 Oct</c:v>
                </c:pt>
                <c:pt idx="22">
                  <c:v>24 Oct</c:v>
                </c:pt>
                <c:pt idx="23">
                  <c:v>31 Oct</c:v>
                </c:pt>
                <c:pt idx="24">
                  <c:v>7 Nov</c:v>
                </c:pt>
                <c:pt idx="25">
                  <c:v>14 Nov</c:v>
                </c:pt>
                <c:pt idx="26">
                  <c:v>21 Nov</c:v>
                </c:pt>
                <c:pt idx="27">
                  <c:v>28 Nov</c:v>
                </c:pt>
                <c:pt idx="28">
                  <c:v>5 Dec</c:v>
                </c:pt>
                <c:pt idx="29">
                  <c:v>12 Dec</c:v>
                </c:pt>
                <c:pt idx="30">
                  <c:v>19 Dec</c:v>
                </c:pt>
                <c:pt idx="31">
                  <c:v>26 Dec</c:v>
                </c:pt>
                <c:pt idx="32">
                  <c:v>2 Jan</c:v>
                </c:pt>
                <c:pt idx="33">
                  <c:v>9 Jan</c:v>
                </c:pt>
                <c:pt idx="34">
                  <c:v>16 Jan</c:v>
                </c:pt>
                <c:pt idx="35">
                  <c:v>23 Jan</c:v>
                </c:pt>
                <c:pt idx="36">
                  <c:v>30 Jan</c:v>
                </c:pt>
                <c:pt idx="37">
                  <c:v>6 Feb</c:v>
                </c:pt>
                <c:pt idx="38">
                  <c:v>13 Feb</c:v>
                </c:pt>
                <c:pt idx="39">
                  <c:v>20 Feb</c:v>
                </c:pt>
                <c:pt idx="40">
                  <c:v>27 Feb</c:v>
                </c:pt>
                <c:pt idx="41">
                  <c:v>6 Mar</c:v>
                </c:pt>
                <c:pt idx="42">
                  <c:v>13 Mar</c:v>
                </c:pt>
                <c:pt idx="43">
                  <c:v>20 Mar</c:v>
                </c:pt>
                <c:pt idx="44">
                  <c:v>27 Mar</c:v>
                </c:pt>
                <c:pt idx="45">
                  <c:v>3 Apr</c:v>
                </c:pt>
                <c:pt idx="46">
                  <c:v>10 Apr</c:v>
                </c:pt>
                <c:pt idx="47">
                  <c:v>17 Apr</c:v>
                </c:pt>
                <c:pt idx="48">
                  <c:v>24 Apr</c:v>
                </c:pt>
                <c:pt idx="49">
                  <c:v>1 May</c:v>
                </c:pt>
                <c:pt idx="50">
                  <c:v>8 May</c:v>
                </c:pt>
                <c:pt idx="51">
                  <c:v>15 May</c:v>
                </c:pt>
                <c:pt idx="52">
                  <c:v>22 May</c:v>
                </c:pt>
                <c:pt idx="53">
                  <c:v>29 May</c:v>
                </c:pt>
                <c:pt idx="54">
                  <c:v>5 Jun</c:v>
                </c:pt>
                <c:pt idx="55">
                  <c:v>12 Jun</c:v>
                </c:pt>
                <c:pt idx="56">
                  <c:v>19 Jun</c:v>
                </c:pt>
                <c:pt idx="57">
                  <c:v>26 Jun</c:v>
                </c:pt>
                <c:pt idx="58">
                  <c:v>3 Jul</c:v>
                </c:pt>
                <c:pt idx="59">
                  <c:v>10 Jul</c:v>
                </c:pt>
                <c:pt idx="60">
                  <c:v>17 Jul</c:v>
                </c:pt>
                <c:pt idx="61">
                  <c:v>24 Jul</c:v>
                </c:pt>
                <c:pt idx="62">
                  <c:v>31 Jul</c:v>
                </c:pt>
                <c:pt idx="63">
                  <c:v>7 Aug</c:v>
                </c:pt>
                <c:pt idx="64">
                  <c:v>14 Aug</c:v>
                </c:pt>
                <c:pt idx="65">
                  <c:v>21 Aug</c:v>
                </c:pt>
                <c:pt idx="66">
                  <c:v>28 Aug</c:v>
                </c:pt>
                <c:pt idx="67">
                  <c:v>4 Sep</c:v>
                </c:pt>
                <c:pt idx="68">
                  <c:v>11 Sep</c:v>
                </c:pt>
                <c:pt idx="69">
                  <c:v>18 Sep</c:v>
                </c:pt>
                <c:pt idx="70">
                  <c:v>25 Sep</c:v>
                </c:pt>
                <c:pt idx="71">
                  <c:v>2 Oct</c:v>
                </c:pt>
                <c:pt idx="72">
                  <c:v>9 Oct</c:v>
                </c:pt>
                <c:pt idx="73">
                  <c:v>16 Oct</c:v>
                </c:pt>
                <c:pt idx="74">
                  <c:v>23 Oct</c:v>
                </c:pt>
                <c:pt idx="75">
                  <c:v>30 Oct</c:v>
                </c:pt>
                <c:pt idx="76">
                  <c:v>6 Nov</c:v>
                </c:pt>
                <c:pt idx="77">
                  <c:v>13 Nov</c:v>
                </c:pt>
              </c:strCache>
            </c:strRef>
          </c:cat>
          <c:val>
            <c:numRef>
              <c:f>'tracking - Table 3'!$E$3:$E$80</c:f>
              <c:numCache>
                <c:ptCount val="30"/>
                <c:pt idx="0">
                  <c:v>28.200000</c:v>
                </c:pt>
                <c:pt idx="1">
                  <c:v>28.000000</c:v>
                </c:pt>
                <c:pt idx="2">
                  <c:v>28.500000</c:v>
                </c:pt>
                <c:pt idx="3">
                  <c:v>28.700000</c:v>
                </c:pt>
                <c:pt idx="4">
                  <c:v>29.100000</c:v>
                </c:pt>
                <c:pt idx="5">
                  <c:v>29.100000</c:v>
                </c:pt>
                <c:pt idx="6">
                  <c:v>29.400000</c:v>
                </c:pt>
                <c:pt idx="7">
                  <c:v>29.800000</c:v>
                </c:pt>
                <c:pt idx="8">
                  <c:v>30.300000</c:v>
                </c:pt>
                <c:pt idx="9">
                  <c:v>29.900000</c:v>
                </c:pt>
                <c:pt idx="10">
                  <c:v>30.300000</c:v>
                </c:pt>
                <c:pt idx="11">
                  <c:v>30.400000</c:v>
                </c:pt>
                <c:pt idx="12">
                  <c:v>30.000000</c:v>
                </c:pt>
                <c:pt idx="13">
                  <c:v>29.800000</c:v>
                </c:pt>
                <c:pt idx="33">
                  <c:v>28.500000</c:v>
                </c:pt>
                <c:pt idx="34">
                  <c:v>28.500000</c:v>
                </c:pt>
                <c:pt idx="35">
                  <c:v>29.000000</c:v>
                </c:pt>
                <c:pt idx="36">
                  <c:v>29.000000</c:v>
                </c:pt>
                <c:pt idx="37">
                  <c:v>29.000000</c:v>
                </c:pt>
                <c:pt idx="38">
                  <c:v>30.000000</c:v>
                </c:pt>
                <c:pt idx="40">
                  <c:v>29.300000</c:v>
                </c:pt>
                <c:pt idx="41">
                  <c:v>29.600000</c:v>
                </c:pt>
                <c:pt idx="42">
                  <c:v>29.600000</c:v>
                </c:pt>
                <c:pt idx="43">
                  <c:v>29.000000</c:v>
                </c:pt>
                <c:pt idx="44">
                  <c:v>29.500000</c:v>
                </c:pt>
                <c:pt idx="45">
                  <c:v>30.000000</c:v>
                </c:pt>
                <c:pt idx="46">
                  <c:v>30.000000</c:v>
                </c:pt>
                <c:pt idx="47">
                  <c:v>30.400000</c:v>
                </c:pt>
                <c:pt idx="48">
                  <c:v>31.200000</c:v>
                </c:pt>
                <c:pt idx="49">
                  <c:v>30.800000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45"/>
          <c:min val="20"/>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190714"/>
          <c:y val="0"/>
          <c:w val="0.563399"/>
          <c:h val="0.10553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7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70191"/>
          <c:y val="0.126667"/>
          <c:w val="0.927171"/>
          <c:h val="0.809167"/>
        </c:manualLayout>
      </c:layout>
      <c:lineChart>
        <c:grouping val="standard"/>
        <c:varyColors val="0"/>
        <c:ser>
          <c:idx val="0"/>
          <c:order val="0"/>
          <c:tx>
            <c:strRef>
              <c:f>'tracking - Table 3'!$F$1:$F$2</c:f>
              <c:strCache>
                <c:ptCount val="1"/>
                <c:pt idx="0">
                  <c:v>Chest Inhaled</c:v>
                </c:pt>
              </c:strCache>
            </c:strRef>
          </c:tx>
          <c:spPr>
            <a:solidFill>
              <a:srgbClr val="FFFFFF"/>
            </a:solidFill>
            <a:ln w="50800" cap="flat">
              <a:solidFill>
                <a:srgbClr val="51A7F9"/>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3'!$A$3:$A$47</c:f>
              <c:strCache>
                <c:ptCount val="45"/>
                <c:pt idx="0">
                  <c:v>9 Jan</c:v>
                </c:pt>
                <c:pt idx="1">
                  <c:v>16 Jan</c:v>
                </c:pt>
                <c:pt idx="2">
                  <c:v>23 Jan</c:v>
                </c:pt>
                <c:pt idx="3">
                  <c:v>30 Jan</c:v>
                </c:pt>
                <c:pt idx="4">
                  <c:v>6 Feb</c:v>
                </c:pt>
                <c:pt idx="5">
                  <c:v>13 Feb</c:v>
                </c:pt>
                <c:pt idx="6">
                  <c:v>20 Feb</c:v>
                </c:pt>
                <c:pt idx="7">
                  <c:v>27 Feb</c:v>
                </c:pt>
                <c:pt idx="8">
                  <c:v>6 Mar</c:v>
                </c:pt>
                <c:pt idx="9">
                  <c:v>13 Mar</c:v>
                </c:pt>
                <c:pt idx="10">
                  <c:v>20 Mar</c:v>
                </c:pt>
                <c:pt idx="11">
                  <c:v>27 Mar</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strCache>
            </c:strRef>
          </c:cat>
          <c:val>
            <c:numRef>
              <c:f>'tracking - Table 3'!$F$3:$F$80</c:f>
              <c:numCache>
                <c:ptCount val="2"/>
                <c:pt idx="11">
                  <c:v>110.000000</c:v>
                </c:pt>
                <c:pt idx="12">
                  <c:v>110.000000</c:v>
                </c:pt>
              </c:numCache>
            </c:numRef>
          </c:val>
          <c:smooth val="0"/>
        </c:ser>
        <c:ser>
          <c:idx val="1"/>
          <c:order val="1"/>
          <c:tx>
            <c:strRef>
              <c:f>'tracking - Table 3'!$G$1:$G$2</c:f>
              <c:strCache>
                <c:ptCount val="1"/>
                <c:pt idx="0">
                  <c:v>Waist</c:v>
                </c:pt>
              </c:strCache>
            </c:strRef>
          </c:tx>
          <c:spPr>
            <a:solidFill>
              <a:srgbClr val="FFFFFF"/>
            </a:solidFill>
            <a:ln w="50800" cap="flat">
              <a:solidFill>
                <a:srgbClr val="78CC47"/>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3'!$A$3:$A$47</c:f>
              <c:strCache>
                <c:ptCount val="45"/>
                <c:pt idx="0">
                  <c:v>9 Jan</c:v>
                </c:pt>
                <c:pt idx="1">
                  <c:v>16 Jan</c:v>
                </c:pt>
                <c:pt idx="2">
                  <c:v>23 Jan</c:v>
                </c:pt>
                <c:pt idx="3">
                  <c:v>30 Jan</c:v>
                </c:pt>
                <c:pt idx="4">
                  <c:v>6 Feb</c:v>
                </c:pt>
                <c:pt idx="5">
                  <c:v>13 Feb</c:v>
                </c:pt>
                <c:pt idx="6">
                  <c:v>20 Feb</c:v>
                </c:pt>
                <c:pt idx="7">
                  <c:v>27 Feb</c:v>
                </c:pt>
                <c:pt idx="8">
                  <c:v>6 Mar</c:v>
                </c:pt>
                <c:pt idx="9">
                  <c:v>13 Mar</c:v>
                </c:pt>
                <c:pt idx="10">
                  <c:v>20 Mar</c:v>
                </c:pt>
                <c:pt idx="11">
                  <c:v>27 Mar</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strCache>
            </c:strRef>
          </c:cat>
          <c:val>
            <c:numRef>
              <c:f>'tracking - Table 3'!$G$3:$G$80</c:f>
              <c:numCache>
                <c:ptCount val="2"/>
                <c:pt idx="11">
                  <c:v>84.000000</c:v>
                </c:pt>
                <c:pt idx="12">
                  <c:v>84.000000</c:v>
                </c:pt>
              </c:numCache>
            </c:numRef>
          </c:val>
          <c:smooth val="0"/>
        </c:ser>
        <c:ser>
          <c:idx val="2"/>
          <c:order val="2"/>
          <c:tx>
            <c:strRef>
              <c:f>'tracking - Table 3'!$H$1:$H$2</c:f>
              <c:strCache>
                <c:ptCount val="1"/>
                <c:pt idx="0">
                  <c:v>Hip</c:v>
                </c:pt>
              </c:strCache>
            </c:strRef>
          </c:tx>
          <c:spPr>
            <a:solidFill>
              <a:srgbClr val="FFFFFF"/>
            </a:solidFill>
            <a:ln w="50800" cap="flat">
              <a:solidFill>
                <a:srgbClr val="EF5C31"/>
              </a:solidFill>
              <a:prstDash val="solid"/>
              <a:miter lim="400000"/>
            </a:ln>
            <a:effectLst/>
          </c:spPr>
          <c:marker>
            <c:symbol val="none"/>
            <c:size val="4"/>
            <c:spPr>
              <a:solidFill>
                <a:srgbClr val="FFFFFF"/>
              </a:solidFill>
              <a:ln w="50800" cap="flat">
                <a:solidFill>
                  <a:srgbClr val="FBE12B"/>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3'!$A$3:$A$47</c:f>
              <c:strCache>
                <c:ptCount val="45"/>
                <c:pt idx="0">
                  <c:v>9 Jan</c:v>
                </c:pt>
                <c:pt idx="1">
                  <c:v>16 Jan</c:v>
                </c:pt>
                <c:pt idx="2">
                  <c:v>23 Jan</c:v>
                </c:pt>
                <c:pt idx="3">
                  <c:v>30 Jan</c:v>
                </c:pt>
                <c:pt idx="4">
                  <c:v>6 Feb</c:v>
                </c:pt>
                <c:pt idx="5">
                  <c:v>13 Feb</c:v>
                </c:pt>
                <c:pt idx="6">
                  <c:v>20 Feb</c:v>
                </c:pt>
                <c:pt idx="7">
                  <c:v>27 Feb</c:v>
                </c:pt>
                <c:pt idx="8">
                  <c:v>6 Mar</c:v>
                </c:pt>
                <c:pt idx="9">
                  <c:v>13 Mar</c:v>
                </c:pt>
                <c:pt idx="10">
                  <c:v>20 Mar</c:v>
                </c:pt>
                <c:pt idx="11">
                  <c:v>27 Mar</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strCache>
            </c:strRef>
          </c:cat>
          <c:val>
            <c:numRef>
              <c:f>'tracking - Table 3'!$H$3:$H$80</c:f>
              <c:numCache>
                <c:ptCount val="2"/>
                <c:pt idx="11">
                  <c:v>95.000000</c:v>
                </c:pt>
                <c:pt idx="12">
                  <c:v>95.000000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140"/>
          <c:min val="70"/>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363798"/>
          <c:y val="0"/>
          <c:w val="0.943278"/>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80.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474561"/>
          <c:y val="0.126878"/>
          <c:w val="0.913555"/>
          <c:h val="0.810538"/>
        </c:manualLayout>
      </c:layout>
      <c:lineChart>
        <c:grouping val="standard"/>
        <c:varyColors val="0"/>
        <c:ser>
          <c:idx val="0"/>
          <c:order val="0"/>
          <c:tx>
            <c:strRef>
              <c:f>'tracking - Table 3'!$J$1:$J$2</c:f>
              <c:strCache>
                <c:ptCount val="1"/>
                <c:pt idx="0">
                  <c:v>flexed diff</c:v>
                </c:pt>
              </c:strCache>
            </c:strRef>
          </c:tx>
          <c:spPr>
            <a:solidFill>
              <a:srgbClr val="FFFFFF"/>
            </a:solidFill>
            <a:ln w="50800" cap="flat">
              <a:solidFill>
                <a:srgbClr val="51A7F9"/>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3'!$A$3:$A$80</c:f>
              <c:strCache>
                <c:ptCount val="78"/>
                <c:pt idx="0">
                  <c:v>24 May</c:v>
                </c:pt>
                <c:pt idx="1">
                  <c:v>30 May</c:v>
                </c:pt>
                <c:pt idx="2">
                  <c:v>6 Jun</c:v>
                </c:pt>
                <c:pt idx="3">
                  <c:v>13 Jun</c:v>
                </c:pt>
                <c:pt idx="4">
                  <c:v>20 Jun</c:v>
                </c:pt>
                <c:pt idx="5">
                  <c:v>27 Jun</c:v>
                </c:pt>
                <c:pt idx="6">
                  <c:v>4 Jul</c:v>
                </c:pt>
                <c:pt idx="7">
                  <c:v>11 Jul</c:v>
                </c:pt>
                <c:pt idx="8">
                  <c:v>18 Jul</c:v>
                </c:pt>
                <c:pt idx="9">
                  <c:v>25 Jul</c:v>
                </c:pt>
                <c:pt idx="10">
                  <c:v>1 Aug</c:v>
                </c:pt>
                <c:pt idx="11">
                  <c:v>8 Aug</c:v>
                </c:pt>
                <c:pt idx="12">
                  <c:v>15 Aug</c:v>
                </c:pt>
                <c:pt idx="13">
                  <c:v>22 Aug</c:v>
                </c:pt>
                <c:pt idx="14">
                  <c:v>29 Aug</c:v>
                </c:pt>
                <c:pt idx="15">
                  <c:v>5 Sep</c:v>
                </c:pt>
                <c:pt idx="16">
                  <c:v>12 Sep</c:v>
                </c:pt>
                <c:pt idx="17">
                  <c:v>19 Sep</c:v>
                </c:pt>
                <c:pt idx="18">
                  <c:v>26 Sep</c:v>
                </c:pt>
                <c:pt idx="19">
                  <c:v>3 Oct</c:v>
                </c:pt>
                <c:pt idx="20">
                  <c:v>10 Oct</c:v>
                </c:pt>
                <c:pt idx="21">
                  <c:v>17 Oct</c:v>
                </c:pt>
                <c:pt idx="22">
                  <c:v>24 Oct</c:v>
                </c:pt>
                <c:pt idx="23">
                  <c:v>31 Oct</c:v>
                </c:pt>
                <c:pt idx="24">
                  <c:v>7 Nov</c:v>
                </c:pt>
                <c:pt idx="25">
                  <c:v>14 Nov</c:v>
                </c:pt>
                <c:pt idx="26">
                  <c:v>21 Nov</c:v>
                </c:pt>
                <c:pt idx="27">
                  <c:v>28 Nov</c:v>
                </c:pt>
                <c:pt idx="28">
                  <c:v>5 Dec</c:v>
                </c:pt>
                <c:pt idx="29">
                  <c:v>12 Dec</c:v>
                </c:pt>
                <c:pt idx="30">
                  <c:v>19 Dec</c:v>
                </c:pt>
                <c:pt idx="31">
                  <c:v>26 Dec</c:v>
                </c:pt>
                <c:pt idx="32">
                  <c:v>2 Jan</c:v>
                </c:pt>
                <c:pt idx="33">
                  <c:v>9 Jan</c:v>
                </c:pt>
                <c:pt idx="34">
                  <c:v>16 Jan</c:v>
                </c:pt>
                <c:pt idx="35">
                  <c:v>23 Jan</c:v>
                </c:pt>
                <c:pt idx="36">
                  <c:v>30 Jan</c:v>
                </c:pt>
                <c:pt idx="37">
                  <c:v>6 Feb</c:v>
                </c:pt>
                <c:pt idx="38">
                  <c:v>13 Feb</c:v>
                </c:pt>
                <c:pt idx="39">
                  <c:v>20 Feb</c:v>
                </c:pt>
                <c:pt idx="40">
                  <c:v>27 Feb</c:v>
                </c:pt>
                <c:pt idx="41">
                  <c:v>6 Mar</c:v>
                </c:pt>
                <c:pt idx="42">
                  <c:v>13 Mar</c:v>
                </c:pt>
                <c:pt idx="43">
                  <c:v>20 Mar</c:v>
                </c:pt>
                <c:pt idx="44">
                  <c:v>27 Mar</c:v>
                </c:pt>
                <c:pt idx="45">
                  <c:v>3 Apr</c:v>
                </c:pt>
                <c:pt idx="46">
                  <c:v>10 Apr</c:v>
                </c:pt>
                <c:pt idx="47">
                  <c:v>17 Apr</c:v>
                </c:pt>
                <c:pt idx="48">
                  <c:v>24 Apr</c:v>
                </c:pt>
                <c:pt idx="49">
                  <c:v>1 May</c:v>
                </c:pt>
                <c:pt idx="50">
                  <c:v>8 May</c:v>
                </c:pt>
                <c:pt idx="51">
                  <c:v>15 May</c:v>
                </c:pt>
                <c:pt idx="52">
                  <c:v>22 May</c:v>
                </c:pt>
                <c:pt idx="53">
                  <c:v>29 May</c:v>
                </c:pt>
                <c:pt idx="54">
                  <c:v>5 Jun</c:v>
                </c:pt>
                <c:pt idx="55">
                  <c:v>12 Jun</c:v>
                </c:pt>
                <c:pt idx="56">
                  <c:v>19 Jun</c:v>
                </c:pt>
                <c:pt idx="57">
                  <c:v>26 Jun</c:v>
                </c:pt>
                <c:pt idx="58">
                  <c:v>3 Jul</c:v>
                </c:pt>
                <c:pt idx="59">
                  <c:v>10 Jul</c:v>
                </c:pt>
                <c:pt idx="60">
                  <c:v>17 Jul</c:v>
                </c:pt>
                <c:pt idx="61">
                  <c:v>24 Jul</c:v>
                </c:pt>
                <c:pt idx="62">
                  <c:v>31 Jul</c:v>
                </c:pt>
                <c:pt idx="63">
                  <c:v>7 Aug</c:v>
                </c:pt>
                <c:pt idx="64">
                  <c:v>14 Aug</c:v>
                </c:pt>
                <c:pt idx="65">
                  <c:v>21 Aug</c:v>
                </c:pt>
                <c:pt idx="66">
                  <c:v>28 Aug</c:v>
                </c:pt>
                <c:pt idx="67">
                  <c:v>4 Sep</c:v>
                </c:pt>
                <c:pt idx="68">
                  <c:v>11 Sep</c:v>
                </c:pt>
                <c:pt idx="69">
                  <c:v>18 Sep</c:v>
                </c:pt>
                <c:pt idx="70">
                  <c:v>25 Sep</c:v>
                </c:pt>
                <c:pt idx="71">
                  <c:v>2 Oct</c:v>
                </c:pt>
                <c:pt idx="72">
                  <c:v>9 Oct</c:v>
                </c:pt>
                <c:pt idx="73">
                  <c:v>16 Oct</c:v>
                </c:pt>
                <c:pt idx="74">
                  <c:v>23 Oct</c:v>
                </c:pt>
                <c:pt idx="75">
                  <c:v>30 Oct</c:v>
                </c:pt>
                <c:pt idx="76">
                  <c:v>6 Nov</c:v>
                </c:pt>
                <c:pt idx="77">
                  <c:v>13 Nov</c:v>
                </c:pt>
              </c:strCache>
            </c:strRef>
          </c:cat>
          <c:val>
            <c:numRef>
              <c:f>'tracking - Table 3'!$J$3:$J$80</c:f>
              <c:numCache>
                <c:ptCount val="30"/>
                <c:pt idx="0">
                  <c:v>1.100000</c:v>
                </c:pt>
                <c:pt idx="1">
                  <c:v>0.700000</c:v>
                </c:pt>
                <c:pt idx="2">
                  <c:v>1.000000</c:v>
                </c:pt>
                <c:pt idx="3">
                  <c:v>1.000000</c:v>
                </c:pt>
                <c:pt idx="4">
                  <c:v>0.800000</c:v>
                </c:pt>
                <c:pt idx="5">
                  <c:v>1.000000</c:v>
                </c:pt>
                <c:pt idx="6">
                  <c:v>1.000000</c:v>
                </c:pt>
                <c:pt idx="7">
                  <c:v>0.800000</c:v>
                </c:pt>
                <c:pt idx="8">
                  <c:v>0.500000</c:v>
                </c:pt>
                <c:pt idx="9">
                  <c:v>0.800000</c:v>
                </c:pt>
                <c:pt idx="10">
                  <c:v>0.900000</c:v>
                </c:pt>
                <c:pt idx="11">
                  <c:v>0.400000</c:v>
                </c:pt>
                <c:pt idx="12">
                  <c:v>0.600000</c:v>
                </c:pt>
                <c:pt idx="13">
                  <c:v>0.700000</c:v>
                </c:pt>
                <c:pt idx="33">
                  <c:v>1.000000</c:v>
                </c:pt>
                <c:pt idx="34">
                  <c:v>1.000000</c:v>
                </c:pt>
                <c:pt idx="35">
                  <c:v>1.000000</c:v>
                </c:pt>
                <c:pt idx="36">
                  <c:v>1.000000</c:v>
                </c:pt>
                <c:pt idx="37">
                  <c:v>0.500000</c:v>
                </c:pt>
                <c:pt idx="38">
                  <c:v>0.500000</c:v>
                </c:pt>
                <c:pt idx="40">
                  <c:v>0.700000</c:v>
                </c:pt>
                <c:pt idx="41">
                  <c:v>0.500000</c:v>
                </c:pt>
                <c:pt idx="42">
                  <c:v>0.400000</c:v>
                </c:pt>
                <c:pt idx="43">
                  <c:v>-0.100000</c:v>
                </c:pt>
                <c:pt idx="44">
                  <c:v>0.500000</c:v>
                </c:pt>
                <c:pt idx="45">
                  <c:v>0.500000</c:v>
                </c:pt>
                <c:pt idx="46">
                  <c:v>0.500000</c:v>
                </c:pt>
                <c:pt idx="47">
                  <c:v>0.600000</c:v>
                </c:pt>
                <c:pt idx="48">
                  <c:v>0.400000</c:v>
                </c:pt>
                <c:pt idx="49">
                  <c:v>0.900000</c:v>
                </c:pt>
              </c:numCache>
            </c:numRef>
          </c:val>
          <c:smooth val="0"/>
        </c:ser>
        <c:ser>
          <c:idx val="1"/>
          <c:order val="1"/>
          <c:tx>
            <c:strRef>
              <c:f>'tracking - Table 3'!$K$1:$K$2</c:f>
              <c:strCache>
                <c:ptCount val="1"/>
                <c:pt idx="0">
                  <c:v>nonflexed diff</c:v>
                </c:pt>
              </c:strCache>
            </c:strRef>
          </c:tx>
          <c:spPr>
            <a:solidFill>
              <a:srgbClr val="FFFFFF"/>
            </a:solidFill>
            <a:ln w="25400" cap="flat">
              <a:solidFill>
                <a:schemeClr val="accent1">
                  <a:alpha val="52461"/>
                </a:schemeClr>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3'!$A$3:$A$80</c:f>
              <c:strCache>
                <c:ptCount val="78"/>
                <c:pt idx="0">
                  <c:v>24 May</c:v>
                </c:pt>
                <c:pt idx="1">
                  <c:v>30 May</c:v>
                </c:pt>
                <c:pt idx="2">
                  <c:v>6 Jun</c:v>
                </c:pt>
                <c:pt idx="3">
                  <c:v>13 Jun</c:v>
                </c:pt>
                <c:pt idx="4">
                  <c:v>20 Jun</c:v>
                </c:pt>
                <c:pt idx="5">
                  <c:v>27 Jun</c:v>
                </c:pt>
                <c:pt idx="6">
                  <c:v>4 Jul</c:v>
                </c:pt>
                <c:pt idx="7">
                  <c:v>11 Jul</c:v>
                </c:pt>
                <c:pt idx="8">
                  <c:v>18 Jul</c:v>
                </c:pt>
                <c:pt idx="9">
                  <c:v>25 Jul</c:v>
                </c:pt>
                <c:pt idx="10">
                  <c:v>1 Aug</c:v>
                </c:pt>
                <c:pt idx="11">
                  <c:v>8 Aug</c:v>
                </c:pt>
                <c:pt idx="12">
                  <c:v>15 Aug</c:v>
                </c:pt>
                <c:pt idx="13">
                  <c:v>22 Aug</c:v>
                </c:pt>
                <c:pt idx="14">
                  <c:v>29 Aug</c:v>
                </c:pt>
                <c:pt idx="15">
                  <c:v>5 Sep</c:v>
                </c:pt>
                <c:pt idx="16">
                  <c:v>12 Sep</c:v>
                </c:pt>
                <c:pt idx="17">
                  <c:v>19 Sep</c:v>
                </c:pt>
                <c:pt idx="18">
                  <c:v>26 Sep</c:v>
                </c:pt>
                <c:pt idx="19">
                  <c:v>3 Oct</c:v>
                </c:pt>
                <c:pt idx="20">
                  <c:v>10 Oct</c:v>
                </c:pt>
                <c:pt idx="21">
                  <c:v>17 Oct</c:v>
                </c:pt>
                <c:pt idx="22">
                  <c:v>24 Oct</c:v>
                </c:pt>
                <c:pt idx="23">
                  <c:v>31 Oct</c:v>
                </c:pt>
                <c:pt idx="24">
                  <c:v>7 Nov</c:v>
                </c:pt>
                <c:pt idx="25">
                  <c:v>14 Nov</c:v>
                </c:pt>
                <c:pt idx="26">
                  <c:v>21 Nov</c:v>
                </c:pt>
                <c:pt idx="27">
                  <c:v>28 Nov</c:v>
                </c:pt>
                <c:pt idx="28">
                  <c:v>5 Dec</c:v>
                </c:pt>
                <c:pt idx="29">
                  <c:v>12 Dec</c:v>
                </c:pt>
                <c:pt idx="30">
                  <c:v>19 Dec</c:v>
                </c:pt>
                <c:pt idx="31">
                  <c:v>26 Dec</c:v>
                </c:pt>
                <c:pt idx="32">
                  <c:v>2 Jan</c:v>
                </c:pt>
                <c:pt idx="33">
                  <c:v>9 Jan</c:v>
                </c:pt>
                <c:pt idx="34">
                  <c:v>16 Jan</c:v>
                </c:pt>
                <c:pt idx="35">
                  <c:v>23 Jan</c:v>
                </c:pt>
                <c:pt idx="36">
                  <c:v>30 Jan</c:v>
                </c:pt>
                <c:pt idx="37">
                  <c:v>6 Feb</c:v>
                </c:pt>
                <c:pt idx="38">
                  <c:v>13 Feb</c:v>
                </c:pt>
                <c:pt idx="39">
                  <c:v>20 Feb</c:v>
                </c:pt>
                <c:pt idx="40">
                  <c:v>27 Feb</c:v>
                </c:pt>
                <c:pt idx="41">
                  <c:v>6 Mar</c:v>
                </c:pt>
                <c:pt idx="42">
                  <c:v>13 Mar</c:v>
                </c:pt>
                <c:pt idx="43">
                  <c:v>20 Mar</c:v>
                </c:pt>
                <c:pt idx="44">
                  <c:v>27 Mar</c:v>
                </c:pt>
                <c:pt idx="45">
                  <c:v>3 Apr</c:v>
                </c:pt>
                <c:pt idx="46">
                  <c:v>10 Apr</c:v>
                </c:pt>
                <c:pt idx="47">
                  <c:v>17 Apr</c:v>
                </c:pt>
                <c:pt idx="48">
                  <c:v>24 Apr</c:v>
                </c:pt>
                <c:pt idx="49">
                  <c:v>1 May</c:v>
                </c:pt>
                <c:pt idx="50">
                  <c:v>8 May</c:v>
                </c:pt>
                <c:pt idx="51">
                  <c:v>15 May</c:v>
                </c:pt>
                <c:pt idx="52">
                  <c:v>22 May</c:v>
                </c:pt>
                <c:pt idx="53">
                  <c:v>29 May</c:v>
                </c:pt>
                <c:pt idx="54">
                  <c:v>5 Jun</c:v>
                </c:pt>
                <c:pt idx="55">
                  <c:v>12 Jun</c:v>
                </c:pt>
                <c:pt idx="56">
                  <c:v>19 Jun</c:v>
                </c:pt>
                <c:pt idx="57">
                  <c:v>26 Jun</c:v>
                </c:pt>
                <c:pt idx="58">
                  <c:v>3 Jul</c:v>
                </c:pt>
                <c:pt idx="59">
                  <c:v>10 Jul</c:v>
                </c:pt>
                <c:pt idx="60">
                  <c:v>17 Jul</c:v>
                </c:pt>
                <c:pt idx="61">
                  <c:v>24 Jul</c:v>
                </c:pt>
                <c:pt idx="62">
                  <c:v>31 Jul</c:v>
                </c:pt>
                <c:pt idx="63">
                  <c:v>7 Aug</c:v>
                </c:pt>
                <c:pt idx="64">
                  <c:v>14 Aug</c:v>
                </c:pt>
                <c:pt idx="65">
                  <c:v>21 Aug</c:v>
                </c:pt>
                <c:pt idx="66">
                  <c:v>28 Aug</c:v>
                </c:pt>
                <c:pt idx="67">
                  <c:v>4 Sep</c:v>
                </c:pt>
                <c:pt idx="68">
                  <c:v>11 Sep</c:v>
                </c:pt>
                <c:pt idx="69">
                  <c:v>18 Sep</c:v>
                </c:pt>
                <c:pt idx="70">
                  <c:v>25 Sep</c:v>
                </c:pt>
                <c:pt idx="71">
                  <c:v>2 Oct</c:v>
                </c:pt>
                <c:pt idx="72">
                  <c:v>9 Oct</c:v>
                </c:pt>
                <c:pt idx="73">
                  <c:v>16 Oct</c:v>
                </c:pt>
                <c:pt idx="74">
                  <c:v>23 Oct</c:v>
                </c:pt>
                <c:pt idx="75">
                  <c:v>30 Oct</c:v>
                </c:pt>
                <c:pt idx="76">
                  <c:v>6 Nov</c:v>
                </c:pt>
                <c:pt idx="77">
                  <c:v>13 Nov</c:v>
                </c:pt>
              </c:strCache>
            </c:strRef>
          </c:cat>
          <c:val>
            <c:numRef>
              <c:f>'tracking - Table 3'!$K$3:$K$80</c:f>
              <c:numCache>
                <c:ptCount val="30"/>
                <c:pt idx="0">
                  <c:v>1.700000</c:v>
                </c:pt>
                <c:pt idx="1">
                  <c:v>1.000000</c:v>
                </c:pt>
                <c:pt idx="2">
                  <c:v>0.900000</c:v>
                </c:pt>
                <c:pt idx="3">
                  <c:v>0.300000</c:v>
                </c:pt>
                <c:pt idx="4">
                  <c:v>0.600000</c:v>
                </c:pt>
                <c:pt idx="5">
                  <c:v>0.600000</c:v>
                </c:pt>
                <c:pt idx="6">
                  <c:v>0.700000</c:v>
                </c:pt>
                <c:pt idx="7">
                  <c:v>0.300000</c:v>
                </c:pt>
                <c:pt idx="8">
                  <c:v>0.500000</c:v>
                </c:pt>
                <c:pt idx="9">
                  <c:v>0.400000</c:v>
                </c:pt>
                <c:pt idx="10">
                  <c:v>0.700000</c:v>
                </c:pt>
                <c:pt idx="11">
                  <c:v>0.900000</c:v>
                </c:pt>
                <c:pt idx="12">
                  <c:v>0.500000</c:v>
                </c:pt>
                <c:pt idx="13">
                  <c:v>0.600000</c:v>
                </c:pt>
                <c:pt idx="33">
                  <c:v>0.700000</c:v>
                </c:pt>
                <c:pt idx="34">
                  <c:v>0.700000</c:v>
                </c:pt>
                <c:pt idx="35">
                  <c:v>1.000000</c:v>
                </c:pt>
                <c:pt idx="36">
                  <c:v>1.000000</c:v>
                </c:pt>
                <c:pt idx="37">
                  <c:v>0.500000</c:v>
                </c:pt>
                <c:pt idx="38">
                  <c:v>1.000000</c:v>
                </c:pt>
                <c:pt idx="40">
                  <c:v>0.800000</c:v>
                </c:pt>
                <c:pt idx="41">
                  <c:v>0.800000</c:v>
                </c:pt>
                <c:pt idx="42">
                  <c:v>1.100000</c:v>
                </c:pt>
                <c:pt idx="43">
                  <c:v>-0.300000</c:v>
                </c:pt>
                <c:pt idx="44">
                  <c:v>0.500000</c:v>
                </c:pt>
                <c:pt idx="45">
                  <c:v>0.800000</c:v>
                </c:pt>
                <c:pt idx="46">
                  <c:v>0.800000</c:v>
                </c:pt>
                <c:pt idx="47">
                  <c:v>0.600000</c:v>
                </c:pt>
                <c:pt idx="48">
                  <c:v>1.200000</c:v>
                </c:pt>
                <c:pt idx="49">
                  <c:v>0.800000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5"/>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31168"/>
          <c:y val="0"/>
          <c:w val="0.90163"/>
          <c:h val="0.065066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8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32522"/>
          <c:y val="0.120805"/>
          <c:w val="0.920977"/>
          <c:h val="0.814681"/>
        </c:manualLayout>
      </c:layout>
      <c:lineChart>
        <c:grouping val="standard"/>
        <c:varyColors val="0"/>
        <c:ser>
          <c:idx val="0"/>
          <c:order val="0"/>
          <c:tx>
            <c:strRef>
              <c:f>'tracking - Table 3-1'!$F$1</c:f>
              <c:strCache>
                <c:ptCount val="1"/>
                <c:pt idx="0">
                  <c:v>30-day</c:v>
                </c:pt>
              </c:strCache>
            </c:strRef>
          </c:tx>
          <c:spPr>
            <a:solidFill>
              <a:srgbClr val="FFFFFF"/>
            </a:solidFill>
            <a:ln w="50800" cap="flat">
              <a:solidFill>
                <a:srgbClr val="51A7F9"/>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General"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3-1'!$F$2:$F$924</c:f>
              <c:numCache>
                <c:ptCount val="729"/>
                <c:pt idx="0">
                  <c:v>69.000000</c:v>
                </c:pt>
                <c:pt idx="5">
                  <c:v>69.000000</c:v>
                </c:pt>
                <c:pt idx="9">
                  <c:v>69.100000</c:v>
                </c:pt>
                <c:pt idx="10">
                  <c:v>69.300000</c:v>
                </c:pt>
                <c:pt idx="11">
                  <c:v>69.340000</c:v>
                </c:pt>
                <c:pt idx="12">
                  <c:v>69.366667</c:v>
                </c:pt>
                <c:pt idx="13">
                  <c:v>69.428571</c:v>
                </c:pt>
                <c:pt idx="14">
                  <c:v>69.500000</c:v>
                </c:pt>
                <c:pt idx="15">
                  <c:v>69.555556</c:v>
                </c:pt>
                <c:pt idx="16">
                  <c:v>69.590000</c:v>
                </c:pt>
                <c:pt idx="17">
                  <c:v>69.636364</c:v>
                </c:pt>
                <c:pt idx="18">
                  <c:v>69.658333</c:v>
                </c:pt>
                <c:pt idx="19">
                  <c:v>69.723077</c:v>
                </c:pt>
                <c:pt idx="20">
                  <c:v>69.771429</c:v>
                </c:pt>
                <c:pt idx="21">
                  <c:v>69.780000</c:v>
                </c:pt>
                <c:pt idx="22">
                  <c:v>69.818750</c:v>
                </c:pt>
                <c:pt idx="23">
                  <c:v>69.835294</c:v>
                </c:pt>
                <c:pt idx="24">
                  <c:v>69.838889</c:v>
                </c:pt>
                <c:pt idx="25">
                  <c:v>69.852632</c:v>
                </c:pt>
                <c:pt idx="26">
                  <c:v>69.865000</c:v>
                </c:pt>
                <c:pt idx="27">
                  <c:v>69.904762</c:v>
                </c:pt>
                <c:pt idx="28">
                  <c:v>69.945455</c:v>
                </c:pt>
                <c:pt idx="29">
                  <c:v>69.978261</c:v>
                </c:pt>
                <c:pt idx="30">
                  <c:v>70.047826</c:v>
                </c:pt>
                <c:pt idx="31">
                  <c:v>70.079167</c:v>
                </c:pt>
                <c:pt idx="32">
                  <c:v>70.112000</c:v>
                </c:pt>
                <c:pt idx="33">
                  <c:v>70.130769</c:v>
                </c:pt>
                <c:pt idx="34">
                  <c:v>70.170370</c:v>
                </c:pt>
                <c:pt idx="35">
                  <c:v>70.259259</c:v>
                </c:pt>
                <c:pt idx="36">
                  <c:v>70.296429</c:v>
                </c:pt>
                <c:pt idx="37">
                  <c:v>70.355172</c:v>
                </c:pt>
                <c:pt idx="38">
                  <c:v>70.373333</c:v>
                </c:pt>
                <c:pt idx="39">
                  <c:v>70.426667</c:v>
                </c:pt>
                <c:pt idx="40">
                  <c:v>70.463333</c:v>
                </c:pt>
                <c:pt idx="41">
                  <c:v>70.530000</c:v>
                </c:pt>
                <c:pt idx="42">
                  <c:v>70.596667</c:v>
                </c:pt>
                <c:pt idx="43">
                  <c:v>70.633333</c:v>
                </c:pt>
                <c:pt idx="44">
                  <c:v>70.676667</c:v>
                </c:pt>
                <c:pt idx="45">
                  <c:v>70.730000</c:v>
                </c:pt>
                <c:pt idx="46">
                  <c:v>70.786667</c:v>
                </c:pt>
                <c:pt idx="47">
                  <c:v>70.840000</c:v>
                </c:pt>
                <c:pt idx="48">
                  <c:v>70.903333</c:v>
                </c:pt>
                <c:pt idx="49">
                  <c:v>70.966667</c:v>
                </c:pt>
                <c:pt idx="50">
                  <c:v>71.020000</c:v>
                </c:pt>
                <c:pt idx="51">
                  <c:v>71.123333</c:v>
                </c:pt>
                <c:pt idx="52">
                  <c:v>71.193333</c:v>
                </c:pt>
                <c:pt idx="53">
                  <c:v>71.266667</c:v>
                </c:pt>
                <c:pt idx="54">
                  <c:v>71.356667</c:v>
                </c:pt>
                <c:pt idx="55">
                  <c:v>71.410000</c:v>
                </c:pt>
                <c:pt idx="56">
                  <c:v>71.470000</c:v>
                </c:pt>
                <c:pt idx="57">
                  <c:v>71.516667</c:v>
                </c:pt>
                <c:pt idx="58">
                  <c:v>71.596667</c:v>
                </c:pt>
                <c:pt idx="59">
                  <c:v>71.680000</c:v>
                </c:pt>
                <c:pt idx="60">
                  <c:v>71.760000</c:v>
                </c:pt>
                <c:pt idx="61">
                  <c:v>71.813333</c:v>
                </c:pt>
                <c:pt idx="62">
                  <c:v>71.856667</c:v>
                </c:pt>
                <c:pt idx="63">
                  <c:v>71.926667</c:v>
                </c:pt>
                <c:pt idx="64">
                  <c:v>71.996667</c:v>
                </c:pt>
                <c:pt idx="65">
                  <c:v>72.053333</c:v>
                </c:pt>
                <c:pt idx="66">
                  <c:v>72.140000</c:v>
                </c:pt>
                <c:pt idx="67">
                  <c:v>72.206667</c:v>
                </c:pt>
                <c:pt idx="68">
                  <c:v>72.293333</c:v>
                </c:pt>
                <c:pt idx="69">
                  <c:v>72.396667</c:v>
                </c:pt>
                <c:pt idx="70">
                  <c:v>72.483333</c:v>
                </c:pt>
                <c:pt idx="71">
                  <c:v>72.580000</c:v>
                </c:pt>
                <c:pt idx="72">
                  <c:v>72.673333</c:v>
                </c:pt>
                <c:pt idx="73">
                  <c:v>72.790000</c:v>
                </c:pt>
                <c:pt idx="74">
                  <c:v>72.900000</c:v>
                </c:pt>
                <c:pt idx="75">
                  <c:v>72.956667</c:v>
                </c:pt>
                <c:pt idx="76">
                  <c:v>73.026667</c:v>
                </c:pt>
                <c:pt idx="77">
                  <c:v>73.103333</c:v>
                </c:pt>
                <c:pt idx="78">
                  <c:v>73.170000</c:v>
                </c:pt>
                <c:pt idx="79">
                  <c:v>73.210000</c:v>
                </c:pt>
                <c:pt idx="80">
                  <c:v>73.270000</c:v>
                </c:pt>
                <c:pt idx="81">
                  <c:v>73.283333</c:v>
                </c:pt>
                <c:pt idx="82">
                  <c:v>73.306667</c:v>
                </c:pt>
                <c:pt idx="83">
                  <c:v>73.320000</c:v>
                </c:pt>
                <c:pt idx="84">
                  <c:v>73.333333</c:v>
                </c:pt>
                <c:pt idx="85">
                  <c:v>73.370000</c:v>
                </c:pt>
                <c:pt idx="86">
                  <c:v>73.400000</c:v>
                </c:pt>
                <c:pt idx="91">
                  <c:v>73.442308</c:v>
                </c:pt>
                <c:pt idx="92">
                  <c:v>73.423077</c:v>
                </c:pt>
                <c:pt idx="93">
                  <c:v>73.407692</c:v>
                </c:pt>
                <c:pt idx="94">
                  <c:v>73.334615</c:v>
                </c:pt>
                <c:pt idx="95">
                  <c:v>73.280769</c:v>
                </c:pt>
                <c:pt idx="98">
                  <c:v>73.150000</c:v>
                </c:pt>
                <c:pt idx="168">
                  <c:v>70.500000</c:v>
                </c:pt>
                <c:pt idx="170">
                  <c:v>70.525000</c:v>
                </c:pt>
                <c:pt idx="171">
                  <c:v>70.533333</c:v>
                </c:pt>
                <c:pt idx="172">
                  <c:v>70.437500</c:v>
                </c:pt>
                <c:pt idx="173">
                  <c:v>70.380000</c:v>
                </c:pt>
                <c:pt idx="174">
                  <c:v>70.408333</c:v>
                </c:pt>
                <c:pt idx="175">
                  <c:v>70.478571</c:v>
                </c:pt>
                <c:pt idx="176">
                  <c:v>70.418750</c:v>
                </c:pt>
                <c:pt idx="177">
                  <c:v>70.327778</c:v>
                </c:pt>
                <c:pt idx="178">
                  <c:v>70.285000</c:v>
                </c:pt>
                <c:pt idx="179">
                  <c:v>70.250000</c:v>
                </c:pt>
                <c:pt idx="182">
                  <c:v>70.254167</c:v>
                </c:pt>
                <c:pt idx="183">
                  <c:v>70.211538</c:v>
                </c:pt>
                <c:pt idx="184">
                  <c:v>70.175000</c:v>
                </c:pt>
                <c:pt idx="185">
                  <c:v>70.143333</c:v>
                </c:pt>
                <c:pt idx="186">
                  <c:v>70.115625</c:v>
                </c:pt>
                <c:pt idx="187">
                  <c:v>70.126471</c:v>
                </c:pt>
                <c:pt idx="188">
                  <c:v>70.133333</c:v>
                </c:pt>
                <c:pt idx="189">
                  <c:v>70.089474</c:v>
                </c:pt>
                <c:pt idx="190">
                  <c:v>70.072500</c:v>
                </c:pt>
                <c:pt idx="191">
                  <c:v>70.035714</c:v>
                </c:pt>
                <c:pt idx="192">
                  <c:v>70.002273</c:v>
                </c:pt>
                <c:pt idx="193">
                  <c:v>69.958696</c:v>
                </c:pt>
                <c:pt idx="194">
                  <c:v>69.918750</c:v>
                </c:pt>
                <c:pt idx="195">
                  <c:v>69.894000</c:v>
                </c:pt>
                <c:pt idx="196">
                  <c:v>69.859615</c:v>
                </c:pt>
                <c:pt idx="197">
                  <c:v>69.809259</c:v>
                </c:pt>
                <c:pt idx="198">
                  <c:v>69.753704</c:v>
                </c:pt>
                <c:pt idx="199">
                  <c:v>69.726786</c:v>
                </c:pt>
                <c:pt idx="200">
                  <c:v>69.669643</c:v>
                </c:pt>
                <c:pt idx="201">
                  <c:v>69.601786</c:v>
                </c:pt>
                <c:pt idx="202">
                  <c:v>69.550000</c:v>
                </c:pt>
                <c:pt idx="203">
                  <c:v>69.498214</c:v>
                </c:pt>
                <c:pt idx="204">
                  <c:v>69.432143</c:v>
                </c:pt>
                <c:pt idx="205">
                  <c:v>69.353571</c:v>
                </c:pt>
                <c:pt idx="206">
                  <c:v>69.307143</c:v>
                </c:pt>
                <c:pt idx="207">
                  <c:v>69.275000</c:v>
                </c:pt>
                <c:pt idx="209">
                  <c:v>69.214815</c:v>
                </c:pt>
                <c:pt idx="210">
                  <c:v>69.203571</c:v>
                </c:pt>
                <c:pt idx="211">
                  <c:v>69.186207</c:v>
                </c:pt>
                <c:pt idx="215">
                  <c:v>69.015385</c:v>
                </c:pt>
                <c:pt idx="216">
                  <c:v>68.926923</c:v>
                </c:pt>
                <c:pt idx="217">
                  <c:v>68.892308</c:v>
                </c:pt>
                <c:pt idx="218">
                  <c:v>68.859615</c:v>
                </c:pt>
                <c:pt idx="219">
                  <c:v>68.855769</c:v>
                </c:pt>
                <c:pt idx="221">
                  <c:v>68.824000</c:v>
                </c:pt>
                <c:pt idx="222">
                  <c:v>68.828000</c:v>
                </c:pt>
                <c:pt idx="225">
                  <c:v>68.847826</c:v>
                </c:pt>
                <c:pt idx="226">
                  <c:v>68.895652</c:v>
                </c:pt>
                <c:pt idx="227">
                  <c:v>68.969565</c:v>
                </c:pt>
                <c:pt idx="228">
                  <c:v>69.021739</c:v>
                </c:pt>
                <c:pt idx="229">
                  <c:v>69.073913</c:v>
                </c:pt>
                <c:pt idx="231">
                  <c:v>69.118182</c:v>
                </c:pt>
                <c:pt idx="233">
                  <c:v>69.164286</c:v>
                </c:pt>
                <c:pt idx="234">
                  <c:v>69.145238</c:v>
                </c:pt>
                <c:pt idx="235">
                  <c:v>69.126190</c:v>
                </c:pt>
                <c:pt idx="236">
                  <c:v>69.126190</c:v>
                </c:pt>
                <c:pt idx="237">
                  <c:v>69.135714</c:v>
                </c:pt>
                <c:pt idx="238">
                  <c:v>69.125000</c:v>
                </c:pt>
                <c:pt idx="241">
                  <c:v>69.155000</c:v>
                </c:pt>
                <c:pt idx="242">
                  <c:v>69.109524</c:v>
                </c:pt>
                <c:pt idx="243">
                  <c:v>69.068182</c:v>
                </c:pt>
                <c:pt idx="244">
                  <c:v>69.030435</c:v>
                </c:pt>
                <c:pt idx="245">
                  <c:v>69.065217</c:v>
                </c:pt>
                <c:pt idx="246">
                  <c:v>69.082609</c:v>
                </c:pt>
                <c:pt idx="247">
                  <c:v>69.043478</c:v>
                </c:pt>
                <c:pt idx="248">
                  <c:v>69.004348</c:v>
                </c:pt>
                <c:pt idx="249">
                  <c:v>69.017391</c:v>
                </c:pt>
                <c:pt idx="250">
                  <c:v>69.037500</c:v>
                </c:pt>
                <c:pt idx="251">
                  <c:v>69.041667</c:v>
                </c:pt>
                <c:pt idx="252">
                  <c:v>69.070833</c:v>
                </c:pt>
                <c:pt idx="253">
                  <c:v>69.100000</c:v>
                </c:pt>
                <c:pt idx="254">
                  <c:v>69.138462</c:v>
                </c:pt>
                <c:pt idx="255">
                  <c:v>69.161538</c:v>
                </c:pt>
                <c:pt idx="256">
                  <c:v>69.163462</c:v>
                </c:pt>
                <c:pt idx="257">
                  <c:v>69.140385</c:v>
                </c:pt>
                <c:pt idx="258">
                  <c:v>69.140385</c:v>
                </c:pt>
                <c:pt idx="259">
                  <c:v>69.140385</c:v>
                </c:pt>
                <c:pt idx="260">
                  <c:v>69.168519</c:v>
                </c:pt>
                <c:pt idx="261">
                  <c:v>69.211111</c:v>
                </c:pt>
                <c:pt idx="262">
                  <c:v>69.282143</c:v>
                </c:pt>
                <c:pt idx="263">
                  <c:v>69.344643</c:v>
                </c:pt>
                <c:pt idx="264">
                  <c:v>69.441071</c:v>
                </c:pt>
                <c:pt idx="265">
                  <c:v>69.537500</c:v>
                </c:pt>
                <c:pt idx="266">
                  <c:v>69.623214</c:v>
                </c:pt>
                <c:pt idx="267">
                  <c:v>69.717857</c:v>
                </c:pt>
                <c:pt idx="268">
                  <c:v>69.830357</c:v>
                </c:pt>
                <c:pt idx="269">
                  <c:v>69.925862</c:v>
                </c:pt>
                <c:pt idx="270">
                  <c:v>70.020000</c:v>
                </c:pt>
                <c:pt idx="271">
                  <c:v>70.111667</c:v>
                </c:pt>
                <c:pt idx="272">
                  <c:v>70.225000</c:v>
                </c:pt>
                <c:pt idx="273">
                  <c:v>70.348333</c:v>
                </c:pt>
                <c:pt idx="274">
                  <c:v>70.435000</c:v>
                </c:pt>
                <c:pt idx="275">
                  <c:v>70.531667</c:v>
                </c:pt>
                <c:pt idx="276">
                  <c:v>70.651667</c:v>
                </c:pt>
                <c:pt idx="277">
                  <c:v>70.738333</c:v>
                </c:pt>
                <c:pt idx="278">
                  <c:v>70.825000</c:v>
                </c:pt>
                <c:pt idx="279">
                  <c:v>70.868333</c:v>
                </c:pt>
                <c:pt idx="280">
                  <c:v>70.898333</c:v>
                </c:pt>
                <c:pt idx="281">
                  <c:v>70.961667</c:v>
                </c:pt>
                <c:pt idx="282">
                  <c:v>71.020000</c:v>
                </c:pt>
                <c:pt idx="283">
                  <c:v>71.078333</c:v>
                </c:pt>
                <c:pt idx="284">
                  <c:v>71.143333</c:v>
                </c:pt>
                <c:pt idx="285">
                  <c:v>71.158333</c:v>
                </c:pt>
                <c:pt idx="286">
                  <c:v>71.178333</c:v>
                </c:pt>
                <c:pt idx="287">
                  <c:v>71.253333</c:v>
                </c:pt>
                <c:pt idx="288">
                  <c:v>71.308333</c:v>
                </c:pt>
                <c:pt idx="289">
                  <c:v>71.390000</c:v>
                </c:pt>
                <c:pt idx="290">
                  <c:v>71.430000</c:v>
                </c:pt>
                <c:pt idx="291">
                  <c:v>71.441667</c:v>
                </c:pt>
                <c:pt idx="292">
                  <c:v>71.408333</c:v>
                </c:pt>
                <c:pt idx="293">
                  <c:v>71.455000</c:v>
                </c:pt>
                <c:pt idx="294">
                  <c:v>71.518333</c:v>
                </c:pt>
                <c:pt idx="295">
                  <c:v>71.581667</c:v>
                </c:pt>
                <c:pt idx="296">
                  <c:v>71.650000</c:v>
                </c:pt>
                <c:pt idx="297">
                  <c:v>71.693333</c:v>
                </c:pt>
                <c:pt idx="298">
                  <c:v>71.731667</c:v>
                </c:pt>
                <c:pt idx="299">
                  <c:v>71.750000</c:v>
                </c:pt>
                <c:pt idx="300">
                  <c:v>71.753333</c:v>
                </c:pt>
                <c:pt idx="301">
                  <c:v>71.820000</c:v>
                </c:pt>
                <c:pt idx="302">
                  <c:v>71.900000</c:v>
                </c:pt>
                <c:pt idx="303">
                  <c:v>71.950000</c:v>
                </c:pt>
                <c:pt idx="304">
                  <c:v>71.993333</c:v>
                </c:pt>
                <c:pt idx="305">
                  <c:v>72.061667</c:v>
                </c:pt>
                <c:pt idx="306">
                  <c:v>72.133333</c:v>
                </c:pt>
                <c:pt idx="307">
                  <c:v>72.226667</c:v>
                </c:pt>
                <c:pt idx="308">
                  <c:v>72.335000</c:v>
                </c:pt>
                <c:pt idx="309">
                  <c:v>72.455000</c:v>
                </c:pt>
                <c:pt idx="310">
                  <c:v>72.605000</c:v>
                </c:pt>
                <c:pt idx="311">
                  <c:v>72.711667</c:v>
                </c:pt>
                <c:pt idx="312">
                  <c:v>72.815000</c:v>
                </c:pt>
                <c:pt idx="313">
                  <c:v>72.910000</c:v>
                </c:pt>
                <c:pt idx="314">
                  <c:v>73.000000</c:v>
                </c:pt>
                <c:pt idx="315">
                  <c:v>73.128333</c:v>
                </c:pt>
                <c:pt idx="316">
                  <c:v>73.263333</c:v>
                </c:pt>
                <c:pt idx="317">
                  <c:v>73.361667</c:v>
                </c:pt>
                <c:pt idx="318">
                  <c:v>73.483333</c:v>
                </c:pt>
                <c:pt idx="319">
                  <c:v>73.585000</c:v>
                </c:pt>
                <c:pt idx="320">
                  <c:v>73.705000</c:v>
                </c:pt>
                <c:pt idx="321">
                  <c:v>73.848333</c:v>
                </c:pt>
                <c:pt idx="322">
                  <c:v>74.025000</c:v>
                </c:pt>
                <c:pt idx="323">
                  <c:v>74.125000</c:v>
                </c:pt>
                <c:pt idx="324">
                  <c:v>74.173333</c:v>
                </c:pt>
                <c:pt idx="325">
                  <c:v>74.250000</c:v>
                </c:pt>
                <c:pt idx="326">
                  <c:v>74.348333</c:v>
                </c:pt>
                <c:pt idx="327">
                  <c:v>74.451667</c:v>
                </c:pt>
                <c:pt idx="328">
                  <c:v>74.555000</c:v>
                </c:pt>
                <c:pt idx="329">
                  <c:v>74.660000</c:v>
                </c:pt>
                <c:pt idx="330">
                  <c:v>74.778333</c:v>
                </c:pt>
                <c:pt idx="331">
                  <c:v>74.858333</c:v>
                </c:pt>
                <c:pt idx="332">
                  <c:v>74.923333</c:v>
                </c:pt>
                <c:pt idx="333">
                  <c:v>75.026667</c:v>
                </c:pt>
                <c:pt idx="334">
                  <c:v>75.195000</c:v>
                </c:pt>
                <c:pt idx="335">
                  <c:v>75.330000</c:v>
                </c:pt>
                <c:pt idx="336">
                  <c:v>75.455000</c:v>
                </c:pt>
                <c:pt idx="337">
                  <c:v>75.568333</c:v>
                </c:pt>
                <c:pt idx="338">
                  <c:v>75.671667</c:v>
                </c:pt>
                <c:pt idx="339">
                  <c:v>75.773333</c:v>
                </c:pt>
                <c:pt idx="340">
                  <c:v>75.865000</c:v>
                </c:pt>
                <c:pt idx="341">
                  <c:v>75.966667</c:v>
                </c:pt>
                <c:pt idx="342">
                  <c:v>76.045000</c:v>
                </c:pt>
                <c:pt idx="343">
                  <c:v>76.143333</c:v>
                </c:pt>
                <c:pt idx="344">
                  <c:v>76.245000</c:v>
                </c:pt>
                <c:pt idx="345">
                  <c:v>76.321667</c:v>
                </c:pt>
                <c:pt idx="346">
                  <c:v>76.385000</c:v>
                </c:pt>
                <c:pt idx="347">
                  <c:v>76.466667</c:v>
                </c:pt>
                <c:pt idx="348">
                  <c:v>76.525000</c:v>
                </c:pt>
                <c:pt idx="349">
                  <c:v>76.510000</c:v>
                </c:pt>
                <c:pt idx="350">
                  <c:v>76.495000</c:v>
                </c:pt>
                <c:pt idx="351">
                  <c:v>76.441667</c:v>
                </c:pt>
                <c:pt idx="352">
                  <c:v>76.365000</c:v>
                </c:pt>
                <c:pt idx="353">
                  <c:v>76.285000</c:v>
                </c:pt>
                <c:pt idx="354">
                  <c:v>76.240000</c:v>
                </c:pt>
                <c:pt idx="355">
                  <c:v>76.133333</c:v>
                </c:pt>
                <c:pt idx="356">
                  <c:v>75.996667</c:v>
                </c:pt>
                <c:pt idx="357">
                  <c:v>75.863333</c:v>
                </c:pt>
                <c:pt idx="358">
                  <c:v>75.718333</c:v>
                </c:pt>
                <c:pt idx="359">
                  <c:v>75.600000</c:v>
                </c:pt>
                <c:pt idx="360">
                  <c:v>75.478333</c:v>
                </c:pt>
                <c:pt idx="361">
                  <c:v>75.345000</c:v>
                </c:pt>
                <c:pt idx="362">
                  <c:v>75.238333</c:v>
                </c:pt>
                <c:pt idx="363">
                  <c:v>75.103333</c:v>
                </c:pt>
                <c:pt idx="364">
                  <c:v>74.956667</c:v>
                </c:pt>
                <c:pt idx="365">
                  <c:v>74.798333</c:v>
                </c:pt>
                <c:pt idx="366">
                  <c:v>74.646667</c:v>
                </c:pt>
                <c:pt idx="367">
                  <c:v>74.495000</c:v>
                </c:pt>
                <c:pt idx="368">
                  <c:v>74.381667</c:v>
                </c:pt>
                <c:pt idx="369">
                  <c:v>74.218333</c:v>
                </c:pt>
                <c:pt idx="370">
                  <c:v>74.116667</c:v>
                </c:pt>
                <c:pt idx="371">
                  <c:v>74.031667</c:v>
                </c:pt>
                <c:pt idx="373">
                  <c:v>73.824138</c:v>
                </c:pt>
                <c:pt idx="374">
                  <c:v>73.715517</c:v>
                </c:pt>
                <c:pt idx="375">
                  <c:v>73.624138</c:v>
                </c:pt>
                <c:pt idx="377">
                  <c:v>73.419643</c:v>
                </c:pt>
                <c:pt idx="378">
                  <c:v>73.325000</c:v>
                </c:pt>
                <c:pt idx="379">
                  <c:v>73.325000</c:v>
                </c:pt>
                <c:pt idx="380">
                  <c:v>73.350000</c:v>
                </c:pt>
                <c:pt idx="381">
                  <c:v>73.432143</c:v>
                </c:pt>
                <c:pt idx="382">
                  <c:v>73.492857</c:v>
                </c:pt>
                <c:pt idx="383">
                  <c:v>73.560714</c:v>
                </c:pt>
                <c:pt idx="384">
                  <c:v>73.628571</c:v>
                </c:pt>
                <c:pt idx="385">
                  <c:v>73.732143</c:v>
                </c:pt>
                <c:pt idx="386">
                  <c:v>73.835714</c:v>
                </c:pt>
                <c:pt idx="387">
                  <c:v>73.917857</c:v>
                </c:pt>
                <c:pt idx="388">
                  <c:v>73.996429</c:v>
                </c:pt>
                <c:pt idx="389">
                  <c:v>74.062500</c:v>
                </c:pt>
                <c:pt idx="390">
                  <c:v>74.141071</c:v>
                </c:pt>
                <c:pt idx="391">
                  <c:v>74.246429</c:v>
                </c:pt>
                <c:pt idx="392">
                  <c:v>74.308929</c:v>
                </c:pt>
                <c:pt idx="393">
                  <c:v>74.371429</c:v>
                </c:pt>
                <c:pt idx="394">
                  <c:v>74.448214</c:v>
                </c:pt>
                <c:pt idx="395">
                  <c:v>74.555357</c:v>
                </c:pt>
                <c:pt idx="396">
                  <c:v>74.651786</c:v>
                </c:pt>
                <c:pt idx="397">
                  <c:v>74.755357</c:v>
                </c:pt>
                <c:pt idx="398">
                  <c:v>74.812500</c:v>
                </c:pt>
                <c:pt idx="399">
                  <c:v>74.933929</c:v>
                </c:pt>
                <c:pt idx="400">
                  <c:v>74.982143</c:v>
                </c:pt>
                <c:pt idx="401">
                  <c:v>74.985714</c:v>
                </c:pt>
                <c:pt idx="402">
                  <c:v>74.993103</c:v>
                </c:pt>
                <c:pt idx="403">
                  <c:v>75.006897</c:v>
                </c:pt>
                <c:pt idx="404">
                  <c:v>74.994828</c:v>
                </c:pt>
                <c:pt idx="405">
                  <c:v>74.982759</c:v>
                </c:pt>
                <c:pt idx="407">
                  <c:v>74.951724</c:v>
                </c:pt>
                <c:pt idx="408">
                  <c:v>74.941379</c:v>
                </c:pt>
                <c:pt idx="409">
                  <c:v>74.887931</c:v>
                </c:pt>
                <c:pt idx="410">
                  <c:v>74.834483</c:v>
                </c:pt>
                <c:pt idx="411">
                  <c:v>74.762069</c:v>
                </c:pt>
                <c:pt idx="412">
                  <c:v>74.727586</c:v>
                </c:pt>
                <c:pt idx="413">
                  <c:v>74.679310</c:v>
                </c:pt>
                <c:pt idx="414">
                  <c:v>74.679310</c:v>
                </c:pt>
                <c:pt idx="415">
                  <c:v>74.665517</c:v>
                </c:pt>
                <c:pt idx="416">
                  <c:v>74.651724</c:v>
                </c:pt>
                <c:pt idx="417">
                  <c:v>74.637931</c:v>
                </c:pt>
                <c:pt idx="418">
                  <c:v>74.651724</c:v>
                </c:pt>
                <c:pt idx="419">
                  <c:v>74.637931</c:v>
                </c:pt>
                <c:pt idx="420">
                  <c:v>74.612069</c:v>
                </c:pt>
                <c:pt idx="421">
                  <c:v>74.598276</c:v>
                </c:pt>
                <c:pt idx="422">
                  <c:v>74.600000</c:v>
                </c:pt>
                <c:pt idx="423">
                  <c:v>74.594828</c:v>
                </c:pt>
                <c:pt idx="424">
                  <c:v>74.570690</c:v>
                </c:pt>
                <c:pt idx="425">
                  <c:v>74.527586</c:v>
                </c:pt>
                <c:pt idx="426">
                  <c:v>74.482759</c:v>
                </c:pt>
                <c:pt idx="427">
                  <c:v>74.431034</c:v>
                </c:pt>
                <c:pt idx="429">
                  <c:v>74.351786</c:v>
                </c:pt>
                <c:pt idx="430">
                  <c:v>74.350000</c:v>
                </c:pt>
                <c:pt idx="431">
                  <c:v>74.375000</c:v>
                </c:pt>
                <c:pt idx="432">
                  <c:v>74.407143</c:v>
                </c:pt>
                <c:pt idx="433">
                  <c:v>74.428571</c:v>
                </c:pt>
                <c:pt idx="434">
                  <c:v>74.464286</c:v>
                </c:pt>
                <c:pt idx="435">
                  <c:v>74.485714</c:v>
                </c:pt>
                <c:pt idx="436">
                  <c:v>74.522414</c:v>
                </c:pt>
                <c:pt idx="437">
                  <c:v>74.625862</c:v>
                </c:pt>
                <c:pt idx="438">
                  <c:v>74.739655</c:v>
                </c:pt>
                <c:pt idx="439">
                  <c:v>74.860345</c:v>
                </c:pt>
                <c:pt idx="440">
                  <c:v>74.989655</c:v>
                </c:pt>
                <c:pt idx="441">
                  <c:v>75.050000</c:v>
                </c:pt>
                <c:pt idx="442">
                  <c:v>75.105172</c:v>
                </c:pt>
                <c:pt idx="443">
                  <c:v>75.172414</c:v>
                </c:pt>
                <c:pt idx="444">
                  <c:v>75.236207</c:v>
                </c:pt>
                <c:pt idx="445">
                  <c:v>75.308621</c:v>
                </c:pt>
                <c:pt idx="446">
                  <c:v>75.367241</c:v>
                </c:pt>
                <c:pt idx="447">
                  <c:v>75.460345</c:v>
                </c:pt>
                <c:pt idx="448">
                  <c:v>75.527586</c:v>
                </c:pt>
                <c:pt idx="449">
                  <c:v>75.606897</c:v>
                </c:pt>
                <c:pt idx="450">
                  <c:v>75.694828</c:v>
                </c:pt>
                <c:pt idx="451">
                  <c:v>75.820690</c:v>
                </c:pt>
                <c:pt idx="452">
                  <c:v>75.967241</c:v>
                </c:pt>
                <c:pt idx="453">
                  <c:v>76.120690</c:v>
                </c:pt>
                <c:pt idx="454">
                  <c:v>76.268966</c:v>
                </c:pt>
                <c:pt idx="455">
                  <c:v>76.417241</c:v>
                </c:pt>
                <c:pt idx="456">
                  <c:v>76.584483</c:v>
                </c:pt>
                <c:pt idx="457">
                  <c:v>76.741379</c:v>
                </c:pt>
                <c:pt idx="458">
                  <c:v>76.798333</c:v>
                </c:pt>
                <c:pt idx="459">
                  <c:v>76.926667</c:v>
                </c:pt>
                <c:pt idx="461">
                  <c:v>77.062069</c:v>
                </c:pt>
                <c:pt idx="462">
                  <c:v>77.165517</c:v>
                </c:pt>
                <c:pt idx="463">
                  <c:v>77.263793</c:v>
                </c:pt>
                <c:pt idx="464">
                  <c:v>77.372414</c:v>
                </c:pt>
                <c:pt idx="465">
                  <c:v>77.520690</c:v>
                </c:pt>
                <c:pt idx="467">
                  <c:v>77.641071</c:v>
                </c:pt>
                <c:pt idx="468">
                  <c:v>77.660714</c:v>
                </c:pt>
                <c:pt idx="469">
                  <c:v>77.694643</c:v>
                </c:pt>
                <c:pt idx="470">
                  <c:v>77.728571</c:v>
                </c:pt>
                <c:pt idx="471">
                  <c:v>77.828571</c:v>
                </c:pt>
                <c:pt idx="472">
                  <c:v>77.946429</c:v>
                </c:pt>
                <c:pt idx="473">
                  <c:v>78.053571</c:v>
                </c:pt>
                <c:pt idx="474">
                  <c:v>78.026786</c:v>
                </c:pt>
                <c:pt idx="475">
                  <c:v>78.005357</c:v>
                </c:pt>
                <c:pt idx="476">
                  <c:v>78.037500</c:v>
                </c:pt>
                <c:pt idx="477">
                  <c:v>78.089286</c:v>
                </c:pt>
                <c:pt idx="478">
                  <c:v>78.114286</c:v>
                </c:pt>
                <c:pt idx="479">
                  <c:v>78.139286</c:v>
                </c:pt>
                <c:pt idx="480">
                  <c:v>78.141071</c:v>
                </c:pt>
                <c:pt idx="481">
                  <c:v>78.125000</c:v>
                </c:pt>
                <c:pt idx="482">
                  <c:v>78.075000</c:v>
                </c:pt>
                <c:pt idx="483">
                  <c:v>78.044643</c:v>
                </c:pt>
                <c:pt idx="484">
                  <c:v>78.016071</c:v>
                </c:pt>
                <c:pt idx="485">
                  <c:v>78.003571</c:v>
                </c:pt>
                <c:pt idx="486">
                  <c:v>77.987500</c:v>
                </c:pt>
                <c:pt idx="487">
                  <c:v>77.994643</c:v>
                </c:pt>
                <c:pt idx="488">
                  <c:v>78.010714</c:v>
                </c:pt>
                <c:pt idx="489">
                  <c:v>78.028571</c:v>
                </c:pt>
                <c:pt idx="490">
                  <c:v>78.072414</c:v>
                </c:pt>
                <c:pt idx="491">
                  <c:v>78.100000</c:v>
                </c:pt>
                <c:pt idx="492">
                  <c:v>78.100000</c:v>
                </c:pt>
                <c:pt idx="493">
                  <c:v>78.110345</c:v>
                </c:pt>
                <c:pt idx="494">
                  <c:v>78.082759</c:v>
                </c:pt>
                <c:pt idx="495">
                  <c:v>78.044828</c:v>
                </c:pt>
                <c:pt idx="496">
                  <c:v>78.080000</c:v>
                </c:pt>
                <c:pt idx="497">
                  <c:v>78.111667</c:v>
                </c:pt>
                <c:pt idx="498">
                  <c:v>78.151667</c:v>
                </c:pt>
                <c:pt idx="499">
                  <c:v>78.198333</c:v>
                </c:pt>
                <c:pt idx="500">
                  <c:v>78.261667</c:v>
                </c:pt>
                <c:pt idx="501">
                  <c:v>78.300000</c:v>
                </c:pt>
                <c:pt idx="502">
                  <c:v>78.333333</c:v>
                </c:pt>
                <c:pt idx="503">
                  <c:v>78.360000</c:v>
                </c:pt>
                <c:pt idx="504">
                  <c:v>78.486667</c:v>
                </c:pt>
                <c:pt idx="505">
                  <c:v>78.606667</c:v>
                </c:pt>
                <c:pt idx="506">
                  <c:v>78.695000</c:v>
                </c:pt>
                <c:pt idx="507">
                  <c:v>78.760000</c:v>
                </c:pt>
                <c:pt idx="508">
                  <c:v>78.853333</c:v>
                </c:pt>
                <c:pt idx="509">
                  <c:v>78.951667</c:v>
                </c:pt>
                <c:pt idx="510">
                  <c:v>79.070000</c:v>
                </c:pt>
                <c:pt idx="511">
                  <c:v>79.155000</c:v>
                </c:pt>
                <c:pt idx="512">
                  <c:v>79.260000</c:v>
                </c:pt>
                <c:pt idx="513">
                  <c:v>79.361667</c:v>
                </c:pt>
                <c:pt idx="514">
                  <c:v>79.466667</c:v>
                </c:pt>
                <c:pt idx="515">
                  <c:v>79.561667</c:v>
                </c:pt>
                <c:pt idx="516">
                  <c:v>79.648333</c:v>
                </c:pt>
                <c:pt idx="517">
                  <c:v>79.728333</c:v>
                </c:pt>
                <c:pt idx="518">
                  <c:v>79.813333</c:v>
                </c:pt>
                <c:pt idx="519">
                  <c:v>79.880000</c:v>
                </c:pt>
                <c:pt idx="520">
                  <c:v>79.956667</c:v>
                </c:pt>
                <c:pt idx="521">
                  <c:v>80.005000</c:v>
                </c:pt>
                <c:pt idx="522">
                  <c:v>80.071667</c:v>
                </c:pt>
                <c:pt idx="523">
                  <c:v>80.135000</c:v>
                </c:pt>
                <c:pt idx="524">
                  <c:v>80.253333</c:v>
                </c:pt>
                <c:pt idx="525">
                  <c:v>80.343333</c:v>
                </c:pt>
                <c:pt idx="526">
                  <c:v>80.390000</c:v>
                </c:pt>
                <c:pt idx="527">
                  <c:v>80.438333</c:v>
                </c:pt>
                <c:pt idx="528">
                  <c:v>80.480000</c:v>
                </c:pt>
                <c:pt idx="529">
                  <c:v>80.525000</c:v>
                </c:pt>
                <c:pt idx="530">
                  <c:v>80.501667</c:v>
                </c:pt>
                <c:pt idx="531">
                  <c:v>80.495000</c:v>
                </c:pt>
                <c:pt idx="532">
                  <c:v>80.498333</c:v>
                </c:pt>
                <c:pt idx="533">
                  <c:v>80.528333</c:v>
                </c:pt>
                <c:pt idx="534">
                  <c:v>80.563333</c:v>
                </c:pt>
                <c:pt idx="535">
                  <c:v>80.605000</c:v>
                </c:pt>
                <c:pt idx="536">
                  <c:v>80.646667</c:v>
                </c:pt>
                <c:pt idx="537">
                  <c:v>80.681667</c:v>
                </c:pt>
                <c:pt idx="538">
                  <c:v>80.726667</c:v>
                </c:pt>
                <c:pt idx="539">
                  <c:v>80.755000</c:v>
                </c:pt>
                <c:pt idx="540">
                  <c:v>80.766667</c:v>
                </c:pt>
                <c:pt idx="544">
                  <c:v>80.785185</c:v>
                </c:pt>
                <c:pt idx="545">
                  <c:v>80.762963</c:v>
                </c:pt>
                <c:pt idx="546">
                  <c:v>80.742593</c:v>
                </c:pt>
                <c:pt idx="547">
                  <c:v>80.746296</c:v>
                </c:pt>
                <c:pt idx="548">
                  <c:v>80.744444</c:v>
                </c:pt>
                <c:pt idx="549">
                  <c:v>80.759259</c:v>
                </c:pt>
                <c:pt idx="550">
                  <c:v>80.744444</c:v>
                </c:pt>
                <c:pt idx="551">
                  <c:v>80.761111</c:v>
                </c:pt>
                <c:pt idx="552">
                  <c:v>80.768519</c:v>
                </c:pt>
                <c:pt idx="553">
                  <c:v>80.788889</c:v>
                </c:pt>
                <c:pt idx="554">
                  <c:v>80.788889</c:v>
                </c:pt>
                <c:pt idx="555">
                  <c:v>80.794444</c:v>
                </c:pt>
                <c:pt idx="556">
                  <c:v>80.844444</c:v>
                </c:pt>
                <c:pt idx="557">
                  <c:v>80.879630</c:v>
                </c:pt>
                <c:pt idx="558">
                  <c:v>80.911111</c:v>
                </c:pt>
                <c:pt idx="559">
                  <c:v>80.948148</c:v>
                </c:pt>
                <c:pt idx="560">
                  <c:v>81.038889</c:v>
                </c:pt>
                <c:pt idx="561">
                  <c:v>81.137037</c:v>
                </c:pt>
                <c:pt idx="562">
                  <c:v>81.198148</c:v>
                </c:pt>
                <c:pt idx="563">
                  <c:v>81.251852</c:v>
                </c:pt>
                <c:pt idx="564">
                  <c:v>81.285185</c:v>
                </c:pt>
                <c:pt idx="565">
                  <c:v>81.331481</c:v>
                </c:pt>
                <c:pt idx="566">
                  <c:v>81.359259</c:v>
                </c:pt>
                <c:pt idx="567">
                  <c:v>81.400000</c:v>
                </c:pt>
                <c:pt idx="568">
                  <c:v>81.401852</c:v>
                </c:pt>
                <c:pt idx="569">
                  <c:v>81.394444</c:v>
                </c:pt>
                <c:pt idx="570">
                  <c:v>81.387037</c:v>
                </c:pt>
                <c:pt idx="571">
                  <c:v>81.366071</c:v>
                </c:pt>
                <c:pt idx="572">
                  <c:v>81.312069</c:v>
                </c:pt>
                <c:pt idx="573">
                  <c:v>81.273333</c:v>
                </c:pt>
                <c:pt idx="574">
                  <c:v>81.283333</c:v>
                </c:pt>
                <c:pt idx="575">
                  <c:v>81.300000</c:v>
                </c:pt>
                <c:pt idx="576">
                  <c:v>81.326667</c:v>
                </c:pt>
                <c:pt idx="577">
                  <c:v>81.330000</c:v>
                </c:pt>
                <c:pt idx="578">
                  <c:v>81.343333</c:v>
                </c:pt>
                <c:pt idx="579">
                  <c:v>81.358333</c:v>
                </c:pt>
                <c:pt idx="580">
                  <c:v>81.373333</c:v>
                </c:pt>
                <c:pt idx="581">
                  <c:v>81.373333</c:v>
                </c:pt>
                <c:pt idx="582">
                  <c:v>81.380000</c:v>
                </c:pt>
                <c:pt idx="583">
                  <c:v>81.390000</c:v>
                </c:pt>
                <c:pt idx="584">
                  <c:v>81.410000</c:v>
                </c:pt>
                <c:pt idx="585">
                  <c:v>81.445000</c:v>
                </c:pt>
                <c:pt idx="586">
                  <c:v>81.450000</c:v>
                </c:pt>
                <c:pt idx="587">
                  <c:v>81.468333</c:v>
                </c:pt>
                <c:pt idx="588">
                  <c:v>81.468333</c:v>
                </c:pt>
                <c:pt idx="589">
                  <c:v>81.453333</c:v>
                </c:pt>
                <c:pt idx="590">
                  <c:v>81.443333</c:v>
                </c:pt>
                <c:pt idx="591">
                  <c:v>81.423333</c:v>
                </c:pt>
                <c:pt idx="592">
                  <c:v>81.420000</c:v>
                </c:pt>
                <c:pt idx="594">
                  <c:v>81.356897</c:v>
                </c:pt>
                <c:pt idx="628">
                  <c:v>81.500000</c:v>
                </c:pt>
                <c:pt idx="629">
                  <c:v>81.875000</c:v>
                </c:pt>
                <c:pt idx="630">
                  <c:v>81.750000</c:v>
                </c:pt>
                <c:pt idx="631">
                  <c:v>81.687500</c:v>
                </c:pt>
                <c:pt idx="632">
                  <c:v>81.590000</c:v>
                </c:pt>
                <c:pt idx="633">
                  <c:v>81.641667</c:v>
                </c:pt>
                <c:pt idx="634">
                  <c:v>81.678571</c:v>
                </c:pt>
                <c:pt idx="635">
                  <c:v>81.706250</c:v>
                </c:pt>
                <c:pt idx="636">
                  <c:v>81.727778</c:v>
                </c:pt>
                <c:pt idx="637">
                  <c:v>81.705000</c:v>
                </c:pt>
                <c:pt idx="638">
                  <c:v>81.686364</c:v>
                </c:pt>
                <c:pt idx="639">
                  <c:v>81.670833</c:v>
                </c:pt>
                <c:pt idx="640">
                  <c:v>81.657692</c:v>
                </c:pt>
                <c:pt idx="641">
                  <c:v>81.646429</c:v>
                </c:pt>
                <c:pt idx="642">
                  <c:v>81.636667</c:v>
                </c:pt>
                <c:pt idx="643">
                  <c:v>81.646875</c:v>
                </c:pt>
                <c:pt idx="644">
                  <c:v>81.691176</c:v>
                </c:pt>
                <c:pt idx="645">
                  <c:v>81.697222</c:v>
                </c:pt>
                <c:pt idx="646">
                  <c:v>81.718421</c:v>
                </c:pt>
                <c:pt idx="647">
                  <c:v>81.722500</c:v>
                </c:pt>
                <c:pt idx="648">
                  <c:v>81.726190</c:v>
                </c:pt>
                <c:pt idx="649">
                  <c:v>81.715909</c:v>
                </c:pt>
                <c:pt idx="650">
                  <c:v>81.706522</c:v>
                </c:pt>
                <c:pt idx="651">
                  <c:v>81.697917</c:v>
                </c:pt>
                <c:pt idx="652">
                  <c:v>81.674000</c:v>
                </c:pt>
                <c:pt idx="653">
                  <c:v>81.651923</c:v>
                </c:pt>
                <c:pt idx="654">
                  <c:v>81.620370</c:v>
                </c:pt>
                <c:pt idx="655">
                  <c:v>81.601786</c:v>
                </c:pt>
                <c:pt idx="656">
                  <c:v>81.574138</c:v>
                </c:pt>
                <c:pt idx="657">
                  <c:v>81.548333</c:v>
                </c:pt>
                <c:pt idx="659">
                  <c:v>81.462069</c:v>
                </c:pt>
                <c:pt idx="660">
                  <c:v>81.437931</c:v>
                </c:pt>
                <c:pt idx="661">
                  <c:v>81.400000</c:v>
                </c:pt>
                <c:pt idx="662">
                  <c:v>81.360345</c:v>
                </c:pt>
                <c:pt idx="663">
                  <c:v>81.308621</c:v>
                </c:pt>
                <c:pt idx="664">
                  <c:v>81.270690</c:v>
                </c:pt>
                <c:pt idx="665">
                  <c:v>81.232759</c:v>
                </c:pt>
                <c:pt idx="666">
                  <c:v>81.208621</c:v>
                </c:pt>
                <c:pt idx="667">
                  <c:v>81.198276</c:v>
                </c:pt>
                <c:pt idx="668">
                  <c:v>81.162069</c:v>
                </c:pt>
                <c:pt idx="669">
                  <c:v>81.125862</c:v>
                </c:pt>
                <c:pt idx="670">
                  <c:v>81.074138</c:v>
                </c:pt>
                <c:pt idx="671">
                  <c:v>81.050000</c:v>
                </c:pt>
                <c:pt idx="673">
                  <c:v>80.969643</c:v>
                </c:pt>
                <c:pt idx="674">
                  <c:v>80.896429</c:v>
                </c:pt>
                <c:pt idx="676">
                  <c:v>80.798148</c:v>
                </c:pt>
                <c:pt idx="677">
                  <c:v>80.764815</c:v>
                </c:pt>
                <c:pt idx="678">
                  <c:v>80.731481</c:v>
                </c:pt>
                <c:pt idx="679">
                  <c:v>80.688889</c:v>
                </c:pt>
                <c:pt idx="680">
                  <c:v>80.677778</c:v>
                </c:pt>
                <c:pt idx="681">
                  <c:v>80.653704</c:v>
                </c:pt>
                <c:pt idx="682">
                  <c:v>80.625926</c:v>
                </c:pt>
                <c:pt idx="683">
                  <c:v>80.598148</c:v>
                </c:pt>
                <c:pt idx="684">
                  <c:v>80.587037</c:v>
                </c:pt>
                <c:pt idx="685">
                  <c:v>80.559259</c:v>
                </c:pt>
                <c:pt idx="686">
                  <c:v>80.542593</c:v>
                </c:pt>
                <c:pt idx="687">
                  <c:v>80.522222</c:v>
                </c:pt>
                <c:pt idx="688">
                  <c:v>80.512500</c:v>
                </c:pt>
                <c:pt idx="689">
                  <c:v>80.532143</c:v>
                </c:pt>
                <c:pt idx="692">
                  <c:v>80.546154</c:v>
                </c:pt>
                <c:pt idx="693">
                  <c:v>80.551923</c:v>
                </c:pt>
                <c:pt idx="694">
                  <c:v>80.542308</c:v>
                </c:pt>
                <c:pt idx="695">
                  <c:v>80.511538</c:v>
                </c:pt>
                <c:pt idx="696">
                  <c:v>80.467308</c:v>
                </c:pt>
                <c:pt idx="698">
                  <c:v>80.422000</c:v>
                </c:pt>
                <c:pt idx="699">
                  <c:v>80.428000</c:v>
                </c:pt>
                <c:pt idx="700">
                  <c:v>80.452000</c:v>
                </c:pt>
                <c:pt idx="701">
                  <c:v>80.444000</c:v>
                </c:pt>
                <c:pt idx="702">
                  <c:v>80.450000</c:v>
                </c:pt>
                <c:pt idx="703">
                  <c:v>80.457692</c:v>
                </c:pt>
                <c:pt idx="704">
                  <c:v>80.478846</c:v>
                </c:pt>
                <c:pt idx="705">
                  <c:v>80.509259</c:v>
                </c:pt>
                <c:pt idx="706">
                  <c:v>80.525926</c:v>
                </c:pt>
                <c:pt idx="707">
                  <c:v>80.522222</c:v>
                </c:pt>
                <c:pt idx="708">
                  <c:v>80.507407</c:v>
                </c:pt>
                <c:pt idx="709">
                  <c:v>80.512963</c:v>
                </c:pt>
                <c:pt idx="710">
                  <c:v>80.512963</c:v>
                </c:pt>
                <c:pt idx="712">
                  <c:v>80.521154</c:v>
                </c:pt>
                <c:pt idx="713">
                  <c:v>80.575000</c:v>
                </c:pt>
                <c:pt idx="714">
                  <c:v>80.611538</c:v>
                </c:pt>
                <c:pt idx="715">
                  <c:v>80.613462</c:v>
                </c:pt>
                <c:pt idx="716">
                  <c:v>80.636538</c:v>
                </c:pt>
                <c:pt idx="717">
                  <c:v>80.717308</c:v>
                </c:pt>
                <c:pt idx="718">
                  <c:v>80.769231</c:v>
                </c:pt>
                <c:pt idx="719">
                  <c:v>80.821154</c:v>
                </c:pt>
                <c:pt idx="720">
                  <c:v>80.850000</c:v>
                </c:pt>
                <c:pt idx="721">
                  <c:v>80.857143</c:v>
                </c:pt>
                <c:pt idx="722">
                  <c:v>80.860714</c:v>
                </c:pt>
                <c:pt idx="723">
                  <c:v>80.864286</c:v>
                </c:pt>
                <c:pt idx="724">
                  <c:v>80.867857</c:v>
                </c:pt>
                <c:pt idx="725">
                  <c:v>80.891071</c:v>
                </c:pt>
                <c:pt idx="726">
                  <c:v>80.894643</c:v>
                </c:pt>
                <c:pt idx="727">
                  <c:v>80.868966</c:v>
                </c:pt>
                <c:pt idx="728">
                  <c:v>80.872414</c:v>
                </c:pt>
                <c:pt idx="729">
                  <c:v>80.881034</c:v>
                </c:pt>
                <c:pt idx="730">
                  <c:v>80.889655</c:v>
                </c:pt>
                <c:pt idx="731">
                  <c:v>80.913793</c:v>
                </c:pt>
                <c:pt idx="732">
                  <c:v>80.922414</c:v>
                </c:pt>
                <c:pt idx="734">
                  <c:v>80.930357</c:v>
                </c:pt>
                <c:pt idx="735">
                  <c:v>80.914286</c:v>
                </c:pt>
                <c:pt idx="736">
                  <c:v>80.916071</c:v>
                </c:pt>
                <c:pt idx="737">
                  <c:v>80.917857</c:v>
                </c:pt>
                <c:pt idx="738">
                  <c:v>80.930357</c:v>
                </c:pt>
                <c:pt idx="739">
                  <c:v>80.942857</c:v>
                </c:pt>
                <c:pt idx="740">
                  <c:v>80.900000</c:v>
                </c:pt>
                <c:pt idx="741">
                  <c:v>80.894828</c:v>
                </c:pt>
                <c:pt idx="742">
                  <c:v>80.906897</c:v>
                </c:pt>
                <c:pt idx="743">
                  <c:v>80.891379</c:v>
                </c:pt>
                <c:pt idx="744">
                  <c:v>80.886207</c:v>
                </c:pt>
                <c:pt idx="745">
                  <c:v>80.917241</c:v>
                </c:pt>
                <c:pt idx="746">
                  <c:v>80.929310</c:v>
                </c:pt>
                <c:pt idx="748">
                  <c:v>80.867857</c:v>
                </c:pt>
                <c:pt idx="749">
                  <c:v>80.846429</c:v>
                </c:pt>
                <c:pt idx="750">
                  <c:v>80.846429</c:v>
                </c:pt>
                <c:pt idx="751">
                  <c:v>80.866071</c:v>
                </c:pt>
                <c:pt idx="752">
                  <c:v>80.900000</c:v>
                </c:pt>
                <c:pt idx="753">
                  <c:v>80.912500</c:v>
                </c:pt>
                <c:pt idx="754">
                  <c:v>80.925000</c:v>
                </c:pt>
                <c:pt idx="755">
                  <c:v>80.937500</c:v>
                </c:pt>
                <c:pt idx="756">
                  <c:v>80.955357</c:v>
                </c:pt>
                <c:pt idx="759">
                  <c:v>81.009615</c:v>
                </c:pt>
                <c:pt idx="760">
                  <c:v>81.015385</c:v>
                </c:pt>
                <c:pt idx="763">
                  <c:v>81.010000</c:v>
                </c:pt>
                <c:pt idx="764">
                  <c:v>81.020000</c:v>
                </c:pt>
                <c:pt idx="765">
                  <c:v>81.026000</c:v>
                </c:pt>
                <c:pt idx="766">
                  <c:v>81.032000</c:v>
                </c:pt>
                <c:pt idx="767">
                  <c:v>81.062000</c:v>
                </c:pt>
                <c:pt idx="768">
                  <c:v>81.092000</c:v>
                </c:pt>
                <c:pt idx="770">
                  <c:v>81.168750</c:v>
                </c:pt>
                <c:pt idx="771">
                  <c:v>81.204167</c:v>
                </c:pt>
                <c:pt idx="772">
                  <c:v>81.233333</c:v>
                </c:pt>
                <c:pt idx="773">
                  <c:v>81.260417</c:v>
                </c:pt>
                <c:pt idx="774">
                  <c:v>81.287500</c:v>
                </c:pt>
                <c:pt idx="775">
                  <c:v>81.300000</c:v>
                </c:pt>
                <c:pt idx="776">
                  <c:v>81.329167</c:v>
                </c:pt>
                <c:pt idx="777">
                  <c:v>81.340000</c:v>
                </c:pt>
                <c:pt idx="778">
                  <c:v>81.366000</c:v>
                </c:pt>
                <c:pt idx="779">
                  <c:v>81.404000</c:v>
                </c:pt>
                <c:pt idx="780">
                  <c:v>81.418000</c:v>
                </c:pt>
                <c:pt idx="781">
                  <c:v>81.418000</c:v>
                </c:pt>
                <c:pt idx="782">
                  <c:v>81.432000</c:v>
                </c:pt>
                <c:pt idx="783">
                  <c:v>81.456000</c:v>
                </c:pt>
                <c:pt idx="784">
                  <c:v>81.494000</c:v>
                </c:pt>
                <c:pt idx="785">
                  <c:v>81.532000</c:v>
                </c:pt>
                <c:pt idx="786">
                  <c:v>81.606000</c:v>
                </c:pt>
                <c:pt idx="787">
                  <c:v>81.619231</c:v>
                </c:pt>
                <c:pt idx="788">
                  <c:v>81.650000</c:v>
                </c:pt>
                <c:pt idx="789">
                  <c:v>81.731481</c:v>
                </c:pt>
                <c:pt idx="790">
                  <c:v>81.798148</c:v>
                </c:pt>
                <c:pt idx="791">
                  <c:v>81.817857</c:v>
                </c:pt>
                <c:pt idx="792">
                  <c:v>81.851724</c:v>
                </c:pt>
                <c:pt idx="793">
                  <c:v>81.913793</c:v>
                </c:pt>
                <c:pt idx="794">
                  <c:v>81.998276</c:v>
                </c:pt>
                <c:pt idx="795">
                  <c:v>82.101724</c:v>
                </c:pt>
                <c:pt idx="796">
                  <c:v>82.194828</c:v>
                </c:pt>
                <c:pt idx="797">
                  <c:v>82.250000</c:v>
                </c:pt>
                <c:pt idx="798">
                  <c:v>82.332759</c:v>
                </c:pt>
                <c:pt idx="799">
                  <c:v>82.378333</c:v>
                </c:pt>
                <c:pt idx="800">
                  <c:v>82.431667</c:v>
                </c:pt>
                <c:pt idx="801">
                  <c:v>82.475000</c:v>
                </c:pt>
                <c:pt idx="803">
                  <c:v>82.550000</c:v>
                </c:pt>
                <c:pt idx="804">
                  <c:v>82.620690</c:v>
                </c:pt>
                <c:pt idx="805">
                  <c:v>82.679310</c:v>
                </c:pt>
                <c:pt idx="806">
                  <c:v>82.724138</c:v>
                </c:pt>
                <c:pt idx="807">
                  <c:v>82.782759</c:v>
                </c:pt>
                <c:pt idx="808">
                  <c:v>82.817241</c:v>
                </c:pt>
                <c:pt idx="809">
                  <c:v>82.851724</c:v>
                </c:pt>
                <c:pt idx="810">
                  <c:v>82.898276</c:v>
                </c:pt>
                <c:pt idx="811">
                  <c:v>82.981034</c:v>
                </c:pt>
                <c:pt idx="812">
                  <c:v>83.015517</c:v>
                </c:pt>
                <c:pt idx="813">
                  <c:v>83.062069</c:v>
                </c:pt>
                <c:pt idx="814">
                  <c:v>83.096552</c:v>
                </c:pt>
                <c:pt idx="815">
                  <c:v>83.131034</c:v>
                </c:pt>
                <c:pt idx="816">
                  <c:v>83.170690</c:v>
                </c:pt>
                <c:pt idx="817">
                  <c:v>83.229310</c:v>
                </c:pt>
                <c:pt idx="818">
                  <c:v>83.284483</c:v>
                </c:pt>
                <c:pt idx="819">
                  <c:v>83.312069</c:v>
                </c:pt>
                <c:pt idx="820">
                  <c:v>83.355172</c:v>
                </c:pt>
                <c:pt idx="821">
                  <c:v>83.400000</c:v>
                </c:pt>
                <c:pt idx="822">
                  <c:v>83.429310</c:v>
                </c:pt>
                <c:pt idx="823">
                  <c:v>83.436207</c:v>
                </c:pt>
                <c:pt idx="824">
                  <c:v>83.467241</c:v>
                </c:pt>
                <c:pt idx="825">
                  <c:v>83.482759</c:v>
                </c:pt>
                <c:pt idx="826">
                  <c:v>83.508621</c:v>
                </c:pt>
                <c:pt idx="827">
                  <c:v>83.522414</c:v>
                </c:pt>
                <c:pt idx="828">
                  <c:v>83.508621</c:v>
                </c:pt>
                <c:pt idx="829">
                  <c:v>83.515517</c:v>
                </c:pt>
                <c:pt idx="830">
                  <c:v>83.556897</c:v>
                </c:pt>
                <c:pt idx="831">
                  <c:v>83.608621</c:v>
                </c:pt>
                <c:pt idx="833">
                  <c:v>83.624138</c:v>
                </c:pt>
                <c:pt idx="834">
                  <c:v>83.655172</c:v>
                </c:pt>
                <c:pt idx="835">
                  <c:v>83.710345</c:v>
                </c:pt>
                <c:pt idx="836">
                  <c:v>83.765517</c:v>
                </c:pt>
                <c:pt idx="837">
                  <c:v>83.820690</c:v>
                </c:pt>
                <c:pt idx="838">
                  <c:v>83.887931</c:v>
                </c:pt>
                <c:pt idx="840">
                  <c:v>83.978571</c:v>
                </c:pt>
                <c:pt idx="841">
                  <c:v>84.010714</c:v>
                </c:pt>
                <c:pt idx="842">
                  <c:v>84.091071</c:v>
                </c:pt>
                <c:pt idx="843">
                  <c:v>84.183929</c:v>
                </c:pt>
                <c:pt idx="844">
                  <c:v>84.264286</c:v>
                </c:pt>
                <c:pt idx="845">
                  <c:v>84.344643</c:v>
                </c:pt>
                <c:pt idx="846">
                  <c:v>84.389286</c:v>
                </c:pt>
                <c:pt idx="847">
                  <c:v>84.433929</c:v>
                </c:pt>
                <c:pt idx="848">
                  <c:v>84.487500</c:v>
                </c:pt>
                <c:pt idx="849">
                  <c:v>84.542857</c:v>
                </c:pt>
                <c:pt idx="850">
                  <c:v>84.573214</c:v>
                </c:pt>
                <c:pt idx="851">
                  <c:v>84.666071</c:v>
                </c:pt>
                <c:pt idx="852">
                  <c:v>84.758929</c:v>
                </c:pt>
                <c:pt idx="853">
                  <c:v>84.837500</c:v>
                </c:pt>
                <c:pt idx="854">
                  <c:v>84.891071</c:v>
                </c:pt>
                <c:pt idx="855">
                  <c:v>84.939286</c:v>
                </c:pt>
                <c:pt idx="856">
                  <c:v>84.958929</c:v>
                </c:pt>
                <c:pt idx="857">
                  <c:v>85.023214</c:v>
                </c:pt>
                <c:pt idx="858">
                  <c:v>85.087500</c:v>
                </c:pt>
                <c:pt idx="859">
                  <c:v>85.141071</c:v>
                </c:pt>
                <c:pt idx="860">
                  <c:v>85.176786</c:v>
                </c:pt>
                <c:pt idx="861">
                  <c:v>85.198214</c:v>
                </c:pt>
                <c:pt idx="862">
                  <c:v>85.205172</c:v>
                </c:pt>
                <c:pt idx="863">
                  <c:v>85.251724</c:v>
                </c:pt>
                <c:pt idx="864">
                  <c:v>85.268966</c:v>
                </c:pt>
                <c:pt idx="867">
                  <c:v>85.325926</c:v>
                </c:pt>
                <c:pt idx="868">
                  <c:v>85.370370</c:v>
                </c:pt>
                <c:pt idx="869">
                  <c:v>85.396429</c:v>
                </c:pt>
                <c:pt idx="870">
                  <c:v>85.439286</c:v>
                </c:pt>
                <c:pt idx="871">
                  <c:v>85.482143</c:v>
                </c:pt>
                <c:pt idx="873">
                  <c:v>85.488889</c:v>
                </c:pt>
                <c:pt idx="874">
                  <c:v>85.498148</c:v>
                </c:pt>
                <c:pt idx="875">
                  <c:v>85.507407</c:v>
                </c:pt>
                <c:pt idx="876">
                  <c:v>85.516667</c:v>
                </c:pt>
                <c:pt idx="877">
                  <c:v>85.514815</c:v>
                </c:pt>
                <c:pt idx="878">
                  <c:v>85.500000</c:v>
                </c:pt>
                <c:pt idx="879">
                  <c:v>85.498148</c:v>
                </c:pt>
                <c:pt idx="880">
                  <c:v>85.507407</c:v>
                </c:pt>
                <c:pt idx="881">
                  <c:v>85.435185</c:v>
                </c:pt>
                <c:pt idx="882">
                  <c:v>85.362963</c:v>
                </c:pt>
                <c:pt idx="883">
                  <c:v>85.329630</c:v>
                </c:pt>
                <c:pt idx="884">
                  <c:v>85.285185</c:v>
                </c:pt>
                <c:pt idx="885">
                  <c:v>85.218519</c:v>
                </c:pt>
                <c:pt idx="887">
                  <c:v>85.184615</c:v>
                </c:pt>
                <c:pt idx="888">
                  <c:v>85.142308</c:v>
                </c:pt>
              </c:numCache>
            </c:numRef>
          </c:val>
          <c:smooth val="0"/>
        </c:ser>
        <c:ser>
          <c:idx val="1"/>
          <c:order val="1"/>
          <c:tx>
            <c:strRef>
              <c:f>'tracking - Table 3-1'!$G$1</c:f>
              <c:strCache>
                <c:ptCount val="1"/>
                <c:pt idx="0">
                  <c:v>Deadlift</c:v>
                </c:pt>
              </c:strCache>
            </c:strRef>
          </c:tx>
          <c:spPr>
            <a:solidFill>
              <a:srgbClr val="FFFFFF"/>
            </a:solidFill>
            <a:ln w="25400" cap="flat">
              <a:solidFill>
                <a:srgbClr val="51A7F9">
                  <a:alpha val="51206"/>
                </a:srgbClr>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3-1'!$G$2:$G$924</c:f>
              <c:numCache>
                <c:ptCount val="69"/>
                <c:pt idx="24">
                  <c:v>20.000000</c:v>
                </c:pt>
                <c:pt idx="25">
                  <c:v>20.000000</c:v>
                </c:pt>
                <c:pt idx="26">
                  <c:v>20.000000</c:v>
                </c:pt>
                <c:pt idx="27">
                  <c:v>25.000000</c:v>
                </c:pt>
                <c:pt idx="28">
                  <c:v>25.000000</c:v>
                </c:pt>
                <c:pt idx="29">
                  <c:v>25.000000</c:v>
                </c:pt>
                <c:pt idx="30">
                  <c:v>25.000000</c:v>
                </c:pt>
                <c:pt idx="31">
                  <c:v>25.000000</c:v>
                </c:pt>
                <c:pt idx="32">
                  <c:v>25.000000</c:v>
                </c:pt>
                <c:pt idx="33">
                  <c:v>25.000000</c:v>
                </c:pt>
                <c:pt idx="34">
                  <c:v>25.000000</c:v>
                </c:pt>
                <c:pt idx="35">
                  <c:v>25.000000</c:v>
                </c:pt>
                <c:pt idx="36">
                  <c:v>25.000000</c:v>
                </c:pt>
                <c:pt idx="37">
                  <c:v>25.000000</c:v>
                </c:pt>
                <c:pt idx="38">
                  <c:v>25.000000</c:v>
                </c:pt>
                <c:pt idx="39">
                  <c:v>25.000000</c:v>
                </c:pt>
                <c:pt idx="40">
                  <c:v>25.000000</c:v>
                </c:pt>
                <c:pt idx="41">
                  <c:v>30.000000</c:v>
                </c:pt>
                <c:pt idx="42">
                  <c:v>30.000000</c:v>
                </c:pt>
                <c:pt idx="43">
                  <c:v>30.000000</c:v>
                </c:pt>
                <c:pt idx="44">
                  <c:v>30.000000</c:v>
                </c:pt>
                <c:pt idx="45">
                  <c:v>30.000000</c:v>
                </c:pt>
                <c:pt idx="46">
                  <c:v>30.000000</c:v>
                </c:pt>
                <c:pt idx="47">
                  <c:v>30.000000</c:v>
                </c:pt>
                <c:pt idx="48">
                  <c:v>30.000000</c:v>
                </c:pt>
                <c:pt idx="49">
                  <c:v>30.000000</c:v>
                </c:pt>
                <c:pt idx="50">
                  <c:v>30.000000</c:v>
                </c:pt>
                <c:pt idx="51">
                  <c:v>30.000000</c:v>
                </c:pt>
                <c:pt idx="52">
                  <c:v>30.000000</c:v>
                </c:pt>
                <c:pt idx="53">
                  <c:v>30.000000</c:v>
                </c:pt>
                <c:pt idx="54">
                  <c:v>30.000000</c:v>
                </c:pt>
                <c:pt idx="55">
                  <c:v>35.000000</c:v>
                </c:pt>
                <c:pt idx="56">
                  <c:v>35.000000</c:v>
                </c:pt>
                <c:pt idx="57">
                  <c:v>35.000000</c:v>
                </c:pt>
                <c:pt idx="58">
                  <c:v>35.000000</c:v>
                </c:pt>
                <c:pt idx="59">
                  <c:v>35.000000</c:v>
                </c:pt>
                <c:pt idx="60">
                  <c:v>35.000000</c:v>
                </c:pt>
                <c:pt idx="61">
                  <c:v>35.000000</c:v>
                </c:pt>
                <c:pt idx="62">
                  <c:v>35.000000</c:v>
                </c:pt>
                <c:pt idx="63">
                  <c:v>35.000000</c:v>
                </c:pt>
                <c:pt idx="64">
                  <c:v>35.000000</c:v>
                </c:pt>
                <c:pt idx="65">
                  <c:v>35.000000</c:v>
                </c:pt>
                <c:pt idx="66">
                  <c:v>40.000000</c:v>
                </c:pt>
                <c:pt idx="67">
                  <c:v>40.000000</c:v>
                </c:pt>
                <c:pt idx="68">
                  <c:v>40.000000</c:v>
                </c:pt>
                <c:pt idx="69">
                  <c:v>40.000000</c:v>
                </c:pt>
                <c:pt idx="70">
                  <c:v>40.000000</c:v>
                </c:pt>
                <c:pt idx="71">
                  <c:v>45.000000</c:v>
                </c:pt>
                <c:pt idx="72">
                  <c:v>45.000000</c:v>
                </c:pt>
                <c:pt idx="73">
                  <c:v>45.000000</c:v>
                </c:pt>
                <c:pt idx="74">
                  <c:v>45.000000</c:v>
                </c:pt>
                <c:pt idx="75">
                  <c:v>45.000000</c:v>
                </c:pt>
                <c:pt idx="76">
                  <c:v>45.000000</c:v>
                </c:pt>
                <c:pt idx="77">
                  <c:v>45.000000</c:v>
                </c:pt>
                <c:pt idx="78">
                  <c:v>45.000000</c:v>
                </c:pt>
                <c:pt idx="79">
                  <c:v>45.000000</c:v>
                </c:pt>
                <c:pt idx="80">
                  <c:v>45.000000</c:v>
                </c:pt>
                <c:pt idx="81">
                  <c:v>45.000000</c:v>
                </c:pt>
                <c:pt idx="82">
                  <c:v>45.000000</c:v>
                </c:pt>
                <c:pt idx="83">
                  <c:v>45.000000</c:v>
                </c:pt>
                <c:pt idx="84">
                  <c:v>45.000000</c:v>
                </c:pt>
                <c:pt idx="85">
                  <c:v>50.000000</c:v>
                </c:pt>
                <c:pt idx="86">
                  <c:v>54.600000</c:v>
                </c:pt>
                <c:pt idx="91">
                  <c:v>50.000000</c:v>
                </c:pt>
                <c:pt idx="92">
                  <c:v>50.000000</c:v>
                </c:pt>
                <c:pt idx="93">
                  <c:v>50.000000</c:v>
                </c:pt>
                <c:pt idx="94">
                  <c:v>50.000000</c:v>
                </c:pt>
                <c:pt idx="95">
                  <c:v>50.000000</c:v>
                </c:pt>
                <c:pt idx="98">
                  <c:v>54.600000</c:v>
                </c:pt>
              </c:numCache>
            </c:numRef>
          </c:val>
          <c:smooth val="0"/>
        </c:ser>
        <c:ser>
          <c:idx val="2"/>
          <c:order val="2"/>
          <c:tx>
            <c:strRef>
              <c:f>'tracking - Table 3-1'!$H$1</c:f>
              <c:strCache>
                <c:ptCount val="1"/>
                <c:pt idx="0">
                  <c:v>Bench press</c:v>
                </c:pt>
              </c:strCache>
            </c:strRef>
          </c:tx>
          <c:spPr>
            <a:solidFill>
              <a:srgbClr val="FFFFFF"/>
            </a:solidFill>
            <a:ln w="50800" cap="flat">
              <a:solidFill>
                <a:srgbClr val="EF5C31"/>
              </a:solidFill>
              <a:prstDash val="solid"/>
              <a:miter lim="400000"/>
            </a:ln>
            <a:effectLst/>
          </c:spPr>
          <c:marker>
            <c:symbol val="none"/>
            <c:size val="4"/>
            <c:spPr>
              <a:solidFill>
                <a:srgbClr val="FFFFFF"/>
              </a:solidFill>
              <a:ln w="50800" cap="flat">
                <a:solidFill>
                  <a:srgbClr val="FBE12B"/>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3-1'!$H$2:$H$924</c:f>
              <c:numCache>
                <c:ptCount val="71"/>
                <c:pt idx="22">
                  <c:v>20.000000</c:v>
                </c:pt>
                <c:pt idx="23">
                  <c:v>20.000000</c:v>
                </c:pt>
                <c:pt idx="24">
                  <c:v>25.000000</c:v>
                </c:pt>
                <c:pt idx="25">
                  <c:v>25.000000</c:v>
                </c:pt>
                <c:pt idx="26">
                  <c:v>25.000000</c:v>
                </c:pt>
                <c:pt idx="27">
                  <c:v>25.000000</c:v>
                </c:pt>
                <c:pt idx="28">
                  <c:v>25.000000</c:v>
                </c:pt>
                <c:pt idx="29">
                  <c:v>25.000000</c:v>
                </c:pt>
                <c:pt idx="30">
                  <c:v>25.000000</c:v>
                </c:pt>
                <c:pt idx="31">
                  <c:v>25.000000</c:v>
                </c:pt>
                <c:pt idx="32">
                  <c:v>25.000000</c:v>
                </c:pt>
                <c:pt idx="33">
                  <c:v>25.000000</c:v>
                </c:pt>
                <c:pt idx="34">
                  <c:v>25.000000</c:v>
                </c:pt>
                <c:pt idx="35">
                  <c:v>25.000000</c:v>
                </c:pt>
                <c:pt idx="36">
                  <c:v>25.000000</c:v>
                </c:pt>
                <c:pt idx="37">
                  <c:v>25.000000</c:v>
                </c:pt>
                <c:pt idx="38">
                  <c:v>30.000000</c:v>
                </c:pt>
                <c:pt idx="39">
                  <c:v>30.000000</c:v>
                </c:pt>
                <c:pt idx="40">
                  <c:v>30.000000</c:v>
                </c:pt>
                <c:pt idx="41">
                  <c:v>30.000000</c:v>
                </c:pt>
                <c:pt idx="42">
                  <c:v>30.000000</c:v>
                </c:pt>
                <c:pt idx="43">
                  <c:v>30.000000</c:v>
                </c:pt>
                <c:pt idx="44">
                  <c:v>30.000000</c:v>
                </c:pt>
                <c:pt idx="45">
                  <c:v>30.000000</c:v>
                </c:pt>
                <c:pt idx="46">
                  <c:v>30.000000</c:v>
                </c:pt>
                <c:pt idx="47">
                  <c:v>30.000000</c:v>
                </c:pt>
                <c:pt idx="48">
                  <c:v>30.000000</c:v>
                </c:pt>
                <c:pt idx="49">
                  <c:v>30.000000</c:v>
                </c:pt>
                <c:pt idx="50">
                  <c:v>30.000000</c:v>
                </c:pt>
                <c:pt idx="51">
                  <c:v>30.000000</c:v>
                </c:pt>
                <c:pt idx="52">
                  <c:v>35.000000</c:v>
                </c:pt>
                <c:pt idx="53">
                  <c:v>35.000000</c:v>
                </c:pt>
                <c:pt idx="54">
                  <c:v>35.000000</c:v>
                </c:pt>
                <c:pt idx="55">
                  <c:v>35.000000</c:v>
                </c:pt>
                <c:pt idx="56">
                  <c:v>35.000000</c:v>
                </c:pt>
                <c:pt idx="57">
                  <c:v>35.000000</c:v>
                </c:pt>
                <c:pt idx="58">
                  <c:v>35.000000</c:v>
                </c:pt>
                <c:pt idx="59">
                  <c:v>35.000000</c:v>
                </c:pt>
                <c:pt idx="60">
                  <c:v>35.000000</c:v>
                </c:pt>
                <c:pt idx="61">
                  <c:v>35.000000</c:v>
                </c:pt>
                <c:pt idx="62">
                  <c:v>35.000000</c:v>
                </c:pt>
                <c:pt idx="63">
                  <c:v>35.000000</c:v>
                </c:pt>
                <c:pt idx="64">
                  <c:v>40.000000</c:v>
                </c:pt>
                <c:pt idx="65">
                  <c:v>40.000000</c:v>
                </c:pt>
                <c:pt idx="66">
                  <c:v>40.000000</c:v>
                </c:pt>
                <c:pt idx="67">
                  <c:v>40.000000</c:v>
                </c:pt>
                <c:pt idx="68">
                  <c:v>40.000000</c:v>
                </c:pt>
                <c:pt idx="69">
                  <c:v>40.000000</c:v>
                </c:pt>
                <c:pt idx="70">
                  <c:v>40.000000</c:v>
                </c:pt>
                <c:pt idx="71">
                  <c:v>40.000000</c:v>
                </c:pt>
                <c:pt idx="72">
                  <c:v>40.000000</c:v>
                </c:pt>
                <c:pt idx="73">
                  <c:v>45.000000</c:v>
                </c:pt>
                <c:pt idx="74">
                  <c:v>45.000000</c:v>
                </c:pt>
                <c:pt idx="75">
                  <c:v>45.000000</c:v>
                </c:pt>
                <c:pt idx="76">
                  <c:v>45.000000</c:v>
                </c:pt>
                <c:pt idx="77">
                  <c:v>45.000000</c:v>
                </c:pt>
                <c:pt idx="78">
                  <c:v>45.000000</c:v>
                </c:pt>
                <c:pt idx="79">
                  <c:v>45.000000</c:v>
                </c:pt>
                <c:pt idx="80">
                  <c:v>45.000000</c:v>
                </c:pt>
                <c:pt idx="81">
                  <c:v>45.000000</c:v>
                </c:pt>
                <c:pt idx="82">
                  <c:v>45.000000</c:v>
                </c:pt>
                <c:pt idx="83">
                  <c:v>45.000000</c:v>
                </c:pt>
                <c:pt idx="84">
                  <c:v>45.000000</c:v>
                </c:pt>
                <c:pt idx="85">
                  <c:v>45.000000</c:v>
                </c:pt>
                <c:pt idx="86">
                  <c:v>52.260000</c:v>
                </c:pt>
                <c:pt idx="91">
                  <c:v>45.000000</c:v>
                </c:pt>
                <c:pt idx="92">
                  <c:v>45.000000</c:v>
                </c:pt>
                <c:pt idx="93">
                  <c:v>45.000000</c:v>
                </c:pt>
                <c:pt idx="94">
                  <c:v>45.000000</c:v>
                </c:pt>
                <c:pt idx="95">
                  <c:v>45.000000</c:v>
                </c:pt>
                <c:pt idx="98">
                  <c:v>52.260000</c:v>
                </c:pt>
              </c:numCache>
            </c:numRef>
          </c:val>
          <c:smooth val="0"/>
        </c:ser>
        <c:ser>
          <c:idx val="3"/>
          <c:order val="3"/>
          <c:tx>
            <c:strRef>
              <c:f>'tracking - Table 3-1'!$I$1</c:f>
              <c:strCache>
                <c:ptCount val="1"/>
                <c:pt idx="0">
                  <c:v>Incline bench</c:v>
                </c:pt>
              </c:strCache>
            </c:strRef>
          </c:tx>
          <c:spPr>
            <a:solidFill>
              <a:srgbClr val="FFFFFF"/>
            </a:solidFill>
            <a:ln w="25400" cap="flat">
              <a:solidFill>
                <a:srgbClr val="F05C31">
                  <a:alpha val="50000"/>
                </a:srgbClr>
              </a:solidFill>
              <a:prstDash val="solid"/>
              <a:miter lim="400000"/>
            </a:ln>
            <a:effectLst/>
          </c:spPr>
          <c:marker>
            <c:symbol val="none"/>
            <c:size val="4"/>
            <c:spPr>
              <a:solidFill>
                <a:srgbClr val="FFFFFF"/>
              </a:solidFill>
              <a:ln w="50800" cap="flat">
                <a:solidFill>
                  <a:srgbClr val="EF951A"/>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3-1'!$I$2:$I$924</c:f>
              <c:numCache>
                <c:ptCount val="71"/>
                <c:pt idx="22">
                  <c:v>20.000000</c:v>
                </c:pt>
                <c:pt idx="23">
                  <c:v>20.000000</c:v>
                </c:pt>
                <c:pt idx="24">
                  <c:v>25.000000</c:v>
                </c:pt>
                <c:pt idx="25">
                  <c:v>25.000000</c:v>
                </c:pt>
                <c:pt idx="26">
                  <c:v>25.000000</c:v>
                </c:pt>
                <c:pt idx="27">
                  <c:v>25.000000</c:v>
                </c:pt>
                <c:pt idx="28">
                  <c:v>25.000000</c:v>
                </c:pt>
                <c:pt idx="29">
                  <c:v>25.000000</c:v>
                </c:pt>
                <c:pt idx="30">
                  <c:v>25.000000</c:v>
                </c:pt>
                <c:pt idx="31">
                  <c:v>25.000000</c:v>
                </c:pt>
                <c:pt idx="32">
                  <c:v>25.000000</c:v>
                </c:pt>
                <c:pt idx="33">
                  <c:v>25.000000</c:v>
                </c:pt>
                <c:pt idx="34">
                  <c:v>25.000000</c:v>
                </c:pt>
                <c:pt idx="35">
                  <c:v>25.000000</c:v>
                </c:pt>
                <c:pt idx="36">
                  <c:v>25.000000</c:v>
                </c:pt>
                <c:pt idx="37">
                  <c:v>25.000000</c:v>
                </c:pt>
                <c:pt idx="38">
                  <c:v>30.000000</c:v>
                </c:pt>
                <c:pt idx="39">
                  <c:v>30.000000</c:v>
                </c:pt>
                <c:pt idx="40">
                  <c:v>30.000000</c:v>
                </c:pt>
                <c:pt idx="41">
                  <c:v>30.000000</c:v>
                </c:pt>
                <c:pt idx="42">
                  <c:v>30.000000</c:v>
                </c:pt>
                <c:pt idx="43">
                  <c:v>30.000000</c:v>
                </c:pt>
                <c:pt idx="44">
                  <c:v>30.000000</c:v>
                </c:pt>
                <c:pt idx="45">
                  <c:v>30.000000</c:v>
                </c:pt>
                <c:pt idx="46">
                  <c:v>30.000000</c:v>
                </c:pt>
                <c:pt idx="47">
                  <c:v>30.000000</c:v>
                </c:pt>
                <c:pt idx="48">
                  <c:v>30.000000</c:v>
                </c:pt>
                <c:pt idx="49">
                  <c:v>30.000000</c:v>
                </c:pt>
                <c:pt idx="50">
                  <c:v>30.000000</c:v>
                </c:pt>
                <c:pt idx="51">
                  <c:v>30.000000</c:v>
                </c:pt>
                <c:pt idx="52">
                  <c:v>35.000000</c:v>
                </c:pt>
                <c:pt idx="53">
                  <c:v>35.000000</c:v>
                </c:pt>
                <c:pt idx="54">
                  <c:v>35.000000</c:v>
                </c:pt>
                <c:pt idx="55">
                  <c:v>35.000000</c:v>
                </c:pt>
                <c:pt idx="56">
                  <c:v>35.000000</c:v>
                </c:pt>
                <c:pt idx="57">
                  <c:v>35.000000</c:v>
                </c:pt>
                <c:pt idx="58">
                  <c:v>35.000000</c:v>
                </c:pt>
                <c:pt idx="59">
                  <c:v>35.000000</c:v>
                </c:pt>
                <c:pt idx="60">
                  <c:v>35.000000</c:v>
                </c:pt>
                <c:pt idx="61">
                  <c:v>35.000000</c:v>
                </c:pt>
                <c:pt idx="62">
                  <c:v>35.000000</c:v>
                </c:pt>
                <c:pt idx="63">
                  <c:v>35.000000</c:v>
                </c:pt>
                <c:pt idx="64">
                  <c:v>40.000000</c:v>
                </c:pt>
                <c:pt idx="65">
                  <c:v>40.000000</c:v>
                </c:pt>
                <c:pt idx="66">
                  <c:v>40.000000</c:v>
                </c:pt>
                <c:pt idx="67">
                  <c:v>40.000000</c:v>
                </c:pt>
                <c:pt idx="68">
                  <c:v>40.000000</c:v>
                </c:pt>
                <c:pt idx="69">
                  <c:v>40.000000</c:v>
                </c:pt>
                <c:pt idx="70">
                  <c:v>40.000000</c:v>
                </c:pt>
                <c:pt idx="71">
                  <c:v>40.000000</c:v>
                </c:pt>
                <c:pt idx="72">
                  <c:v>40.000000</c:v>
                </c:pt>
                <c:pt idx="73">
                  <c:v>40.000000</c:v>
                </c:pt>
                <c:pt idx="74">
                  <c:v>40.000000</c:v>
                </c:pt>
                <c:pt idx="75">
                  <c:v>40.000000</c:v>
                </c:pt>
                <c:pt idx="76">
                  <c:v>40.000000</c:v>
                </c:pt>
                <c:pt idx="77">
                  <c:v>40.000000</c:v>
                </c:pt>
                <c:pt idx="78">
                  <c:v>40.000000</c:v>
                </c:pt>
                <c:pt idx="79">
                  <c:v>40.000000</c:v>
                </c:pt>
                <c:pt idx="80">
                  <c:v>40.000000</c:v>
                </c:pt>
                <c:pt idx="81">
                  <c:v>40.000000</c:v>
                </c:pt>
                <c:pt idx="82">
                  <c:v>40.000000</c:v>
                </c:pt>
                <c:pt idx="83">
                  <c:v>40.000000</c:v>
                </c:pt>
                <c:pt idx="84">
                  <c:v>40.000000</c:v>
                </c:pt>
                <c:pt idx="85">
                  <c:v>40.000000</c:v>
                </c:pt>
                <c:pt idx="86">
                  <c:v>40.000000</c:v>
                </c:pt>
                <c:pt idx="91">
                  <c:v>40.000000</c:v>
                </c:pt>
                <c:pt idx="92">
                  <c:v>40.000000</c:v>
                </c:pt>
                <c:pt idx="93">
                  <c:v>40.000000</c:v>
                </c:pt>
                <c:pt idx="94">
                  <c:v>40.000000</c:v>
                </c:pt>
                <c:pt idx="95">
                  <c:v>40.000000</c:v>
                </c:pt>
                <c:pt idx="98">
                  <c:v>40.000000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0"/>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218896"/>
          <c:y val="0"/>
          <c:w val="0.58741"/>
          <c:h val="0.10553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8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32522"/>
          <c:y val="0.120805"/>
          <c:w val="0.920977"/>
          <c:h val="0.814681"/>
        </c:manualLayout>
      </c:layout>
      <c:lineChart>
        <c:grouping val="standard"/>
        <c:varyColors val="0"/>
        <c:ser>
          <c:idx val="0"/>
          <c:order val="0"/>
          <c:tx>
            <c:strRef>
              <c:f>'tracking - Table 3-1'!$J$1</c:f>
              <c:strCache>
                <c:ptCount val="1"/>
                <c:pt idx="0">
                  <c:v>Split squats</c:v>
                </c:pt>
              </c:strCache>
            </c:strRef>
          </c:tx>
          <c:spPr>
            <a:solidFill>
              <a:srgbClr val="FFFFFF"/>
            </a:solidFill>
            <a:ln w="50800" cap="flat">
              <a:solidFill>
                <a:srgbClr val="51A7F9"/>
              </a:solidFill>
              <a:prstDash val="solid"/>
              <a:miter lim="400000"/>
            </a:ln>
            <a:effectLst/>
          </c:spPr>
          <c:marker>
            <c:symbol val="none"/>
            <c:size val="4"/>
            <c:spPr>
              <a:solidFill>
                <a:srgbClr val="FFFFFF"/>
              </a:solidFill>
              <a:ln w="50800" cap="flat">
                <a:solidFill>
                  <a:srgbClr val="51A7F9"/>
                </a:solidFill>
                <a:prstDash val="solid"/>
                <a:miter lim="400000"/>
              </a:ln>
              <a:effectLst/>
            </c:spPr>
          </c:marker>
          <c:dLbls>
            <c:numFmt formatCode="0.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3-1'!$J$2:$J$924</c:f>
              <c:numCache>
                <c:ptCount val="59"/>
                <c:pt idx="34">
                  <c:v>0.000000</c:v>
                </c:pt>
                <c:pt idx="35">
                  <c:v>0.000000</c:v>
                </c:pt>
                <c:pt idx="36">
                  <c:v>0.000000</c:v>
                </c:pt>
                <c:pt idx="37">
                  <c:v>0.000000</c:v>
                </c:pt>
                <c:pt idx="38">
                  <c:v>0.000000</c:v>
                </c:pt>
                <c:pt idx="39">
                  <c:v>0.000000</c:v>
                </c:pt>
                <c:pt idx="40">
                  <c:v>0.000000</c:v>
                </c:pt>
                <c:pt idx="41">
                  <c:v>0.000000</c:v>
                </c:pt>
                <c:pt idx="42">
                  <c:v>0.000000</c:v>
                </c:pt>
                <c:pt idx="43">
                  <c:v>7.500000</c:v>
                </c:pt>
                <c:pt idx="44">
                  <c:v>7.500000</c:v>
                </c:pt>
                <c:pt idx="45">
                  <c:v>7.500000</c:v>
                </c:pt>
                <c:pt idx="46">
                  <c:v>7.500000</c:v>
                </c:pt>
                <c:pt idx="47">
                  <c:v>7.500000</c:v>
                </c:pt>
                <c:pt idx="48">
                  <c:v>7.500000</c:v>
                </c:pt>
                <c:pt idx="49">
                  <c:v>7.500000</c:v>
                </c:pt>
                <c:pt idx="50">
                  <c:v>7.500000</c:v>
                </c:pt>
                <c:pt idx="51">
                  <c:v>7.500000</c:v>
                </c:pt>
                <c:pt idx="52">
                  <c:v>7.500000</c:v>
                </c:pt>
                <c:pt idx="53">
                  <c:v>7.500000</c:v>
                </c:pt>
                <c:pt idx="54">
                  <c:v>7.500000</c:v>
                </c:pt>
                <c:pt idx="55">
                  <c:v>7.500000</c:v>
                </c:pt>
                <c:pt idx="56">
                  <c:v>7.500000</c:v>
                </c:pt>
                <c:pt idx="57">
                  <c:v>9.000000</c:v>
                </c:pt>
                <c:pt idx="58">
                  <c:v>9.000000</c:v>
                </c:pt>
                <c:pt idx="59">
                  <c:v>9.000000</c:v>
                </c:pt>
                <c:pt idx="60">
                  <c:v>9.000000</c:v>
                </c:pt>
                <c:pt idx="61">
                  <c:v>9.000000</c:v>
                </c:pt>
                <c:pt idx="62">
                  <c:v>9.000000</c:v>
                </c:pt>
                <c:pt idx="63">
                  <c:v>9.000000</c:v>
                </c:pt>
                <c:pt idx="64">
                  <c:v>9.000000</c:v>
                </c:pt>
                <c:pt idx="65">
                  <c:v>9.000000</c:v>
                </c:pt>
                <c:pt idx="66">
                  <c:v>9.000000</c:v>
                </c:pt>
                <c:pt idx="67">
                  <c:v>9.000000</c:v>
                </c:pt>
                <c:pt idx="68">
                  <c:v>9.000000</c:v>
                </c:pt>
                <c:pt idx="69">
                  <c:v>9.000000</c:v>
                </c:pt>
                <c:pt idx="70">
                  <c:v>9.000000</c:v>
                </c:pt>
                <c:pt idx="71">
                  <c:v>9.000000</c:v>
                </c:pt>
                <c:pt idx="72">
                  <c:v>9.000000</c:v>
                </c:pt>
                <c:pt idx="73">
                  <c:v>9.000000</c:v>
                </c:pt>
                <c:pt idx="74">
                  <c:v>9.000000</c:v>
                </c:pt>
                <c:pt idx="75">
                  <c:v>9.000000</c:v>
                </c:pt>
                <c:pt idx="76">
                  <c:v>11.500000</c:v>
                </c:pt>
                <c:pt idx="77">
                  <c:v>11.500000</c:v>
                </c:pt>
                <c:pt idx="78">
                  <c:v>11.500000</c:v>
                </c:pt>
                <c:pt idx="79">
                  <c:v>11.500000</c:v>
                </c:pt>
                <c:pt idx="80">
                  <c:v>11.500000</c:v>
                </c:pt>
                <c:pt idx="81">
                  <c:v>11.500000</c:v>
                </c:pt>
                <c:pt idx="82">
                  <c:v>11.500000</c:v>
                </c:pt>
                <c:pt idx="83">
                  <c:v>11.500000</c:v>
                </c:pt>
                <c:pt idx="84">
                  <c:v>11.500000</c:v>
                </c:pt>
                <c:pt idx="85">
                  <c:v>11.500000</c:v>
                </c:pt>
                <c:pt idx="86">
                  <c:v>11.500000</c:v>
                </c:pt>
                <c:pt idx="91">
                  <c:v>11.500000</c:v>
                </c:pt>
                <c:pt idx="92">
                  <c:v>11.500000</c:v>
                </c:pt>
                <c:pt idx="93">
                  <c:v>11.500000</c:v>
                </c:pt>
                <c:pt idx="94">
                  <c:v>11.500000</c:v>
                </c:pt>
                <c:pt idx="95">
                  <c:v>11.500000</c:v>
                </c:pt>
                <c:pt idx="98">
                  <c:v>11.500000</c:v>
                </c:pt>
              </c:numCache>
            </c:numRef>
          </c:val>
          <c:smooth val="0"/>
        </c:ser>
        <c:ser>
          <c:idx val="1"/>
          <c:order val="1"/>
          <c:tx>
            <c:strRef>
              <c:f>'tracking - Table 3-1'!$K$1</c:f>
              <c:strCache>
                <c:ptCount val="1"/>
                <c:pt idx="0">
                  <c:v>Chest flies</c:v>
                </c:pt>
              </c:strCache>
            </c:strRef>
          </c:tx>
          <c:spPr>
            <a:solidFill>
              <a:srgbClr val="FFFFFF"/>
            </a:solidFill>
            <a:ln w="25400" cap="flat">
              <a:solidFill>
                <a:srgbClr val="51A7F9">
                  <a:alpha val="51206"/>
                </a:srgbClr>
              </a:solidFill>
              <a:prstDash val="solid"/>
              <a:miter lim="400000"/>
            </a:ln>
            <a:effectLst/>
          </c:spPr>
          <c:marker>
            <c:symbol val="none"/>
            <c:size val="4"/>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3-1'!$K$2:$K$924</c:f>
              <c:numCache>
                <c:ptCount val="31"/>
                <c:pt idx="0">
                  <c:v>4.000000</c:v>
                </c:pt>
                <c:pt idx="1">
                  <c:v>4.000000</c:v>
                </c:pt>
                <c:pt idx="2">
                  <c:v>4.000000</c:v>
                </c:pt>
                <c:pt idx="3">
                  <c:v>4.000000</c:v>
                </c:pt>
                <c:pt idx="4">
                  <c:v>4.000000</c:v>
                </c:pt>
                <c:pt idx="5">
                  <c:v>4.000000</c:v>
                </c:pt>
                <c:pt idx="66">
                  <c:v>11.500000</c:v>
                </c:pt>
                <c:pt idx="69">
                  <c:v>11.500000</c:v>
                </c:pt>
                <c:pt idx="70">
                  <c:v>11.500000</c:v>
                </c:pt>
                <c:pt idx="71">
                  <c:v>11.500000</c:v>
                </c:pt>
                <c:pt idx="72">
                  <c:v>11.500000</c:v>
                </c:pt>
                <c:pt idx="73">
                  <c:v>11.500000</c:v>
                </c:pt>
                <c:pt idx="74">
                  <c:v>11.500000</c:v>
                </c:pt>
                <c:pt idx="75">
                  <c:v>11.500000</c:v>
                </c:pt>
                <c:pt idx="76">
                  <c:v>11.500000</c:v>
                </c:pt>
                <c:pt idx="77">
                  <c:v>11.500000</c:v>
                </c:pt>
                <c:pt idx="78">
                  <c:v>11.500000</c:v>
                </c:pt>
                <c:pt idx="79">
                  <c:v>11.500000</c:v>
                </c:pt>
                <c:pt idx="80">
                  <c:v>11.500000</c:v>
                </c:pt>
                <c:pt idx="81">
                  <c:v>11.500000</c:v>
                </c:pt>
                <c:pt idx="82">
                  <c:v>11.500000</c:v>
                </c:pt>
                <c:pt idx="83">
                  <c:v>12.500000</c:v>
                </c:pt>
                <c:pt idx="84">
                  <c:v>12.500000</c:v>
                </c:pt>
                <c:pt idx="85">
                  <c:v>12.500000</c:v>
                </c:pt>
                <c:pt idx="86">
                  <c:v>12.500000</c:v>
                </c:pt>
                <c:pt idx="91">
                  <c:v>12.500000</c:v>
                </c:pt>
                <c:pt idx="92">
                  <c:v>12.500000</c:v>
                </c:pt>
                <c:pt idx="93">
                  <c:v>12.500000</c:v>
                </c:pt>
                <c:pt idx="94">
                  <c:v>12.500000</c:v>
                </c:pt>
                <c:pt idx="95">
                  <c:v>12.500000</c:v>
                </c:pt>
                <c:pt idx="98">
                  <c:v>12.500000</c:v>
                </c:pt>
              </c:numCache>
            </c:numRef>
          </c:val>
          <c:smooth val="0"/>
        </c:ser>
        <c:ser>
          <c:idx val="2"/>
          <c:order val="2"/>
          <c:tx>
            <c:strRef>
              <c:f>'tracking - Table 3-1'!$L$1</c:f>
              <c:strCache>
                <c:ptCount val="1"/>
                <c:pt idx="0">
                  <c:v>Lateral raises</c:v>
                </c:pt>
              </c:strCache>
            </c:strRef>
          </c:tx>
          <c:spPr>
            <a:solidFill>
              <a:srgbClr val="FFFFFF"/>
            </a:solidFill>
            <a:ln w="50800" cap="flat">
              <a:solidFill>
                <a:srgbClr val="EF5C31"/>
              </a:solidFill>
              <a:prstDash val="solid"/>
              <a:miter lim="400000"/>
            </a:ln>
            <a:effectLst/>
          </c:spPr>
          <c:marker>
            <c:symbol val="none"/>
            <c:size val="4"/>
            <c:spPr>
              <a:solidFill>
                <a:srgbClr val="FFFFFF"/>
              </a:solidFill>
              <a:ln w="50800" cap="flat">
                <a:solidFill>
                  <a:srgbClr val="FBE12B"/>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3-1'!$L$2:$L$924</c:f>
              <c:numCache>
                <c:ptCount val="31"/>
                <c:pt idx="0">
                  <c:v>4.000000</c:v>
                </c:pt>
                <c:pt idx="1">
                  <c:v>4.000000</c:v>
                </c:pt>
                <c:pt idx="2">
                  <c:v>4.000000</c:v>
                </c:pt>
                <c:pt idx="3">
                  <c:v>4.000000</c:v>
                </c:pt>
                <c:pt idx="4">
                  <c:v>4.000000</c:v>
                </c:pt>
                <c:pt idx="5">
                  <c:v>4.000000</c:v>
                </c:pt>
                <c:pt idx="66">
                  <c:v>9.000000</c:v>
                </c:pt>
                <c:pt idx="69">
                  <c:v>9.000000</c:v>
                </c:pt>
                <c:pt idx="70">
                  <c:v>9.000000</c:v>
                </c:pt>
                <c:pt idx="71">
                  <c:v>9.000000</c:v>
                </c:pt>
                <c:pt idx="72">
                  <c:v>9.000000</c:v>
                </c:pt>
                <c:pt idx="73">
                  <c:v>9.000000</c:v>
                </c:pt>
                <c:pt idx="74">
                  <c:v>9.000000</c:v>
                </c:pt>
                <c:pt idx="75">
                  <c:v>9.000000</c:v>
                </c:pt>
                <c:pt idx="76">
                  <c:v>9.000000</c:v>
                </c:pt>
                <c:pt idx="77">
                  <c:v>9.000000</c:v>
                </c:pt>
                <c:pt idx="78">
                  <c:v>9.000000</c:v>
                </c:pt>
                <c:pt idx="79">
                  <c:v>9.000000</c:v>
                </c:pt>
                <c:pt idx="80">
                  <c:v>9.000000</c:v>
                </c:pt>
                <c:pt idx="81">
                  <c:v>9.000000</c:v>
                </c:pt>
                <c:pt idx="82">
                  <c:v>9.000000</c:v>
                </c:pt>
                <c:pt idx="83">
                  <c:v>9.000000</c:v>
                </c:pt>
                <c:pt idx="84">
                  <c:v>9.000000</c:v>
                </c:pt>
                <c:pt idx="85">
                  <c:v>9.000000</c:v>
                </c:pt>
                <c:pt idx="86">
                  <c:v>9.000000</c:v>
                </c:pt>
                <c:pt idx="91">
                  <c:v>9.000000</c:v>
                </c:pt>
                <c:pt idx="92">
                  <c:v>9.000000</c:v>
                </c:pt>
                <c:pt idx="93">
                  <c:v>9.000000</c:v>
                </c:pt>
                <c:pt idx="94">
                  <c:v>9.000000</c:v>
                </c:pt>
                <c:pt idx="95">
                  <c:v>9.000000</c:v>
                </c:pt>
                <c:pt idx="98">
                  <c:v>9.000000</c:v>
                </c:pt>
              </c:numCache>
            </c:numRef>
          </c:val>
          <c:smooth val="0"/>
        </c:ser>
        <c:ser>
          <c:idx val="3"/>
          <c:order val="3"/>
          <c:tx>
            <c:strRef>
              <c:f>'tracking - Table 3-1'!$M$1</c:f>
              <c:strCache>
                <c:ptCount val="1"/>
                <c:pt idx="0">
                  <c:v>Skullcrushers</c:v>
                </c:pt>
              </c:strCache>
            </c:strRef>
          </c:tx>
          <c:spPr>
            <a:solidFill>
              <a:srgbClr val="FFFFFF"/>
            </a:solidFill>
            <a:ln w="25400" cap="flat">
              <a:solidFill>
                <a:srgbClr val="F05C31">
                  <a:alpha val="50000"/>
                </a:srgbClr>
              </a:solidFill>
              <a:prstDash val="solid"/>
              <a:miter lim="400000"/>
            </a:ln>
            <a:effectLst/>
          </c:spPr>
          <c:marker>
            <c:symbol val="none"/>
            <c:size val="4"/>
            <c:spPr>
              <a:solidFill>
                <a:srgbClr val="FFFFFF"/>
              </a:solidFill>
              <a:ln w="50800" cap="flat">
                <a:solidFill>
                  <a:srgbClr val="EF951A"/>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3-1'!$M$2:$M$924</c:f>
              <c:numCache>
                <c:ptCount val="31"/>
                <c:pt idx="0">
                  <c:v>4.000000</c:v>
                </c:pt>
                <c:pt idx="1">
                  <c:v>4.000000</c:v>
                </c:pt>
                <c:pt idx="2">
                  <c:v>4.000000</c:v>
                </c:pt>
                <c:pt idx="3">
                  <c:v>4.000000</c:v>
                </c:pt>
                <c:pt idx="4">
                  <c:v>4.000000</c:v>
                </c:pt>
                <c:pt idx="5">
                  <c:v>4.000000</c:v>
                </c:pt>
                <c:pt idx="66">
                  <c:v>10.000000</c:v>
                </c:pt>
                <c:pt idx="69">
                  <c:v>10.000000</c:v>
                </c:pt>
                <c:pt idx="70">
                  <c:v>10.000000</c:v>
                </c:pt>
                <c:pt idx="71">
                  <c:v>10.000000</c:v>
                </c:pt>
                <c:pt idx="72">
                  <c:v>10.000000</c:v>
                </c:pt>
                <c:pt idx="73">
                  <c:v>10.000000</c:v>
                </c:pt>
                <c:pt idx="74">
                  <c:v>10.000000</c:v>
                </c:pt>
                <c:pt idx="75">
                  <c:v>10.000000</c:v>
                </c:pt>
                <c:pt idx="76">
                  <c:v>10.000000</c:v>
                </c:pt>
                <c:pt idx="77">
                  <c:v>10.000000</c:v>
                </c:pt>
                <c:pt idx="78">
                  <c:v>10.000000</c:v>
                </c:pt>
                <c:pt idx="79">
                  <c:v>10.000000</c:v>
                </c:pt>
                <c:pt idx="80">
                  <c:v>10.000000</c:v>
                </c:pt>
                <c:pt idx="81">
                  <c:v>10.000000</c:v>
                </c:pt>
                <c:pt idx="82">
                  <c:v>10.000000</c:v>
                </c:pt>
                <c:pt idx="83">
                  <c:v>11.500000</c:v>
                </c:pt>
                <c:pt idx="84">
                  <c:v>11.500000</c:v>
                </c:pt>
                <c:pt idx="85">
                  <c:v>11.500000</c:v>
                </c:pt>
                <c:pt idx="86">
                  <c:v>11.500000</c:v>
                </c:pt>
                <c:pt idx="91">
                  <c:v>11.500000</c:v>
                </c:pt>
                <c:pt idx="92">
                  <c:v>11.500000</c:v>
                </c:pt>
                <c:pt idx="93">
                  <c:v>11.500000</c:v>
                </c:pt>
                <c:pt idx="94">
                  <c:v>11.500000</c:v>
                </c:pt>
                <c:pt idx="95">
                  <c:v>11.500000</c:v>
                </c:pt>
                <c:pt idx="98">
                  <c:v>11.500000</c:v>
                </c:pt>
              </c:numCache>
            </c:numRef>
          </c:val>
          <c:smooth val="0"/>
        </c:ser>
        <c:ser>
          <c:idx val="4"/>
          <c:order val="4"/>
          <c:tx>
            <c:strRef>
              <c:f>'tracking - Table 3-1'!$N$1</c:f>
              <c:strCache>
                <c:ptCount val="1"/>
                <c:pt idx="0">
                  <c:v>Rear delt flies</c:v>
                </c:pt>
              </c:strCache>
            </c:strRef>
          </c:tx>
          <c:spPr>
            <a:solidFill>
              <a:srgbClr val="FFFFFF"/>
            </a:solidFill>
            <a:ln w="50800" cap="flat">
              <a:solidFill>
                <a:srgbClr val="FB4912"/>
              </a:solidFill>
              <a:prstDash val="solid"/>
              <a:miter lim="400000"/>
            </a:ln>
            <a:effectLst/>
          </c:spPr>
          <c:marker>
            <c:symbol val="none"/>
            <c:size val="4"/>
            <c:spPr>
              <a:solidFill>
                <a:srgbClr val="FFFFFF"/>
              </a:solidFill>
              <a:ln w="50800" cap="flat">
                <a:solidFill>
                  <a:srgbClr val="FB4912"/>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3-1'!$N$2:$N$924</c:f>
              <c:numCache>
                <c:ptCount val="31"/>
                <c:pt idx="0">
                  <c:v>4.000000</c:v>
                </c:pt>
                <c:pt idx="1">
                  <c:v>4.000000</c:v>
                </c:pt>
                <c:pt idx="2">
                  <c:v>4.000000</c:v>
                </c:pt>
                <c:pt idx="3">
                  <c:v>4.000000</c:v>
                </c:pt>
                <c:pt idx="4">
                  <c:v>4.000000</c:v>
                </c:pt>
                <c:pt idx="5">
                  <c:v>4.000000</c:v>
                </c:pt>
                <c:pt idx="66">
                  <c:v>9.000000</c:v>
                </c:pt>
                <c:pt idx="69">
                  <c:v>9.000000</c:v>
                </c:pt>
                <c:pt idx="70">
                  <c:v>9.000000</c:v>
                </c:pt>
                <c:pt idx="71">
                  <c:v>9.000000</c:v>
                </c:pt>
                <c:pt idx="72">
                  <c:v>9.000000</c:v>
                </c:pt>
                <c:pt idx="73">
                  <c:v>9.000000</c:v>
                </c:pt>
                <c:pt idx="74">
                  <c:v>9.000000</c:v>
                </c:pt>
                <c:pt idx="75">
                  <c:v>9.000000</c:v>
                </c:pt>
                <c:pt idx="76">
                  <c:v>10.000000</c:v>
                </c:pt>
                <c:pt idx="77">
                  <c:v>10.000000</c:v>
                </c:pt>
                <c:pt idx="78">
                  <c:v>10.000000</c:v>
                </c:pt>
                <c:pt idx="79">
                  <c:v>10.000000</c:v>
                </c:pt>
                <c:pt idx="80">
                  <c:v>10.000000</c:v>
                </c:pt>
                <c:pt idx="81">
                  <c:v>10.000000</c:v>
                </c:pt>
                <c:pt idx="82">
                  <c:v>10.000000</c:v>
                </c:pt>
                <c:pt idx="83">
                  <c:v>10.000000</c:v>
                </c:pt>
                <c:pt idx="84">
                  <c:v>10.000000</c:v>
                </c:pt>
                <c:pt idx="85">
                  <c:v>10.000000</c:v>
                </c:pt>
                <c:pt idx="86">
                  <c:v>9.000000</c:v>
                </c:pt>
                <c:pt idx="91">
                  <c:v>9.000000</c:v>
                </c:pt>
                <c:pt idx="92">
                  <c:v>9.000000</c:v>
                </c:pt>
                <c:pt idx="93">
                  <c:v>9.000000</c:v>
                </c:pt>
                <c:pt idx="94">
                  <c:v>9.000000</c:v>
                </c:pt>
                <c:pt idx="95">
                  <c:v>9.000000</c:v>
                </c:pt>
                <c:pt idx="98">
                  <c:v>9.000000</c:v>
                </c:pt>
              </c:numCache>
            </c:numRef>
          </c:val>
          <c:smooth val="0"/>
        </c:ser>
        <c:ser>
          <c:idx val="5"/>
          <c:order val="5"/>
          <c:tx>
            <c:strRef>
              <c:f>'tracking - Table 3-1'!$O$1</c:f>
              <c:strCache>
                <c:ptCount val="1"/>
                <c:pt idx="0">
                  <c:v>Biceps curls</c:v>
                </c:pt>
              </c:strCache>
            </c:strRef>
          </c:tx>
          <c:spPr>
            <a:solidFill>
              <a:srgbClr val="FFFFFF"/>
            </a:solidFill>
            <a:ln w="50800" cap="flat">
              <a:solidFill>
                <a:srgbClr val="885CB2"/>
              </a:solidFill>
              <a:prstDash val="solid"/>
              <a:miter lim="400000"/>
            </a:ln>
            <a:effectLst/>
          </c:spPr>
          <c:marker>
            <c:symbol val="none"/>
            <c:size val="4"/>
            <c:spPr>
              <a:solidFill>
                <a:srgbClr val="FFFFFF"/>
              </a:solidFill>
              <a:ln w="50800" cap="flat">
                <a:solidFill>
                  <a:srgbClr val="885CB2"/>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3-1'!$O$2:$O$924</c:f>
              <c:numCache>
                <c:ptCount val="31"/>
                <c:pt idx="0">
                  <c:v>4.000000</c:v>
                </c:pt>
                <c:pt idx="1">
                  <c:v>4.000000</c:v>
                </c:pt>
                <c:pt idx="2">
                  <c:v>4.000000</c:v>
                </c:pt>
                <c:pt idx="3">
                  <c:v>4.000000</c:v>
                </c:pt>
                <c:pt idx="4">
                  <c:v>4.000000</c:v>
                </c:pt>
                <c:pt idx="5">
                  <c:v>4.000000</c:v>
                </c:pt>
                <c:pt idx="66">
                  <c:v>11.500000</c:v>
                </c:pt>
                <c:pt idx="69">
                  <c:v>11.500000</c:v>
                </c:pt>
                <c:pt idx="70">
                  <c:v>11.500000</c:v>
                </c:pt>
                <c:pt idx="71">
                  <c:v>11.500000</c:v>
                </c:pt>
                <c:pt idx="72">
                  <c:v>11.500000</c:v>
                </c:pt>
                <c:pt idx="73">
                  <c:v>11.500000</c:v>
                </c:pt>
                <c:pt idx="74">
                  <c:v>11.500000</c:v>
                </c:pt>
                <c:pt idx="75">
                  <c:v>11.500000</c:v>
                </c:pt>
                <c:pt idx="76">
                  <c:v>11.500000</c:v>
                </c:pt>
                <c:pt idx="77">
                  <c:v>11.500000</c:v>
                </c:pt>
                <c:pt idx="78">
                  <c:v>11.500000</c:v>
                </c:pt>
                <c:pt idx="79">
                  <c:v>11.500000</c:v>
                </c:pt>
                <c:pt idx="80">
                  <c:v>11.500000</c:v>
                </c:pt>
                <c:pt idx="81">
                  <c:v>11.500000</c:v>
                </c:pt>
                <c:pt idx="82">
                  <c:v>11.500000</c:v>
                </c:pt>
                <c:pt idx="83">
                  <c:v>11.500000</c:v>
                </c:pt>
                <c:pt idx="84">
                  <c:v>11.500000</c:v>
                </c:pt>
                <c:pt idx="85">
                  <c:v>12.500000</c:v>
                </c:pt>
                <c:pt idx="86">
                  <c:v>11.500000</c:v>
                </c:pt>
                <c:pt idx="91">
                  <c:v>11.500000</c:v>
                </c:pt>
                <c:pt idx="92">
                  <c:v>11.500000</c:v>
                </c:pt>
                <c:pt idx="93">
                  <c:v>11.500000</c:v>
                </c:pt>
                <c:pt idx="94">
                  <c:v>11.500000</c:v>
                </c:pt>
                <c:pt idx="95">
                  <c:v>11.500000</c:v>
                </c:pt>
                <c:pt idx="98">
                  <c:v>11.500000</c:v>
                </c:pt>
              </c:numCache>
            </c:numRef>
          </c:val>
          <c:smooth val="0"/>
        </c:ser>
        <c:ser>
          <c:idx val="6"/>
          <c:order val="6"/>
          <c:tx>
            <c:strRef>
              <c:f>'tracking - Table 3-1'!$P$1</c:f>
              <c:strCache>
                <c:ptCount val="1"/>
                <c:pt idx="0">
                  <c:v>Shrugs</c:v>
                </c:pt>
              </c:strCache>
            </c:strRef>
          </c:tx>
          <c:spPr>
            <a:solidFill>
              <a:srgbClr val="FFFFFF"/>
            </a:solidFill>
            <a:ln w="50800" cap="flat">
              <a:solidFill>
                <a:srgbClr val="68B3FA"/>
              </a:solidFill>
              <a:prstDash val="solid"/>
              <a:miter lim="400000"/>
            </a:ln>
            <a:effectLst/>
          </c:spPr>
          <c:marker>
            <c:symbol val="none"/>
            <c:size val="4"/>
            <c:spPr>
              <a:solidFill>
                <a:srgbClr val="FFFFFF"/>
              </a:solidFill>
              <a:ln w="50800" cap="flat">
                <a:solidFill>
                  <a:srgbClr val="68B3FA"/>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3-1'!$P$2:$P$924</c:f>
              <c:numCache>
                <c:ptCount val="31"/>
                <c:pt idx="0">
                  <c:v>4.000000</c:v>
                </c:pt>
                <c:pt idx="1">
                  <c:v>4.000000</c:v>
                </c:pt>
                <c:pt idx="2">
                  <c:v>4.000000</c:v>
                </c:pt>
                <c:pt idx="3">
                  <c:v>4.000000</c:v>
                </c:pt>
                <c:pt idx="4">
                  <c:v>4.000000</c:v>
                </c:pt>
                <c:pt idx="5">
                  <c:v>4.000000</c:v>
                </c:pt>
                <c:pt idx="66">
                  <c:v>11.500000</c:v>
                </c:pt>
                <c:pt idx="69">
                  <c:v>11.500000</c:v>
                </c:pt>
                <c:pt idx="70">
                  <c:v>11.500000</c:v>
                </c:pt>
                <c:pt idx="71">
                  <c:v>11.500000</c:v>
                </c:pt>
                <c:pt idx="72">
                  <c:v>11.500000</c:v>
                </c:pt>
                <c:pt idx="73">
                  <c:v>11.500000</c:v>
                </c:pt>
                <c:pt idx="74">
                  <c:v>11.500000</c:v>
                </c:pt>
                <c:pt idx="75">
                  <c:v>11.500000</c:v>
                </c:pt>
                <c:pt idx="76">
                  <c:v>11.500000</c:v>
                </c:pt>
                <c:pt idx="77">
                  <c:v>11.500000</c:v>
                </c:pt>
                <c:pt idx="78">
                  <c:v>11.500000</c:v>
                </c:pt>
                <c:pt idx="79">
                  <c:v>11.500000</c:v>
                </c:pt>
                <c:pt idx="80">
                  <c:v>11.500000</c:v>
                </c:pt>
                <c:pt idx="81">
                  <c:v>11.500000</c:v>
                </c:pt>
                <c:pt idx="82">
                  <c:v>11.500000</c:v>
                </c:pt>
                <c:pt idx="83">
                  <c:v>11.500000</c:v>
                </c:pt>
                <c:pt idx="84">
                  <c:v>11.500000</c:v>
                </c:pt>
                <c:pt idx="85">
                  <c:v>12.500000</c:v>
                </c:pt>
                <c:pt idx="86">
                  <c:v>11.500000</c:v>
                </c:pt>
                <c:pt idx="91">
                  <c:v>11.500000</c:v>
                </c:pt>
                <c:pt idx="92">
                  <c:v>11.500000</c:v>
                </c:pt>
                <c:pt idx="93">
                  <c:v>11.500000</c:v>
                </c:pt>
                <c:pt idx="94">
                  <c:v>11.500000</c:v>
                </c:pt>
                <c:pt idx="95">
                  <c:v>11.500000</c:v>
                </c:pt>
                <c:pt idx="98">
                  <c:v>11.500000</c:v>
                </c:pt>
              </c:numCache>
            </c:numRef>
          </c:val>
          <c:smooth val="0"/>
        </c:ser>
        <c:marker val="1"/>
        <c:axId val="2094734552"/>
        <c:axId val="2094734553"/>
      </c:lineChart>
      <c:catAx>
        <c:axId val="2094734552"/>
        <c:scaling>
          <c:orientation val="minMax"/>
        </c:scaling>
        <c:delete val="0"/>
        <c:axPos val="b"/>
        <c:numFmt formatCode="0.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100999"/>
          <c:y val="0"/>
          <c:w val="0.798613"/>
          <c:h val="0.10553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8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36111"/>
          <c:y val="0.156917"/>
          <c:w val="0.727778"/>
          <c:h val="0.830583"/>
        </c:manualLayout>
      </c:layout>
      <c:pieChart>
        <c:varyColors val="0"/>
        <c:ser>
          <c:idx val="0"/>
          <c:order val="0"/>
          <c:tx>
            <c:strRef>
              <c:f>'tracking - Table 2-1-2'!$A$66</c:f>
              <c:strCache>
                <c:ptCount val="1"/>
                <c:pt idx="0">
                  <c:v/>
                </c:pt>
              </c:strCache>
            </c:strRef>
          </c:tx>
          <c:spPr>
            <a:gradFill flip="none" rotWithShape="1">
              <a:gsLst>
                <a:gs pos="0">
                  <a:srgbClr val="51A7F9"/>
                </a:gs>
                <a:gs pos="100000">
                  <a:srgbClr val="0365C0"/>
                </a:gs>
              </a:gsLst>
              <a:lin ang="5400000" scaled="0"/>
            </a:gradFill>
            <a:ln w="12700" cap="flat">
              <a:noFill/>
              <a:miter lim="400000"/>
            </a:ln>
            <a:effectLst/>
          </c:spPr>
          <c:explosion val="0"/>
          <c:dPt>
            <c:idx val="0"/>
            <c:explosion val="0"/>
            <c:spPr>
              <a:gradFill flip="none" rotWithShape="1">
                <a:gsLst>
                  <a:gs pos="0">
                    <a:srgbClr val="51A7F9"/>
                  </a:gs>
                  <a:gs pos="100000">
                    <a:srgbClr val="0365C0"/>
                  </a:gs>
                </a:gsLst>
                <a:lin ang="5400000" scaled="0"/>
              </a:gradFill>
              <a:ln w="12700" cap="flat">
                <a:noFill/>
                <a:miter lim="400000"/>
              </a:ln>
              <a:effectLst/>
            </c:spPr>
          </c:dPt>
          <c:dPt>
            <c:idx val="1"/>
            <c:explosion val="0"/>
            <c:spPr>
              <a:gradFill flip="none" rotWithShape="1">
                <a:gsLst>
                  <a:gs pos="0">
                    <a:srgbClr val="70BF41"/>
                  </a:gs>
                  <a:gs pos="100000">
                    <a:srgbClr val="00882B"/>
                  </a:gs>
                </a:gsLst>
                <a:lin ang="5400000" scaled="0"/>
              </a:gradFill>
              <a:ln w="12700" cap="flat">
                <a:noFill/>
                <a:miter lim="400000"/>
              </a:ln>
              <a:effectLst/>
            </c:spPr>
          </c:dPt>
          <c:dPt>
            <c:idx val="2"/>
            <c:explosion val="0"/>
            <c:spPr>
              <a:gradFill flip="none" rotWithShape="1">
                <a:gsLst>
                  <a:gs pos="0">
                    <a:srgbClr val="FBE12B"/>
                  </a:gs>
                  <a:gs pos="100000">
                    <a:srgbClr val="BE9A1A"/>
                  </a:gs>
                </a:gsLst>
                <a:lin ang="5400000" scaled="0"/>
              </a:gradFill>
              <a:ln w="12700" cap="flat">
                <a:noFill/>
                <a:miter lim="400000"/>
              </a:ln>
              <a:effectLst/>
            </c:spPr>
          </c:dPt>
          <c:dLbls>
            <c:dLbl>
              <c:idx val="0"/>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1"/>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2"/>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showLeaderLines val="1"/>
            <c:leaderLines>
              <c:spPr>
                <a:noFill/>
                <a:ln w="6350" cap="flat">
                  <a:solidFill>
                    <a:srgbClr val="000000"/>
                  </a:solidFill>
                  <a:prstDash val="solid"/>
                  <a:miter lim="400000"/>
                </a:ln>
                <a:effectLst/>
              </c:spPr>
            </c:leaderLines>
          </c:dLbls>
          <c:cat>
            <c:strRef>
              <c:f>'tracking - Table 2-1-2'!$C$1:$E$1</c:f>
              <c:strCache>
                <c:ptCount val="3"/>
                <c:pt idx="0">
                  <c:v>Proteinas</c:v>
                </c:pt>
                <c:pt idx="1">
                  <c:v>Grasa</c:v>
                </c:pt>
                <c:pt idx="2">
                  <c:v>Carbs</c:v>
                </c:pt>
              </c:strCache>
            </c:strRef>
          </c:cat>
          <c:val>
            <c:numRef>
              <c:f>'tracking - Table 2-1-2'!$C$66:$E$66</c:f>
              <c:numCache>
                <c:ptCount val="3"/>
                <c:pt idx="0">
                  <c:v>48.786000</c:v>
                </c:pt>
                <c:pt idx="1">
                  <c:v>27.930000</c:v>
                </c:pt>
                <c:pt idx="2">
                  <c:v>4.574000</c:v>
                </c:pt>
              </c:numCache>
            </c:numRef>
          </c:val>
        </c:ser>
        <c:firstSliceAng val="0"/>
      </c:pieChart>
      <c:spPr>
        <a:noFill/>
        <a:ln w="12700" cap="flat">
          <a:noFill/>
          <a:miter lim="400000"/>
        </a:ln>
        <a:effectLst/>
      </c:spPr>
    </c:plotArea>
    <c:legend>
      <c:legendPos val="t"/>
      <c:layout>
        <c:manualLayout>
          <c:xMode val="edge"/>
          <c:yMode val="edge"/>
          <c:x val="0"/>
          <c:y val="0"/>
          <c:w val="1"/>
          <c:h val="0.0745528"/>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8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326175"/>
          <c:y val="0.0326175"/>
          <c:w val="0.934765"/>
          <c:h val="0.922265"/>
        </c:manualLayout>
      </c:layout>
      <c:pieChart>
        <c:varyColors val="0"/>
        <c:ser>
          <c:idx val="0"/>
          <c:order val="0"/>
          <c:tx>
            <c:strRef>
              <c:f>'tracking - Table 1-2'!$B$2</c:f>
              <c:strCache>
                <c:ptCount val="1"/>
                <c:pt idx="0">
                  <c:v>215 287</c:v>
                </c:pt>
              </c:strCache>
            </c:strRef>
          </c:tx>
          <c:spPr>
            <a:gradFill flip="none" rotWithShape="1">
              <a:gsLst>
                <a:gs pos="0">
                  <a:srgbClr val="51A7F9"/>
                </a:gs>
                <a:gs pos="100000">
                  <a:srgbClr val="0365C0"/>
                </a:gs>
              </a:gsLst>
              <a:lin ang="5400000" scaled="0"/>
            </a:gradFill>
            <a:ln w="12700" cap="flat">
              <a:noFill/>
              <a:miter lim="400000"/>
            </a:ln>
            <a:effectLst/>
          </c:spPr>
          <c:explosion val="0"/>
          <c:dPt>
            <c:idx val="0"/>
            <c:explosion val="0"/>
            <c:spPr>
              <a:gradFill flip="none" rotWithShape="1">
                <a:gsLst>
                  <a:gs pos="0">
                    <a:srgbClr val="51A7F9"/>
                  </a:gs>
                  <a:gs pos="100000">
                    <a:srgbClr val="0365C0"/>
                  </a:gs>
                </a:gsLst>
                <a:lin ang="5400000" scaled="0"/>
              </a:gradFill>
              <a:ln w="12700" cap="flat">
                <a:noFill/>
                <a:miter lim="400000"/>
              </a:ln>
              <a:effectLst/>
            </c:spPr>
          </c:dPt>
          <c:dPt>
            <c:idx val="1"/>
            <c:explosion val="0"/>
            <c:spPr>
              <a:gradFill flip="none" rotWithShape="1">
                <a:gsLst>
                  <a:gs pos="0">
                    <a:srgbClr val="70BF41"/>
                  </a:gs>
                  <a:gs pos="100000">
                    <a:srgbClr val="00882B"/>
                  </a:gs>
                </a:gsLst>
                <a:lin ang="5400000" scaled="0"/>
              </a:gradFill>
              <a:ln w="12700" cap="flat">
                <a:noFill/>
                <a:miter lim="400000"/>
              </a:ln>
              <a:effectLst/>
            </c:spPr>
          </c:dPt>
          <c:dPt>
            <c:idx val="2"/>
            <c:explosion val="0"/>
            <c:spPr>
              <a:gradFill flip="none" rotWithShape="1">
                <a:gsLst>
                  <a:gs pos="0">
                    <a:srgbClr val="FBE12B"/>
                  </a:gs>
                  <a:gs pos="100000">
                    <a:srgbClr val="BE9A1A"/>
                  </a:gs>
                </a:gsLst>
                <a:lin ang="5400000" scaled="0"/>
              </a:gradFill>
              <a:ln w="12700" cap="flat">
                <a:noFill/>
                <a:miter lim="400000"/>
              </a:ln>
              <a:effectLst/>
            </c:spPr>
          </c:dPt>
          <c:dLbls>
            <c:dLbl>
              <c:idx val="0"/>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1"/>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2"/>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showLeaderLines val="1"/>
            <c:leaderLines>
              <c:spPr>
                <a:noFill/>
                <a:ln w="6350" cap="flat">
                  <a:solidFill>
                    <a:srgbClr val="000000"/>
                  </a:solidFill>
                  <a:prstDash val="solid"/>
                  <a:miter lim="400000"/>
                </a:ln>
                <a:effectLst/>
              </c:spPr>
            </c:leaderLines>
          </c:dLbls>
          <c:cat>
            <c:strRef>
              <c:f>'tracking - Table 1-2'!$A$2:$A$4</c:f>
              <c:strCache>
                <c:ptCount val="3"/>
                <c:pt idx="0">
                  <c:v>30/35/35</c:v>
                </c:pt>
                <c:pt idx="1">
                  <c:v>40/40/20</c:v>
                </c:pt>
                <c:pt idx="2">
                  <c:v>30/20/50</c:v>
                </c:pt>
              </c:strCache>
            </c:strRef>
          </c:cat>
          <c:val>
            <c:numRef>
              <c:f>'tracking - Table 1-2'!$B$2:$D$2</c:f>
              <c:numCache>
                <c:ptCount val="3"/>
                <c:pt idx="0">
                  <c:v>215.000000</c:v>
                </c:pt>
                <c:pt idx="1">
                  <c:v>112.000000</c:v>
                </c:pt>
                <c:pt idx="2">
                  <c:v>251.000000</c:v>
                </c:pt>
              </c:numCache>
            </c:numRef>
          </c:val>
        </c:ser>
        <c:firstSliceAng val="0"/>
      </c:pieChart>
      <c:spPr>
        <a:noFill/>
        <a:ln w="12700" cap="flat">
          <a:noFill/>
          <a:miter lim="400000"/>
        </a:ln>
        <a:effectLst/>
      </c:spPr>
    </c:plotArea>
    <c:plotVisOnly val="1"/>
    <c:dispBlanksAs val="gap"/>
  </c:chart>
  <c:spPr>
    <a:noFill/>
    <a:ln>
      <a:noFill/>
    </a:ln>
    <a:effectLst/>
  </c:spPr>
</c:chartSpace>
</file>

<file path=xl/charts/chart8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378832"/>
          <c:y val="0.0378832"/>
          <c:w val="0.924234"/>
          <c:h val="0.911734"/>
        </c:manualLayout>
      </c:layout>
      <c:pieChart>
        <c:varyColors val="0"/>
        <c:ser>
          <c:idx val="0"/>
          <c:order val="0"/>
          <c:tx>
            <c:strRef>
              <c:f>'tracking - Table 2-1-2-1'!$B$4</c:f>
              <c:strCache>
                <c:ptCount val="1"/>
                <c:pt idx="0">
                  <c:v>3092</c:v>
                </c:pt>
              </c:strCache>
            </c:strRef>
          </c:tx>
          <c:spPr>
            <a:gradFill flip="none" rotWithShape="1">
              <a:gsLst>
                <a:gs pos="0">
                  <a:srgbClr val="51A7F9"/>
                </a:gs>
                <a:gs pos="100000">
                  <a:srgbClr val="0365C0"/>
                </a:gs>
              </a:gsLst>
              <a:lin ang="5400000" scaled="0"/>
            </a:gradFill>
            <a:ln w="12700" cap="flat">
              <a:noFill/>
              <a:miter lim="400000"/>
            </a:ln>
            <a:effectLst/>
          </c:spPr>
          <c:explosion val="0"/>
          <c:dPt>
            <c:idx val="0"/>
            <c:explosion val="0"/>
            <c:spPr>
              <a:gradFill flip="none" rotWithShape="1">
                <a:gsLst>
                  <a:gs pos="0">
                    <a:srgbClr val="51A7F9"/>
                  </a:gs>
                  <a:gs pos="100000">
                    <a:srgbClr val="0365C0"/>
                  </a:gs>
                </a:gsLst>
                <a:lin ang="5400000" scaled="0"/>
              </a:gradFill>
              <a:ln w="12700" cap="flat">
                <a:noFill/>
                <a:miter lim="400000"/>
              </a:ln>
              <a:effectLst/>
            </c:spPr>
          </c:dPt>
          <c:dPt>
            <c:idx val="1"/>
            <c:explosion val="0"/>
            <c:spPr>
              <a:gradFill flip="none" rotWithShape="1">
                <a:gsLst>
                  <a:gs pos="0">
                    <a:srgbClr val="70BF41"/>
                  </a:gs>
                  <a:gs pos="100000">
                    <a:srgbClr val="00882B"/>
                  </a:gs>
                </a:gsLst>
                <a:lin ang="5400000" scaled="0"/>
              </a:gradFill>
              <a:ln w="12700" cap="flat">
                <a:noFill/>
                <a:miter lim="400000"/>
              </a:ln>
              <a:effectLst/>
            </c:spPr>
          </c:dPt>
          <c:dPt>
            <c:idx val="2"/>
            <c:explosion val="0"/>
            <c:spPr>
              <a:gradFill flip="none" rotWithShape="1">
                <a:gsLst>
                  <a:gs pos="0">
                    <a:srgbClr val="FBE12B"/>
                  </a:gs>
                  <a:gs pos="100000">
                    <a:srgbClr val="BE9A1A"/>
                  </a:gs>
                </a:gsLst>
                <a:lin ang="5400000" scaled="0"/>
              </a:gradFill>
              <a:ln w="12700" cap="flat">
                <a:noFill/>
                <a:miter lim="400000"/>
              </a:ln>
              <a:effectLst/>
            </c:spPr>
          </c:dPt>
          <c:dLbls>
            <c:dLbl>
              <c:idx val="0"/>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1"/>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2"/>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showLeaderLines val="1"/>
            <c:leaderLines>
              <c:spPr>
                <a:noFill/>
                <a:ln w="6350" cap="flat">
                  <a:solidFill>
                    <a:srgbClr val="000000"/>
                  </a:solidFill>
                  <a:prstDash val="solid"/>
                  <a:miter lim="400000"/>
                </a:ln>
                <a:effectLst/>
              </c:spPr>
            </c:leaderLines>
          </c:dLbls>
          <c:cat>
            <c:strRef>
              <c:f>'tracking - Table 1-2'!$A$2:$A$4</c:f>
              <c:strCache>
                <c:ptCount val="3"/>
                <c:pt idx="0">
                  <c:v>30/35/35</c:v>
                </c:pt>
                <c:pt idx="1">
                  <c:v>40/40/20</c:v>
                </c:pt>
                <c:pt idx="2">
                  <c:v>30/20/50</c:v>
                </c:pt>
              </c:strCache>
            </c:strRef>
          </c:cat>
          <c:val>
            <c:numRef>
              <c:f>'tracking - Table 1-2'!$B$3:$D$3</c:f>
              <c:numCache>
                <c:ptCount val="3"/>
                <c:pt idx="0">
                  <c:v>287.000000</c:v>
                </c:pt>
                <c:pt idx="1">
                  <c:v>128.000000</c:v>
                </c:pt>
                <c:pt idx="2">
                  <c:v>144.000000</c:v>
                </c:pt>
              </c:numCache>
            </c:numRef>
          </c:val>
        </c:ser>
        <c:firstSliceAng val="0"/>
      </c:pieChart>
      <c:spPr>
        <a:noFill/>
        <a:ln w="12700" cap="flat">
          <a:noFill/>
          <a:miter lim="400000"/>
        </a:ln>
        <a:effectLst/>
      </c:spPr>
    </c:plotArea>
    <c:plotVisOnly val="1"/>
    <c:dispBlanksAs val="gap"/>
  </c:chart>
  <c:spPr>
    <a:noFill/>
    <a:ln>
      <a:noFill/>
    </a:ln>
    <a:effectLst/>
  </c:spPr>
</c:chartSpace>
</file>

<file path=xl/charts/chart8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325435"/>
          <c:y val="0.0325435"/>
          <c:w val="0.934913"/>
          <c:h val="0.922413"/>
        </c:manualLayout>
      </c:layout>
      <c:pieChart>
        <c:varyColors val="0"/>
        <c:ser>
          <c:idx val="0"/>
          <c:order val="0"/>
          <c:tx>
            <c:strRef>
              <c:f>'tracking - Table 2-1-2-1'!$B$5</c:f>
              <c:strCache>
                <c:ptCount val="1"/>
                <c:pt idx="0">
                  <c:v>3394</c:v>
                </c:pt>
              </c:strCache>
            </c:strRef>
          </c:tx>
          <c:spPr>
            <a:gradFill flip="none" rotWithShape="1">
              <a:gsLst>
                <a:gs pos="0">
                  <a:srgbClr val="51A7F9"/>
                </a:gs>
                <a:gs pos="100000">
                  <a:srgbClr val="0365C0"/>
                </a:gs>
              </a:gsLst>
              <a:lin ang="5400000" scaled="0"/>
            </a:gradFill>
            <a:ln w="12700" cap="flat">
              <a:noFill/>
              <a:miter lim="400000"/>
            </a:ln>
            <a:effectLst/>
          </c:spPr>
          <c:explosion val="0"/>
          <c:dPt>
            <c:idx val="0"/>
            <c:explosion val="0"/>
            <c:spPr>
              <a:gradFill flip="none" rotWithShape="1">
                <a:gsLst>
                  <a:gs pos="0">
                    <a:srgbClr val="51A7F9"/>
                  </a:gs>
                  <a:gs pos="100000">
                    <a:srgbClr val="0365C0"/>
                  </a:gs>
                </a:gsLst>
                <a:lin ang="5400000" scaled="0"/>
              </a:gradFill>
              <a:ln w="12700" cap="flat">
                <a:noFill/>
                <a:miter lim="400000"/>
              </a:ln>
              <a:effectLst/>
            </c:spPr>
          </c:dPt>
          <c:dPt>
            <c:idx val="1"/>
            <c:explosion val="0"/>
            <c:spPr>
              <a:gradFill flip="none" rotWithShape="1">
                <a:gsLst>
                  <a:gs pos="0">
                    <a:srgbClr val="70BF41"/>
                  </a:gs>
                  <a:gs pos="100000">
                    <a:srgbClr val="00882B"/>
                  </a:gs>
                </a:gsLst>
                <a:lin ang="5400000" scaled="0"/>
              </a:gradFill>
              <a:ln w="12700" cap="flat">
                <a:noFill/>
                <a:miter lim="400000"/>
              </a:ln>
              <a:effectLst/>
            </c:spPr>
          </c:dPt>
          <c:dPt>
            <c:idx val="2"/>
            <c:explosion val="0"/>
            <c:spPr>
              <a:gradFill flip="none" rotWithShape="1">
                <a:gsLst>
                  <a:gs pos="0">
                    <a:srgbClr val="FBE12B"/>
                  </a:gs>
                  <a:gs pos="100000">
                    <a:srgbClr val="BE9A1A"/>
                  </a:gs>
                </a:gsLst>
                <a:lin ang="5400000" scaled="0"/>
              </a:gradFill>
              <a:ln w="12700" cap="flat">
                <a:noFill/>
                <a:miter lim="400000"/>
              </a:ln>
              <a:effectLst/>
            </c:spPr>
          </c:dPt>
          <c:dLbls>
            <c:dLbl>
              <c:idx val="0"/>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1"/>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2"/>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showLeaderLines val="1"/>
            <c:leaderLines>
              <c:spPr>
                <a:noFill/>
                <a:ln w="6350" cap="flat">
                  <a:solidFill>
                    <a:srgbClr val="000000"/>
                  </a:solidFill>
                  <a:prstDash val="solid"/>
                  <a:miter lim="400000"/>
                </a:ln>
                <a:effectLst/>
              </c:spPr>
            </c:leaderLines>
          </c:dLbls>
          <c:cat>
            <c:strRef>
              <c:f>'tracking - Table 1-2'!$A$2:$A$4</c:f>
              <c:strCache>
                <c:ptCount val="3"/>
                <c:pt idx="0">
                  <c:v>30/35/35</c:v>
                </c:pt>
                <c:pt idx="1">
                  <c:v>40/40/20</c:v>
                </c:pt>
                <c:pt idx="2">
                  <c:v>30/20/50</c:v>
                </c:pt>
              </c:strCache>
            </c:strRef>
          </c:cat>
          <c:val>
            <c:numRef>
              <c:f>'tracking - Table 1-2'!$B$4:$D$4</c:f>
              <c:numCache>
                <c:ptCount val="3"/>
                <c:pt idx="0">
                  <c:v>215.000000</c:v>
                </c:pt>
                <c:pt idx="1">
                  <c:v>64.000000</c:v>
                </c:pt>
                <c:pt idx="2">
                  <c:v>359.000000</c:v>
                </c:pt>
              </c:numCache>
            </c:numRef>
          </c:val>
        </c:ser>
        <c:firstSliceAng val="0"/>
      </c:pieChart>
      <c:spPr>
        <a:noFill/>
        <a:ln w="12700" cap="flat">
          <a:noFill/>
          <a:miter lim="400000"/>
        </a:ln>
        <a:effectLst/>
      </c:spPr>
    </c:plotArea>
    <c:plotVisOnly val="1"/>
    <c:dispBlanksAs val="gap"/>
  </c:chart>
  <c:spPr>
    <a:noFill/>
    <a:ln>
      <a:noFill/>
    </a:ln>
    <a:effectLst/>
  </c:spPr>
</c:chartSpace>
</file>

<file path=xl/charts/chart8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290095"/>
          <c:y val="0.0540541"/>
          <c:w val="0.660762"/>
          <c:h val="0.912109"/>
        </c:manualLayout>
      </c:layout>
      <c:barChart>
        <c:barDir val="bar"/>
        <c:grouping val="percentStacked"/>
        <c:varyColors val="0"/>
        <c:ser>
          <c:idx val="0"/>
          <c:order val="0"/>
          <c:tx>
            <c:strRef>
              <c:f>'tracking - Table 2-1'!$C$1</c:f>
              <c:strCache>
                <c:ptCount val="1"/>
                <c:pt idx="0">
                  <c:v>Proteinas</c:v>
                </c:pt>
              </c:strCache>
            </c:strRef>
          </c:tx>
          <c:spPr>
            <a:gradFill flip="none" rotWithShape="1">
              <a:gsLst>
                <a:gs pos="0">
                  <a:srgbClr val="51A7F9"/>
                </a:gs>
                <a:gs pos="100000">
                  <a:srgbClr val="0365C0"/>
                </a:gs>
              </a:gsLst>
              <a:lin ang="5400000" scaled="0"/>
            </a:gra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1"/>
            <c:showCatName val="0"/>
            <c:showSerName val="0"/>
            <c:showPercent val="0"/>
            <c:showBubbleSize val="0"/>
            <c:showLeaderLines val="0"/>
          </c:dLbls>
          <c:cat>
            <c:strRef>
              <c:f>'tracking - Table 2-1'!$A$2,'tracking - Table 2-1'!$A$3,'tracking - Table 2-1'!$A$4,'tracking - Table 2-1'!$A$5,'tracking - Table 2-1'!$A$6,'tracking - Table 2-1'!$A$7,'tracking - Table 2-1'!$A$8,'tracking - Table 2-1'!$A$9,'tracking - Table 2-1'!$A$10,'tracking - Table 2-1'!$A$11,'tracking - Table 2-1'!$A$12,'tracking - Table 2-1'!$A$13,'tracking - Table 2-1'!$A$14,'tracking - Table 2-1'!$A$15,'tracking - Table 2-1'!$A$16,'tracking - Table 2-1'!$A$17,'tracking - Table 2-1'!$A$18,'tracking - Table 2-1'!$A$19,'tracking - Table 2-1'!$A$20,'tracking - Table 2-1'!$A$21,'tracking - Table 2-1'!$A$22,'tracking - Table 2-1'!$A$23,'tracking - Table 2-1'!$A$24,'tracking - Table 2-1'!$A$25,'tracking - Table 2-1'!$A$26,'tracking - Table 2-1'!$A$14,'tracking - Table 2-1'!$A$17,'tracking - Table 2-1'!$A$19,'tracking - Table 2-1'!$A$20,'tracking - Table 2-1'!$A$22,'tracking - Table 2-1'!$A$24,'tracking - Table 2-1'!$A$26,'tracking - Table 2-1'!$A$27,'tracking - Table 2-1'!$A$29,'tracking - Table 2-1'!$A$30,'tracking - Table 2-1'!$A$31,'tracking - Table 2-1'!$A$32,'tracking - Table 2-1'!$A$33,'tracking - Table 2-1'!$A$35,'tracking - Table 2-1'!$A$36,'tracking - Table 2-1'!$A$37,'tracking - Table 2-1'!$A$38,'tracking - Table 2-1'!$A$39,'tracking - Table 2-1'!$A$40,'tracking - Table 2-1'!$A$41,'tracking - Table 2-1'!$A$42,'tracking - Table 2-1'!$A$43,'tracking - Table 2-1'!$A$44,'tracking - Table 2-1'!$A$45,'tracking - Table 2-1'!$A$46,'tracking - Table 2-1'!$A$47,'tracking - Table 2-1'!$A$48,'tracking - Table 2-1'!$A$50,'tracking - Table 2-1'!$A$51,'tracking - Table 2-1'!$A$52,'tracking - Table 2-1'!$A$53,'tracking - Table 2-1'!$A$54,'tracking - Table 2-1'!$A$55,'tracking - Table 2-1'!$A$56,'tracking - Table 2-1'!$A$57,'tracking - Table 2-1'!$A$58,'tracking - Table 2-1'!$A$59,'tracking - Table 2-1'!$A$60,'tracking - Table 2-1'!$A$61,'tracking - Table 2-1'!$A$62,'tracking - Table 2-1'!$A$63,'tracking - Table 2-1'!$A$65,'tracking - Table 2-1'!$A$66,'tracking - Table 2-1'!$A$67,'tracking - Table 2-1'!$A$68,'tracking - Table 2-1'!$A$69,'tracking - Table 2-1'!$A$70,'tracking - Table 2-1'!$A$71,'tracking - Table 2-1'!$A$72,'tracking - Table 2-1'!$A$74,'tracking - Table 2-1'!$A$76,'tracking - Table 2-1'!$A$77,'tracking - Table 2-1'!$A$78,'tracking - Table 2-1'!$A$79</c:f>
              <c:strCache>
                <c:ptCount val="79"/>
                <c:pt idx="0">
                  <c:v>Pollo crudo</c:v>
                </c:pt>
                <c:pt idx="1">
                  <c:v/>
                </c:pt>
                <c:pt idx="2">
                  <c:v>Pollo cocinado</c:v>
                </c:pt>
                <c:pt idx="3">
                  <c:v>Filete</c:v>
                </c:pt>
                <c:pt idx="4">
                  <c:v>Lomo vetado</c:v>
                </c:pt>
                <c:pt idx="5">
                  <c:v>Escalopa</c:v>
                </c:pt>
                <c:pt idx="6">
                  <c:v>Carne molida 10% cruda</c:v>
                </c:pt>
                <c:pt idx="7">
                  <c:v>Carne molida 10% cocida</c:v>
                </c:pt>
                <c:pt idx="8">
                  <c:v>Carne molida 4% cruda</c:v>
                </c:pt>
                <c:pt idx="9">
                  <c:v>Carne molida 4% cocida</c:v>
                </c:pt>
                <c:pt idx="10">
                  <c:v>Carne molida 3% cruda</c:v>
                </c:pt>
                <c:pt idx="11">
                  <c:v>Carne molida 3% cocida</c:v>
                </c:pt>
                <c:pt idx="12">
                  <c:v>Reineta</c:v>
                </c:pt>
                <c:pt idx="13">
                  <c:v>Atún lata aceite</c:v>
                </c:pt>
                <c:pt idx="14">
                  <c:v>atún agua</c:v>
                </c:pt>
                <c:pt idx="15">
                  <c:v>Boloñesa</c:v>
                </c:pt>
                <c:pt idx="16">
                  <c:v>Jamon serrano</c:v>
                </c:pt>
                <c:pt idx="17">
                  <c:v/>
                </c:pt>
                <c:pt idx="18">
                  <c:v>patty w/ cheese</c:v>
                </c:pt>
                <c:pt idx="19">
                  <c:v>hamburguer bun</c:v>
                </c:pt>
                <c:pt idx="20">
                  <c:v/>
                </c:pt>
                <c:pt idx="21">
                  <c:v>Huevo</c:v>
                </c:pt>
                <c:pt idx="22">
                  <c:v>clara de huevo</c:v>
                </c:pt>
                <c:pt idx="23">
                  <c:v>Tostada</c:v>
                </c:pt>
                <c:pt idx="24">
                  <c:v/>
                </c:pt>
                <c:pt idx="25">
                  <c:v>Reineta</c:v>
                </c:pt>
                <c:pt idx="26">
                  <c:v>Boloñesa</c:v>
                </c:pt>
                <c:pt idx="27">
                  <c:v/>
                </c:pt>
                <c:pt idx="28">
                  <c:v>patty w/ cheese</c:v>
                </c:pt>
                <c:pt idx="29">
                  <c:v/>
                </c:pt>
                <c:pt idx="30">
                  <c:v>clara de huevo</c:v>
                </c:pt>
                <c:pt idx="31">
                  <c:v/>
                </c:pt>
                <c:pt idx="32">
                  <c:v>Yogurt Proteina</c:v>
                </c:pt>
                <c:pt idx="33">
                  <c:v/>
                </c:pt>
                <c:pt idx="34">
                  <c:v>Leche entera</c:v>
                </c:pt>
                <c:pt idx="35">
                  <c:v>Leche chocolate</c:v>
                </c:pt>
                <c:pt idx="36">
                  <c:v>Leche proteína+</c:v>
                </c:pt>
                <c:pt idx="37">
                  <c:v>proteina+ cacao</c:v>
                </c:pt>
                <c:pt idx="38">
                  <c:v/>
                </c:pt>
                <c:pt idx="39">
                  <c:v>crinkle fries</c:v>
                </c:pt>
                <c:pt idx="40">
                  <c:v>homemade fries</c:v>
                </c:pt>
                <c:pt idx="41">
                  <c:v>crackers</c:v>
                </c:pt>
                <c:pt idx="42">
                  <c:v/>
                </c:pt>
                <c:pt idx="43">
                  <c:v>Papas</c:v>
                </c:pt>
                <c:pt idx="44">
                  <c:v>Arroz</c:v>
                </c:pt>
                <c:pt idx="45">
                  <c:v/>
                </c:pt>
                <c:pt idx="46">
                  <c:v/>
                </c:pt>
                <c:pt idx="47">
                  <c:v/>
                </c:pt>
                <c:pt idx="48">
                  <c:v>Pasta seca</c:v>
                </c:pt>
                <c:pt idx="49">
                  <c:v>Tortilla de harina</c:v>
                </c:pt>
                <c:pt idx="50">
                  <c:v/>
                </c:pt>
                <c:pt idx="51">
                  <c:v>mayonesa</c:v>
                </c:pt>
                <c:pt idx="52">
                  <c:v>Mantequilla</c:v>
                </c:pt>
                <c:pt idx="53">
                  <c:v>Aceita de oliva</c:v>
                </c:pt>
                <c:pt idx="54">
                  <c:v>Tomate romanita</c:v>
                </c:pt>
                <c:pt idx="55">
                  <c:v>Manzana</c:v>
                </c:pt>
                <c:pt idx="56">
                  <c:v/>
                </c:pt>
                <c:pt idx="57">
                  <c:v>Mantequilla maní</c:v>
                </c:pt>
                <c:pt idx="58">
                  <c:v/>
                </c:pt>
                <c:pt idx="59">
                  <c:v>Mani</c:v>
                </c:pt>
                <c:pt idx="60">
                  <c:v/>
                </c:pt>
                <c:pt idx="61">
                  <c:v>Maní con sal</c:v>
                </c:pt>
                <c:pt idx="62">
                  <c:v>Maní japones</c:v>
                </c:pt>
                <c:pt idx="63">
                  <c:v>castañas de cajú</c:v>
                </c:pt>
                <c:pt idx="64">
                  <c:v>Queso Montana</c:v>
                </c:pt>
                <c:pt idx="65">
                  <c:v>Parmesano</c:v>
                </c:pt>
                <c:pt idx="66">
                  <c:v>Mozzarella buffala</c:v>
                </c:pt>
                <c:pt idx="67">
                  <c:v/>
                </c:pt>
                <c:pt idx="68">
                  <c:v>Cerveza</c:v>
                </c:pt>
                <c:pt idx="69">
                  <c:v/>
                </c:pt>
                <c:pt idx="70">
                  <c:v>Coke</c:v>
                </c:pt>
                <c:pt idx="71">
                  <c:v/>
                </c:pt>
                <c:pt idx="72">
                  <c:v/>
                </c:pt>
                <c:pt idx="73">
                  <c:v/>
                </c:pt>
                <c:pt idx="74">
                  <c:v>streat double cheeseburger</c:v>
                </c:pt>
                <c:pt idx="75">
                  <c:v>mccuarto de libra</c:v>
                </c:pt>
                <c:pt idx="76">
                  <c:v>doble cuarto</c:v>
                </c:pt>
                <c:pt idx="77">
                  <c:v>10 mcnuggets</c:v>
                </c:pt>
                <c:pt idx="78">
                  <c:v>mcpapas chicas</c:v>
                </c:pt>
              </c:strCache>
            </c:strRef>
          </c:cat>
          <c:val>
            <c:numRef>
              <c:f>'tracking - Table 2-1'!$C$2:$C$80</c:f>
              <c:numCache>
                <c:ptCount val="65"/>
                <c:pt idx="0">
                  <c:v>27.000000</c:v>
                </c:pt>
                <c:pt idx="1">
                  <c:v>27.000000</c:v>
                </c:pt>
                <c:pt idx="2">
                  <c:v>31.000000</c:v>
                </c:pt>
                <c:pt idx="3">
                  <c:v>27.000000</c:v>
                </c:pt>
                <c:pt idx="4">
                  <c:v>20.000000</c:v>
                </c:pt>
                <c:pt idx="5">
                  <c:v>23.000000</c:v>
                </c:pt>
                <c:pt idx="6">
                  <c:v>19.300000</c:v>
                </c:pt>
                <c:pt idx="8">
                  <c:v>21.100000</c:v>
                </c:pt>
                <c:pt idx="9">
                  <c:v>21.100000</c:v>
                </c:pt>
                <c:pt idx="10">
                  <c:v>22.000000</c:v>
                </c:pt>
                <c:pt idx="11">
                  <c:v>22.000000</c:v>
                </c:pt>
                <c:pt idx="12">
                  <c:v>19.300000</c:v>
                </c:pt>
                <c:pt idx="13">
                  <c:v>29.000000</c:v>
                </c:pt>
                <c:pt idx="14">
                  <c:v>25.000000</c:v>
                </c:pt>
                <c:pt idx="15">
                  <c:v>16.000000</c:v>
                </c:pt>
                <c:pt idx="16">
                  <c:v>30.700000</c:v>
                </c:pt>
                <c:pt idx="18">
                  <c:v>25.000000</c:v>
                </c:pt>
                <c:pt idx="19">
                  <c:v>4.000000</c:v>
                </c:pt>
                <c:pt idx="21">
                  <c:v>7.000000</c:v>
                </c:pt>
                <c:pt idx="22">
                  <c:v>3.600000</c:v>
                </c:pt>
                <c:pt idx="23">
                  <c:v>3.100000</c:v>
                </c:pt>
                <c:pt idx="25">
                  <c:v>14.000000</c:v>
                </c:pt>
                <c:pt idx="26">
                  <c:v>5.000000</c:v>
                </c:pt>
                <c:pt idx="28">
                  <c:v>3.100000</c:v>
                </c:pt>
                <c:pt idx="29">
                  <c:v>3.000000</c:v>
                </c:pt>
                <c:pt idx="30">
                  <c:v>6.000000</c:v>
                </c:pt>
                <c:pt idx="31">
                  <c:v>6.000000</c:v>
                </c:pt>
                <c:pt idx="32">
                  <c:v>6.100000</c:v>
                </c:pt>
                <c:pt idx="34">
                  <c:v>2.000000</c:v>
                </c:pt>
                <c:pt idx="35">
                  <c:v>3.000000</c:v>
                </c:pt>
                <c:pt idx="36">
                  <c:v>3.300000</c:v>
                </c:pt>
                <c:pt idx="38">
                  <c:v>2.000000</c:v>
                </c:pt>
                <c:pt idx="39">
                  <c:v>4.400000</c:v>
                </c:pt>
                <c:pt idx="40">
                  <c:v>2.365591</c:v>
                </c:pt>
                <c:pt idx="41">
                  <c:v>3.548387</c:v>
                </c:pt>
                <c:pt idx="42">
                  <c:v>4.731183</c:v>
                </c:pt>
                <c:pt idx="43">
                  <c:v>13.000000</c:v>
                </c:pt>
                <c:pt idx="44">
                  <c:v>3.700000</c:v>
                </c:pt>
                <c:pt idx="46">
                  <c:v>0.600000</c:v>
                </c:pt>
                <c:pt idx="47">
                  <c:v>0.300000</c:v>
                </c:pt>
                <c:pt idx="48">
                  <c:v>0.900000</c:v>
                </c:pt>
                <c:pt idx="49">
                  <c:v>0.000000</c:v>
                </c:pt>
                <c:pt idx="50">
                  <c:v>1.100000</c:v>
                </c:pt>
                <c:pt idx="51">
                  <c:v>0.300000</c:v>
                </c:pt>
                <c:pt idx="53">
                  <c:v>4.600000</c:v>
                </c:pt>
                <c:pt idx="55">
                  <c:v>10.240000</c:v>
                </c:pt>
                <c:pt idx="56">
                  <c:v>5.120000</c:v>
                </c:pt>
                <c:pt idx="57">
                  <c:v>28.100000</c:v>
                </c:pt>
                <c:pt idx="58">
                  <c:v>9.000000</c:v>
                </c:pt>
                <c:pt idx="59">
                  <c:v>16.800000</c:v>
                </c:pt>
                <c:pt idx="60">
                  <c:v>11.560000</c:v>
                </c:pt>
                <c:pt idx="61">
                  <c:v>9.900000</c:v>
                </c:pt>
                <c:pt idx="62">
                  <c:v>19.500000</c:v>
                </c:pt>
                <c:pt idx="63">
                  <c:v>14.700000</c:v>
                </c:pt>
                <c:pt idx="65">
                  <c:v>1.100000</c:v>
                </c:pt>
                <c:pt idx="67">
                  <c:v>0.000000</c:v>
                </c:pt>
                <c:pt idx="68">
                  <c:v>0.000000</c:v>
                </c:pt>
                <c:pt idx="69">
                  <c:v>0.000000</c:v>
                </c:pt>
                <c:pt idx="71">
                  <c:v>37.450000</c:v>
                </c:pt>
                <c:pt idx="72">
                  <c:v>68.900000</c:v>
                </c:pt>
                <c:pt idx="74">
                  <c:v>29.000000</c:v>
                </c:pt>
                <c:pt idx="75">
                  <c:v>48.000000</c:v>
                </c:pt>
                <c:pt idx="76">
                  <c:v>27.000000</c:v>
                </c:pt>
                <c:pt idx="77">
                  <c:v>3.000000</c:v>
                </c:pt>
                <c:pt idx="78">
                  <c:v>5.000000</c:v>
                </c:pt>
              </c:numCache>
            </c:numRef>
          </c:val>
        </c:ser>
        <c:ser>
          <c:idx val="1"/>
          <c:order val="1"/>
          <c:tx>
            <c:strRef>
              <c:f>'tracking - Table 2-1'!$D$1</c:f>
              <c:strCache>
                <c:ptCount val="1"/>
                <c:pt idx="0">
                  <c:v>Grasa</c:v>
                </c:pt>
              </c:strCache>
            </c:strRef>
          </c:tx>
          <c:spPr>
            <a:gradFill flip="none" rotWithShape="1">
              <a:gsLst>
                <a:gs pos="0">
                  <a:srgbClr val="70BF41"/>
                </a:gs>
                <a:gs pos="100000">
                  <a:srgbClr val="00882B"/>
                </a:gs>
              </a:gsLst>
              <a:lin ang="5400000" scaled="0"/>
            </a:gra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1"/>
            <c:showCatName val="0"/>
            <c:showSerName val="0"/>
            <c:showPercent val="0"/>
            <c:showBubbleSize val="0"/>
            <c:showLeaderLines val="0"/>
          </c:dLbls>
          <c:cat>
            <c:strRef>
              <c:f>'tracking - Table 2-1'!$A$2,'tracking - Table 2-1'!$A$3,'tracking - Table 2-1'!$A$4,'tracking - Table 2-1'!$A$5,'tracking - Table 2-1'!$A$6,'tracking - Table 2-1'!$A$7,'tracking - Table 2-1'!$A$8,'tracking - Table 2-1'!$A$9,'tracking - Table 2-1'!$A$10,'tracking - Table 2-1'!$A$11,'tracking - Table 2-1'!$A$12,'tracking - Table 2-1'!$A$13,'tracking - Table 2-1'!$A$14,'tracking - Table 2-1'!$A$15,'tracking - Table 2-1'!$A$16,'tracking - Table 2-1'!$A$17,'tracking - Table 2-1'!$A$18,'tracking - Table 2-1'!$A$19,'tracking - Table 2-1'!$A$20,'tracking - Table 2-1'!$A$21,'tracking - Table 2-1'!$A$22,'tracking - Table 2-1'!$A$23,'tracking - Table 2-1'!$A$24,'tracking - Table 2-1'!$A$25,'tracking - Table 2-1'!$A$26,'tracking - Table 2-1'!$A$14,'tracking - Table 2-1'!$A$17,'tracking - Table 2-1'!$A$19,'tracking - Table 2-1'!$A$20,'tracking - Table 2-1'!$A$22,'tracking - Table 2-1'!$A$24,'tracking - Table 2-1'!$A$26,'tracking - Table 2-1'!$A$27,'tracking - Table 2-1'!$A$29,'tracking - Table 2-1'!$A$30,'tracking - Table 2-1'!$A$31,'tracking - Table 2-1'!$A$32,'tracking - Table 2-1'!$A$33,'tracking - Table 2-1'!$A$35,'tracking - Table 2-1'!$A$36,'tracking - Table 2-1'!$A$37,'tracking - Table 2-1'!$A$38,'tracking - Table 2-1'!$A$39,'tracking - Table 2-1'!$A$40,'tracking - Table 2-1'!$A$41,'tracking - Table 2-1'!$A$42,'tracking - Table 2-1'!$A$43,'tracking - Table 2-1'!$A$44,'tracking - Table 2-1'!$A$45,'tracking - Table 2-1'!$A$46,'tracking - Table 2-1'!$A$47,'tracking - Table 2-1'!$A$48,'tracking - Table 2-1'!$A$50,'tracking - Table 2-1'!$A$51,'tracking - Table 2-1'!$A$52,'tracking - Table 2-1'!$A$53,'tracking - Table 2-1'!$A$54,'tracking - Table 2-1'!$A$55,'tracking - Table 2-1'!$A$56,'tracking - Table 2-1'!$A$57,'tracking - Table 2-1'!$A$58,'tracking - Table 2-1'!$A$59,'tracking - Table 2-1'!$A$60,'tracking - Table 2-1'!$A$61,'tracking - Table 2-1'!$A$62,'tracking - Table 2-1'!$A$63,'tracking - Table 2-1'!$A$65,'tracking - Table 2-1'!$A$66,'tracking - Table 2-1'!$A$67,'tracking - Table 2-1'!$A$68,'tracking - Table 2-1'!$A$69,'tracking - Table 2-1'!$A$70,'tracking - Table 2-1'!$A$71,'tracking - Table 2-1'!$A$72,'tracking - Table 2-1'!$A$74,'tracking - Table 2-1'!$A$76,'tracking - Table 2-1'!$A$77,'tracking - Table 2-1'!$A$78,'tracking - Table 2-1'!$A$79</c:f>
              <c:strCache>
                <c:ptCount val="79"/>
                <c:pt idx="0">
                  <c:v>Pollo crudo</c:v>
                </c:pt>
                <c:pt idx="1">
                  <c:v/>
                </c:pt>
                <c:pt idx="2">
                  <c:v>Pollo cocinado</c:v>
                </c:pt>
                <c:pt idx="3">
                  <c:v>Filete</c:v>
                </c:pt>
                <c:pt idx="4">
                  <c:v>Lomo vetado</c:v>
                </c:pt>
                <c:pt idx="5">
                  <c:v>Escalopa</c:v>
                </c:pt>
                <c:pt idx="6">
                  <c:v>Carne molida 10% cruda</c:v>
                </c:pt>
                <c:pt idx="7">
                  <c:v>Carne molida 10% cocida</c:v>
                </c:pt>
                <c:pt idx="8">
                  <c:v>Carne molida 4% cruda</c:v>
                </c:pt>
                <c:pt idx="9">
                  <c:v>Carne molida 4% cocida</c:v>
                </c:pt>
                <c:pt idx="10">
                  <c:v>Carne molida 3% cruda</c:v>
                </c:pt>
                <c:pt idx="11">
                  <c:v>Carne molida 3% cocida</c:v>
                </c:pt>
                <c:pt idx="12">
                  <c:v>Reineta</c:v>
                </c:pt>
                <c:pt idx="13">
                  <c:v>Atún lata aceite</c:v>
                </c:pt>
                <c:pt idx="14">
                  <c:v>atún agua</c:v>
                </c:pt>
                <c:pt idx="15">
                  <c:v>Boloñesa</c:v>
                </c:pt>
                <c:pt idx="16">
                  <c:v>Jamon serrano</c:v>
                </c:pt>
                <c:pt idx="17">
                  <c:v/>
                </c:pt>
                <c:pt idx="18">
                  <c:v>patty w/ cheese</c:v>
                </c:pt>
                <c:pt idx="19">
                  <c:v>hamburguer bun</c:v>
                </c:pt>
                <c:pt idx="20">
                  <c:v/>
                </c:pt>
                <c:pt idx="21">
                  <c:v>Huevo</c:v>
                </c:pt>
                <c:pt idx="22">
                  <c:v>clara de huevo</c:v>
                </c:pt>
                <c:pt idx="23">
                  <c:v>Tostada</c:v>
                </c:pt>
                <c:pt idx="24">
                  <c:v/>
                </c:pt>
                <c:pt idx="25">
                  <c:v>Reineta</c:v>
                </c:pt>
                <c:pt idx="26">
                  <c:v>Boloñesa</c:v>
                </c:pt>
                <c:pt idx="27">
                  <c:v/>
                </c:pt>
                <c:pt idx="28">
                  <c:v>patty w/ cheese</c:v>
                </c:pt>
                <c:pt idx="29">
                  <c:v/>
                </c:pt>
                <c:pt idx="30">
                  <c:v>clara de huevo</c:v>
                </c:pt>
                <c:pt idx="31">
                  <c:v/>
                </c:pt>
                <c:pt idx="32">
                  <c:v>Yogurt Proteina</c:v>
                </c:pt>
                <c:pt idx="33">
                  <c:v/>
                </c:pt>
                <c:pt idx="34">
                  <c:v>Leche entera</c:v>
                </c:pt>
                <c:pt idx="35">
                  <c:v>Leche chocolate</c:v>
                </c:pt>
                <c:pt idx="36">
                  <c:v>Leche proteína+</c:v>
                </c:pt>
                <c:pt idx="37">
                  <c:v>proteina+ cacao</c:v>
                </c:pt>
                <c:pt idx="38">
                  <c:v/>
                </c:pt>
                <c:pt idx="39">
                  <c:v>crinkle fries</c:v>
                </c:pt>
                <c:pt idx="40">
                  <c:v>homemade fries</c:v>
                </c:pt>
                <c:pt idx="41">
                  <c:v>crackers</c:v>
                </c:pt>
                <c:pt idx="42">
                  <c:v/>
                </c:pt>
                <c:pt idx="43">
                  <c:v>Papas</c:v>
                </c:pt>
                <c:pt idx="44">
                  <c:v>Arroz</c:v>
                </c:pt>
                <c:pt idx="45">
                  <c:v/>
                </c:pt>
                <c:pt idx="46">
                  <c:v/>
                </c:pt>
                <c:pt idx="47">
                  <c:v/>
                </c:pt>
                <c:pt idx="48">
                  <c:v>Pasta seca</c:v>
                </c:pt>
                <c:pt idx="49">
                  <c:v>Tortilla de harina</c:v>
                </c:pt>
                <c:pt idx="50">
                  <c:v/>
                </c:pt>
                <c:pt idx="51">
                  <c:v>mayonesa</c:v>
                </c:pt>
                <c:pt idx="52">
                  <c:v>Mantequilla</c:v>
                </c:pt>
                <c:pt idx="53">
                  <c:v>Aceita de oliva</c:v>
                </c:pt>
                <c:pt idx="54">
                  <c:v>Tomate romanita</c:v>
                </c:pt>
                <c:pt idx="55">
                  <c:v>Manzana</c:v>
                </c:pt>
                <c:pt idx="56">
                  <c:v/>
                </c:pt>
                <c:pt idx="57">
                  <c:v>Mantequilla maní</c:v>
                </c:pt>
                <c:pt idx="58">
                  <c:v/>
                </c:pt>
                <c:pt idx="59">
                  <c:v>Mani</c:v>
                </c:pt>
                <c:pt idx="60">
                  <c:v/>
                </c:pt>
                <c:pt idx="61">
                  <c:v>Maní con sal</c:v>
                </c:pt>
                <c:pt idx="62">
                  <c:v>Maní japones</c:v>
                </c:pt>
                <c:pt idx="63">
                  <c:v>castañas de cajú</c:v>
                </c:pt>
                <c:pt idx="64">
                  <c:v>Queso Montana</c:v>
                </c:pt>
                <c:pt idx="65">
                  <c:v>Parmesano</c:v>
                </c:pt>
                <c:pt idx="66">
                  <c:v>Mozzarella buffala</c:v>
                </c:pt>
                <c:pt idx="67">
                  <c:v/>
                </c:pt>
                <c:pt idx="68">
                  <c:v>Cerveza</c:v>
                </c:pt>
                <c:pt idx="69">
                  <c:v/>
                </c:pt>
                <c:pt idx="70">
                  <c:v>Coke</c:v>
                </c:pt>
                <c:pt idx="71">
                  <c:v/>
                </c:pt>
                <c:pt idx="72">
                  <c:v/>
                </c:pt>
                <c:pt idx="73">
                  <c:v/>
                </c:pt>
                <c:pt idx="74">
                  <c:v>streat double cheeseburger</c:v>
                </c:pt>
                <c:pt idx="75">
                  <c:v>mccuarto de libra</c:v>
                </c:pt>
                <c:pt idx="76">
                  <c:v>doble cuarto</c:v>
                </c:pt>
                <c:pt idx="77">
                  <c:v>10 mcnuggets</c:v>
                </c:pt>
                <c:pt idx="78">
                  <c:v>mcpapas chicas</c:v>
                </c:pt>
              </c:strCache>
            </c:strRef>
          </c:cat>
          <c:val>
            <c:numRef>
              <c:f>'tracking - Table 2-1'!$D$2:$D$80</c:f>
              <c:numCache>
                <c:ptCount val="65"/>
                <c:pt idx="0">
                  <c:v>2.000000</c:v>
                </c:pt>
                <c:pt idx="1">
                  <c:v>2.000000</c:v>
                </c:pt>
                <c:pt idx="2">
                  <c:v>3.600000</c:v>
                </c:pt>
                <c:pt idx="3">
                  <c:v>15.000000</c:v>
                </c:pt>
                <c:pt idx="4">
                  <c:v>15.000000</c:v>
                </c:pt>
                <c:pt idx="5">
                  <c:v>0.800000</c:v>
                </c:pt>
                <c:pt idx="6">
                  <c:v>8.600000</c:v>
                </c:pt>
                <c:pt idx="8">
                  <c:v>4.000000</c:v>
                </c:pt>
                <c:pt idx="9">
                  <c:v>4.000000</c:v>
                </c:pt>
                <c:pt idx="10">
                  <c:v>3.000000</c:v>
                </c:pt>
                <c:pt idx="11">
                  <c:v>3.000000</c:v>
                </c:pt>
                <c:pt idx="12">
                  <c:v>2.700000</c:v>
                </c:pt>
                <c:pt idx="13">
                  <c:v>8.000000</c:v>
                </c:pt>
                <c:pt idx="14">
                  <c:v>2.000000</c:v>
                </c:pt>
                <c:pt idx="15">
                  <c:v>11.200000</c:v>
                </c:pt>
                <c:pt idx="16">
                  <c:v>11.900000</c:v>
                </c:pt>
                <c:pt idx="18">
                  <c:v>17.000000</c:v>
                </c:pt>
                <c:pt idx="19">
                  <c:v>2.000000</c:v>
                </c:pt>
                <c:pt idx="21">
                  <c:v>4.600000</c:v>
                </c:pt>
                <c:pt idx="22">
                  <c:v>0.100000</c:v>
                </c:pt>
                <c:pt idx="23">
                  <c:v>1.000000</c:v>
                </c:pt>
                <c:pt idx="25">
                  <c:v>1.000000</c:v>
                </c:pt>
                <c:pt idx="26">
                  <c:v>41.000000</c:v>
                </c:pt>
                <c:pt idx="28">
                  <c:v>3.100000</c:v>
                </c:pt>
                <c:pt idx="29">
                  <c:v>1.400000</c:v>
                </c:pt>
                <c:pt idx="30">
                  <c:v>1.300000</c:v>
                </c:pt>
                <c:pt idx="31">
                  <c:v>1.900000</c:v>
                </c:pt>
                <c:pt idx="32">
                  <c:v>1.400000</c:v>
                </c:pt>
                <c:pt idx="34">
                  <c:v>4.500000</c:v>
                </c:pt>
                <c:pt idx="35">
                  <c:v>5.000000</c:v>
                </c:pt>
                <c:pt idx="36">
                  <c:v>15.000000</c:v>
                </c:pt>
                <c:pt idx="38">
                  <c:v>0.100000</c:v>
                </c:pt>
                <c:pt idx="39">
                  <c:v>0.400000</c:v>
                </c:pt>
                <c:pt idx="40">
                  <c:v>0.215054</c:v>
                </c:pt>
                <c:pt idx="41">
                  <c:v>0.322581</c:v>
                </c:pt>
                <c:pt idx="42">
                  <c:v>0.430108</c:v>
                </c:pt>
                <c:pt idx="43">
                  <c:v>2.000000</c:v>
                </c:pt>
                <c:pt idx="44">
                  <c:v>2.700000</c:v>
                </c:pt>
                <c:pt idx="46">
                  <c:v>30.500000</c:v>
                </c:pt>
                <c:pt idx="47">
                  <c:v>0.100000</c:v>
                </c:pt>
                <c:pt idx="48">
                  <c:v>81.000000</c:v>
                </c:pt>
                <c:pt idx="49">
                  <c:v>13.500000</c:v>
                </c:pt>
                <c:pt idx="50">
                  <c:v>0.000000</c:v>
                </c:pt>
                <c:pt idx="51">
                  <c:v>0.200000</c:v>
                </c:pt>
                <c:pt idx="53">
                  <c:v>9.400000</c:v>
                </c:pt>
                <c:pt idx="55">
                  <c:v>19.680000</c:v>
                </c:pt>
                <c:pt idx="56">
                  <c:v>9.840000</c:v>
                </c:pt>
                <c:pt idx="57">
                  <c:v>46.500000</c:v>
                </c:pt>
                <c:pt idx="58">
                  <c:v>11.000000</c:v>
                </c:pt>
                <c:pt idx="59">
                  <c:v>47.800000</c:v>
                </c:pt>
                <c:pt idx="60">
                  <c:v>12.480000</c:v>
                </c:pt>
                <c:pt idx="61">
                  <c:v>8.400000</c:v>
                </c:pt>
                <c:pt idx="62">
                  <c:v>20.000000</c:v>
                </c:pt>
                <c:pt idx="63">
                  <c:v>21.900000</c:v>
                </c:pt>
                <c:pt idx="65">
                  <c:v>0.000000</c:v>
                </c:pt>
                <c:pt idx="67">
                  <c:v>0.000000</c:v>
                </c:pt>
                <c:pt idx="68">
                  <c:v>0.000000</c:v>
                </c:pt>
                <c:pt idx="69">
                  <c:v>0.000000</c:v>
                </c:pt>
                <c:pt idx="71">
                  <c:v>17.750000</c:v>
                </c:pt>
                <c:pt idx="72">
                  <c:v>30.500000</c:v>
                </c:pt>
                <c:pt idx="74">
                  <c:v>26.000000</c:v>
                </c:pt>
                <c:pt idx="75">
                  <c:v>43.000000</c:v>
                </c:pt>
                <c:pt idx="76">
                  <c:v>22.000000</c:v>
                </c:pt>
                <c:pt idx="77">
                  <c:v>13.000000</c:v>
                </c:pt>
                <c:pt idx="78">
                  <c:v>19.000000</c:v>
                </c:pt>
              </c:numCache>
            </c:numRef>
          </c:val>
        </c:ser>
        <c:ser>
          <c:idx val="2"/>
          <c:order val="2"/>
          <c:tx>
            <c:strRef>
              <c:f>'tracking - Table 2-1'!$E$1</c:f>
              <c:strCache>
                <c:ptCount val="1"/>
                <c:pt idx="0">
                  <c:v>Carbs</c:v>
                </c:pt>
              </c:strCache>
            </c:strRef>
          </c:tx>
          <c:spPr>
            <a:gradFill flip="none" rotWithShape="1">
              <a:gsLst>
                <a:gs pos="0">
                  <a:srgbClr val="FBE12B"/>
                </a:gs>
                <a:gs pos="100000">
                  <a:srgbClr val="BE9A1A"/>
                </a:gs>
              </a:gsLst>
              <a:lin ang="5400000" scaled="0"/>
            </a:gra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1"/>
            <c:showCatName val="0"/>
            <c:showSerName val="0"/>
            <c:showPercent val="0"/>
            <c:showBubbleSize val="0"/>
            <c:showLeaderLines val="0"/>
          </c:dLbls>
          <c:cat>
            <c:strRef>
              <c:f>'tracking - Table 2-1'!$A$2,'tracking - Table 2-1'!$A$3,'tracking - Table 2-1'!$A$4,'tracking - Table 2-1'!$A$5,'tracking - Table 2-1'!$A$6,'tracking - Table 2-1'!$A$7,'tracking - Table 2-1'!$A$8,'tracking - Table 2-1'!$A$9,'tracking - Table 2-1'!$A$10,'tracking - Table 2-1'!$A$11,'tracking - Table 2-1'!$A$12,'tracking - Table 2-1'!$A$13,'tracking - Table 2-1'!$A$14,'tracking - Table 2-1'!$A$15,'tracking - Table 2-1'!$A$16,'tracking - Table 2-1'!$A$17,'tracking - Table 2-1'!$A$18,'tracking - Table 2-1'!$A$19,'tracking - Table 2-1'!$A$20,'tracking - Table 2-1'!$A$21,'tracking - Table 2-1'!$A$22,'tracking - Table 2-1'!$A$23,'tracking - Table 2-1'!$A$24,'tracking - Table 2-1'!$A$25,'tracking - Table 2-1'!$A$26,'tracking - Table 2-1'!$A$14,'tracking - Table 2-1'!$A$17,'tracking - Table 2-1'!$A$19,'tracking - Table 2-1'!$A$20,'tracking - Table 2-1'!$A$22,'tracking - Table 2-1'!$A$24,'tracking - Table 2-1'!$A$26,'tracking - Table 2-1'!$A$27,'tracking - Table 2-1'!$A$29,'tracking - Table 2-1'!$A$30,'tracking - Table 2-1'!$A$31,'tracking - Table 2-1'!$A$32,'tracking - Table 2-1'!$A$33,'tracking - Table 2-1'!$A$35,'tracking - Table 2-1'!$A$36,'tracking - Table 2-1'!$A$37,'tracking - Table 2-1'!$A$38,'tracking - Table 2-1'!$A$39,'tracking - Table 2-1'!$A$40,'tracking - Table 2-1'!$A$41,'tracking - Table 2-1'!$A$42,'tracking - Table 2-1'!$A$43,'tracking - Table 2-1'!$A$44,'tracking - Table 2-1'!$A$45,'tracking - Table 2-1'!$A$46,'tracking - Table 2-1'!$A$47,'tracking - Table 2-1'!$A$48,'tracking - Table 2-1'!$A$50,'tracking - Table 2-1'!$A$51,'tracking - Table 2-1'!$A$52,'tracking - Table 2-1'!$A$53,'tracking - Table 2-1'!$A$54,'tracking - Table 2-1'!$A$55,'tracking - Table 2-1'!$A$56,'tracking - Table 2-1'!$A$57,'tracking - Table 2-1'!$A$58,'tracking - Table 2-1'!$A$59,'tracking - Table 2-1'!$A$60,'tracking - Table 2-1'!$A$61,'tracking - Table 2-1'!$A$62,'tracking - Table 2-1'!$A$63,'tracking - Table 2-1'!$A$65,'tracking - Table 2-1'!$A$66,'tracking - Table 2-1'!$A$67,'tracking - Table 2-1'!$A$68,'tracking - Table 2-1'!$A$69,'tracking - Table 2-1'!$A$70,'tracking - Table 2-1'!$A$71,'tracking - Table 2-1'!$A$72,'tracking - Table 2-1'!$A$74,'tracking - Table 2-1'!$A$76,'tracking - Table 2-1'!$A$77,'tracking - Table 2-1'!$A$78,'tracking - Table 2-1'!$A$79</c:f>
              <c:strCache>
                <c:ptCount val="79"/>
                <c:pt idx="0">
                  <c:v>Pollo crudo</c:v>
                </c:pt>
                <c:pt idx="1">
                  <c:v/>
                </c:pt>
                <c:pt idx="2">
                  <c:v>Pollo cocinado</c:v>
                </c:pt>
                <c:pt idx="3">
                  <c:v>Filete</c:v>
                </c:pt>
                <c:pt idx="4">
                  <c:v>Lomo vetado</c:v>
                </c:pt>
                <c:pt idx="5">
                  <c:v>Escalopa</c:v>
                </c:pt>
                <c:pt idx="6">
                  <c:v>Carne molida 10% cruda</c:v>
                </c:pt>
                <c:pt idx="7">
                  <c:v>Carne molida 10% cocida</c:v>
                </c:pt>
                <c:pt idx="8">
                  <c:v>Carne molida 4% cruda</c:v>
                </c:pt>
                <c:pt idx="9">
                  <c:v>Carne molida 4% cocida</c:v>
                </c:pt>
                <c:pt idx="10">
                  <c:v>Carne molida 3% cruda</c:v>
                </c:pt>
                <c:pt idx="11">
                  <c:v>Carne molida 3% cocida</c:v>
                </c:pt>
                <c:pt idx="12">
                  <c:v>Reineta</c:v>
                </c:pt>
                <c:pt idx="13">
                  <c:v>Atún lata aceite</c:v>
                </c:pt>
                <c:pt idx="14">
                  <c:v>atún agua</c:v>
                </c:pt>
                <c:pt idx="15">
                  <c:v>Boloñesa</c:v>
                </c:pt>
                <c:pt idx="16">
                  <c:v>Jamon serrano</c:v>
                </c:pt>
                <c:pt idx="17">
                  <c:v/>
                </c:pt>
                <c:pt idx="18">
                  <c:v>patty w/ cheese</c:v>
                </c:pt>
                <c:pt idx="19">
                  <c:v>hamburguer bun</c:v>
                </c:pt>
                <c:pt idx="20">
                  <c:v/>
                </c:pt>
                <c:pt idx="21">
                  <c:v>Huevo</c:v>
                </c:pt>
                <c:pt idx="22">
                  <c:v>clara de huevo</c:v>
                </c:pt>
                <c:pt idx="23">
                  <c:v>Tostada</c:v>
                </c:pt>
                <c:pt idx="24">
                  <c:v/>
                </c:pt>
                <c:pt idx="25">
                  <c:v>Reineta</c:v>
                </c:pt>
                <c:pt idx="26">
                  <c:v>Boloñesa</c:v>
                </c:pt>
                <c:pt idx="27">
                  <c:v/>
                </c:pt>
                <c:pt idx="28">
                  <c:v>patty w/ cheese</c:v>
                </c:pt>
                <c:pt idx="29">
                  <c:v/>
                </c:pt>
                <c:pt idx="30">
                  <c:v>clara de huevo</c:v>
                </c:pt>
                <c:pt idx="31">
                  <c:v/>
                </c:pt>
                <c:pt idx="32">
                  <c:v>Yogurt Proteina</c:v>
                </c:pt>
                <c:pt idx="33">
                  <c:v/>
                </c:pt>
                <c:pt idx="34">
                  <c:v>Leche entera</c:v>
                </c:pt>
                <c:pt idx="35">
                  <c:v>Leche chocolate</c:v>
                </c:pt>
                <c:pt idx="36">
                  <c:v>Leche proteína+</c:v>
                </c:pt>
                <c:pt idx="37">
                  <c:v>proteina+ cacao</c:v>
                </c:pt>
                <c:pt idx="38">
                  <c:v/>
                </c:pt>
                <c:pt idx="39">
                  <c:v>crinkle fries</c:v>
                </c:pt>
                <c:pt idx="40">
                  <c:v>homemade fries</c:v>
                </c:pt>
                <c:pt idx="41">
                  <c:v>crackers</c:v>
                </c:pt>
                <c:pt idx="42">
                  <c:v/>
                </c:pt>
                <c:pt idx="43">
                  <c:v>Papas</c:v>
                </c:pt>
                <c:pt idx="44">
                  <c:v>Arroz</c:v>
                </c:pt>
                <c:pt idx="45">
                  <c:v/>
                </c:pt>
                <c:pt idx="46">
                  <c:v/>
                </c:pt>
                <c:pt idx="47">
                  <c:v/>
                </c:pt>
                <c:pt idx="48">
                  <c:v>Pasta seca</c:v>
                </c:pt>
                <c:pt idx="49">
                  <c:v>Tortilla de harina</c:v>
                </c:pt>
                <c:pt idx="50">
                  <c:v/>
                </c:pt>
                <c:pt idx="51">
                  <c:v>mayonesa</c:v>
                </c:pt>
                <c:pt idx="52">
                  <c:v>Mantequilla</c:v>
                </c:pt>
                <c:pt idx="53">
                  <c:v>Aceita de oliva</c:v>
                </c:pt>
                <c:pt idx="54">
                  <c:v>Tomate romanita</c:v>
                </c:pt>
                <c:pt idx="55">
                  <c:v>Manzana</c:v>
                </c:pt>
                <c:pt idx="56">
                  <c:v/>
                </c:pt>
                <c:pt idx="57">
                  <c:v>Mantequilla maní</c:v>
                </c:pt>
                <c:pt idx="58">
                  <c:v/>
                </c:pt>
                <c:pt idx="59">
                  <c:v>Mani</c:v>
                </c:pt>
                <c:pt idx="60">
                  <c:v/>
                </c:pt>
                <c:pt idx="61">
                  <c:v>Maní con sal</c:v>
                </c:pt>
                <c:pt idx="62">
                  <c:v>Maní japones</c:v>
                </c:pt>
                <c:pt idx="63">
                  <c:v>castañas de cajú</c:v>
                </c:pt>
                <c:pt idx="64">
                  <c:v>Queso Montana</c:v>
                </c:pt>
                <c:pt idx="65">
                  <c:v>Parmesano</c:v>
                </c:pt>
                <c:pt idx="66">
                  <c:v>Mozzarella buffala</c:v>
                </c:pt>
                <c:pt idx="67">
                  <c:v/>
                </c:pt>
                <c:pt idx="68">
                  <c:v>Cerveza</c:v>
                </c:pt>
                <c:pt idx="69">
                  <c:v/>
                </c:pt>
                <c:pt idx="70">
                  <c:v>Coke</c:v>
                </c:pt>
                <c:pt idx="71">
                  <c:v/>
                </c:pt>
                <c:pt idx="72">
                  <c:v/>
                </c:pt>
                <c:pt idx="73">
                  <c:v/>
                </c:pt>
                <c:pt idx="74">
                  <c:v>streat double cheeseburger</c:v>
                </c:pt>
                <c:pt idx="75">
                  <c:v>mccuarto de libra</c:v>
                </c:pt>
                <c:pt idx="76">
                  <c:v>doble cuarto</c:v>
                </c:pt>
                <c:pt idx="77">
                  <c:v>10 mcnuggets</c:v>
                </c:pt>
                <c:pt idx="78">
                  <c:v>mcpapas chicas</c:v>
                </c:pt>
              </c:strCache>
            </c:strRef>
          </c:cat>
          <c:val>
            <c:numRef>
              <c:f>'tracking - Table 2-1'!$E$2:$E$80</c:f>
              <c:numCache>
                <c:ptCount val="65"/>
                <c:pt idx="0">
                  <c:v>0.000000</c:v>
                </c:pt>
                <c:pt idx="1">
                  <c:v>0.000000</c:v>
                </c:pt>
                <c:pt idx="2">
                  <c:v>0.000000</c:v>
                </c:pt>
                <c:pt idx="3">
                  <c:v>0.000000</c:v>
                </c:pt>
                <c:pt idx="4">
                  <c:v>0.000000</c:v>
                </c:pt>
                <c:pt idx="5">
                  <c:v>0.500000</c:v>
                </c:pt>
                <c:pt idx="6">
                  <c:v>0.200000</c:v>
                </c:pt>
                <c:pt idx="8">
                  <c:v>0.100000</c:v>
                </c:pt>
                <c:pt idx="9">
                  <c:v>0.100000</c:v>
                </c:pt>
                <c:pt idx="10">
                  <c:v>0.000000</c:v>
                </c:pt>
                <c:pt idx="11">
                  <c:v>0.000000</c:v>
                </c:pt>
                <c:pt idx="12">
                  <c:v>0.900000</c:v>
                </c:pt>
                <c:pt idx="13">
                  <c:v>0.000000</c:v>
                </c:pt>
                <c:pt idx="14">
                  <c:v>0.000000</c:v>
                </c:pt>
                <c:pt idx="15">
                  <c:v>8.800000</c:v>
                </c:pt>
                <c:pt idx="16">
                  <c:v>0.900000</c:v>
                </c:pt>
                <c:pt idx="18">
                  <c:v>2.000000</c:v>
                </c:pt>
                <c:pt idx="19">
                  <c:v>28.000000</c:v>
                </c:pt>
                <c:pt idx="21">
                  <c:v>2.100000</c:v>
                </c:pt>
                <c:pt idx="22">
                  <c:v>0.200000</c:v>
                </c:pt>
                <c:pt idx="23">
                  <c:v>13.000000</c:v>
                </c:pt>
                <c:pt idx="25">
                  <c:v>8.300000</c:v>
                </c:pt>
                <c:pt idx="26">
                  <c:v>4.000000</c:v>
                </c:pt>
                <c:pt idx="28">
                  <c:v>4.900000</c:v>
                </c:pt>
                <c:pt idx="29">
                  <c:v>4.500000</c:v>
                </c:pt>
                <c:pt idx="30">
                  <c:v>4.900000</c:v>
                </c:pt>
                <c:pt idx="31">
                  <c:v>6.000000</c:v>
                </c:pt>
                <c:pt idx="32">
                  <c:v>5.400000</c:v>
                </c:pt>
                <c:pt idx="34">
                  <c:v>20.000000</c:v>
                </c:pt>
                <c:pt idx="35">
                  <c:v>28.000000</c:v>
                </c:pt>
                <c:pt idx="36">
                  <c:v>20.000000</c:v>
                </c:pt>
                <c:pt idx="38">
                  <c:v>17.000000</c:v>
                </c:pt>
                <c:pt idx="39">
                  <c:v>53.000000</c:v>
                </c:pt>
                <c:pt idx="40">
                  <c:v>28.494624</c:v>
                </c:pt>
                <c:pt idx="41">
                  <c:v>42.741935</c:v>
                </c:pt>
                <c:pt idx="42">
                  <c:v>56.989247</c:v>
                </c:pt>
                <c:pt idx="43">
                  <c:v>71.000000</c:v>
                </c:pt>
                <c:pt idx="44">
                  <c:v>20.300000</c:v>
                </c:pt>
                <c:pt idx="46">
                  <c:v>7.500000</c:v>
                </c:pt>
                <c:pt idx="47">
                  <c:v>4.000000</c:v>
                </c:pt>
                <c:pt idx="48">
                  <c:v>0.100000</c:v>
                </c:pt>
                <c:pt idx="49">
                  <c:v>0.000000</c:v>
                </c:pt>
                <c:pt idx="50">
                  <c:v>3.600000</c:v>
                </c:pt>
                <c:pt idx="51">
                  <c:v>14.000000</c:v>
                </c:pt>
                <c:pt idx="53">
                  <c:v>3.400000</c:v>
                </c:pt>
                <c:pt idx="55">
                  <c:v>6.520000</c:v>
                </c:pt>
                <c:pt idx="56">
                  <c:v>3.260000</c:v>
                </c:pt>
                <c:pt idx="57">
                  <c:v>16.300000</c:v>
                </c:pt>
                <c:pt idx="58">
                  <c:v>19.000000</c:v>
                </c:pt>
                <c:pt idx="59">
                  <c:v>30.200000</c:v>
                </c:pt>
                <c:pt idx="60">
                  <c:v>0.120000</c:v>
                </c:pt>
                <c:pt idx="61">
                  <c:v>0.000000</c:v>
                </c:pt>
                <c:pt idx="62">
                  <c:v>1.000000</c:v>
                </c:pt>
                <c:pt idx="63">
                  <c:v>0.800000</c:v>
                </c:pt>
                <c:pt idx="65">
                  <c:v>13.700000</c:v>
                </c:pt>
                <c:pt idx="67">
                  <c:v>11.000000</c:v>
                </c:pt>
                <c:pt idx="68">
                  <c:v>27.500000</c:v>
                </c:pt>
                <c:pt idx="69">
                  <c:v>38.500000</c:v>
                </c:pt>
                <c:pt idx="71">
                  <c:v>24.000000</c:v>
                </c:pt>
                <c:pt idx="72">
                  <c:v>25.000000</c:v>
                </c:pt>
                <c:pt idx="74">
                  <c:v>37.000000</c:v>
                </c:pt>
                <c:pt idx="75">
                  <c:v>37.000000</c:v>
                </c:pt>
                <c:pt idx="76">
                  <c:v>20.000000</c:v>
                </c:pt>
                <c:pt idx="77">
                  <c:v>26.000000</c:v>
                </c:pt>
                <c:pt idx="78">
                  <c:v>38.000000</c:v>
                </c:pt>
              </c:numCache>
            </c:numRef>
          </c:val>
        </c:ser>
        <c:gapWidth val="40"/>
        <c:overlap val="100"/>
        <c:axId val="2094734552"/>
        <c:axId val="2094734553"/>
      </c:barChart>
      <c:catAx>
        <c:axId val="2094734552"/>
        <c:scaling>
          <c:orientation val="maxMin"/>
        </c:scaling>
        <c:delete val="0"/>
        <c:axPos val="l"/>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b"/>
        <c:majorGridlines>
          <c:spPr>
            <a:ln w="3175" cap="flat">
              <a:solidFill>
                <a:srgbClr val="B8B8B8"/>
              </a:solidFill>
              <a:prstDash val="solid"/>
              <a:miter lim="400000"/>
            </a:ln>
          </c:spPr>
        </c:majorGridlines>
        <c:numFmt formatCode="General" sourceLinked="1"/>
        <c:majorTickMark val="none"/>
        <c:minorTickMark val="none"/>
        <c:tickLblPos val="high"/>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0.25"/>
        <c:minorUnit val="0.125"/>
      </c:valAx>
      <c:spPr>
        <a:noFill/>
        <a:ln w="12700" cap="flat">
          <a:noFill/>
          <a:miter lim="400000"/>
        </a:ln>
        <a:effectLst/>
      </c:spPr>
    </c:plotArea>
    <c:legend>
      <c:legendPos val="t"/>
      <c:layout>
        <c:manualLayout>
          <c:xMode val="edge"/>
          <c:yMode val="edge"/>
          <c:x val="0.2021"/>
          <c:y val="0"/>
          <c:w val="0.783757"/>
          <c:h val="0.042069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8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294256"/>
          <c:y val="0.0540541"/>
          <c:w val="0.670242"/>
          <c:h val="0.912109"/>
        </c:manualLayout>
      </c:layout>
      <c:barChart>
        <c:barDir val="bar"/>
        <c:grouping val="stacked"/>
        <c:varyColors val="0"/>
        <c:ser>
          <c:idx val="0"/>
          <c:order val="0"/>
          <c:tx>
            <c:strRef>
              <c:f>'tracking - Table 2-1'!$C$1</c:f>
              <c:strCache>
                <c:ptCount val="1"/>
                <c:pt idx="0">
                  <c:v>Proteinas</c:v>
                </c:pt>
              </c:strCache>
            </c:strRef>
          </c:tx>
          <c:spPr>
            <a:gradFill flip="none" rotWithShape="1">
              <a:gsLst>
                <a:gs pos="0">
                  <a:srgbClr val="51A7F9"/>
                </a:gs>
                <a:gs pos="100000">
                  <a:srgbClr val="0365C0"/>
                </a:gs>
              </a:gsLst>
              <a:lin ang="5400000" scaled="0"/>
            </a:gradFill>
            <a:ln w="12700" cap="flat">
              <a:noFill/>
              <a:miter lim="400000"/>
            </a:ln>
            <a:effectLst/>
          </c:spPr>
          <c:invertIfNegative val="0"/>
          <c:dLbls>
            <c:numFmt formatCode="General"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'tracking - Table 2-1'!$A$2,'tracking - Table 2-1'!$A$3,'tracking - Table 2-1'!$A$4,'tracking - Table 2-1'!$A$5,'tracking - Table 2-1'!$A$6,'tracking - Table 2-1'!$A$7,'tracking - Table 2-1'!$A$8,'tracking - Table 2-1'!$A$9,'tracking - Table 2-1'!$A$10,'tracking - Table 2-1'!$A$11,'tracking - Table 2-1'!$A$12,'tracking - Table 2-1'!$A$13,'tracking - Table 2-1'!$A$14,'tracking - Table 2-1'!$A$15,'tracking - Table 2-1'!$A$16,'tracking - Table 2-1'!$A$17,'tracking - Table 2-1'!$A$18,'tracking - Table 2-1'!$A$19,'tracking - Table 2-1'!$A$20,'tracking - Table 2-1'!$A$21,'tracking - Table 2-1'!$A$22,'tracking - Table 2-1'!$A$23,'tracking - Table 2-1'!$A$24,'tracking - Table 2-1'!$A$25,'tracking - Table 2-1'!$A$26,'tracking - Table 2-1'!$A$14,'tracking - Table 2-1'!$A$17,'tracking - Table 2-1'!$A$19,'tracking - Table 2-1'!$A$20,'tracking - Table 2-1'!$A$22,'tracking - Table 2-1'!$A$24,'tracking - Table 2-1'!$A$26,'tracking - Table 2-1'!$A$27,'tracking - Table 2-1'!$A$29,'tracking - Table 2-1'!$A$30,'tracking - Table 2-1'!$A$31,'tracking - Table 2-1'!$A$32,'tracking - Table 2-1'!$A$33,'tracking - Table 2-1'!$A$35,'tracking - Table 2-1'!$A$36,'tracking - Table 2-1'!$A$37,'tracking - Table 2-1'!$A$38,'tracking - Table 2-1'!$A$39,'tracking - Table 2-1'!$A$40,'tracking - Table 2-1'!$A$41,'tracking - Table 2-1'!$A$42,'tracking - Table 2-1'!$A$43,'tracking - Table 2-1'!$A$44,'tracking - Table 2-1'!$A$45,'tracking - Table 2-1'!$A$46,'tracking - Table 2-1'!$A$47,'tracking - Table 2-1'!$A$48,'tracking - Table 2-1'!$A$50,'tracking - Table 2-1'!$A$51,'tracking - Table 2-1'!$A$52,'tracking - Table 2-1'!$A$53,'tracking - Table 2-1'!$A$54,'tracking - Table 2-1'!$A$55,'tracking - Table 2-1'!$A$56,'tracking - Table 2-1'!$A$57,'tracking - Table 2-1'!$A$58,'tracking - Table 2-1'!$A$59,'tracking - Table 2-1'!$A$60,'tracking - Table 2-1'!$A$61,'tracking - Table 2-1'!$A$62,'tracking - Table 2-1'!$A$63,'tracking - Table 2-1'!$A$65,'tracking - Table 2-1'!$A$66,'tracking - Table 2-1'!$A$67,'tracking - Table 2-1'!$A$68,'tracking - Table 2-1'!$A$69,'tracking - Table 2-1'!$A$70,'tracking - Table 2-1'!$A$71,'tracking - Table 2-1'!$A$72,'tracking - Table 2-1'!$A$74,'tracking - Table 2-1'!$A$76,'tracking - Table 2-1'!$A$77,'tracking - Table 2-1'!$A$78,'tracking - Table 2-1'!$A$79</c:f>
              <c:strCache>
                <c:ptCount val="79"/>
                <c:pt idx="0">
                  <c:v>Pollo crudo</c:v>
                </c:pt>
                <c:pt idx="1">
                  <c:v/>
                </c:pt>
                <c:pt idx="2">
                  <c:v>Pollo cocinado</c:v>
                </c:pt>
                <c:pt idx="3">
                  <c:v>Filete</c:v>
                </c:pt>
                <c:pt idx="4">
                  <c:v>Lomo vetado</c:v>
                </c:pt>
                <c:pt idx="5">
                  <c:v>Escalopa</c:v>
                </c:pt>
                <c:pt idx="6">
                  <c:v>Carne molida 10% cruda</c:v>
                </c:pt>
                <c:pt idx="7">
                  <c:v>Carne molida 10% cocida</c:v>
                </c:pt>
                <c:pt idx="8">
                  <c:v>Carne molida 4% cruda</c:v>
                </c:pt>
                <c:pt idx="9">
                  <c:v>Carne molida 4% cocida</c:v>
                </c:pt>
                <c:pt idx="10">
                  <c:v>Carne molida 3% cruda</c:v>
                </c:pt>
                <c:pt idx="11">
                  <c:v>Carne molida 3% cocida</c:v>
                </c:pt>
                <c:pt idx="12">
                  <c:v>Reineta</c:v>
                </c:pt>
                <c:pt idx="13">
                  <c:v>Atún lata aceite</c:v>
                </c:pt>
                <c:pt idx="14">
                  <c:v>atún agua</c:v>
                </c:pt>
                <c:pt idx="15">
                  <c:v>Boloñesa</c:v>
                </c:pt>
                <c:pt idx="16">
                  <c:v>Jamon serrano</c:v>
                </c:pt>
                <c:pt idx="17">
                  <c:v/>
                </c:pt>
                <c:pt idx="18">
                  <c:v>patty w/ cheese</c:v>
                </c:pt>
                <c:pt idx="19">
                  <c:v>hamburguer bun</c:v>
                </c:pt>
                <c:pt idx="20">
                  <c:v/>
                </c:pt>
                <c:pt idx="21">
                  <c:v>Huevo</c:v>
                </c:pt>
                <c:pt idx="22">
                  <c:v>clara de huevo</c:v>
                </c:pt>
                <c:pt idx="23">
                  <c:v>Tostada</c:v>
                </c:pt>
                <c:pt idx="24">
                  <c:v/>
                </c:pt>
                <c:pt idx="25">
                  <c:v>Reineta</c:v>
                </c:pt>
                <c:pt idx="26">
                  <c:v>Boloñesa</c:v>
                </c:pt>
                <c:pt idx="27">
                  <c:v/>
                </c:pt>
                <c:pt idx="28">
                  <c:v>patty w/ cheese</c:v>
                </c:pt>
                <c:pt idx="29">
                  <c:v/>
                </c:pt>
                <c:pt idx="30">
                  <c:v>clara de huevo</c:v>
                </c:pt>
                <c:pt idx="31">
                  <c:v/>
                </c:pt>
                <c:pt idx="32">
                  <c:v>Yogurt Proteina</c:v>
                </c:pt>
                <c:pt idx="33">
                  <c:v/>
                </c:pt>
                <c:pt idx="34">
                  <c:v>Leche entera</c:v>
                </c:pt>
                <c:pt idx="35">
                  <c:v>Leche chocolate</c:v>
                </c:pt>
                <c:pt idx="36">
                  <c:v>Leche proteína+</c:v>
                </c:pt>
                <c:pt idx="37">
                  <c:v>proteina+ cacao</c:v>
                </c:pt>
                <c:pt idx="38">
                  <c:v/>
                </c:pt>
                <c:pt idx="39">
                  <c:v>crinkle fries</c:v>
                </c:pt>
                <c:pt idx="40">
                  <c:v>homemade fries</c:v>
                </c:pt>
                <c:pt idx="41">
                  <c:v>crackers</c:v>
                </c:pt>
                <c:pt idx="42">
                  <c:v/>
                </c:pt>
                <c:pt idx="43">
                  <c:v>Papas</c:v>
                </c:pt>
                <c:pt idx="44">
                  <c:v>Arroz</c:v>
                </c:pt>
                <c:pt idx="45">
                  <c:v/>
                </c:pt>
                <c:pt idx="46">
                  <c:v/>
                </c:pt>
                <c:pt idx="47">
                  <c:v/>
                </c:pt>
                <c:pt idx="48">
                  <c:v>Pasta seca</c:v>
                </c:pt>
                <c:pt idx="49">
                  <c:v>Tortilla de harina</c:v>
                </c:pt>
                <c:pt idx="50">
                  <c:v/>
                </c:pt>
                <c:pt idx="51">
                  <c:v>mayonesa</c:v>
                </c:pt>
                <c:pt idx="52">
                  <c:v>Mantequilla</c:v>
                </c:pt>
                <c:pt idx="53">
                  <c:v>Aceita de oliva</c:v>
                </c:pt>
                <c:pt idx="54">
                  <c:v>Tomate romanita</c:v>
                </c:pt>
                <c:pt idx="55">
                  <c:v>Manzana</c:v>
                </c:pt>
                <c:pt idx="56">
                  <c:v/>
                </c:pt>
                <c:pt idx="57">
                  <c:v>Mantequilla maní</c:v>
                </c:pt>
                <c:pt idx="58">
                  <c:v/>
                </c:pt>
                <c:pt idx="59">
                  <c:v>Mani</c:v>
                </c:pt>
                <c:pt idx="60">
                  <c:v/>
                </c:pt>
                <c:pt idx="61">
                  <c:v>Maní con sal</c:v>
                </c:pt>
                <c:pt idx="62">
                  <c:v>Maní japones</c:v>
                </c:pt>
                <c:pt idx="63">
                  <c:v>castañas de cajú</c:v>
                </c:pt>
                <c:pt idx="64">
                  <c:v>Queso Montana</c:v>
                </c:pt>
                <c:pt idx="65">
                  <c:v>Parmesano</c:v>
                </c:pt>
                <c:pt idx="66">
                  <c:v>Mozzarella buffala</c:v>
                </c:pt>
                <c:pt idx="67">
                  <c:v/>
                </c:pt>
                <c:pt idx="68">
                  <c:v>Cerveza</c:v>
                </c:pt>
                <c:pt idx="69">
                  <c:v/>
                </c:pt>
                <c:pt idx="70">
                  <c:v>Coke</c:v>
                </c:pt>
                <c:pt idx="71">
                  <c:v/>
                </c:pt>
                <c:pt idx="72">
                  <c:v/>
                </c:pt>
                <c:pt idx="73">
                  <c:v/>
                </c:pt>
                <c:pt idx="74">
                  <c:v>streat double cheeseburger</c:v>
                </c:pt>
                <c:pt idx="75">
                  <c:v>mccuarto de libra</c:v>
                </c:pt>
                <c:pt idx="76">
                  <c:v>doble cuarto</c:v>
                </c:pt>
                <c:pt idx="77">
                  <c:v>10 mcnuggets</c:v>
                </c:pt>
                <c:pt idx="78">
                  <c:v>mcpapas chicas</c:v>
                </c:pt>
              </c:strCache>
            </c:strRef>
          </c:cat>
          <c:val>
            <c:numRef>
              <c:f>'tracking - Table 2-1'!$C$2:$C$80</c:f>
              <c:numCache>
                <c:ptCount val="65"/>
                <c:pt idx="0">
                  <c:v>27.000000</c:v>
                </c:pt>
                <c:pt idx="1">
                  <c:v>27.000000</c:v>
                </c:pt>
                <c:pt idx="2">
                  <c:v>31.000000</c:v>
                </c:pt>
                <c:pt idx="3">
                  <c:v>27.000000</c:v>
                </c:pt>
                <c:pt idx="4">
                  <c:v>20.000000</c:v>
                </c:pt>
                <c:pt idx="5">
                  <c:v>23.000000</c:v>
                </c:pt>
                <c:pt idx="6">
                  <c:v>19.300000</c:v>
                </c:pt>
                <c:pt idx="8">
                  <c:v>21.100000</c:v>
                </c:pt>
                <c:pt idx="9">
                  <c:v>21.100000</c:v>
                </c:pt>
                <c:pt idx="10">
                  <c:v>22.000000</c:v>
                </c:pt>
                <c:pt idx="11">
                  <c:v>22.000000</c:v>
                </c:pt>
                <c:pt idx="12">
                  <c:v>19.300000</c:v>
                </c:pt>
                <c:pt idx="13">
                  <c:v>29.000000</c:v>
                </c:pt>
                <c:pt idx="14">
                  <c:v>25.000000</c:v>
                </c:pt>
                <c:pt idx="15">
                  <c:v>16.000000</c:v>
                </c:pt>
                <c:pt idx="16">
                  <c:v>30.700000</c:v>
                </c:pt>
                <c:pt idx="18">
                  <c:v>25.000000</c:v>
                </c:pt>
                <c:pt idx="19">
                  <c:v>4.000000</c:v>
                </c:pt>
                <c:pt idx="21">
                  <c:v>7.000000</c:v>
                </c:pt>
                <c:pt idx="22">
                  <c:v>3.600000</c:v>
                </c:pt>
                <c:pt idx="23">
                  <c:v>3.100000</c:v>
                </c:pt>
                <c:pt idx="25">
                  <c:v>14.000000</c:v>
                </c:pt>
                <c:pt idx="26">
                  <c:v>5.000000</c:v>
                </c:pt>
                <c:pt idx="28">
                  <c:v>3.100000</c:v>
                </c:pt>
                <c:pt idx="29">
                  <c:v>3.000000</c:v>
                </c:pt>
                <c:pt idx="30">
                  <c:v>6.000000</c:v>
                </c:pt>
                <c:pt idx="31">
                  <c:v>6.000000</c:v>
                </c:pt>
                <c:pt idx="32">
                  <c:v>6.100000</c:v>
                </c:pt>
                <c:pt idx="34">
                  <c:v>2.000000</c:v>
                </c:pt>
                <c:pt idx="35">
                  <c:v>3.000000</c:v>
                </c:pt>
                <c:pt idx="36">
                  <c:v>3.300000</c:v>
                </c:pt>
                <c:pt idx="38">
                  <c:v>2.000000</c:v>
                </c:pt>
                <c:pt idx="39">
                  <c:v>4.400000</c:v>
                </c:pt>
                <c:pt idx="40">
                  <c:v>2.365591</c:v>
                </c:pt>
                <c:pt idx="41">
                  <c:v>3.548387</c:v>
                </c:pt>
                <c:pt idx="42">
                  <c:v>4.731183</c:v>
                </c:pt>
                <c:pt idx="43">
                  <c:v>13.000000</c:v>
                </c:pt>
                <c:pt idx="44">
                  <c:v>3.700000</c:v>
                </c:pt>
                <c:pt idx="46">
                  <c:v>0.600000</c:v>
                </c:pt>
                <c:pt idx="47">
                  <c:v>0.300000</c:v>
                </c:pt>
                <c:pt idx="48">
                  <c:v>0.900000</c:v>
                </c:pt>
                <c:pt idx="49">
                  <c:v>0.000000</c:v>
                </c:pt>
                <c:pt idx="50">
                  <c:v>1.100000</c:v>
                </c:pt>
                <c:pt idx="51">
                  <c:v>0.300000</c:v>
                </c:pt>
                <c:pt idx="53">
                  <c:v>4.600000</c:v>
                </c:pt>
                <c:pt idx="55">
                  <c:v>10.240000</c:v>
                </c:pt>
                <c:pt idx="56">
                  <c:v>5.120000</c:v>
                </c:pt>
                <c:pt idx="57">
                  <c:v>28.100000</c:v>
                </c:pt>
                <c:pt idx="58">
                  <c:v>9.000000</c:v>
                </c:pt>
                <c:pt idx="59">
                  <c:v>16.800000</c:v>
                </c:pt>
                <c:pt idx="60">
                  <c:v>11.560000</c:v>
                </c:pt>
                <c:pt idx="61">
                  <c:v>9.900000</c:v>
                </c:pt>
                <c:pt idx="62">
                  <c:v>19.500000</c:v>
                </c:pt>
                <c:pt idx="63">
                  <c:v>14.700000</c:v>
                </c:pt>
                <c:pt idx="65">
                  <c:v>1.100000</c:v>
                </c:pt>
                <c:pt idx="67">
                  <c:v>0.000000</c:v>
                </c:pt>
                <c:pt idx="68">
                  <c:v>0.000000</c:v>
                </c:pt>
                <c:pt idx="69">
                  <c:v>0.000000</c:v>
                </c:pt>
                <c:pt idx="71">
                  <c:v>37.450000</c:v>
                </c:pt>
                <c:pt idx="72">
                  <c:v>68.900000</c:v>
                </c:pt>
                <c:pt idx="74">
                  <c:v>29.000000</c:v>
                </c:pt>
                <c:pt idx="75">
                  <c:v>48.000000</c:v>
                </c:pt>
                <c:pt idx="76">
                  <c:v>27.000000</c:v>
                </c:pt>
                <c:pt idx="77">
                  <c:v>3.000000</c:v>
                </c:pt>
                <c:pt idx="78">
                  <c:v>5.000000</c:v>
                </c:pt>
              </c:numCache>
            </c:numRef>
          </c:val>
        </c:ser>
        <c:ser>
          <c:idx val="1"/>
          <c:order val="1"/>
          <c:tx>
            <c:strRef>
              <c:f>'tracking - Table 2-1'!$D$1</c:f>
              <c:strCache>
                <c:ptCount val="1"/>
                <c:pt idx="0">
                  <c:v>Grasa</c:v>
                </c:pt>
              </c:strCache>
            </c:strRef>
          </c:tx>
          <c:spPr>
            <a:gradFill flip="none" rotWithShape="1">
              <a:gsLst>
                <a:gs pos="0">
                  <a:srgbClr val="70BF41"/>
                </a:gs>
                <a:gs pos="100000">
                  <a:srgbClr val="00882B"/>
                </a:gs>
              </a:gsLst>
              <a:lin ang="5400000" scaled="0"/>
            </a:gradFill>
            <a:ln w="12700" cap="flat">
              <a:noFill/>
              <a:miter lim="400000"/>
            </a:ln>
            <a:effectLst/>
          </c:spPr>
          <c:invertIfNegative val="0"/>
          <c:dLbls>
            <c:numFmt formatCode="General"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'tracking - Table 2-1'!$A$2,'tracking - Table 2-1'!$A$3,'tracking - Table 2-1'!$A$4,'tracking - Table 2-1'!$A$5,'tracking - Table 2-1'!$A$6,'tracking - Table 2-1'!$A$7,'tracking - Table 2-1'!$A$8,'tracking - Table 2-1'!$A$9,'tracking - Table 2-1'!$A$10,'tracking - Table 2-1'!$A$11,'tracking - Table 2-1'!$A$12,'tracking - Table 2-1'!$A$13,'tracking - Table 2-1'!$A$14,'tracking - Table 2-1'!$A$15,'tracking - Table 2-1'!$A$16,'tracking - Table 2-1'!$A$17,'tracking - Table 2-1'!$A$18,'tracking - Table 2-1'!$A$19,'tracking - Table 2-1'!$A$20,'tracking - Table 2-1'!$A$21,'tracking - Table 2-1'!$A$22,'tracking - Table 2-1'!$A$23,'tracking - Table 2-1'!$A$24,'tracking - Table 2-1'!$A$25,'tracking - Table 2-1'!$A$26,'tracking - Table 2-1'!$A$14,'tracking - Table 2-1'!$A$17,'tracking - Table 2-1'!$A$19,'tracking - Table 2-1'!$A$20,'tracking - Table 2-1'!$A$22,'tracking - Table 2-1'!$A$24,'tracking - Table 2-1'!$A$26,'tracking - Table 2-1'!$A$27,'tracking - Table 2-1'!$A$29,'tracking - Table 2-1'!$A$30,'tracking - Table 2-1'!$A$31,'tracking - Table 2-1'!$A$32,'tracking - Table 2-1'!$A$33,'tracking - Table 2-1'!$A$35,'tracking - Table 2-1'!$A$36,'tracking - Table 2-1'!$A$37,'tracking - Table 2-1'!$A$38,'tracking - Table 2-1'!$A$39,'tracking - Table 2-1'!$A$40,'tracking - Table 2-1'!$A$41,'tracking - Table 2-1'!$A$42,'tracking - Table 2-1'!$A$43,'tracking - Table 2-1'!$A$44,'tracking - Table 2-1'!$A$45,'tracking - Table 2-1'!$A$46,'tracking - Table 2-1'!$A$47,'tracking - Table 2-1'!$A$48,'tracking - Table 2-1'!$A$50,'tracking - Table 2-1'!$A$51,'tracking - Table 2-1'!$A$52,'tracking - Table 2-1'!$A$53,'tracking - Table 2-1'!$A$54,'tracking - Table 2-1'!$A$55,'tracking - Table 2-1'!$A$56,'tracking - Table 2-1'!$A$57,'tracking - Table 2-1'!$A$58,'tracking - Table 2-1'!$A$59,'tracking - Table 2-1'!$A$60,'tracking - Table 2-1'!$A$61,'tracking - Table 2-1'!$A$62,'tracking - Table 2-1'!$A$63,'tracking - Table 2-1'!$A$65,'tracking - Table 2-1'!$A$66,'tracking - Table 2-1'!$A$67,'tracking - Table 2-1'!$A$68,'tracking - Table 2-1'!$A$69,'tracking - Table 2-1'!$A$70,'tracking - Table 2-1'!$A$71,'tracking - Table 2-1'!$A$72,'tracking - Table 2-1'!$A$74,'tracking - Table 2-1'!$A$76,'tracking - Table 2-1'!$A$77,'tracking - Table 2-1'!$A$78,'tracking - Table 2-1'!$A$79</c:f>
              <c:strCache>
                <c:ptCount val="79"/>
                <c:pt idx="0">
                  <c:v>Pollo crudo</c:v>
                </c:pt>
                <c:pt idx="1">
                  <c:v/>
                </c:pt>
                <c:pt idx="2">
                  <c:v>Pollo cocinado</c:v>
                </c:pt>
                <c:pt idx="3">
                  <c:v>Filete</c:v>
                </c:pt>
                <c:pt idx="4">
                  <c:v>Lomo vetado</c:v>
                </c:pt>
                <c:pt idx="5">
                  <c:v>Escalopa</c:v>
                </c:pt>
                <c:pt idx="6">
                  <c:v>Carne molida 10% cruda</c:v>
                </c:pt>
                <c:pt idx="7">
                  <c:v>Carne molida 10% cocida</c:v>
                </c:pt>
                <c:pt idx="8">
                  <c:v>Carne molida 4% cruda</c:v>
                </c:pt>
                <c:pt idx="9">
                  <c:v>Carne molida 4% cocida</c:v>
                </c:pt>
                <c:pt idx="10">
                  <c:v>Carne molida 3% cruda</c:v>
                </c:pt>
                <c:pt idx="11">
                  <c:v>Carne molida 3% cocida</c:v>
                </c:pt>
                <c:pt idx="12">
                  <c:v>Reineta</c:v>
                </c:pt>
                <c:pt idx="13">
                  <c:v>Atún lata aceite</c:v>
                </c:pt>
                <c:pt idx="14">
                  <c:v>atún agua</c:v>
                </c:pt>
                <c:pt idx="15">
                  <c:v>Boloñesa</c:v>
                </c:pt>
                <c:pt idx="16">
                  <c:v>Jamon serrano</c:v>
                </c:pt>
                <c:pt idx="17">
                  <c:v/>
                </c:pt>
                <c:pt idx="18">
                  <c:v>patty w/ cheese</c:v>
                </c:pt>
                <c:pt idx="19">
                  <c:v>hamburguer bun</c:v>
                </c:pt>
                <c:pt idx="20">
                  <c:v/>
                </c:pt>
                <c:pt idx="21">
                  <c:v>Huevo</c:v>
                </c:pt>
                <c:pt idx="22">
                  <c:v>clara de huevo</c:v>
                </c:pt>
                <c:pt idx="23">
                  <c:v>Tostada</c:v>
                </c:pt>
                <c:pt idx="24">
                  <c:v/>
                </c:pt>
                <c:pt idx="25">
                  <c:v>Reineta</c:v>
                </c:pt>
                <c:pt idx="26">
                  <c:v>Boloñesa</c:v>
                </c:pt>
                <c:pt idx="27">
                  <c:v/>
                </c:pt>
                <c:pt idx="28">
                  <c:v>patty w/ cheese</c:v>
                </c:pt>
                <c:pt idx="29">
                  <c:v/>
                </c:pt>
                <c:pt idx="30">
                  <c:v>clara de huevo</c:v>
                </c:pt>
                <c:pt idx="31">
                  <c:v/>
                </c:pt>
                <c:pt idx="32">
                  <c:v>Yogurt Proteina</c:v>
                </c:pt>
                <c:pt idx="33">
                  <c:v/>
                </c:pt>
                <c:pt idx="34">
                  <c:v>Leche entera</c:v>
                </c:pt>
                <c:pt idx="35">
                  <c:v>Leche chocolate</c:v>
                </c:pt>
                <c:pt idx="36">
                  <c:v>Leche proteína+</c:v>
                </c:pt>
                <c:pt idx="37">
                  <c:v>proteina+ cacao</c:v>
                </c:pt>
                <c:pt idx="38">
                  <c:v/>
                </c:pt>
                <c:pt idx="39">
                  <c:v>crinkle fries</c:v>
                </c:pt>
                <c:pt idx="40">
                  <c:v>homemade fries</c:v>
                </c:pt>
                <c:pt idx="41">
                  <c:v>crackers</c:v>
                </c:pt>
                <c:pt idx="42">
                  <c:v/>
                </c:pt>
                <c:pt idx="43">
                  <c:v>Papas</c:v>
                </c:pt>
                <c:pt idx="44">
                  <c:v>Arroz</c:v>
                </c:pt>
                <c:pt idx="45">
                  <c:v/>
                </c:pt>
                <c:pt idx="46">
                  <c:v/>
                </c:pt>
                <c:pt idx="47">
                  <c:v/>
                </c:pt>
                <c:pt idx="48">
                  <c:v>Pasta seca</c:v>
                </c:pt>
                <c:pt idx="49">
                  <c:v>Tortilla de harina</c:v>
                </c:pt>
                <c:pt idx="50">
                  <c:v/>
                </c:pt>
                <c:pt idx="51">
                  <c:v>mayonesa</c:v>
                </c:pt>
                <c:pt idx="52">
                  <c:v>Mantequilla</c:v>
                </c:pt>
                <c:pt idx="53">
                  <c:v>Aceita de oliva</c:v>
                </c:pt>
                <c:pt idx="54">
                  <c:v>Tomate romanita</c:v>
                </c:pt>
                <c:pt idx="55">
                  <c:v>Manzana</c:v>
                </c:pt>
                <c:pt idx="56">
                  <c:v/>
                </c:pt>
                <c:pt idx="57">
                  <c:v>Mantequilla maní</c:v>
                </c:pt>
                <c:pt idx="58">
                  <c:v/>
                </c:pt>
                <c:pt idx="59">
                  <c:v>Mani</c:v>
                </c:pt>
                <c:pt idx="60">
                  <c:v/>
                </c:pt>
                <c:pt idx="61">
                  <c:v>Maní con sal</c:v>
                </c:pt>
                <c:pt idx="62">
                  <c:v>Maní japones</c:v>
                </c:pt>
                <c:pt idx="63">
                  <c:v>castañas de cajú</c:v>
                </c:pt>
                <c:pt idx="64">
                  <c:v>Queso Montana</c:v>
                </c:pt>
                <c:pt idx="65">
                  <c:v>Parmesano</c:v>
                </c:pt>
                <c:pt idx="66">
                  <c:v>Mozzarella buffala</c:v>
                </c:pt>
                <c:pt idx="67">
                  <c:v/>
                </c:pt>
                <c:pt idx="68">
                  <c:v>Cerveza</c:v>
                </c:pt>
                <c:pt idx="69">
                  <c:v/>
                </c:pt>
                <c:pt idx="70">
                  <c:v>Coke</c:v>
                </c:pt>
                <c:pt idx="71">
                  <c:v/>
                </c:pt>
                <c:pt idx="72">
                  <c:v/>
                </c:pt>
                <c:pt idx="73">
                  <c:v/>
                </c:pt>
                <c:pt idx="74">
                  <c:v>streat double cheeseburger</c:v>
                </c:pt>
                <c:pt idx="75">
                  <c:v>mccuarto de libra</c:v>
                </c:pt>
                <c:pt idx="76">
                  <c:v>doble cuarto</c:v>
                </c:pt>
                <c:pt idx="77">
                  <c:v>10 mcnuggets</c:v>
                </c:pt>
                <c:pt idx="78">
                  <c:v>mcpapas chicas</c:v>
                </c:pt>
              </c:strCache>
            </c:strRef>
          </c:cat>
          <c:val>
            <c:numRef>
              <c:f>'tracking - Table 2-1'!$D$2:$D$80</c:f>
              <c:numCache>
                <c:ptCount val="65"/>
                <c:pt idx="0">
                  <c:v>2.000000</c:v>
                </c:pt>
                <c:pt idx="1">
                  <c:v>2.000000</c:v>
                </c:pt>
                <c:pt idx="2">
                  <c:v>3.600000</c:v>
                </c:pt>
                <c:pt idx="3">
                  <c:v>15.000000</c:v>
                </c:pt>
                <c:pt idx="4">
                  <c:v>15.000000</c:v>
                </c:pt>
                <c:pt idx="5">
                  <c:v>0.800000</c:v>
                </c:pt>
                <c:pt idx="6">
                  <c:v>8.600000</c:v>
                </c:pt>
                <c:pt idx="8">
                  <c:v>4.000000</c:v>
                </c:pt>
                <c:pt idx="9">
                  <c:v>4.000000</c:v>
                </c:pt>
                <c:pt idx="10">
                  <c:v>3.000000</c:v>
                </c:pt>
                <c:pt idx="11">
                  <c:v>3.000000</c:v>
                </c:pt>
                <c:pt idx="12">
                  <c:v>2.700000</c:v>
                </c:pt>
                <c:pt idx="13">
                  <c:v>8.000000</c:v>
                </c:pt>
                <c:pt idx="14">
                  <c:v>2.000000</c:v>
                </c:pt>
                <c:pt idx="15">
                  <c:v>11.200000</c:v>
                </c:pt>
                <c:pt idx="16">
                  <c:v>11.900000</c:v>
                </c:pt>
                <c:pt idx="18">
                  <c:v>17.000000</c:v>
                </c:pt>
                <c:pt idx="19">
                  <c:v>2.000000</c:v>
                </c:pt>
                <c:pt idx="21">
                  <c:v>4.600000</c:v>
                </c:pt>
                <c:pt idx="22">
                  <c:v>0.100000</c:v>
                </c:pt>
                <c:pt idx="23">
                  <c:v>1.000000</c:v>
                </c:pt>
                <c:pt idx="25">
                  <c:v>1.000000</c:v>
                </c:pt>
                <c:pt idx="26">
                  <c:v>41.000000</c:v>
                </c:pt>
                <c:pt idx="28">
                  <c:v>3.100000</c:v>
                </c:pt>
                <c:pt idx="29">
                  <c:v>1.400000</c:v>
                </c:pt>
                <c:pt idx="30">
                  <c:v>1.300000</c:v>
                </c:pt>
                <c:pt idx="31">
                  <c:v>1.900000</c:v>
                </c:pt>
                <c:pt idx="32">
                  <c:v>1.400000</c:v>
                </c:pt>
                <c:pt idx="34">
                  <c:v>4.500000</c:v>
                </c:pt>
                <c:pt idx="35">
                  <c:v>5.000000</c:v>
                </c:pt>
                <c:pt idx="36">
                  <c:v>15.000000</c:v>
                </c:pt>
                <c:pt idx="38">
                  <c:v>0.100000</c:v>
                </c:pt>
                <c:pt idx="39">
                  <c:v>0.400000</c:v>
                </c:pt>
                <c:pt idx="40">
                  <c:v>0.215054</c:v>
                </c:pt>
                <c:pt idx="41">
                  <c:v>0.322581</c:v>
                </c:pt>
                <c:pt idx="42">
                  <c:v>0.430108</c:v>
                </c:pt>
                <c:pt idx="43">
                  <c:v>2.000000</c:v>
                </c:pt>
                <c:pt idx="44">
                  <c:v>2.700000</c:v>
                </c:pt>
                <c:pt idx="46">
                  <c:v>30.500000</c:v>
                </c:pt>
                <c:pt idx="47">
                  <c:v>0.100000</c:v>
                </c:pt>
                <c:pt idx="48">
                  <c:v>81.000000</c:v>
                </c:pt>
                <c:pt idx="49">
                  <c:v>13.500000</c:v>
                </c:pt>
                <c:pt idx="50">
                  <c:v>0.000000</c:v>
                </c:pt>
                <c:pt idx="51">
                  <c:v>0.200000</c:v>
                </c:pt>
                <c:pt idx="53">
                  <c:v>9.400000</c:v>
                </c:pt>
                <c:pt idx="55">
                  <c:v>19.680000</c:v>
                </c:pt>
                <c:pt idx="56">
                  <c:v>9.840000</c:v>
                </c:pt>
                <c:pt idx="57">
                  <c:v>46.500000</c:v>
                </c:pt>
                <c:pt idx="58">
                  <c:v>11.000000</c:v>
                </c:pt>
                <c:pt idx="59">
                  <c:v>47.800000</c:v>
                </c:pt>
                <c:pt idx="60">
                  <c:v>12.480000</c:v>
                </c:pt>
                <c:pt idx="61">
                  <c:v>8.400000</c:v>
                </c:pt>
                <c:pt idx="62">
                  <c:v>20.000000</c:v>
                </c:pt>
                <c:pt idx="63">
                  <c:v>21.900000</c:v>
                </c:pt>
                <c:pt idx="65">
                  <c:v>0.000000</c:v>
                </c:pt>
                <c:pt idx="67">
                  <c:v>0.000000</c:v>
                </c:pt>
                <c:pt idx="68">
                  <c:v>0.000000</c:v>
                </c:pt>
                <c:pt idx="69">
                  <c:v>0.000000</c:v>
                </c:pt>
                <c:pt idx="71">
                  <c:v>17.750000</c:v>
                </c:pt>
                <c:pt idx="72">
                  <c:v>30.500000</c:v>
                </c:pt>
                <c:pt idx="74">
                  <c:v>26.000000</c:v>
                </c:pt>
                <c:pt idx="75">
                  <c:v>43.000000</c:v>
                </c:pt>
                <c:pt idx="76">
                  <c:v>22.000000</c:v>
                </c:pt>
                <c:pt idx="77">
                  <c:v>13.000000</c:v>
                </c:pt>
                <c:pt idx="78">
                  <c:v>19.000000</c:v>
                </c:pt>
              </c:numCache>
            </c:numRef>
          </c:val>
        </c:ser>
        <c:ser>
          <c:idx val="2"/>
          <c:order val="2"/>
          <c:tx>
            <c:strRef>
              <c:f>'tracking - Table 2-1'!$E$1</c:f>
              <c:strCache>
                <c:ptCount val="1"/>
                <c:pt idx="0">
                  <c:v>Carbs</c:v>
                </c:pt>
              </c:strCache>
            </c:strRef>
          </c:tx>
          <c:spPr>
            <a:gradFill flip="none" rotWithShape="1">
              <a:gsLst>
                <a:gs pos="0">
                  <a:srgbClr val="FBE12B"/>
                </a:gs>
                <a:gs pos="100000">
                  <a:srgbClr val="BE9A1A"/>
                </a:gs>
              </a:gsLst>
              <a:lin ang="5400000" scaled="0"/>
            </a:gradFill>
            <a:ln w="12700" cap="flat">
              <a:noFill/>
              <a:miter lim="400000"/>
            </a:ln>
            <a:effectLst/>
          </c:spPr>
          <c:invertIfNegative val="0"/>
          <c:dLbls>
            <c:numFmt formatCode="General"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'tracking - Table 2-1'!$A$2,'tracking - Table 2-1'!$A$3,'tracking - Table 2-1'!$A$4,'tracking - Table 2-1'!$A$5,'tracking - Table 2-1'!$A$6,'tracking - Table 2-1'!$A$7,'tracking - Table 2-1'!$A$8,'tracking - Table 2-1'!$A$9,'tracking - Table 2-1'!$A$10,'tracking - Table 2-1'!$A$11,'tracking - Table 2-1'!$A$12,'tracking - Table 2-1'!$A$13,'tracking - Table 2-1'!$A$14,'tracking - Table 2-1'!$A$15,'tracking - Table 2-1'!$A$16,'tracking - Table 2-1'!$A$17,'tracking - Table 2-1'!$A$18,'tracking - Table 2-1'!$A$19,'tracking - Table 2-1'!$A$20,'tracking - Table 2-1'!$A$21,'tracking - Table 2-1'!$A$22,'tracking - Table 2-1'!$A$23,'tracking - Table 2-1'!$A$24,'tracking - Table 2-1'!$A$25,'tracking - Table 2-1'!$A$26,'tracking - Table 2-1'!$A$14,'tracking - Table 2-1'!$A$17,'tracking - Table 2-1'!$A$19,'tracking - Table 2-1'!$A$20,'tracking - Table 2-1'!$A$22,'tracking - Table 2-1'!$A$24,'tracking - Table 2-1'!$A$26,'tracking - Table 2-1'!$A$27,'tracking - Table 2-1'!$A$29,'tracking - Table 2-1'!$A$30,'tracking - Table 2-1'!$A$31,'tracking - Table 2-1'!$A$32,'tracking - Table 2-1'!$A$33,'tracking - Table 2-1'!$A$35,'tracking - Table 2-1'!$A$36,'tracking - Table 2-1'!$A$37,'tracking - Table 2-1'!$A$38,'tracking - Table 2-1'!$A$39,'tracking - Table 2-1'!$A$40,'tracking - Table 2-1'!$A$41,'tracking - Table 2-1'!$A$42,'tracking - Table 2-1'!$A$43,'tracking - Table 2-1'!$A$44,'tracking - Table 2-1'!$A$45,'tracking - Table 2-1'!$A$46,'tracking - Table 2-1'!$A$47,'tracking - Table 2-1'!$A$48,'tracking - Table 2-1'!$A$50,'tracking - Table 2-1'!$A$51,'tracking - Table 2-1'!$A$52,'tracking - Table 2-1'!$A$53,'tracking - Table 2-1'!$A$54,'tracking - Table 2-1'!$A$55,'tracking - Table 2-1'!$A$56,'tracking - Table 2-1'!$A$57,'tracking - Table 2-1'!$A$58,'tracking - Table 2-1'!$A$59,'tracking - Table 2-1'!$A$60,'tracking - Table 2-1'!$A$61,'tracking - Table 2-1'!$A$62,'tracking - Table 2-1'!$A$63,'tracking - Table 2-1'!$A$65,'tracking - Table 2-1'!$A$66,'tracking - Table 2-1'!$A$67,'tracking - Table 2-1'!$A$68,'tracking - Table 2-1'!$A$69,'tracking - Table 2-1'!$A$70,'tracking - Table 2-1'!$A$71,'tracking - Table 2-1'!$A$72,'tracking - Table 2-1'!$A$74,'tracking - Table 2-1'!$A$76,'tracking - Table 2-1'!$A$77,'tracking - Table 2-1'!$A$78,'tracking - Table 2-1'!$A$79</c:f>
              <c:strCache>
                <c:ptCount val="79"/>
                <c:pt idx="0">
                  <c:v>Pollo crudo</c:v>
                </c:pt>
                <c:pt idx="1">
                  <c:v/>
                </c:pt>
                <c:pt idx="2">
                  <c:v>Pollo cocinado</c:v>
                </c:pt>
                <c:pt idx="3">
                  <c:v>Filete</c:v>
                </c:pt>
                <c:pt idx="4">
                  <c:v>Lomo vetado</c:v>
                </c:pt>
                <c:pt idx="5">
                  <c:v>Escalopa</c:v>
                </c:pt>
                <c:pt idx="6">
                  <c:v>Carne molida 10% cruda</c:v>
                </c:pt>
                <c:pt idx="7">
                  <c:v>Carne molida 10% cocida</c:v>
                </c:pt>
                <c:pt idx="8">
                  <c:v>Carne molida 4% cruda</c:v>
                </c:pt>
                <c:pt idx="9">
                  <c:v>Carne molida 4% cocida</c:v>
                </c:pt>
                <c:pt idx="10">
                  <c:v>Carne molida 3% cruda</c:v>
                </c:pt>
                <c:pt idx="11">
                  <c:v>Carne molida 3% cocida</c:v>
                </c:pt>
                <c:pt idx="12">
                  <c:v>Reineta</c:v>
                </c:pt>
                <c:pt idx="13">
                  <c:v>Atún lata aceite</c:v>
                </c:pt>
                <c:pt idx="14">
                  <c:v>atún agua</c:v>
                </c:pt>
                <c:pt idx="15">
                  <c:v>Boloñesa</c:v>
                </c:pt>
                <c:pt idx="16">
                  <c:v>Jamon serrano</c:v>
                </c:pt>
                <c:pt idx="17">
                  <c:v/>
                </c:pt>
                <c:pt idx="18">
                  <c:v>patty w/ cheese</c:v>
                </c:pt>
                <c:pt idx="19">
                  <c:v>hamburguer bun</c:v>
                </c:pt>
                <c:pt idx="20">
                  <c:v/>
                </c:pt>
                <c:pt idx="21">
                  <c:v>Huevo</c:v>
                </c:pt>
                <c:pt idx="22">
                  <c:v>clara de huevo</c:v>
                </c:pt>
                <c:pt idx="23">
                  <c:v>Tostada</c:v>
                </c:pt>
                <c:pt idx="24">
                  <c:v/>
                </c:pt>
                <c:pt idx="25">
                  <c:v>Reineta</c:v>
                </c:pt>
                <c:pt idx="26">
                  <c:v>Boloñesa</c:v>
                </c:pt>
                <c:pt idx="27">
                  <c:v/>
                </c:pt>
                <c:pt idx="28">
                  <c:v>patty w/ cheese</c:v>
                </c:pt>
                <c:pt idx="29">
                  <c:v/>
                </c:pt>
                <c:pt idx="30">
                  <c:v>clara de huevo</c:v>
                </c:pt>
                <c:pt idx="31">
                  <c:v/>
                </c:pt>
                <c:pt idx="32">
                  <c:v>Yogurt Proteina</c:v>
                </c:pt>
                <c:pt idx="33">
                  <c:v/>
                </c:pt>
                <c:pt idx="34">
                  <c:v>Leche entera</c:v>
                </c:pt>
                <c:pt idx="35">
                  <c:v>Leche chocolate</c:v>
                </c:pt>
                <c:pt idx="36">
                  <c:v>Leche proteína+</c:v>
                </c:pt>
                <c:pt idx="37">
                  <c:v>proteina+ cacao</c:v>
                </c:pt>
                <c:pt idx="38">
                  <c:v/>
                </c:pt>
                <c:pt idx="39">
                  <c:v>crinkle fries</c:v>
                </c:pt>
                <c:pt idx="40">
                  <c:v>homemade fries</c:v>
                </c:pt>
                <c:pt idx="41">
                  <c:v>crackers</c:v>
                </c:pt>
                <c:pt idx="42">
                  <c:v/>
                </c:pt>
                <c:pt idx="43">
                  <c:v>Papas</c:v>
                </c:pt>
                <c:pt idx="44">
                  <c:v>Arroz</c:v>
                </c:pt>
                <c:pt idx="45">
                  <c:v/>
                </c:pt>
                <c:pt idx="46">
                  <c:v/>
                </c:pt>
                <c:pt idx="47">
                  <c:v/>
                </c:pt>
                <c:pt idx="48">
                  <c:v>Pasta seca</c:v>
                </c:pt>
                <c:pt idx="49">
                  <c:v>Tortilla de harina</c:v>
                </c:pt>
                <c:pt idx="50">
                  <c:v/>
                </c:pt>
                <c:pt idx="51">
                  <c:v>mayonesa</c:v>
                </c:pt>
                <c:pt idx="52">
                  <c:v>Mantequilla</c:v>
                </c:pt>
                <c:pt idx="53">
                  <c:v>Aceita de oliva</c:v>
                </c:pt>
                <c:pt idx="54">
                  <c:v>Tomate romanita</c:v>
                </c:pt>
                <c:pt idx="55">
                  <c:v>Manzana</c:v>
                </c:pt>
                <c:pt idx="56">
                  <c:v/>
                </c:pt>
                <c:pt idx="57">
                  <c:v>Mantequilla maní</c:v>
                </c:pt>
                <c:pt idx="58">
                  <c:v/>
                </c:pt>
                <c:pt idx="59">
                  <c:v>Mani</c:v>
                </c:pt>
                <c:pt idx="60">
                  <c:v/>
                </c:pt>
                <c:pt idx="61">
                  <c:v>Maní con sal</c:v>
                </c:pt>
                <c:pt idx="62">
                  <c:v>Maní japones</c:v>
                </c:pt>
                <c:pt idx="63">
                  <c:v>castañas de cajú</c:v>
                </c:pt>
                <c:pt idx="64">
                  <c:v>Queso Montana</c:v>
                </c:pt>
                <c:pt idx="65">
                  <c:v>Parmesano</c:v>
                </c:pt>
                <c:pt idx="66">
                  <c:v>Mozzarella buffala</c:v>
                </c:pt>
                <c:pt idx="67">
                  <c:v/>
                </c:pt>
                <c:pt idx="68">
                  <c:v>Cerveza</c:v>
                </c:pt>
                <c:pt idx="69">
                  <c:v/>
                </c:pt>
                <c:pt idx="70">
                  <c:v>Coke</c:v>
                </c:pt>
                <c:pt idx="71">
                  <c:v/>
                </c:pt>
                <c:pt idx="72">
                  <c:v/>
                </c:pt>
                <c:pt idx="73">
                  <c:v/>
                </c:pt>
                <c:pt idx="74">
                  <c:v>streat double cheeseburger</c:v>
                </c:pt>
                <c:pt idx="75">
                  <c:v>mccuarto de libra</c:v>
                </c:pt>
                <c:pt idx="76">
                  <c:v>doble cuarto</c:v>
                </c:pt>
                <c:pt idx="77">
                  <c:v>10 mcnuggets</c:v>
                </c:pt>
                <c:pt idx="78">
                  <c:v>mcpapas chicas</c:v>
                </c:pt>
              </c:strCache>
            </c:strRef>
          </c:cat>
          <c:val>
            <c:numRef>
              <c:f>'tracking - Table 2-1'!$E$2:$E$80</c:f>
              <c:numCache>
                <c:ptCount val="65"/>
                <c:pt idx="0">
                  <c:v>0.000000</c:v>
                </c:pt>
                <c:pt idx="1">
                  <c:v>0.000000</c:v>
                </c:pt>
                <c:pt idx="2">
                  <c:v>0.000000</c:v>
                </c:pt>
                <c:pt idx="3">
                  <c:v>0.000000</c:v>
                </c:pt>
                <c:pt idx="4">
                  <c:v>0.000000</c:v>
                </c:pt>
                <c:pt idx="5">
                  <c:v>0.500000</c:v>
                </c:pt>
                <c:pt idx="6">
                  <c:v>0.200000</c:v>
                </c:pt>
                <c:pt idx="8">
                  <c:v>0.100000</c:v>
                </c:pt>
                <c:pt idx="9">
                  <c:v>0.100000</c:v>
                </c:pt>
                <c:pt idx="10">
                  <c:v>0.000000</c:v>
                </c:pt>
                <c:pt idx="11">
                  <c:v>0.000000</c:v>
                </c:pt>
                <c:pt idx="12">
                  <c:v>0.900000</c:v>
                </c:pt>
                <c:pt idx="13">
                  <c:v>0.000000</c:v>
                </c:pt>
                <c:pt idx="14">
                  <c:v>0.000000</c:v>
                </c:pt>
                <c:pt idx="15">
                  <c:v>8.800000</c:v>
                </c:pt>
                <c:pt idx="16">
                  <c:v>0.900000</c:v>
                </c:pt>
                <c:pt idx="18">
                  <c:v>2.000000</c:v>
                </c:pt>
                <c:pt idx="19">
                  <c:v>28.000000</c:v>
                </c:pt>
                <c:pt idx="21">
                  <c:v>2.100000</c:v>
                </c:pt>
                <c:pt idx="22">
                  <c:v>0.200000</c:v>
                </c:pt>
                <c:pt idx="23">
                  <c:v>13.000000</c:v>
                </c:pt>
                <c:pt idx="25">
                  <c:v>8.300000</c:v>
                </c:pt>
                <c:pt idx="26">
                  <c:v>4.000000</c:v>
                </c:pt>
                <c:pt idx="28">
                  <c:v>4.900000</c:v>
                </c:pt>
                <c:pt idx="29">
                  <c:v>4.500000</c:v>
                </c:pt>
                <c:pt idx="30">
                  <c:v>4.900000</c:v>
                </c:pt>
                <c:pt idx="31">
                  <c:v>6.000000</c:v>
                </c:pt>
                <c:pt idx="32">
                  <c:v>5.400000</c:v>
                </c:pt>
                <c:pt idx="34">
                  <c:v>20.000000</c:v>
                </c:pt>
                <c:pt idx="35">
                  <c:v>28.000000</c:v>
                </c:pt>
                <c:pt idx="36">
                  <c:v>20.000000</c:v>
                </c:pt>
                <c:pt idx="38">
                  <c:v>17.000000</c:v>
                </c:pt>
                <c:pt idx="39">
                  <c:v>53.000000</c:v>
                </c:pt>
                <c:pt idx="40">
                  <c:v>28.494624</c:v>
                </c:pt>
                <c:pt idx="41">
                  <c:v>42.741935</c:v>
                </c:pt>
                <c:pt idx="42">
                  <c:v>56.989247</c:v>
                </c:pt>
                <c:pt idx="43">
                  <c:v>71.000000</c:v>
                </c:pt>
                <c:pt idx="44">
                  <c:v>20.300000</c:v>
                </c:pt>
                <c:pt idx="46">
                  <c:v>7.500000</c:v>
                </c:pt>
                <c:pt idx="47">
                  <c:v>4.000000</c:v>
                </c:pt>
                <c:pt idx="48">
                  <c:v>0.100000</c:v>
                </c:pt>
                <c:pt idx="49">
                  <c:v>0.000000</c:v>
                </c:pt>
                <c:pt idx="50">
                  <c:v>3.600000</c:v>
                </c:pt>
                <c:pt idx="51">
                  <c:v>14.000000</c:v>
                </c:pt>
                <c:pt idx="53">
                  <c:v>3.400000</c:v>
                </c:pt>
                <c:pt idx="55">
                  <c:v>6.520000</c:v>
                </c:pt>
                <c:pt idx="56">
                  <c:v>3.260000</c:v>
                </c:pt>
                <c:pt idx="57">
                  <c:v>16.300000</c:v>
                </c:pt>
                <c:pt idx="58">
                  <c:v>19.000000</c:v>
                </c:pt>
                <c:pt idx="59">
                  <c:v>30.200000</c:v>
                </c:pt>
                <c:pt idx="60">
                  <c:v>0.120000</c:v>
                </c:pt>
                <c:pt idx="61">
                  <c:v>0.000000</c:v>
                </c:pt>
                <c:pt idx="62">
                  <c:v>1.000000</c:v>
                </c:pt>
                <c:pt idx="63">
                  <c:v>0.800000</c:v>
                </c:pt>
                <c:pt idx="65">
                  <c:v>13.700000</c:v>
                </c:pt>
                <c:pt idx="67">
                  <c:v>11.000000</c:v>
                </c:pt>
                <c:pt idx="68">
                  <c:v>27.500000</c:v>
                </c:pt>
                <c:pt idx="69">
                  <c:v>38.500000</c:v>
                </c:pt>
                <c:pt idx="71">
                  <c:v>24.000000</c:v>
                </c:pt>
                <c:pt idx="72">
                  <c:v>25.000000</c:v>
                </c:pt>
                <c:pt idx="74">
                  <c:v>37.000000</c:v>
                </c:pt>
                <c:pt idx="75">
                  <c:v>37.000000</c:v>
                </c:pt>
                <c:pt idx="76">
                  <c:v>20.000000</c:v>
                </c:pt>
                <c:pt idx="77">
                  <c:v>26.000000</c:v>
                </c:pt>
                <c:pt idx="78">
                  <c:v>38.000000</c:v>
                </c:pt>
              </c:numCache>
            </c:numRef>
          </c:val>
        </c:ser>
        <c:gapWidth val="40"/>
        <c:overlap val="100"/>
        <c:axId val="2094734552"/>
        <c:axId val="2094734553"/>
      </c:barChart>
      <c:catAx>
        <c:axId val="2094734552"/>
        <c:scaling>
          <c:orientation val="maxMin"/>
        </c:scaling>
        <c:delete val="0"/>
        <c:axPos val="l"/>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b"/>
        <c:majorGridlines>
          <c:spPr>
            <a:ln w="3175" cap="flat">
              <a:solidFill>
                <a:srgbClr val="B8B8B8"/>
              </a:solidFill>
              <a:prstDash val="solid"/>
              <a:miter lim="400000"/>
            </a:ln>
          </c:spPr>
        </c:majorGridlines>
        <c:numFmt formatCode="General" sourceLinked="1"/>
        <c:majorTickMark val="none"/>
        <c:minorTickMark val="none"/>
        <c:tickLblPos val="high"/>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35"/>
        <c:minorUnit val="17.5"/>
      </c:valAx>
      <c:spPr>
        <a:noFill/>
        <a:ln w="12700" cap="flat">
          <a:noFill/>
          <a:miter lim="400000"/>
        </a:ln>
        <a:effectLst/>
      </c:spPr>
    </c:plotArea>
    <c:legend>
      <c:legendPos val="t"/>
      <c:layout>
        <c:manualLayout>
          <c:xMode val="edge"/>
          <c:yMode val="edge"/>
          <c:x val="0.204999"/>
          <c:y val="0"/>
          <c:w val="0.795001"/>
          <c:h val="0.042069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8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294256"/>
          <c:y val="0.0540541"/>
          <c:w val="0.670242"/>
          <c:h val="0.912109"/>
        </c:manualLayout>
      </c:layout>
      <c:barChart>
        <c:barDir val="bar"/>
        <c:grouping val="stacked"/>
        <c:varyColors val="0"/>
        <c:ser>
          <c:idx val="0"/>
          <c:order val="0"/>
          <c:tx>
            <c:strRef>
              <c:f>'tracking - Table 2-1'!$F$1</c:f>
              <c:strCache>
                <c:ptCount val="1"/>
                <c:pt idx="0">
                  <c:v>Calorias</c:v>
                </c:pt>
              </c:strCache>
            </c:strRef>
          </c:tx>
          <c:spPr>
            <a:gradFill flip="none" rotWithShape="1">
              <a:gsLst>
                <a:gs pos="0">
                  <a:srgbClr val="51A7F9"/>
                </a:gs>
                <a:gs pos="100000">
                  <a:srgbClr val="0365C0"/>
                </a:gs>
              </a:gsLst>
              <a:lin ang="5400000" scaled="0"/>
            </a:gradFill>
            <a:ln w="12700" cap="flat">
              <a:noFill/>
              <a:miter lim="400000"/>
            </a:ln>
            <a:effectLst/>
          </c:spPr>
          <c:invertIfNegative val="0"/>
          <c:dLbls>
            <c:numFmt formatCode="General"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'tracking - Table 2-1'!$A$2,'tracking - Table 2-1'!$A$3,'tracking - Table 2-1'!$A$4,'tracking - Table 2-1'!$A$5,'tracking - Table 2-1'!$A$6,'tracking - Table 2-1'!$A$7,'tracking - Table 2-1'!$A$8,'tracking - Table 2-1'!$A$9,'tracking - Table 2-1'!$A$10,'tracking - Table 2-1'!$A$11,'tracking - Table 2-1'!$A$12,'tracking - Table 2-1'!$A$13,'tracking - Table 2-1'!$A$14,'tracking - Table 2-1'!$A$15,'tracking - Table 2-1'!$A$16,'tracking - Table 2-1'!$A$17,'tracking - Table 2-1'!$A$18,'tracking - Table 2-1'!$A$19,'tracking - Table 2-1'!$A$20,'tracking - Table 2-1'!$A$21,'tracking - Table 2-1'!$A$22,'tracking - Table 2-1'!$A$23,'tracking - Table 2-1'!$A$24,'tracking - Table 2-1'!$A$25,'tracking - Table 2-1'!$A$26,'tracking - Table 2-1'!$A$14,'tracking - Table 2-1'!$A$17,'tracking - Table 2-1'!$A$19,'tracking - Table 2-1'!$A$20,'tracking - Table 2-1'!$A$22,'tracking - Table 2-1'!$A$24,'tracking - Table 2-1'!$A$26,'tracking - Table 2-1'!$A$27,'tracking - Table 2-1'!$A$29,'tracking - Table 2-1'!$A$30,'tracking - Table 2-1'!$A$31,'tracking - Table 2-1'!$A$32,'tracking - Table 2-1'!$A$33,'tracking - Table 2-1'!$A$35,'tracking - Table 2-1'!$A$36,'tracking - Table 2-1'!$A$37,'tracking - Table 2-1'!$A$38,'tracking - Table 2-1'!$A$39,'tracking - Table 2-1'!$A$40,'tracking - Table 2-1'!$A$41,'tracking - Table 2-1'!$A$42,'tracking - Table 2-1'!$A$43,'tracking - Table 2-1'!$A$44,'tracking - Table 2-1'!$A$45,'tracking - Table 2-1'!$A$46,'tracking - Table 2-1'!$A$47,'tracking - Table 2-1'!$A$48,'tracking - Table 2-1'!$A$50,'tracking - Table 2-1'!$A$51,'tracking - Table 2-1'!$A$52,'tracking - Table 2-1'!$A$53,'tracking - Table 2-1'!$A$54,'tracking - Table 2-1'!$A$55,'tracking - Table 2-1'!$A$56,'tracking - Table 2-1'!$A$57,'tracking - Table 2-1'!$A$58,'tracking - Table 2-1'!$A$59,'tracking - Table 2-1'!$A$60,'tracking - Table 2-1'!$A$61,'tracking - Table 2-1'!$A$62,'tracking - Table 2-1'!$A$63,'tracking - Table 2-1'!$A$65,'tracking - Table 2-1'!$A$66,'tracking - Table 2-1'!$A$67,'tracking - Table 2-1'!$A$68,'tracking - Table 2-1'!$A$69,'tracking - Table 2-1'!$A$70,'tracking - Table 2-1'!$A$71,'tracking - Table 2-1'!$A$72,'tracking - Table 2-1'!$A$74,'tracking - Table 2-1'!$A$76,'tracking - Table 2-1'!$A$77,'tracking - Table 2-1'!$A$78,'tracking - Table 2-1'!$A$79</c:f>
              <c:strCache>
                <c:ptCount val="79"/>
                <c:pt idx="0">
                  <c:v>Pollo crudo</c:v>
                </c:pt>
                <c:pt idx="1">
                  <c:v/>
                </c:pt>
                <c:pt idx="2">
                  <c:v>Pollo cocinado</c:v>
                </c:pt>
                <c:pt idx="3">
                  <c:v>Filete</c:v>
                </c:pt>
                <c:pt idx="4">
                  <c:v>Lomo vetado</c:v>
                </c:pt>
                <c:pt idx="5">
                  <c:v>Escalopa</c:v>
                </c:pt>
                <c:pt idx="6">
                  <c:v>Carne molida 10% cruda</c:v>
                </c:pt>
                <c:pt idx="7">
                  <c:v>Carne molida 10% cocida</c:v>
                </c:pt>
                <c:pt idx="8">
                  <c:v>Carne molida 4% cruda</c:v>
                </c:pt>
                <c:pt idx="9">
                  <c:v>Carne molida 4% cocida</c:v>
                </c:pt>
                <c:pt idx="10">
                  <c:v>Carne molida 3% cruda</c:v>
                </c:pt>
                <c:pt idx="11">
                  <c:v>Carne molida 3% cocida</c:v>
                </c:pt>
                <c:pt idx="12">
                  <c:v>Reineta</c:v>
                </c:pt>
                <c:pt idx="13">
                  <c:v>Atún lata aceite</c:v>
                </c:pt>
                <c:pt idx="14">
                  <c:v>atún agua</c:v>
                </c:pt>
                <c:pt idx="15">
                  <c:v>Boloñesa</c:v>
                </c:pt>
                <c:pt idx="16">
                  <c:v>Jamon serrano</c:v>
                </c:pt>
                <c:pt idx="17">
                  <c:v/>
                </c:pt>
                <c:pt idx="18">
                  <c:v>patty w/ cheese</c:v>
                </c:pt>
                <c:pt idx="19">
                  <c:v>hamburguer bun</c:v>
                </c:pt>
                <c:pt idx="20">
                  <c:v/>
                </c:pt>
                <c:pt idx="21">
                  <c:v>Huevo</c:v>
                </c:pt>
                <c:pt idx="22">
                  <c:v>clara de huevo</c:v>
                </c:pt>
                <c:pt idx="23">
                  <c:v>Tostada</c:v>
                </c:pt>
                <c:pt idx="24">
                  <c:v/>
                </c:pt>
                <c:pt idx="25">
                  <c:v>Reineta</c:v>
                </c:pt>
                <c:pt idx="26">
                  <c:v>Boloñesa</c:v>
                </c:pt>
                <c:pt idx="27">
                  <c:v/>
                </c:pt>
                <c:pt idx="28">
                  <c:v>patty w/ cheese</c:v>
                </c:pt>
                <c:pt idx="29">
                  <c:v/>
                </c:pt>
                <c:pt idx="30">
                  <c:v>clara de huevo</c:v>
                </c:pt>
                <c:pt idx="31">
                  <c:v/>
                </c:pt>
                <c:pt idx="32">
                  <c:v>Yogurt Proteina</c:v>
                </c:pt>
                <c:pt idx="33">
                  <c:v/>
                </c:pt>
                <c:pt idx="34">
                  <c:v>Leche entera</c:v>
                </c:pt>
                <c:pt idx="35">
                  <c:v>Leche chocolate</c:v>
                </c:pt>
                <c:pt idx="36">
                  <c:v>Leche proteína+</c:v>
                </c:pt>
                <c:pt idx="37">
                  <c:v>proteina+ cacao</c:v>
                </c:pt>
                <c:pt idx="38">
                  <c:v/>
                </c:pt>
                <c:pt idx="39">
                  <c:v>crinkle fries</c:v>
                </c:pt>
                <c:pt idx="40">
                  <c:v>homemade fries</c:v>
                </c:pt>
                <c:pt idx="41">
                  <c:v>crackers</c:v>
                </c:pt>
                <c:pt idx="42">
                  <c:v/>
                </c:pt>
                <c:pt idx="43">
                  <c:v>Papas</c:v>
                </c:pt>
                <c:pt idx="44">
                  <c:v>Arroz</c:v>
                </c:pt>
                <c:pt idx="45">
                  <c:v/>
                </c:pt>
                <c:pt idx="46">
                  <c:v/>
                </c:pt>
                <c:pt idx="47">
                  <c:v/>
                </c:pt>
                <c:pt idx="48">
                  <c:v>Pasta seca</c:v>
                </c:pt>
                <c:pt idx="49">
                  <c:v>Tortilla de harina</c:v>
                </c:pt>
                <c:pt idx="50">
                  <c:v/>
                </c:pt>
                <c:pt idx="51">
                  <c:v>mayonesa</c:v>
                </c:pt>
                <c:pt idx="52">
                  <c:v>Mantequilla</c:v>
                </c:pt>
                <c:pt idx="53">
                  <c:v>Aceita de oliva</c:v>
                </c:pt>
                <c:pt idx="54">
                  <c:v>Tomate romanita</c:v>
                </c:pt>
                <c:pt idx="55">
                  <c:v>Manzana</c:v>
                </c:pt>
                <c:pt idx="56">
                  <c:v/>
                </c:pt>
                <c:pt idx="57">
                  <c:v>Mantequilla maní</c:v>
                </c:pt>
                <c:pt idx="58">
                  <c:v/>
                </c:pt>
                <c:pt idx="59">
                  <c:v>Mani</c:v>
                </c:pt>
                <c:pt idx="60">
                  <c:v/>
                </c:pt>
                <c:pt idx="61">
                  <c:v>Maní con sal</c:v>
                </c:pt>
                <c:pt idx="62">
                  <c:v>Maní japones</c:v>
                </c:pt>
                <c:pt idx="63">
                  <c:v>castañas de cajú</c:v>
                </c:pt>
                <c:pt idx="64">
                  <c:v>Queso Montana</c:v>
                </c:pt>
                <c:pt idx="65">
                  <c:v>Parmesano</c:v>
                </c:pt>
                <c:pt idx="66">
                  <c:v>Mozzarella buffala</c:v>
                </c:pt>
                <c:pt idx="67">
                  <c:v/>
                </c:pt>
                <c:pt idx="68">
                  <c:v>Cerveza</c:v>
                </c:pt>
                <c:pt idx="69">
                  <c:v/>
                </c:pt>
                <c:pt idx="70">
                  <c:v>Coke</c:v>
                </c:pt>
                <c:pt idx="71">
                  <c:v/>
                </c:pt>
                <c:pt idx="72">
                  <c:v/>
                </c:pt>
                <c:pt idx="73">
                  <c:v/>
                </c:pt>
                <c:pt idx="74">
                  <c:v>streat double cheeseburger</c:v>
                </c:pt>
                <c:pt idx="75">
                  <c:v>mccuarto de libra</c:v>
                </c:pt>
                <c:pt idx="76">
                  <c:v>doble cuarto</c:v>
                </c:pt>
                <c:pt idx="77">
                  <c:v>10 mcnuggets</c:v>
                </c:pt>
                <c:pt idx="78">
                  <c:v>mcpapas chicas</c:v>
                </c:pt>
              </c:strCache>
            </c:strRef>
          </c:cat>
          <c:val>
            <c:numRef>
              <c:f>'tracking - Table 2-1'!$F$2:$F$80</c:f>
              <c:numCache>
                <c:ptCount val="65"/>
                <c:pt idx="0">
                  <c:v>120.000000</c:v>
                </c:pt>
                <c:pt idx="1">
                  <c:v>120.000000</c:v>
                </c:pt>
                <c:pt idx="2">
                  <c:v>165.000000</c:v>
                </c:pt>
                <c:pt idx="3">
                  <c:v>252.000000</c:v>
                </c:pt>
                <c:pt idx="4">
                  <c:v>215.000000</c:v>
                </c:pt>
                <c:pt idx="5">
                  <c:v>99.200000</c:v>
                </c:pt>
                <c:pt idx="6">
                  <c:v>155.000000</c:v>
                </c:pt>
                <c:pt idx="8">
                  <c:v>121.000000</c:v>
                </c:pt>
                <c:pt idx="9">
                  <c:v>121.000000</c:v>
                </c:pt>
                <c:pt idx="10">
                  <c:v>117.000000</c:v>
                </c:pt>
                <c:pt idx="11">
                  <c:v>117.000000</c:v>
                </c:pt>
                <c:pt idx="12">
                  <c:v>105.000000</c:v>
                </c:pt>
                <c:pt idx="13">
                  <c:v>188.000000</c:v>
                </c:pt>
                <c:pt idx="14">
                  <c:v>109.000000</c:v>
                </c:pt>
                <c:pt idx="15">
                  <c:v>207.000000</c:v>
                </c:pt>
                <c:pt idx="16">
                  <c:v>234.000000</c:v>
                </c:pt>
                <c:pt idx="18">
                  <c:v>263.000000</c:v>
                </c:pt>
                <c:pt idx="19">
                  <c:v>150.000000</c:v>
                </c:pt>
                <c:pt idx="21">
                  <c:v>75.000000</c:v>
                </c:pt>
                <c:pt idx="22">
                  <c:v>17.000000</c:v>
                </c:pt>
                <c:pt idx="23">
                  <c:v>75.000000</c:v>
                </c:pt>
                <c:pt idx="25">
                  <c:v>97.000000</c:v>
                </c:pt>
                <c:pt idx="26">
                  <c:v>407.000000</c:v>
                </c:pt>
                <c:pt idx="28">
                  <c:v>59.000000</c:v>
                </c:pt>
                <c:pt idx="29">
                  <c:v>43.000000</c:v>
                </c:pt>
                <c:pt idx="30">
                  <c:v>55.000000</c:v>
                </c:pt>
                <c:pt idx="31">
                  <c:v>63.000000</c:v>
                </c:pt>
                <c:pt idx="32">
                  <c:v>59.000000</c:v>
                </c:pt>
                <c:pt idx="34">
                  <c:v>150.000000</c:v>
                </c:pt>
                <c:pt idx="35">
                  <c:v>164.000000</c:v>
                </c:pt>
                <c:pt idx="36">
                  <c:v>133.000000</c:v>
                </c:pt>
                <c:pt idx="38">
                  <c:v>77.000000</c:v>
                </c:pt>
                <c:pt idx="39">
                  <c:v>242.000000</c:v>
                </c:pt>
                <c:pt idx="40">
                  <c:v>130.107527</c:v>
                </c:pt>
                <c:pt idx="41">
                  <c:v>195.161290</c:v>
                </c:pt>
                <c:pt idx="42">
                  <c:v>260.215054</c:v>
                </c:pt>
                <c:pt idx="43">
                  <c:v>359.000000</c:v>
                </c:pt>
                <c:pt idx="44">
                  <c:v>121.000000</c:v>
                </c:pt>
                <c:pt idx="46">
                  <c:v>306.000000</c:v>
                </c:pt>
                <c:pt idx="47">
                  <c:v>20.000000</c:v>
                </c:pt>
                <c:pt idx="48">
                  <c:v>717.000000</c:v>
                </c:pt>
                <c:pt idx="49">
                  <c:v>119.000000</c:v>
                </c:pt>
                <c:pt idx="50">
                  <c:v>19.000000</c:v>
                </c:pt>
                <c:pt idx="51">
                  <c:v>52.000000</c:v>
                </c:pt>
                <c:pt idx="53">
                  <c:v>117.000000</c:v>
                </c:pt>
                <c:pt idx="55">
                  <c:v>244.000000</c:v>
                </c:pt>
                <c:pt idx="56">
                  <c:v>122.000000</c:v>
                </c:pt>
                <c:pt idx="57">
                  <c:v>595.000000</c:v>
                </c:pt>
                <c:pt idx="58">
                  <c:v>210.000000</c:v>
                </c:pt>
                <c:pt idx="59">
                  <c:v>581.000000</c:v>
                </c:pt>
                <c:pt idx="60">
                  <c:v>163.200000</c:v>
                </c:pt>
                <c:pt idx="61">
                  <c:v>118.000000</c:v>
                </c:pt>
                <c:pt idx="62">
                  <c:v>214.000000</c:v>
                </c:pt>
                <c:pt idx="63">
                  <c:v>259.000000</c:v>
                </c:pt>
                <c:pt idx="65">
                  <c:v>151.000000</c:v>
                </c:pt>
                <c:pt idx="67">
                  <c:v>44.000000</c:v>
                </c:pt>
                <c:pt idx="68">
                  <c:v>110.000000</c:v>
                </c:pt>
                <c:pt idx="69">
                  <c:v>154.000000</c:v>
                </c:pt>
                <c:pt idx="71">
                  <c:v>393.260000</c:v>
                </c:pt>
                <c:pt idx="72">
                  <c:v>630.810000</c:v>
                </c:pt>
                <c:pt idx="74">
                  <c:v>500.000000</c:v>
                </c:pt>
                <c:pt idx="75">
                  <c:v>720.000000</c:v>
                </c:pt>
                <c:pt idx="76">
                  <c:v>386.000000</c:v>
                </c:pt>
                <c:pt idx="77">
                  <c:v>234.000000</c:v>
                </c:pt>
                <c:pt idx="78">
                  <c:v>339.000000</c:v>
                </c:pt>
              </c:numCache>
            </c:numRef>
          </c:val>
        </c:ser>
        <c:gapWidth val="40"/>
        <c:overlap val="100"/>
        <c:axId val="2094734552"/>
        <c:axId val="2094734553"/>
      </c:barChart>
      <c:catAx>
        <c:axId val="2094734552"/>
        <c:scaling>
          <c:orientation val="maxMin"/>
        </c:scaling>
        <c:delete val="0"/>
        <c:axPos val="l"/>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b"/>
        <c:majorGridlines>
          <c:spPr>
            <a:ln w="3175" cap="flat">
              <a:solidFill>
                <a:srgbClr val="B8B8B8"/>
              </a:solidFill>
              <a:prstDash val="solid"/>
              <a:miter lim="400000"/>
            </a:ln>
          </c:spPr>
        </c:majorGridlines>
        <c:numFmt formatCode="General" sourceLinked="1"/>
        <c:majorTickMark val="none"/>
        <c:minorTickMark val="none"/>
        <c:tickLblPos val="high"/>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200"/>
        <c:minorUnit val="100"/>
      </c:valAx>
      <c:spPr>
        <a:noFill/>
        <a:ln w="12700" cap="flat">
          <a:noFill/>
          <a:miter lim="400000"/>
        </a:ln>
        <a:effectLst/>
      </c:spPr>
    </c:plotArea>
    <c:legend>
      <c:legendPos val="t"/>
      <c:layout>
        <c:manualLayout>
          <c:xMode val="edge"/>
          <c:yMode val="edge"/>
          <c:x val="0.204999"/>
          <c:y val="0"/>
          <c:w val="0.795001"/>
          <c:h val="0.0420697"/>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90.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31038"/>
          <c:y val="0.126456"/>
          <c:w val="0.901896"/>
          <c:h val="0.809463"/>
        </c:manualLayout>
      </c:layout>
      <c:barChart>
        <c:barDir val="col"/>
        <c:grouping val="percentStacked"/>
        <c:varyColors val="0"/>
        <c:ser>
          <c:idx val="0"/>
          <c:order val="0"/>
          <c:tx>
            <c:strRef>
              <c:f>'tracking - Table 3-1'!$R$1</c:f>
              <c:strCache>
                <c:ptCount val="1"/>
                <c:pt idx="0">
                  <c:v>Protein</c:v>
                </c:pt>
              </c:strCache>
            </c:strRef>
          </c:tx>
          <c:spPr>
            <a:gradFill flip="none" rotWithShape="1">
              <a:gsLst>
                <a:gs pos="0">
                  <a:srgbClr val="51A7F9"/>
                </a:gs>
                <a:gs pos="100000">
                  <a:srgbClr val="0365C0"/>
                </a:gs>
              </a:gsLst>
              <a:lin ang="5400000" scaled="0"/>
            </a:gra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1"/>
            <c:showCatName val="0"/>
            <c:showSerName val="0"/>
            <c:showPercent val="0"/>
            <c:showBubbleSize val="0"/>
            <c:showLeaderLines val="0"/>
          </c:dLbls>
          <c:cat>
            <c:strRef>
              <c:f>'tracking - Table 3-1'!$A$2:$A$214</c:f>
              <c:strCache>
                <c:ptCount val="64"/>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strCache>
            </c:strRef>
          </c:cat>
          <c:val>
            <c:numRef>
              <c:f>'tracking - Table 3-1'!$R$2:$R$924</c:f>
              <c:numCache>
                <c:ptCount val="0"/>
              </c:numCache>
            </c:numRef>
          </c:val>
        </c:ser>
        <c:ser>
          <c:idx val="1"/>
          <c:order val="1"/>
          <c:tx>
            <c:strRef>
              <c:f>'tracking - Table 3-1'!$S$1</c:f>
              <c:strCache>
                <c:ptCount val="1"/>
                <c:pt idx="0">
                  <c:v>Fat</c:v>
                </c:pt>
              </c:strCache>
            </c:strRef>
          </c:tx>
          <c:spPr>
            <a:gradFill flip="none" rotWithShape="1">
              <a:gsLst>
                <a:gs pos="0">
                  <a:srgbClr val="70BF41"/>
                </a:gs>
                <a:gs pos="100000">
                  <a:srgbClr val="00882B"/>
                </a:gs>
              </a:gsLst>
              <a:lin ang="5400000" scaled="0"/>
            </a:gra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1"/>
            <c:showCatName val="0"/>
            <c:showSerName val="0"/>
            <c:showPercent val="0"/>
            <c:showBubbleSize val="0"/>
            <c:showLeaderLines val="0"/>
          </c:dLbls>
          <c:cat>
            <c:strRef>
              <c:f>'tracking - Table 3-1'!$A$2:$A$214</c:f>
              <c:strCache>
                <c:ptCount val="64"/>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strCache>
            </c:strRef>
          </c:cat>
          <c:val>
            <c:numRef>
              <c:f>'tracking - Table 3-1'!$S$2:$S$924</c:f>
              <c:numCache>
                <c:ptCount val="0"/>
              </c:numCache>
            </c:numRef>
          </c:val>
        </c:ser>
        <c:ser>
          <c:idx val="2"/>
          <c:order val="2"/>
          <c:tx>
            <c:strRef>
              <c:f>'tracking - Table 3-1'!$T$1</c:f>
              <c:strCache>
                <c:ptCount val="1"/>
                <c:pt idx="0">
                  <c:v>Carbs</c:v>
                </c:pt>
              </c:strCache>
            </c:strRef>
          </c:tx>
          <c:spPr>
            <a:gradFill flip="none" rotWithShape="1">
              <a:gsLst>
                <a:gs pos="0">
                  <a:srgbClr val="FBE12B"/>
                </a:gs>
                <a:gs pos="100000">
                  <a:srgbClr val="BE9A1A"/>
                </a:gs>
              </a:gsLst>
              <a:lin ang="5400000" scaled="0"/>
            </a:gradFill>
            <a:ln w="12700" cap="flat">
              <a:noFill/>
              <a:miter lim="400000"/>
            </a:ln>
            <a:effectLst/>
          </c:spPr>
          <c:invertIfNegative val="0"/>
          <c:dLbls>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1"/>
            <c:showCatName val="0"/>
            <c:showSerName val="0"/>
            <c:showPercent val="0"/>
            <c:showBubbleSize val="0"/>
            <c:showLeaderLines val="0"/>
          </c:dLbls>
          <c:cat>
            <c:strRef>
              <c:f>'tracking - Table 3-1'!$A$2:$A$214</c:f>
              <c:strCache>
                <c:ptCount val="64"/>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strCache>
            </c:strRef>
          </c:cat>
          <c:val>
            <c:numRef>
              <c:f>'tracking - Table 3-1'!$T$2:$T$924</c:f>
              <c:numCache>
                <c:ptCount val="0"/>
              </c:numCache>
            </c:numRef>
          </c:val>
        </c:ser>
        <c:gapWidth val="2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majorUnit val="0.1"/>
        <c:minorUnit val="0.05"/>
      </c:valAx>
      <c:spPr>
        <a:noFill/>
        <a:ln w="12700" cap="flat">
          <a:noFill/>
          <a:miter lim="400000"/>
        </a:ln>
        <a:effectLst/>
      </c:spPr>
    </c:plotArea>
    <c:legend>
      <c:legendPos val="t"/>
      <c:layout>
        <c:manualLayout>
          <c:xMode val="edge"/>
          <c:yMode val="edge"/>
          <c:x val="0.0504398"/>
          <c:y val="0"/>
          <c:w val="0.938246"/>
          <c:h val="0.0649334"/>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9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42942"/>
          <c:y val="0.126667"/>
          <c:w val="0.855881"/>
          <c:h val="0.809167"/>
        </c:manualLayout>
      </c:layout>
      <c:lineChart>
        <c:grouping val="standard"/>
        <c:varyColors val="0"/>
        <c:ser>
          <c:idx val="0"/>
          <c:order val="0"/>
          <c:tx>
            <c:strRef>
              <c:f>'tracking - Table 3-1'!$U$1</c:f>
              <c:strCache>
                <c:ptCount val="1"/>
                <c:pt idx="0">
                  <c:v>Calorias</c:v>
                </c:pt>
              </c:strCache>
            </c:strRef>
          </c:tx>
          <c:spPr>
            <a:solidFill>
              <a:srgbClr val="F9D49D"/>
            </a:solidFill>
            <a:ln w="50800" cap="flat">
              <a:solidFill>
                <a:srgbClr val="EF951A">
                  <a:alpha val="8607"/>
                </a:srgbClr>
              </a:solidFill>
              <a:prstDash val="solid"/>
              <a:miter lim="400000"/>
            </a:ln>
            <a:effectLst/>
          </c:spPr>
          <c:marker>
            <c:symbol val="circle"/>
            <c:size val="5"/>
            <c:spPr>
              <a:solidFill>
                <a:srgbClr val="F9D49D"/>
              </a:solidFill>
              <a:ln w="12700" cap="flat">
                <a:solidFill>
                  <a:srgbClr val="A36F2C"/>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50800" cap="flat">
                <a:solidFill>
                  <a:srgbClr val="FF9E1B"/>
                </a:solidFill>
                <a:prstDash val="solid"/>
                <a:miter lim="400000"/>
              </a:ln>
              <a:effectLst>
                <a:outerShdw sx="100000" sy="100000" kx="0" ky="0" algn="tl" rotWithShape="1" blurRad="12700" dist="25400" dir="7320000">
                  <a:srgbClr val="000000">
                    <a:alpha val="25000"/>
                  </a:srgbClr>
                </a:outerShdw>
              </a:effectLst>
            </c:spPr>
            <c:trendlineType val="movingAvg"/>
            <c:period val="7"/>
            <c:forward val="0"/>
            <c:backward val="0"/>
            <c:dispRSqr val="0"/>
            <c:dispEq val="0"/>
          </c:trendline>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3-1'!$U$2:$U$924</c:f>
              <c:numCache>
                <c:ptCount val="62"/>
                <c:pt idx="76">
                  <c:v>2868.693429</c:v>
                </c:pt>
                <c:pt idx="77">
                  <c:v>1874.074402</c:v>
                </c:pt>
                <c:pt idx="78">
                  <c:v>2622.501259</c:v>
                </c:pt>
                <c:pt idx="79">
                  <c:v>2053.161765</c:v>
                </c:pt>
                <c:pt idx="80">
                  <c:v>2467.047278</c:v>
                </c:pt>
                <c:pt idx="81">
                  <c:v>2311.983094</c:v>
                </c:pt>
                <c:pt idx="82">
                  <c:v>2344.092444</c:v>
                </c:pt>
                <c:pt idx="83">
                  <c:v>2681.915511</c:v>
                </c:pt>
                <c:pt idx="84">
                  <c:v>2537.663167</c:v>
                </c:pt>
                <c:pt idx="85">
                  <c:v>2601.240655</c:v>
                </c:pt>
                <c:pt idx="86">
                  <c:v>714.911429</c:v>
                </c:pt>
                <c:pt idx="91">
                  <c:v>2828.752965</c:v>
                </c:pt>
                <c:pt idx="92">
                  <c:v>2675.225406</c:v>
                </c:pt>
                <c:pt idx="93">
                  <c:v>2452.595691</c:v>
                </c:pt>
                <c:pt idx="94">
                  <c:v>2534.851569</c:v>
                </c:pt>
                <c:pt idx="95">
                  <c:v>1463.379570</c:v>
                </c:pt>
                <c:pt idx="98">
                  <c:v>587.680000</c:v>
                </c:pt>
                <c:pt idx="168">
                  <c:v>2261.382745</c:v>
                </c:pt>
                <c:pt idx="170">
                  <c:v>2322.459812</c:v>
                </c:pt>
                <c:pt idx="171">
                  <c:v>2619.245152</c:v>
                </c:pt>
                <c:pt idx="172">
                  <c:v>2732.135455</c:v>
                </c:pt>
                <c:pt idx="173">
                  <c:v>2482.522157</c:v>
                </c:pt>
                <c:pt idx="174">
                  <c:v>2125.156667</c:v>
                </c:pt>
                <c:pt idx="175">
                  <c:v>1789.834074</c:v>
                </c:pt>
                <c:pt idx="176">
                  <c:v>2035.650000</c:v>
                </c:pt>
                <c:pt idx="177">
                  <c:v>2035.780000</c:v>
                </c:pt>
                <c:pt idx="178">
                  <c:v>2315.246667</c:v>
                </c:pt>
                <c:pt idx="179">
                  <c:v>458.050000</c:v>
                </c:pt>
                <c:pt idx="182">
                  <c:v>2088.643333</c:v>
                </c:pt>
                <c:pt idx="183">
                  <c:v>2048.943333</c:v>
                </c:pt>
                <c:pt idx="184">
                  <c:v>2060.641765</c:v>
                </c:pt>
                <c:pt idx="185">
                  <c:v>1791.476344</c:v>
                </c:pt>
                <c:pt idx="186">
                  <c:v>2292.948602</c:v>
                </c:pt>
                <c:pt idx="187">
                  <c:v>2059.299785</c:v>
                </c:pt>
                <c:pt idx="188">
                  <c:v>1930.417742</c:v>
                </c:pt>
                <c:pt idx="189">
                  <c:v>2362.025889</c:v>
                </c:pt>
                <c:pt idx="190">
                  <c:v>2050.445699</c:v>
                </c:pt>
                <c:pt idx="191">
                  <c:v>2055.870000</c:v>
                </c:pt>
                <c:pt idx="192">
                  <c:v>2035.750000</c:v>
                </c:pt>
                <c:pt idx="193">
                  <c:v>2048.659032</c:v>
                </c:pt>
                <c:pt idx="194">
                  <c:v>1897.679412</c:v>
                </c:pt>
                <c:pt idx="195">
                  <c:v>2016.092605</c:v>
                </c:pt>
                <c:pt idx="196">
                  <c:v>2141.259032</c:v>
                </c:pt>
                <c:pt idx="197">
                  <c:v>2041.962999</c:v>
                </c:pt>
                <c:pt idx="198">
                  <c:v>2180.423656</c:v>
                </c:pt>
                <c:pt idx="199">
                  <c:v>2049.952258</c:v>
                </c:pt>
                <c:pt idx="200">
                  <c:v>2120.948065</c:v>
                </c:pt>
                <c:pt idx="201">
                  <c:v>2662.251559</c:v>
                </c:pt>
                <c:pt idx="202">
                  <c:v>2171.026989</c:v>
                </c:pt>
                <c:pt idx="203">
                  <c:v>2467.026667</c:v>
                </c:pt>
                <c:pt idx="204">
                  <c:v>1957.510000</c:v>
                </c:pt>
                <c:pt idx="205">
                  <c:v>2049.723333</c:v>
                </c:pt>
                <c:pt idx="206">
                  <c:v>2270.160588</c:v>
                </c:pt>
                <c:pt idx="207">
                  <c:v>1496.690000</c:v>
                </c:pt>
                <c:pt idx="209">
                  <c:v>2273.059620</c:v>
                </c:pt>
                <c:pt idx="211">
                  <c:v>1898.179032</c:v>
                </c:pt>
                <c:pt idx="235">
                  <c:v>2735.791290</c:v>
                </c:pt>
                <c:pt idx="236">
                  <c:v>2937.220588</c:v>
                </c:pt>
                <c:pt idx="237">
                  <c:v>2839.934074</c:v>
                </c:pt>
                <c:pt idx="238">
                  <c:v>2501.844121</c:v>
                </c:pt>
                <c:pt idx="253">
                  <c:v>2897.558455</c:v>
                </c:pt>
                <c:pt idx="254">
                  <c:v>2731.817498</c:v>
                </c:pt>
              </c:numCache>
            </c:numRef>
          </c:val>
          <c:smooth val="0"/>
        </c:ser>
        <c:marker val="1"/>
        <c:axId val="2094734552"/>
        <c:axId val="2094734553"/>
      </c:lineChart>
      <c:catAx>
        <c:axId val="2094734552"/>
        <c:scaling>
          <c:orientation val="minMax"/>
        </c:scaling>
        <c:delete val="0"/>
        <c:axPos val="b"/>
        <c:numFmt formatCode="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General" sourceLinked="0"/>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460108"/>
          <c:y val="0"/>
          <c:w val="0.87075"/>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9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05"/>
          <c:y val="0.005"/>
          <c:w val="0.99"/>
          <c:h val="0.9875"/>
        </c:manualLayout>
      </c:layout>
      <c:pieChart>
        <c:varyColors val="0"/>
        <c:ser>
          <c:idx val="0"/>
          <c:order val="0"/>
          <c:tx>
            <c:strRef>
              <c:f>'tracking - Table 1-2'!$A$6</c:f>
              <c:strCache>
                <c:ptCount val="1"/>
                <c:pt idx="0">
                  <c:v>0,8g prot x lb</c:v>
                </c:pt>
              </c:strCache>
            </c:strRef>
          </c:tx>
          <c:spPr>
            <a:gradFill flip="none" rotWithShape="1">
              <a:gsLst>
                <a:gs pos="0">
                  <a:srgbClr val="51A7F9"/>
                </a:gs>
                <a:gs pos="100000">
                  <a:srgbClr val="0365C0"/>
                </a:gs>
              </a:gsLst>
              <a:lin ang="5400000" scaled="0"/>
            </a:gradFill>
            <a:ln w="12700" cap="flat">
              <a:noFill/>
              <a:miter lim="400000"/>
            </a:ln>
            <a:effectLst/>
          </c:spPr>
          <c:explosion val="0"/>
          <c:dPt>
            <c:idx val="0"/>
            <c:explosion val="0"/>
            <c:spPr>
              <a:gradFill flip="none" rotWithShape="1">
                <a:gsLst>
                  <a:gs pos="0">
                    <a:srgbClr val="51A7F9"/>
                  </a:gs>
                  <a:gs pos="100000">
                    <a:srgbClr val="0365C0"/>
                  </a:gs>
                </a:gsLst>
                <a:lin ang="5400000" scaled="0"/>
              </a:gradFill>
              <a:ln w="12700" cap="flat">
                <a:noFill/>
                <a:miter lim="400000"/>
              </a:ln>
              <a:effectLst/>
            </c:spPr>
          </c:dPt>
          <c:dPt>
            <c:idx val="1"/>
            <c:explosion val="0"/>
            <c:spPr>
              <a:gradFill flip="none" rotWithShape="1">
                <a:gsLst>
                  <a:gs pos="0">
                    <a:srgbClr val="70BF41"/>
                  </a:gs>
                  <a:gs pos="100000">
                    <a:srgbClr val="00882B"/>
                  </a:gs>
                </a:gsLst>
                <a:lin ang="5400000" scaled="0"/>
              </a:gradFill>
              <a:ln w="12700" cap="flat">
                <a:noFill/>
                <a:miter lim="400000"/>
              </a:ln>
              <a:effectLst/>
            </c:spPr>
          </c:dPt>
          <c:dPt>
            <c:idx val="2"/>
            <c:explosion val="0"/>
            <c:spPr>
              <a:gradFill flip="none" rotWithShape="1">
                <a:gsLst>
                  <a:gs pos="0">
                    <a:srgbClr val="FBE12B"/>
                  </a:gs>
                  <a:gs pos="100000">
                    <a:srgbClr val="BE9A1A"/>
                  </a:gs>
                </a:gsLst>
                <a:lin ang="5400000" scaled="0"/>
              </a:gradFill>
              <a:ln w="12700" cap="flat">
                <a:noFill/>
                <a:miter lim="400000"/>
              </a:ln>
              <a:effectLst/>
            </c:spPr>
          </c:dPt>
          <c:dLbls>
            <c:dLbl>
              <c:idx val="0"/>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1"/>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2"/>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showLeaderLines val="1"/>
            <c:leaderLines>
              <c:spPr>
                <a:noFill/>
                <a:ln w="6350" cap="flat">
                  <a:solidFill>
                    <a:srgbClr val="000000"/>
                  </a:solidFill>
                  <a:prstDash val="solid"/>
                  <a:miter lim="400000"/>
                </a:ln>
                <a:effectLst/>
              </c:spPr>
            </c:leaderLines>
          </c:dLbls>
          <c:cat>
            <c:strRef>
              <c:f>'tracking - Table 1-2'!$B$1:$D$1</c:f>
              <c:strCache>
                <c:ptCount val="3"/>
                <c:pt idx="0">
                  <c:v>Protein</c:v>
                </c:pt>
                <c:pt idx="1">
                  <c:v>Fat</c:v>
                </c:pt>
                <c:pt idx="2">
                  <c:v>Carbs</c:v>
                </c:pt>
              </c:strCache>
            </c:strRef>
          </c:cat>
          <c:val>
            <c:numRef>
              <c:f>'tracking - Table 1-2'!$B$6:$D$6</c:f>
              <c:numCache>
                <c:ptCount val="3"/>
                <c:pt idx="0">
                  <c:v>140.000000</c:v>
                </c:pt>
                <c:pt idx="1">
                  <c:v>70.000000</c:v>
                </c:pt>
                <c:pt idx="2">
                  <c:v>415.250000</c:v>
                </c:pt>
              </c:numCache>
            </c:numRef>
          </c:val>
        </c:ser>
        <c:firstSliceAng val="0"/>
      </c:pieChart>
      <c:spPr>
        <a:noFill/>
        <a:ln w="12700" cap="flat">
          <a:noFill/>
          <a:miter lim="400000"/>
        </a:ln>
        <a:effectLst/>
      </c:spPr>
    </c:plotArea>
    <c:plotVisOnly val="1"/>
    <c:dispBlanksAs val="gap"/>
  </c:chart>
  <c:spPr>
    <a:noFill/>
    <a:ln>
      <a:noFill/>
    </a:ln>
    <a:effectLst/>
  </c:spPr>
</c:chartSpace>
</file>

<file path=xl/charts/chart9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05"/>
          <c:y val="0.005"/>
          <c:w val="0.99"/>
          <c:h val="0.9875"/>
        </c:manualLayout>
      </c:layout>
      <c:pieChart>
        <c:varyColors val="0"/>
        <c:ser>
          <c:idx val="0"/>
          <c:order val="0"/>
          <c:tx>
            <c:strRef>
              <c:f>'tracking - Table 1-2'!$A$5</c:f>
              <c:strCache>
                <c:ptCount val="1"/>
                <c:pt idx="0">
                  <c:v>1g prot x lb</c:v>
                </c:pt>
              </c:strCache>
            </c:strRef>
          </c:tx>
          <c:spPr>
            <a:gradFill flip="none" rotWithShape="1">
              <a:gsLst>
                <a:gs pos="0">
                  <a:srgbClr val="51A7F9"/>
                </a:gs>
                <a:gs pos="100000">
                  <a:srgbClr val="0365C0"/>
                </a:gs>
              </a:gsLst>
              <a:lin ang="5400000" scaled="0"/>
            </a:gradFill>
            <a:ln w="12700" cap="flat">
              <a:noFill/>
              <a:miter lim="400000"/>
            </a:ln>
            <a:effectLst/>
          </c:spPr>
          <c:explosion val="0"/>
          <c:dPt>
            <c:idx val="0"/>
            <c:explosion val="0"/>
            <c:spPr>
              <a:gradFill flip="none" rotWithShape="1">
                <a:gsLst>
                  <a:gs pos="0">
                    <a:srgbClr val="51A7F9"/>
                  </a:gs>
                  <a:gs pos="100000">
                    <a:srgbClr val="0365C0"/>
                  </a:gs>
                </a:gsLst>
                <a:lin ang="5400000" scaled="0"/>
              </a:gradFill>
              <a:ln w="12700" cap="flat">
                <a:noFill/>
                <a:miter lim="400000"/>
              </a:ln>
              <a:effectLst/>
            </c:spPr>
          </c:dPt>
          <c:dPt>
            <c:idx val="1"/>
            <c:explosion val="0"/>
            <c:spPr>
              <a:gradFill flip="none" rotWithShape="1">
                <a:gsLst>
                  <a:gs pos="0">
                    <a:srgbClr val="70BF41"/>
                  </a:gs>
                  <a:gs pos="100000">
                    <a:srgbClr val="00882B"/>
                  </a:gs>
                </a:gsLst>
                <a:lin ang="5400000" scaled="0"/>
              </a:gradFill>
              <a:ln w="12700" cap="flat">
                <a:noFill/>
                <a:miter lim="400000"/>
              </a:ln>
              <a:effectLst/>
            </c:spPr>
          </c:dPt>
          <c:dPt>
            <c:idx val="2"/>
            <c:explosion val="0"/>
            <c:spPr>
              <a:gradFill flip="none" rotWithShape="1">
                <a:gsLst>
                  <a:gs pos="0">
                    <a:srgbClr val="FBE12B"/>
                  </a:gs>
                  <a:gs pos="100000">
                    <a:srgbClr val="BE9A1A"/>
                  </a:gs>
                </a:gsLst>
                <a:lin ang="5400000" scaled="0"/>
              </a:gradFill>
              <a:ln w="12700" cap="flat">
                <a:noFill/>
                <a:miter lim="400000"/>
              </a:ln>
              <a:effectLst/>
            </c:spPr>
          </c:dPt>
          <c:dLbls>
            <c:dLbl>
              <c:idx val="0"/>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1"/>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dLbl>
              <c:idx val="2"/>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dLbl>
            <c:numFmt formatCode="#,##0%" sourceLinked="0"/>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ctr"/>
            <c:showLegendKey val="0"/>
            <c:showVal val="0"/>
            <c:showCatName val="0"/>
            <c:showSerName val="0"/>
            <c:showPercent val="1"/>
            <c:showBubbleSize val="0"/>
            <c:showLeaderLines val="1"/>
            <c:leaderLines>
              <c:spPr>
                <a:noFill/>
                <a:ln w="6350" cap="flat">
                  <a:solidFill>
                    <a:srgbClr val="000000"/>
                  </a:solidFill>
                  <a:prstDash val="solid"/>
                  <a:miter lim="400000"/>
                </a:ln>
                <a:effectLst/>
              </c:spPr>
            </c:leaderLines>
          </c:dLbls>
          <c:cat>
            <c:strRef>
              <c:f>'tracking - Table 1-2'!$B$1:$D$1</c:f>
              <c:strCache>
                <c:ptCount val="3"/>
                <c:pt idx="0">
                  <c:v>Protein</c:v>
                </c:pt>
                <c:pt idx="1">
                  <c:v>Fat</c:v>
                </c:pt>
                <c:pt idx="2">
                  <c:v>Carbs</c:v>
                </c:pt>
              </c:strCache>
            </c:strRef>
          </c:cat>
          <c:val>
            <c:numRef>
              <c:f>'tracking - Table 1-2'!$B$5:$D$5</c:f>
              <c:numCache>
                <c:ptCount val="3"/>
                <c:pt idx="0">
                  <c:v>175.000000</c:v>
                </c:pt>
                <c:pt idx="1">
                  <c:v>70.000000</c:v>
                </c:pt>
                <c:pt idx="2">
                  <c:v>380.250000</c:v>
                </c:pt>
              </c:numCache>
            </c:numRef>
          </c:val>
        </c:ser>
        <c:firstSliceAng val="0"/>
      </c:pieChart>
      <c:spPr>
        <a:noFill/>
        <a:ln w="12700" cap="flat">
          <a:noFill/>
          <a:miter lim="400000"/>
        </a:ln>
        <a:effectLst/>
      </c:spPr>
    </c:plotArea>
    <c:plotVisOnly val="1"/>
    <c:dispBlanksAs val="gap"/>
  </c:chart>
  <c:spPr>
    <a:noFill/>
    <a:ln>
      <a:noFill/>
    </a:ln>
    <a:effectLst/>
  </c:spPr>
</c:chartSpace>
</file>

<file path=xl/charts/chart9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42942"/>
          <c:y val="0.126667"/>
          <c:w val="0.855881"/>
          <c:h val="0.809167"/>
        </c:manualLayout>
      </c:layout>
      <c:lineChart>
        <c:grouping val="standard"/>
        <c:varyColors val="0"/>
        <c:ser>
          <c:idx val="0"/>
          <c:order val="0"/>
          <c:tx>
            <c:strRef>
              <c:f>'tracking - Table 3-1'!$U$1</c:f>
              <c:strCache>
                <c:ptCount val="1"/>
                <c:pt idx="0">
                  <c:v>Calorias</c:v>
                </c:pt>
              </c:strCache>
            </c:strRef>
          </c:tx>
          <c:spPr>
            <a:solidFill>
              <a:srgbClr val="F9D49D"/>
            </a:solidFill>
            <a:ln w="50800" cap="flat">
              <a:solidFill>
                <a:srgbClr val="EF951A">
                  <a:alpha val="8607"/>
                </a:srgbClr>
              </a:solidFill>
              <a:prstDash val="solid"/>
              <a:miter lim="400000"/>
            </a:ln>
            <a:effectLst/>
          </c:spPr>
          <c:marker>
            <c:symbol val="circle"/>
            <c:size val="5"/>
            <c:spPr>
              <a:solidFill>
                <a:srgbClr val="F9D49D"/>
              </a:solidFill>
              <a:ln w="12700" cap="flat">
                <a:solidFill>
                  <a:srgbClr val="A36F2C"/>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25400" cap="flat">
                <a:solidFill>
                  <a:srgbClr val="FF9E1B"/>
                </a:solidFill>
                <a:prstDash val="solid"/>
                <a:miter lim="400000"/>
              </a:ln>
              <a:effectLst>
                <a:outerShdw sx="100000" sy="100000" kx="0" ky="0" algn="tl" rotWithShape="1" blurRad="12700" dist="25400" dir="7320000">
                  <a:srgbClr val="000000">
                    <a:alpha val="25000"/>
                  </a:srgbClr>
                </a:outerShdw>
              </a:effectLst>
            </c:spPr>
            <c:trendlineType val="movingAvg"/>
            <c:period val="2"/>
            <c:forward val="0"/>
            <c:backward val="0"/>
            <c:dispRSqr val="0"/>
            <c:dispEq val="0"/>
          </c:trendline>
          <c:cat>
            <c:strRef>
              <c:f>'tracking - Table 3-1'!$A$2:$A$238</c:f>
              <c:strCache>
                <c:ptCount val="64"/>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strCache>
            </c:strRef>
          </c:cat>
          <c:val>
            <c:numRef>
              <c:f>'tracking - Table 3-1'!$U$2:$U$924</c:f>
              <c:numCache>
                <c:ptCount val="0"/>
              </c:numCache>
            </c:numRef>
          </c:val>
          <c:smooth val="0"/>
        </c:ser>
        <c:marker val="1"/>
        <c:axId val="2094734552"/>
        <c:axId val="2094734553"/>
      </c:lineChart>
      <c:catAx>
        <c:axId val="2094734552"/>
        <c:scaling>
          <c:orientation val="minMax"/>
        </c:scaling>
        <c:delete val="0"/>
        <c:axPos val="b"/>
        <c:numFmt formatCode="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3200"/>
          <c:min val="0"/>
        </c:scaling>
        <c:delete val="0"/>
        <c:axPos val="l"/>
        <c:majorGridlines>
          <c:spPr>
            <a:ln w="3175" cap="flat">
              <a:solidFill>
                <a:srgbClr val="B8B8B8"/>
              </a:solidFill>
              <a:prstDash val="solid"/>
              <a:miter lim="400000"/>
            </a:ln>
          </c:spPr>
        </c:majorGridlines>
        <c:numFmt formatCode="General" sourceLinked="0"/>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460108"/>
          <c:y val="0"/>
          <c:w val="0.87075"/>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9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413974"/>
          <c:y val="0.126667"/>
          <c:w val="0.953603"/>
          <c:h val="0.809167"/>
        </c:manualLayout>
      </c:layout>
      <c:lineChart>
        <c:grouping val="standard"/>
        <c:varyColors val="0"/>
        <c:ser>
          <c:idx val="0"/>
          <c:order val="0"/>
          <c:tx>
            <c:strRef>
              <c:f>'tracking - Table 3-1'!$U$1</c:f>
              <c:strCache>
                <c:ptCount val="1"/>
                <c:pt idx="0">
                  <c:v>Calorias</c:v>
                </c:pt>
              </c:strCache>
            </c:strRef>
          </c:tx>
          <c:spPr>
            <a:solidFill>
              <a:srgbClr val="F9D49D"/>
            </a:solidFill>
            <a:ln w="50800" cap="flat">
              <a:solidFill>
                <a:srgbClr val="EF951A">
                  <a:alpha val="8607"/>
                </a:srgbClr>
              </a:solidFill>
              <a:prstDash val="solid"/>
              <a:miter lim="400000"/>
            </a:ln>
            <a:effectLst/>
          </c:spPr>
          <c:marker>
            <c:symbol val="circle"/>
            <c:size val="5"/>
            <c:spPr>
              <a:solidFill>
                <a:srgbClr val="F9D49D"/>
              </a:solidFill>
              <a:ln w="12700" cap="flat">
                <a:solidFill>
                  <a:srgbClr val="A36F2C"/>
                </a:solidFill>
                <a:prstDash val="solid"/>
                <a:miter lim="400000"/>
              </a:ln>
              <a:effectLst/>
            </c:spPr>
          </c:marker>
          <c:dLbls>
            <c:numFmt formatCode="0.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50800" cap="flat">
                <a:solidFill>
                  <a:srgbClr val="FF9E1B"/>
                </a:solidFill>
                <a:prstDash val="solid"/>
                <a:miter lim="400000"/>
              </a:ln>
              <a:effectLst>
                <a:outerShdw sx="100000" sy="100000" kx="0" ky="0" algn="tl" rotWithShape="1" blurRad="12700" dist="25400" dir="7320000">
                  <a:srgbClr val="000000">
                    <a:alpha val="25000"/>
                  </a:srgbClr>
                </a:outerShdw>
              </a:effectLst>
            </c:spPr>
            <c:trendlineType val="movingAvg"/>
            <c:period val="7"/>
            <c:forward val="0"/>
            <c:backward val="0"/>
            <c:dispRSqr val="0"/>
            <c:dispEq val="0"/>
          </c:trendline>
          <c:cat>
            <c:strRef>
              <c:f>'tracking - Table 3-1'!$A$2:$A$214</c:f>
              <c:strCache>
                <c:ptCount val="64"/>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strCache>
            </c:strRef>
          </c:cat>
          <c:val>
            <c:numRef>
              <c:f>'tracking - Table 3-1'!$U$2:$U$924</c:f>
              <c:numCache>
                <c:ptCount val="0"/>
              </c:numCache>
            </c:numRef>
          </c:val>
          <c:smooth val="0"/>
        </c:ser>
        <c:marker val="1"/>
        <c:axId val="2094734552"/>
        <c:axId val="2094734553"/>
      </c:lineChart>
      <c:catAx>
        <c:axId val="2094734552"/>
        <c:scaling>
          <c:orientation val="minMax"/>
        </c:scaling>
        <c:delete val="0"/>
        <c:axPos val="b"/>
        <c:numFmt formatCode="0.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General" sourceLinked="0"/>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0976073"/>
          <c:y val="0"/>
          <c:w val="0.973984"/>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9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278716"/>
          <c:y val="0.126667"/>
          <c:w val="0.946777"/>
          <c:h val="0.809167"/>
        </c:manualLayout>
      </c:layout>
      <c:lineChart>
        <c:grouping val="standard"/>
        <c:varyColors val="0"/>
        <c:ser>
          <c:idx val="0"/>
          <c:order val="0"/>
          <c:tx>
            <c:strRef>
              <c:f>'tracking - Table 3-1'!$B$1</c:f>
              <c:strCache>
                <c:ptCount val="1"/>
                <c:pt idx="0">
                  <c:v>kg</c:v>
                </c:pt>
              </c:strCache>
            </c:strRef>
          </c:tx>
          <c:spPr>
            <a:solidFill>
              <a:srgbClr val="F05C31">
                <a:alpha val="29115"/>
              </a:srgbClr>
            </a:solidFill>
            <a:ln w="12700" cap="flat">
              <a:solidFill>
                <a:srgbClr val="F05C31">
                  <a:alpha val="29115"/>
                </a:srgbClr>
              </a:solidFill>
              <a:prstDash val="solid"/>
              <a:miter lim="400000"/>
            </a:ln>
            <a:effectLst/>
          </c:spPr>
          <c:marker>
            <c:symbol val="diamond"/>
            <c:size val="3"/>
            <c:spPr>
              <a:solidFill>
                <a:srgbClr val="F05C31">
                  <a:alpha val="29115"/>
                </a:srgbClr>
              </a:solidFill>
              <a:ln w="50800" cap="flat">
                <a:noFill/>
                <a:miter lim="400000"/>
              </a:ln>
              <a:effectLst/>
            </c:spPr>
          </c:marker>
          <c:dLbls>
            <c:numFmt formatCode="General"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3-1'!$B$2:$B$924</c:f>
              <c:numCache>
                <c:ptCount val="729"/>
                <c:pt idx="0">
                  <c:v>69.000000</c:v>
                </c:pt>
                <c:pt idx="5">
                  <c:v>69.000000</c:v>
                </c:pt>
                <c:pt idx="9">
                  <c:v>69.300000</c:v>
                </c:pt>
                <c:pt idx="10">
                  <c:v>69.900000</c:v>
                </c:pt>
                <c:pt idx="11">
                  <c:v>69.500000</c:v>
                </c:pt>
                <c:pt idx="12">
                  <c:v>69.500000</c:v>
                </c:pt>
                <c:pt idx="13">
                  <c:v>69.800000</c:v>
                </c:pt>
                <c:pt idx="14">
                  <c:v>70.000000</c:v>
                </c:pt>
                <c:pt idx="15">
                  <c:v>70.000000</c:v>
                </c:pt>
                <c:pt idx="16">
                  <c:v>69.900000</c:v>
                </c:pt>
                <c:pt idx="17">
                  <c:v>70.100000</c:v>
                </c:pt>
                <c:pt idx="18">
                  <c:v>69.900000</c:v>
                </c:pt>
                <c:pt idx="19">
                  <c:v>70.500000</c:v>
                </c:pt>
                <c:pt idx="20">
                  <c:v>70.400000</c:v>
                </c:pt>
                <c:pt idx="21">
                  <c:v>69.900000</c:v>
                </c:pt>
                <c:pt idx="22">
                  <c:v>70.400000</c:v>
                </c:pt>
                <c:pt idx="23">
                  <c:v>70.100000</c:v>
                </c:pt>
                <c:pt idx="24">
                  <c:v>69.900000</c:v>
                </c:pt>
                <c:pt idx="25">
                  <c:v>70.100000</c:v>
                </c:pt>
                <c:pt idx="26">
                  <c:v>70.100000</c:v>
                </c:pt>
                <c:pt idx="27">
                  <c:v>70.700000</c:v>
                </c:pt>
                <c:pt idx="28">
                  <c:v>70.800000</c:v>
                </c:pt>
                <c:pt idx="29">
                  <c:v>70.700000</c:v>
                </c:pt>
                <c:pt idx="30">
                  <c:v>70.600000</c:v>
                </c:pt>
                <c:pt idx="31">
                  <c:v>70.800000</c:v>
                </c:pt>
                <c:pt idx="32">
                  <c:v>70.900000</c:v>
                </c:pt>
                <c:pt idx="33">
                  <c:v>70.600000</c:v>
                </c:pt>
                <c:pt idx="34">
                  <c:v>71.200000</c:v>
                </c:pt>
                <c:pt idx="35">
                  <c:v>71.400000</c:v>
                </c:pt>
                <c:pt idx="36">
                  <c:v>71.300000</c:v>
                </c:pt>
                <c:pt idx="37">
                  <c:v>72.000000</c:v>
                </c:pt>
                <c:pt idx="38">
                  <c:v>70.900000</c:v>
                </c:pt>
                <c:pt idx="39">
                  <c:v>70.900000</c:v>
                </c:pt>
                <c:pt idx="40">
                  <c:v>71.000000</c:v>
                </c:pt>
                <c:pt idx="41">
                  <c:v>71.500000</c:v>
                </c:pt>
                <c:pt idx="42">
                  <c:v>71.500000</c:v>
                </c:pt>
                <c:pt idx="43">
                  <c:v>70.900000</c:v>
                </c:pt>
                <c:pt idx="44">
                  <c:v>71.300000</c:v>
                </c:pt>
                <c:pt idx="45">
                  <c:v>71.600000</c:v>
                </c:pt>
                <c:pt idx="46">
                  <c:v>71.600000</c:v>
                </c:pt>
                <c:pt idx="47">
                  <c:v>71.700000</c:v>
                </c:pt>
                <c:pt idx="48">
                  <c:v>71.800000</c:v>
                </c:pt>
                <c:pt idx="49">
                  <c:v>72.400000</c:v>
                </c:pt>
                <c:pt idx="50">
                  <c:v>72.000000</c:v>
                </c:pt>
                <c:pt idx="51">
                  <c:v>73.000000</c:v>
                </c:pt>
                <c:pt idx="52">
                  <c:v>72.500000</c:v>
                </c:pt>
                <c:pt idx="53">
                  <c:v>72.300000</c:v>
                </c:pt>
                <c:pt idx="54">
                  <c:v>72.600000</c:v>
                </c:pt>
                <c:pt idx="55">
                  <c:v>71.700000</c:v>
                </c:pt>
                <c:pt idx="56">
                  <c:v>71.900000</c:v>
                </c:pt>
                <c:pt idx="57">
                  <c:v>72.100000</c:v>
                </c:pt>
                <c:pt idx="58">
                  <c:v>73.200000</c:v>
                </c:pt>
                <c:pt idx="59">
                  <c:v>73.200000</c:v>
                </c:pt>
                <c:pt idx="60">
                  <c:v>73.000000</c:v>
                </c:pt>
                <c:pt idx="61">
                  <c:v>72.400000</c:v>
                </c:pt>
                <c:pt idx="62">
                  <c:v>72.200000</c:v>
                </c:pt>
                <c:pt idx="63">
                  <c:v>72.700000</c:v>
                </c:pt>
                <c:pt idx="64">
                  <c:v>73.300000</c:v>
                </c:pt>
                <c:pt idx="65">
                  <c:v>73.100000</c:v>
                </c:pt>
                <c:pt idx="66">
                  <c:v>73.900000</c:v>
                </c:pt>
                <c:pt idx="67">
                  <c:v>74.000000</c:v>
                </c:pt>
                <c:pt idx="68">
                  <c:v>73.500000</c:v>
                </c:pt>
                <c:pt idx="69">
                  <c:v>74.000000</c:v>
                </c:pt>
                <c:pt idx="70">
                  <c:v>73.600000</c:v>
                </c:pt>
                <c:pt idx="71">
                  <c:v>74.400000</c:v>
                </c:pt>
                <c:pt idx="72">
                  <c:v>74.300000</c:v>
                </c:pt>
                <c:pt idx="73">
                  <c:v>74.400000</c:v>
                </c:pt>
                <c:pt idx="74">
                  <c:v>74.600000</c:v>
                </c:pt>
                <c:pt idx="75">
                  <c:v>73.300000</c:v>
                </c:pt>
                <c:pt idx="76">
                  <c:v>73.700000</c:v>
                </c:pt>
                <c:pt idx="77">
                  <c:v>74.000000</c:v>
                </c:pt>
                <c:pt idx="78">
                  <c:v>73.800000</c:v>
                </c:pt>
                <c:pt idx="79">
                  <c:v>73.600000</c:v>
                </c:pt>
                <c:pt idx="80">
                  <c:v>73.800000</c:v>
                </c:pt>
                <c:pt idx="81">
                  <c:v>73.400000</c:v>
                </c:pt>
                <c:pt idx="82">
                  <c:v>73.200000</c:v>
                </c:pt>
                <c:pt idx="83">
                  <c:v>72.700000</c:v>
                </c:pt>
                <c:pt idx="84">
                  <c:v>73.000000</c:v>
                </c:pt>
                <c:pt idx="85">
                  <c:v>72.800000</c:v>
                </c:pt>
                <c:pt idx="86">
                  <c:v>72.800000</c:v>
                </c:pt>
                <c:pt idx="91">
                  <c:v>71.400000</c:v>
                </c:pt>
                <c:pt idx="92">
                  <c:v>71.700000</c:v>
                </c:pt>
                <c:pt idx="93">
                  <c:v>72.300000</c:v>
                </c:pt>
                <c:pt idx="94">
                  <c:v>71.400000</c:v>
                </c:pt>
                <c:pt idx="95">
                  <c:v>71.700000</c:v>
                </c:pt>
                <c:pt idx="98">
                  <c:v>71.700000</c:v>
                </c:pt>
                <c:pt idx="168">
                  <c:v>70.500000</c:v>
                </c:pt>
                <c:pt idx="170">
                  <c:v>70.550000</c:v>
                </c:pt>
                <c:pt idx="171">
                  <c:v>70.550000</c:v>
                </c:pt>
                <c:pt idx="172">
                  <c:v>70.150000</c:v>
                </c:pt>
                <c:pt idx="173">
                  <c:v>70.150000</c:v>
                </c:pt>
                <c:pt idx="174">
                  <c:v>70.550000</c:v>
                </c:pt>
                <c:pt idx="175">
                  <c:v>70.900000</c:v>
                </c:pt>
                <c:pt idx="176">
                  <c:v>70.000000</c:v>
                </c:pt>
                <c:pt idx="177">
                  <c:v>69.600000</c:v>
                </c:pt>
                <c:pt idx="178">
                  <c:v>69.900000</c:v>
                </c:pt>
                <c:pt idx="179">
                  <c:v>69.900000</c:v>
                </c:pt>
                <c:pt idx="182">
                  <c:v>70.300000</c:v>
                </c:pt>
                <c:pt idx="183">
                  <c:v>69.700000</c:v>
                </c:pt>
                <c:pt idx="184">
                  <c:v>69.700000</c:v>
                </c:pt>
                <c:pt idx="185">
                  <c:v>69.700000</c:v>
                </c:pt>
                <c:pt idx="186">
                  <c:v>69.700000</c:v>
                </c:pt>
                <c:pt idx="187">
                  <c:v>70.300000</c:v>
                </c:pt>
                <c:pt idx="188">
                  <c:v>70.250000</c:v>
                </c:pt>
                <c:pt idx="189">
                  <c:v>69.300000</c:v>
                </c:pt>
                <c:pt idx="190">
                  <c:v>69.750000</c:v>
                </c:pt>
                <c:pt idx="191">
                  <c:v>69.300000</c:v>
                </c:pt>
                <c:pt idx="192">
                  <c:v>69.300000</c:v>
                </c:pt>
                <c:pt idx="193">
                  <c:v>69.000000</c:v>
                </c:pt>
                <c:pt idx="194">
                  <c:v>69.000000</c:v>
                </c:pt>
                <c:pt idx="195">
                  <c:v>69.300000</c:v>
                </c:pt>
                <c:pt idx="196">
                  <c:v>69.000000</c:v>
                </c:pt>
                <c:pt idx="197">
                  <c:v>68.500000</c:v>
                </c:pt>
                <c:pt idx="198">
                  <c:v>69.000000</c:v>
                </c:pt>
                <c:pt idx="199">
                  <c:v>69.000000</c:v>
                </c:pt>
                <c:pt idx="200">
                  <c:v>68.950000</c:v>
                </c:pt>
                <c:pt idx="201">
                  <c:v>68.650000</c:v>
                </c:pt>
                <c:pt idx="202">
                  <c:v>68.700000</c:v>
                </c:pt>
                <c:pt idx="203">
                  <c:v>68.700000</c:v>
                </c:pt>
                <c:pt idx="204">
                  <c:v>68.700000</c:v>
                </c:pt>
                <c:pt idx="205">
                  <c:v>68.700000</c:v>
                </c:pt>
                <c:pt idx="206">
                  <c:v>68.700000</c:v>
                </c:pt>
                <c:pt idx="207">
                  <c:v>68.700000</c:v>
                </c:pt>
                <c:pt idx="209">
                  <c:v>68.900000</c:v>
                </c:pt>
                <c:pt idx="210">
                  <c:v>68.900000</c:v>
                </c:pt>
                <c:pt idx="211">
                  <c:v>68.700000</c:v>
                </c:pt>
                <c:pt idx="215">
                  <c:v>67.400000</c:v>
                </c:pt>
                <c:pt idx="216">
                  <c:v>67.400000</c:v>
                </c:pt>
                <c:pt idx="217">
                  <c:v>69.400000</c:v>
                </c:pt>
                <c:pt idx="218">
                  <c:v>69.400000</c:v>
                </c:pt>
                <c:pt idx="219">
                  <c:v>69.200000</c:v>
                </c:pt>
                <c:pt idx="221">
                  <c:v>69.400000</c:v>
                </c:pt>
                <c:pt idx="222">
                  <c:v>69.400000</c:v>
                </c:pt>
                <c:pt idx="225">
                  <c:v>70.100000</c:v>
                </c:pt>
                <c:pt idx="226">
                  <c:v>70.100000</c:v>
                </c:pt>
                <c:pt idx="227">
                  <c:v>70.200000</c:v>
                </c:pt>
                <c:pt idx="228">
                  <c:v>70.200000</c:v>
                </c:pt>
                <c:pt idx="229">
                  <c:v>70.200000</c:v>
                </c:pt>
                <c:pt idx="231">
                  <c:v>69.500000</c:v>
                </c:pt>
                <c:pt idx="233">
                  <c:v>69.250000</c:v>
                </c:pt>
                <c:pt idx="234">
                  <c:v>68.300000</c:v>
                </c:pt>
                <c:pt idx="235">
                  <c:v>68.300000</c:v>
                </c:pt>
                <c:pt idx="236">
                  <c:v>68.700000</c:v>
                </c:pt>
                <c:pt idx="237">
                  <c:v>68.900000</c:v>
                </c:pt>
                <c:pt idx="238">
                  <c:v>68.900000</c:v>
                </c:pt>
                <c:pt idx="241">
                  <c:v>68.850000</c:v>
                </c:pt>
                <c:pt idx="242">
                  <c:v>68.200000</c:v>
                </c:pt>
                <c:pt idx="243">
                  <c:v>68.200000</c:v>
                </c:pt>
                <c:pt idx="244">
                  <c:v>68.200000</c:v>
                </c:pt>
                <c:pt idx="245">
                  <c:v>68.200000</c:v>
                </c:pt>
                <c:pt idx="246">
                  <c:v>67.800000</c:v>
                </c:pt>
                <c:pt idx="247">
                  <c:v>68.500000</c:v>
                </c:pt>
                <c:pt idx="248">
                  <c:v>68.500000</c:v>
                </c:pt>
                <c:pt idx="249">
                  <c:v>69.500000</c:v>
                </c:pt>
                <c:pt idx="250">
                  <c:v>69.500000</c:v>
                </c:pt>
                <c:pt idx="251">
                  <c:v>69.500000</c:v>
                </c:pt>
                <c:pt idx="252">
                  <c:v>70.100000</c:v>
                </c:pt>
                <c:pt idx="253">
                  <c:v>69.800000</c:v>
                </c:pt>
                <c:pt idx="254">
                  <c:v>70.100000</c:v>
                </c:pt>
                <c:pt idx="255">
                  <c:v>70.700000</c:v>
                </c:pt>
                <c:pt idx="256">
                  <c:v>70.150000</c:v>
                </c:pt>
                <c:pt idx="257">
                  <c:v>69.600000</c:v>
                </c:pt>
                <c:pt idx="258">
                  <c:v>70.200000</c:v>
                </c:pt>
                <c:pt idx="259">
                  <c:v>70.200000</c:v>
                </c:pt>
                <c:pt idx="260">
                  <c:v>69.900000</c:v>
                </c:pt>
                <c:pt idx="261">
                  <c:v>70.650000</c:v>
                </c:pt>
                <c:pt idx="262">
                  <c:v>71.200000</c:v>
                </c:pt>
                <c:pt idx="263">
                  <c:v>71.000000</c:v>
                </c:pt>
                <c:pt idx="264">
                  <c:v>71.000000</c:v>
                </c:pt>
                <c:pt idx="265">
                  <c:v>71.000000</c:v>
                </c:pt>
                <c:pt idx="266">
                  <c:v>71.100000</c:v>
                </c:pt>
                <c:pt idx="267">
                  <c:v>71.550000</c:v>
                </c:pt>
                <c:pt idx="268">
                  <c:v>72.050000</c:v>
                </c:pt>
                <c:pt idx="269">
                  <c:v>72.600000</c:v>
                </c:pt>
                <c:pt idx="270">
                  <c:v>72.750000</c:v>
                </c:pt>
                <c:pt idx="271">
                  <c:v>71.600000</c:v>
                </c:pt>
                <c:pt idx="272">
                  <c:v>71.600000</c:v>
                </c:pt>
                <c:pt idx="273">
                  <c:v>71.900000</c:v>
                </c:pt>
                <c:pt idx="274">
                  <c:v>70.800000</c:v>
                </c:pt>
                <c:pt idx="275">
                  <c:v>71.100000</c:v>
                </c:pt>
                <c:pt idx="276">
                  <c:v>71.400000</c:v>
                </c:pt>
                <c:pt idx="277">
                  <c:v>71.100000</c:v>
                </c:pt>
                <c:pt idx="278">
                  <c:v>71.100000</c:v>
                </c:pt>
                <c:pt idx="279">
                  <c:v>70.800000</c:v>
                </c:pt>
                <c:pt idx="280">
                  <c:v>70.400000</c:v>
                </c:pt>
                <c:pt idx="281">
                  <c:v>71.400000</c:v>
                </c:pt>
                <c:pt idx="282">
                  <c:v>71.850000</c:v>
                </c:pt>
                <c:pt idx="283">
                  <c:v>71.550000</c:v>
                </c:pt>
                <c:pt idx="284">
                  <c:v>72.050000</c:v>
                </c:pt>
                <c:pt idx="285">
                  <c:v>71.150000</c:v>
                </c:pt>
                <c:pt idx="286">
                  <c:v>70.750000</c:v>
                </c:pt>
                <c:pt idx="287">
                  <c:v>71.850000</c:v>
                </c:pt>
                <c:pt idx="288">
                  <c:v>71.850000</c:v>
                </c:pt>
                <c:pt idx="289">
                  <c:v>72.650000</c:v>
                </c:pt>
                <c:pt idx="290">
                  <c:v>71.100000</c:v>
                </c:pt>
                <c:pt idx="291">
                  <c:v>71.000000</c:v>
                </c:pt>
                <c:pt idx="292">
                  <c:v>70.200000</c:v>
                </c:pt>
                <c:pt idx="293">
                  <c:v>72.400000</c:v>
                </c:pt>
                <c:pt idx="294">
                  <c:v>72.900000</c:v>
                </c:pt>
                <c:pt idx="295">
                  <c:v>72.900000</c:v>
                </c:pt>
                <c:pt idx="296">
                  <c:v>73.150000</c:v>
                </c:pt>
                <c:pt idx="297">
                  <c:v>72.850000</c:v>
                </c:pt>
                <c:pt idx="298">
                  <c:v>73.200000</c:v>
                </c:pt>
                <c:pt idx="299">
                  <c:v>73.150000</c:v>
                </c:pt>
                <c:pt idx="300">
                  <c:v>72.850000</c:v>
                </c:pt>
                <c:pt idx="301">
                  <c:v>73.600000</c:v>
                </c:pt>
                <c:pt idx="302">
                  <c:v>74.000000</c:v>
                </c:pt>
                <c:pt idx="303">
                  <c:v>73.400000</c:v>
                </c:pt>
                <c:pt idx="304">
                  <c:v>72.100000</c:v>
                </c:pt>
                <c:pt idx="305">
                  <c:v>73.150000</c:v>
                </c:pt>
                <c:pt idx="306">
                  <c:v>73.550000</c:v>
                </c:pt>
                <c:pt idx="307">
                  <c:v>73.900000</c:v>
                </c:pt>
                <c:pt idx="308">
                  <c:v>74.350000</c:v>
                </c:pt>
                <c:pt idx="309">
                  <c:v>74.400000</c:v>
                </c:pt>
                <c:pt idx="310">
                  <c:v>74.900000</c:v>
                </c:pt>
                <c:pt idx="311">
                  <c:v>74.600000</c:v>
                </c:pt>
                <c:pt idx="312">
                  <c:v>74.950000</c:v>
                </c:pt>
                <c:pt idx="313">
                  <c:v>74.400000</c:v>
                </c:pt>
                <c:pt idx="314">
                  <c:v>74.750000</c:v>
                </c:pt>
                <c:pt idx="315">
                  <c:v>75.000000</c:v>
                </c:pt>
                <c:pt idx="316">
                  <c:v>74.800000</c:v>
                </c:pt>
                <c:pt idx="317">
                  <c:v>74.800000</c:v>
                </c:pt>
                <c:pt idx="318">
                  <c:v>75.500000</c:v>
                </c:pt>
                <c:pt idx="319">
                  <c:v>75.700000</c:v>
                </c:pt>
                <c:pt idx="320">
                  <c:v>74.700000</c:v>
                </c:pt>
                <c:pt idx="321">
                  <c:v>75.300000</c:v>
                </c:pt>
                <c:pt idx="322">
                  <c:v>75.500000</c:v>
                </c:pt>
                <c:pt idx="323">
                  <c:v>75.400000</c:v>
                </c:pt>
                <c:pt idx="324">
                  <c:v>74.350000</c:v>
                </c:pt>
                <c:pt idx="325">
                  <c:v>75.200000</c:v>
                </c:pt>
                <c:pt idx="326">
                  <c:v>76.100000</c:v>
                </c:pt>
                <c:pt idx="327">
                  <c:v>75.950000</c:v>
                </c:pt>
                <c:pt idx="328">
                  <c:v>76.300000</c:v>
                </c:pt>
                <c:pt idx="329">
                  <c:v>76.300000</c:v>
                </c:pt>
                <c:pt idx="330">
                  <c:v>76.400000</c:v>
                </c:pt>
                <c:pt idx="331">
                  <c:v>76.000000</c:v>
                </c:pt>
                <c:pt idx="332">
                  <c:v>75.950000</c:v>
                </c:pt>
                <c:pt idx="333">
                  <c:v>76.500000</c:v>
                </c:pt>
                <c:pt idx="334">
                  <c:v>77.150000</c:v>
                </c:pt>
                <c:pt idx="335">
                  <c:v>77.200000</c:v>
                </c:pt>
                <c:pt idx="336">
                  <c:v>77.300000</c:v>
                </c:pt>
                <c:pt idx="337">
                  <c:v>77.300000</c:v>
                </c:pt>
                <c:pt idx="338">
                  <c:v>77.450000</c:v>
                </c:pt>
                <c:pt idx="339">
                  <c:v>77.450000</c:v>
                </c:pt>
                <c:pt idx="340">
                  <c:v>77.650000</c:v>
                </c:pt>
                <c:pt idx="341">
                  <c:v>77.650000</c:v>
                </c:pt>
                <c:pt idx="342">
                  <c:v>77.300000</c:v>
                </c:pt>
                <c:pt idx="343">
                  <c:v>77.350000</c:v>
                </c:pt>
                <c:pt idx="344">
                  <c:v>77.800000</c:v>
                </c:pt>
                <c:pt idx="345">
                  <c:v>77.300000</c:v>
                </c:pt>
                <c:pt idx="346">
                  <c:v>76.700000</c:v>
                </c:pt>
                <c:pt idx="347">
                  <c:v>77.250000</c:v>
                </c:pt>
                <c:pt idx="348">
                  <c:v>77.250000</c:v>
                </c:pt>
                <c:pt idx="349">
                  <c:v>75.250000</c:v>
                </c:pt>
                <c:pt idx="350">
                  <c:v>74.250000</c:v>
                </c:pt>
                <c:pt idx="351">
                  <c:v>73.700000</c:v>
                </c:pt>
                <c:pt idx="352">
                  <c:v>73.200000</c:v>
                </c:pt>
                <c:pt idx="353">
                  <c:v>73.000000</c:v>
                </c:pt>
                <c:pt idx="354">
                  <c:v>73.000000</c:v>
                </c:pt>
                <c:pt idx="355">
                  <c:v>72.000000</c:v>
                </c:pt>
                <c:pt idx="356">
                  <c:v>72.000000</c:v>
                </c:pt>
                <c:pt idx="357">
                  <c:v>71.950000</c:v>
                </c:pt>
                <c:pt idx="358">
                  <c:v>71.950000</c:v>
                </c:pt>
                <c:pt idx="359">
                  <c:v>72.750000</c:v>
                </c:pt>
                <c:pt idx="360">
                  <c:v>72.750000</c:v>
                </c:pt>
                <c:pt idx="361">
                  <c:v>72.000000</c:v>
                </c:pt>
                <c:pt idx="362">
                  <c:v>72.750000</c:v>
                </c:pt>
                <c:pt idx="363">
                  <c:v>72.450000</c:v>
                </c:pt>
                <c:pt idx="364">
                  <c:v>72.750000</c:v>
                </c:pt>
                <c:pt idx="365">
                  <c:v>72.450000</c:v>
                </c:pt>
                <c:pt idx="366">
                  <c:v>72.750000</c:v>
                </c:pt>
                <c:pt idx="367">
                  <c:v>72.750000</c:v>
                </c:pt>
                <c:pt idx="368">
                  <c:v>74.050000</c:v>
                </c:pt>
                <c:pt idx="369">
                  <c:v>72.550000</c:v>
                </c:pt>
                <c:pt idx="370">
                  <c:v>74.600000</c:v>
                </c:pt>
                <c:pt idx="371">
                  <c:v>75.100000</c:v>
                </c:pt>
                <c:pt idx="373">
                  <c:v>74.600000</c:v>
                </c:pt>
                <c:pt idx="374">
                  <c:v>74.650000</c:v>
                </c:pt>
                <c:pt idx="375">
                  <c:v>74.650000</c:v>
                </c:pt>
                <c:pt idx="377">
                  <c:v>74.600000</c:v>
                </c:pt>
                <c:pt idx="378">
                  <c:v>74.600000</c:v>
                </c:pt>
                <c:pt idx="379">
                  <c:v>75.250000</c:v>
                </c:pt>
                <c:pt idx="380">
                  <c:v>74.950000</c:v>
                </c:pt>
                <c:pt idx="381">
                  <c:v>76.000000</c:v>
                </c:pt>
                <c:pt idx="382">
                  <c:v>74.900000</c:v>
                </c:pt>
                <c:pt idx="383">
                  <c:v>74.900000</c:v>
                </c:pt>
                <c:pt idx="384">
                  <c:v>74.900000</c:v>
                </c:pt>
                <c:pt idx="385">
                  <c:v>74.900000</c:v>
                </c:pt>
                <c:pt idx="386">
                  <c:v>74.900000</c:v>
                </c:pt>
                <c:pt idx="387">
                  <c:v>74.250000</c:v>
                </c:pt>
                <c:pt idx="388">
                  <c:v>74.150000</c:v>
                </c:pt>
                <c:pt idx="389">
                  <c:v>74.600000</c:v>
                </c:pt>
                <c:pt idx="390">
                  <c:v>74.950000</c:v>
                </c:pt>
                <c:pt idx="391">
                  <c:v>74.950000</c:v>
                </c:pt>
                <c:pt idx="392">
                  <c:v>74.500000</c:v>
                </c:pt>
                <c:pt idx="393">
                  <c:v>74.200000</c:v>
                </c:pt>
                <c:pt idx="394">
                  <c:v>74.900000</c:v>
                </c:pt>
                <c:pt idx="395">
                  <c:v>75.450000</c:v>
                </c:pt>
                <c:pt idx="396">
                  <c:v>75.450000</c:v>
                </c:pt>
                <c:pt idx="397">
                  <c:v>75.650000</c:v>
                </c:pt>
                <c:pt idx="398">
                  <c:v>75.650000</c:v>
                </c:pt>
                <c:pt idx="399">
                  <c:v>75.950000</c:v>
                </c:pt>
                <c:pt idx="400">
                  <c:v>75.950000</c:v>
                </c:pt>
                <c:pt idx="401">
                  <c:v>75.200000</c:v>
                </c:pt>
                <c:pt idx="402">
                  <c:v>75.200000</c:v>
                </c:pt>
                <c:pt idx="403">
                  <c:v>75.000000</c:v>
                </c:pt>
                <c:pt idx="404">
                  <c:v>74.300000</c:v>
                </c:pt>
                <c:pt idx="405">
                  <c:v>74.300000</c:v>
                </c:pt>
                <c:pt idx="407">
                  <c:v>73.700000</c:v>
                </c:pt>
                <c:pt idx="408">
                  <c:v>74.300000</c:v>
                </c:pt>
                <c:pt idx="409">
                  <c:v>73.700000</c:v>
                </c:pt>
                <c:pt idx="410">
                  <c:v>73.400000</c:v>
                </c:pt>
                <c:pt idx="411">
                  <c:v>73.900000</c:v>
                </c:pt>
                <c:pt idx="412">
                  <c:v>73.900000</c:v>
                </c:pt>
                <c:pt idx="413">
                  <c:v>73.500000</c:v>
                </c:pt>
                <c:pt idx="414">
                  <c:v>74.900000</c:v>
                </c:pt>
                <c:pt idx="415">
                  <c:v>74.500000</c:v>
                </c:pt>
                <c:pt idx="416">
                  <c:v>74.500000</c:v>
                </c:pt>
                <c:pt idx="417">
                  <c:v>73.850000</c:v>
                </c:pt>
                <c:pt idx="418">
                  <c:v>74.550000</c:v>
                </c:pt>
                <c:pt idx="419">
                  <c:v>74.200000</c:v>
                </c:pt>
                <c:pt idx="420">
                  <c:v>74.200000</c:v>
                </c:pt>
                <c:pt idx="421">
                  <c:v>74.550000</c:v>
                </c:pt>
                <c:pt idx="422">
                  <c:v>74.550000</c:v>
                </c:pt>
                <c:pt idx="423">
                  <c:v>74.050000</c:v>
                </c:pt>
                <c:pt idx="424">
                  <c:v>74.200000</c:v>
                </c:pt>
                <c:pt idx="425">
                  <c:v>74.200000</c:v>
                </c:pt>
                <c:pt idx="426">
                  <c:v>74.150000</c:v>
                </c:pt>
                <c:pt idx="427">
                  <c:v>74.150000</c:v>
                </c:pt>
                <c:pt idx="429">
                  <c:v>74.950000</c:v>
                </c:pt>
                <c:pt idx="430">
                  <c:v>75.900000</c:v>
                </c:pt>
                <c:pt idx="431">
                  <c:v>75.900000</c:v>
                </c:pt>
                <c:pt idx="432">
                  <c:v>76.100000</c:v>
                </c:pt>
                <c:pt idx="433">
                  <c:v>75.600000</c:v>
                </c:pt>
                <c:pt idx="434">
                  <c:v>75.300000</c:v>
                </c:pt>
                <c:pt idx="435">
                  <c:v>74.900000</c:v>
                </c:pt>
                <c:pt idx="436">
                  <c:v>75.550000</c:v>
                </c:pt>
                <c:pt idx="437">
                  <c:v>76.700000</c:v>
                </c:pt>
                <c:pt idx="438">
                  <c:v>77.600000</c:v>
                </c:pt>
                <c:pt idx="439">
                  <c:v>77.200000</c:v>
                </c:pt>
                <c:pt idx="440">
                  <c:v>77.150000</c:v>
                </c:pt>
                <c:pt idx="441">
                  <c:v>75.650000</c:v>
                </c:pt>
                <c:pt idx="442">
                  <c:v>75.500000</c:v>
                </c:pt>
                <c:pt idx="443">
                  <c:v>75.450000</c:v>
                </c:pt>
                <c:pt idx="444">
                  <c:v>76.750000</c:v>
                </c:pt>
                <c:pt idx="445">
                  <c:v>76.600000</c:v>
                </c:pt>
                <c:pt idx="446">
                  <c:v>76.200000</c:v>
                </c:pt>
                <c:pt idx="447">
                  <c:v>76.550000</c:v>
                </c:pt>
                <c:pt idx="448">
                  <c:v>76.500000</c:v>
                </c:pt>
                <c:pt idx="449">
                  <c:v>76.500000</c:v>
                </c:pt>
                <c:pt idx="450">
                  <c:v>76.750000</c:v>
                </c:pt>
                <c:pt idx="451">
                  <c:v>78.200000</c:v>
                </c:pt>
                <c:pt idx="452">
                  <c:v>78.800000</c:v>
                </c:pt>
                <c:pt idx="453">
                  <c:v>78.500000</c:v>
                </c:pt>
                <c:pt idx="454">
                  <c:v>78.500000</c:v>
                </c:pt>
                <c:pt idx="455">
                  <c:v>78.500000</c:v>
                </c:pt>
                <c:pt idx="456">
                  <c:v>79.000000</c:v>
                </c:pt>
                <c:pt idx="457">
                  <c:v>78.700000</c:v>
                </c:pt>
                <c:pt idx="458">
                  <c:v>78.450000</c:v>
                </c:pt>
                <c:pt idx="459">
                  <c:v>78.800000</c:v>
                </c:pt>
                <c:pt idx="461">
                  <c:v>78.800000</c:v>
                </c:pt>
                <c:pt idx="462">
                  <c:v>79.100000</c:v>
                </c:pt>
                <c:pt idx="463">
                  <c:v>78.450000</c:v>
                </c:pt>
                <c:pt idx="464">
                  <c:v>78.450000</c:v>
                </c:pt>
                <c:pt idx="465">
                  <c:v>79.200000</c:v>
                </c:pt>
                <c:pt idx="467">
                  <c:v>78.100000</c:v>
                </c:pt>
                <c:pt idx="468">
                  <c:v>78.150000</c:v>
                </c:pt>
                <c:pt idx="469">
                  <c:v>78.150000</c:v>
                </c:pt>
                <c:pt idx="470">
                  <c:v>78.100000</c:v>
                </c:pt>
                <c:pt idx="471">
                  <c:v>78.450000</c:v>
                </c:pt>
                <c:pt idx="472">
                  <c:v>78.800000</c:v>
                </c:pt>
                <c:pt idx="473">
                  <c:v>78.450000</c:v>
                </c:pt>
                <c:pt idx="474">
                  <c:v>76.000000</c:v>
                </c:pt>
                <c:pt idx="475">
                  <c:v>76.000000</c:v>
                </c:pt>
                <c:pt idx="476">
                  <c:v>77.100000</c:v>
                </c:pt>
                <c:pt idx="477">
                  <c:v>78.000000</c:v>
                </c:pt>
                <c:pt idx="478">
                  <c:v>77.200000</c:v>
                </c:pt>
                <c:pt idx="479">
                  <c:v>77.200000</c:v>
                </c:pt>
                <c:pt idx="480">
                  <c:v>76.800000</c:v>
                </c:pt>
                <c:pt idx="481">
                  <c:v>77.750000</c:v>
                </c:pt>
                <c:pt idx="482">
                  <c:v>77.400000</c:v>
                </c:pt>
                <c:pt idx="483">
                  <c:v>77.650000</c:v>
                </c:pt>
                <c:pt idx="484">
                  <c:v>77.700000</c:v>
                </c:pt>
                <c:pt idx="485">
                  <c:v>78.150000</c:v>
                </c:pt>
                <c:pt idx="486">
                  <c:v>78.550000</c:v>
                </c:pt>
                <c:pt idx="487">
                  <c:v>78.900000</c:v>
                </c:pt>
                <c:pt idx="488">
                  <c:v>78.900000</c:v>
                </c:pt>
                <c:pt idx="489">
                  <c:v>79.300000</c:v>
                </c:pt>
                <c:pt idx="490">
                  <c:v>79.300000</c:v>
                </c:pt>
                <c:pt idx="491">
                  <c:v>79.600000</c:v>
                </c:pt>
                <c:pt idx="492">
                  <c:v>79.100000</c:v>
                </c:pt>
                <c:pt idx="493">
                  <c:v>78.750000</c:v>
                </c:pt>
                <c:pt idx="494">
                  <c:v>77.650000</c:v>
                </c:pt>
                <c:pt idx="495">
                  <c:v>78.100000</c:v>
                </c:pt>
                <c:pt idx="496">
                  <c:v>79.100000</c:v>
                </c:pt>
                <c:pt idx="497">
                  <c:v>79.050000</c:v>
                </c:pt>
                <c:pt idx="498">
                  <c:v>79.350000</c:v>
                </c:pt>
                <c:pt idx="499">
                  <c:v>79.550000</c:v>
                </c:pt>
                <c:pt idx="500">
                  <c:v>80.000000</c:v>
                </c:pt>
                <c:pt idx="501">
                  <c:v>79.600000</c:v>
                </c:pt>
                <c:pt idx="502">
                  <c:v>79.800000</c:v>
                </c:pt>
                <c:pt idx="503">
                  <c:v>79.250000</c:v>
                </c:pt>
                <c:pt idx="504">
                  <c:v>79.800000</c:v>
                </c:pt>
                <c:pt idx="505">
                  <c:v>79.600000</c:v>
                </c:pt>
                <c:pt idx="506">
                  <c:v>79.750000</c:v>
                </c:pt>
                <c:pt idx="507">
                  <c:v>79.950000</c:v>
                </c:pt>
                <c:pt idx="508">
                  <c:v>80.000000</c:v>
                </c:pt>
                <c:pt idx="509">
                  <c:v>80.150000</c:v>
                </c:pt>
                <c:pt idx="510">
                  <c:v>80.350000</c:v>
                </c:pt>
                <c:pt idx="511">
                  <c:v>80.300000</c:v>
                </c:pt>
                <c:pt idx="512">
                  <c:v>80.550000</c:v>
                </c:pt>
                <c:pt idx="513">
                  <c:v>80.700000</c:v>
                </c:pt>
                <c:pt idx="514">
                  <c:v>80.850000</c:v>
                </c:pt>
                <c:pt idx="515">
                  <c:v>81.000000</c:v>
                </c:pt>
                <c:pt idx="516">
                  <c:v>81.150000</c:v>
                </c:pt>
                <c:pt idx="517">
                  <c:v>81.300000</c:v>
                </c:pt>
                <c:pt idx="518">
                  <c:v>81.450000</c:v>
                </c:pt>
                <c:pt idx="519">
                  <c:v>81.300000</c:v>
                </c:pt>
                <c:pt idx="520">
                  <c:v>81.600000</c:v>
                </c:pt>
                <c:pt idx="521">
                  <c:v>81.050000</c:v>
                </c:pt>
                <c:pt idx="522">
                  <c:v>81.100000</c:v>
                </c:pt>
                <c:pt idx="523">
                  <c:v>80.650000</c:v>
                </c:pt>
                <c:pt idx="524">
                  <c:v>81.200000</c:v>
                </c:pt>
                <c:pt idx="525">
                  <c:v>80.800000</c:v>
                </c:pt>
                <c:pt idx="526">
                  <c:v>80.500000</c:v>
                </c:pt>
                <c:pt idx="527">
                  <c:v>80.500000</c:v>
                </c:pt>
                <c:pt idx="528">
                  <c:v>80.600000</c:v>
                </c:pt>
                <c:pt idx="529">
                  <c:v>80.900000</c:v>
                </c:pt>
                <c:pt idx="530">
                  <c:v>79.300000</c:v>
                </c:pt>
                <c:pt idx="531">
                  <c:v>79.400000</c:v>
                </c:pt>
                <c:pt idx="532">
                  <c:v>79.900000</c:v>
                </c:pt>
                <c:pt idx="533">
                  <c:v>80.150000</c:v>
                </c:pt>
                <c:pt idx="534">
                  <c:v>80.850000</c:v>
                </c:pt>
                <c:pt idx="535">
                  <c:v>80.850000</c:v>
                </c:pt>
                <c:pt idx="536">
                  <c:v>81.000000</c:v>
                </c:pt>
                <c:pt idx="537">
                  <c:v>81.000000</c:v>
                </c:pt>
                <c:pt idx="538">
                  <c:v>81.350000</c:v>
                </c:pt>
                <c:pt idx="539">
                  <c:v>81.000000</c:v>
                </c:pt>
                <c:pt idx="540">
                  <c:v>80.700000</c:v>
                </c:pt>
                <c:pt idx="544">
                  <c:v>80.600000</c:v>
                </c:pt>
                <c:pt idx="545">
                  <c:v>80.400000</c:v>
                </c:pt>
                <c:pt idx="546">
                  <c:v>80.600000</c:v>
                </c:pt>
                <c:pt idx="547">
                  <c:v>81.400000</c:v>
                </c:pt>
                <c:pt idx="548">
                  <c:v>81.400000</c:v>
                </c:pt>
                <c:pt idx="549">
                  <c:v>81.700000</c:v>
                </c:pt>
                <c:pt idx="550">
                  <c:v>81.200000</c:v>
                </c:pt>
                <c:pt idx="551">
                  <c:v>81.500000</c:v>
                </c:pt>
                <c:pt idx="552">
                  <c:v>81.300000</c:v>
                </c:pt>
                <c:pt idx="553">
                  <c:v>81.200000</c:v>
                </c:pt>
                <c:pt idx="554">
                  <c:v>81.200000</c:v>
                </c:pt>
                <c:pt idx="555">
                  <c:v>80.950000</c:v>
                </c:pt>
                <c:pt idx="556">
                  <c:v>81.850000</c:v>
                </c:pt>
                <c:pt idx="557">
                  <c:v>81.450000</c:v>
                </c:pt>
                <c:pt idx="558">
                  <c:v>81.450000</c:v>
                </c:pt>
                <c:pt idx="559">
                  <c:v>81.900000</c:v>
                </c:pt>
                <c:pt idx="560">
                  <c:v>81.750000</c:v>
                </c:pt>
                <c:pt idx="561">
                  <c:v>82.050000</c:v>
                </c:pt>
                <c:pt idx="562">
                  <c:v>81.550000</c:v>
                </c:pt>
                <c:pt idx="563">
                  <c:v>81.600000</c:v>
                </c:pt>
                <c:pt idx="564">
                  <c:v>81.750000</c:v>
                </c:pt>
                <c:pt idx="565">
                  <c:v>82.100000</c:v>
                </c:pt>
                <c:pt idx="566">
                  <c:v>81.750000</c:v>
                </c:pt>
                <c:pt idx="567">
                  <c:v>82.100000</c:v>
                </c:pt>
                <c:pt idx="568">
                  <c:v>81.400000</c:v>
                </c:pt>
                <c:pt idx="569">
                  <c:v>80.800000</c:v>
                </c:pt>
                <c:pt idx="570">
                  <c:v>80.500000</c:v>
                </c:pt>
                <c:pt idx="571">
                  <c:v>80.800000</c:v>
                </c:pt>
                <c:pt idx="572">
                  <c:v>79.800000</c:v>
                </c:pt>
                <c:pt idx="573">
                  <c:v>80.150000</c:v>
                </c:pt>
                <c:pt idx="574">
                  <c:v>80.900000</c:v>
                </c:pt>
                <c:pt idx="575">
                  <c:v>80.900000</c:v>
                </c:pt>
                <c:pt idx="576">
                  <c:v>81.400000</c:v>
                </c:pt>
                <c:pt idx="577">
                  <c:v>81.500000</c:v>
                </c:pt>
                <c:pt idx="578">
                  <c:v>81.800000</c:v>
                </c:pt>
                <c:pt idx="579">
                  <c:v>82.150000</c:v>
                </c:pt>
                <c:pt idx="580">
                  <c:v>81.650000</c:v>
                </c:pt>
                <c:pt idx="581">
                  <c:v>81.500000</c:v>
                </c:pt>
                <c:pt idx="582">
                  <c:v>81.500000</c:v>
                </c:pt>
                <c:pt idx="583">
                  <c:v>81.500000</c:v>
                </c:pt>
                <c:pt idx="584">
                  <c:v>81.800000</c:v>
                </c:pt>
                <c:pt idx="585">
                  <c:v>82.000000</c:v>
                </c:pt>
                <c:pt idx="586">
                  <c:v>82.000000</c:v>
                </c:pt>
                <c:pt idx="587">
                  <c:v>82.000000</c:v>
                </c:pt>
                <c:pt idx="588">
                  <c:v>81.450000</c:v>
                </c:pt>
                <c:pt idx="589">
                  <c:v>81.450000</c:v>
                </c:pt>
                <c:pt idx="590">
                  <c:v>81.450000</c:v>
                </c:pt>
                <c:pt idx="591">
                  <c:v>81.450000</c:v>
                </c:pt>
                <c:pt idx="592">
                  <c:v>81.450000</c:v>
                </c:pt>
                <c:pt idx="594">
                  <c:v>80.100000</c:v>
                </c:pt>
                <c:pt idx="628">
                  <c:v>81.500000</c:v>
                </c:pt>
                <c:pt idx="629">
                  <c:v>82.250000</c:v>
                </c:pt>
                <c:pt idx="630">
                  <c:v>81.500000</c:v>
                </c:pt>
                <c:pt idx="631">
                  <c:v>81.500000</c:v>
                </c:pt>
                <c:pt idx="632">
                  <c:v>81.200000</c:v>
                </c:pt>
                <c:pt idx="633">
                  <c:v>81.900000</c:v>
                </c:pt>
                <c:pt idx="634">
                  <c:v>81.900000</c:v>
                </c:pt>
                <c:pt idx="635">
                  <c:v>81.900000</c:v>
                </c:pt>
                <c:pt idx="636">
                  <c:v>81.900000</c:v>
                </c:pt>
                <c:pt idx="637">
                  <c:v>81.500000</c:v>
                </c:pt>
                <c:pt idx="638">
                  <c:v>81.500000</c:v>
                </c:pt>
                <c:pt idx="639">
                  <c:v>81.500000</c:v>
                </c:pt>
                <c:pt idx="640">
                  <c:v>81.500000</c:v>
                </c:pt>
                <c:pt idx="641">
                  <c:v>81.500000</c:v>
                </c:pt>
                <c:pt idx="642">
                  <c:v>81.500000</c:v>
                </c:pt>
                <c:pt idx="643">
                  <c:v>81.800000</c:v>
                </c:pt>
                <c:pt idx="644">
                  <c:v>82.400000</c:v>
                </c:pt>
                <c:pt idx="645">
                  <c:v>81.800000</c:v>
                </c:pt>
                <c:pt idx="646">
                  <c:v>82.100000</c:v>
                </c:pt>
                <c:pt idx="647">
                  <c:v>81.800000</c:v>
                </c:pt>
                <c:pt idx="648">
                  <c:v>81.800000</c:v>
                </c:pt>
                <c:pt idx="649">
                  <c:v>81.500000</c:v>
                </c:pt>
                <c:pt idx="650">
                  <c:v>81.500000</c:v>
                </c:pt>
                <c:pt idx="651">
                  <c:v>81.500000</c:v>
                </c:pt>
                <c:pt idx="652">
                  <c:v>81.100000</c:v>
                </c:pt>
                <c:pt idx="653">
                  <c:v>81.100000</c:v>
                </c:pt>
                <c:pt idx="654">
                  <c:v>80.800000</c:v>
                </c:pt>
                <c:pt idx="655">
                  <c:v>81.100000</c:v>
                </c:pt>
                <c:pt idx="656">
                  <c:v>80.800000</c:v>
                </c:pt>
                <c:pt idx="657">
                  <c:v>80.800000</c:v>
                </c:pt>
                <c:pt idx="659">
                  <c:v>79.700000</c:v>
                </c:pt>
                <c:pt idx="660">
                  <c:v>80.800000</c:v>
                </c:pt>
                <c:pt idx="661">
                  <c:v>80.400000</c:v>
                </c:pt>
                <c:pt idx="662">
                  <c:v>80.050000</c:v>
                </c:pt>
                <c:pt idx="663">
                  <c:v>80.400000</c:v>
                </c:pt>
                <c:pt idx="664">
                  <c:v>80.800000</c:v>
                </c:pt>
                <c:pt idx="665">
                  <c:v>80.800000</c:v>
                </c:pt>
                <c:pt idx="666">
                  <c:v>81.200000</c:v>
                </c:pt>
                <c:pt idx="667">
                  <c:v>81.200000</c:v>
                </c:pt>
                <c:pt idx="668">
                  <c:v>80.450000</c:v>
                </c:pt>
                <c:pt idx="669">
                  <c:v>80.450000</c:v>
                </c:pt>
                <c:pt idx="670">
                  <c:v>80.000000</c:v>
                </c:pt>
                <c:pt idx="671">
                  <c:v>80.800000</c:v>
                </c:pt>
                <c:pt idx="673">
                  <c:v>80.000000</c:v>
                </c:pt>
                <c:pt idx="674">
                  <c:v>80.350000</c:v>
                </c:pt>
                <c:pt idx="676">
                  <c:v>80.350000</c:v>
                </c:pt>
                <c:pt idx="677">
                  <c:v>80.900000</c:v>
                </c:pt>
                <c:pt idx="678">
                  <c:v>80.900000</c:v>
                </c:pt>
                <c:pt idx="679">
                  <c:v>80.350000</c:v>
                </c:pt>
                <c:pt idx="680">
                  <c:v>81.200000</c:v>
                </c:pt>
                <c:pt idx="681">
                  <c:v>80.850000</c:v>
                </c:pt>
                <c:pt idx="682">
                  <c:v>80.350000</c:v>
                </c:pt>
                <c:pt idx="683">
                  <c:v>80.350000</c:v>
                </c:pt>
                <c:pt idx="684">
                  <c:v>80.500000</c:v>
                </c:pt>
                <c:pt idx="685">
                  <c:v>80.350000</c:v>
                </c:pt>
                <c:pt idx="686">
                  <c:v>80.350000</c:v>
                </c:pt>
                <c:pt idx="687">
                  <c:v>80.250000</c:v>
                </c:pt>
                <c:pt idx="688">
                  <c:v>80.250000</c:v>
                </c:pt>
                <c:pt idx="689">
                  <c:v>80.250000</c:v>
                </c:pt>
                <c:pt idx="692">
                  <c:v>80.550000</c:v>
                </c:pt>
                <c:pt idx="693">
                  <c:v>80.550000</c:v>
                </c:pt>
                <c:pt idx="694">
                  <c:v>80.550000</c:v>
                </c:pt>
                <c:pt idx="695">
                  <c:v>80.000000</c:v>
                </c:pt>
                <c:pt idx="696">
                  <c:v>80.050000</c:v>
                </c:pt>
                <c:pt idx="698">
                  <c:v>80.050000</c:v>
                </c:pt>
                <c:pt idx="699">
                  <c:v>80.600000</c:v>
                </c:pt>
                <c:pt idx="700">
                  <c:v>80.600000</c:v>
                </c:pt>
                <c:pt idx="701">
                  <c:v>80.600000</c:v>
                </c:pt>
                <c:pt idx="702">
                  <c:v>80.600000</c:v>
                </c:pt>
                <c:pt idx="703">
                  <c:v>80.200000</c:v>
                </c:pt>
                <c:pt idx="704">
                  <c:v>80.900000</c:v>
                </c:pt>
                <c:pt idx="705">
                  <c:v>81.300000</c:v>
                </c:pt>
                <c:pt idx="706">
                  <c:v>80.800000</c:v>
                </c:pt>
                <c:pt idx="707">
                  <c:v>80.800000</c:v>
                </c:pt>
                <c:pt idx="708">
                  <c:v>80.500000</c:v>
                </c:pt>
                <c:pt idx="709">
                  <c:v>80.500000</c:v>
                </c:pt>
                <c:pt idx="710">
                  <c:v>81.200000</c:v>
                </c:pt>
                <c:pt idx="712">
                  <c:v>80.900000</c:v>
                </c:pt>
                <c:pt idx="713">
                  <c:v>81.750000</c:v>
                </c:pt>
                <c:pt idx="714">
                  <c:v>81.450000</c:v>
                </c:pt>
                <c:pt idx="715">
                  <c:v>80.400000</c:v>
                </c:pt>
                <c:pt idx="716">
                  <c:v>80.950000</c:v>
                </c:pt>
                <c:pt idx="717">
                  <c:v>82.350000</c:v>
                </c:pt>
                <c:pt idx="718">
                  <c:v>81.600000</c:v>
                </c:pt>
                <c:pt idx="719">
                  <c:v>81.600000</c:v>
                </c:pt>
                <c:pt idx="720">
                  <c:v>81.600000</c:v>
                </c:pt>
                <c:pt idx="721">
                  <c:v>81.050000</c:v>
                </c:pt>
                <c:pt idx="722">
                  <c:v>80.650000</c:v>
                </c:pt>
                <c:pt idx="723">
                  <c:v>80.650000</c:v>
                </c:pt>
                <c:pt idx="724">
                  <c:v>80.650000</c:v>
                </c:pt>
                <c:pt idx="725">
                  <c:v>80.650000</c:v>
                </c:pt>
                <c:pt idx="726">
                  <c:v>80.150000</c:v>
                </c:pt>
                <c:pt idx="727">
                  <c:v>80.150000</c:v>
                </c:pt>
                <c:pt idx="728">
                  <c:v>80.150000</c:v>
                </c:pt>
                <c:pt idx="729">
                  <c:v>80.850000</c:v>
                </c:pt>
                <c:pt idx="730">
                  <c:v>80.850000</c:v>
                </c:pt>
                <c:pt idx="731">
                  <c:v>81.300000</c:v>
                </c:pt>
                <c:pt idx="732">
                  <c:v>80.850000</c:v>
                </c:pt>
                <c:pt idx="734">
                  <c:v>80.400000</c:v>
                </c:pt>
                <c:pt idx="735">
                  <c:v>80.850000</c:v>
                </c:pt>
                <c:pt idx="736">
                  <c:v>80.850000</c:v>
                </c:pt>
                <c:pt idx="737">
                  <c:v>80.850000</c:v>
                </c:pt>
                <c:pt idx="738">
                  <c:v>80.850000</c:v>
                </c:pt>
                <c:pt idx="739">
                  <c:v>80.850000</c:v>
                </c:pt>
                <c:pt idx="740">
                  <c:v>80.000000</c:v>
                </c:pt>
                <c:pt idx="741">
                  <c:v>80.750000</c:v>
                </c:pt>
                <c:pt idx="742">
                  <c:v>81.250000</c:v>
                </c:pt>
                <c:pt idx="743">
                  <c:v>81.300000</c:v>
                </c:pt>
                <c:pt idx="744">
                  <c:v>81.300000</c:v>
                </c:pt>
                <c:pt idx="745">
                  <c:v>81.300000</c:v>
                </c:pt>
                <c:pt idx="746">
                  <c:v>81.300000</c:v>
                </c:pt>
                <c:pt idx="748">
                  <c:v>81.300000</c:v>
                </c:pt>
                <c:pt idx="749">
                  <c:v>81.000000</c:v>
                </c:pt>
                <c:pt idx="750">
                  <c:v>81.600000</c:v>
                </c:pt>
                <c:pt idx="751">
                  <c:v>81.600000</c:v>
                </c:pt>
                <c:pt idx="752">
                  <c:v>81.600000</c:v>
                </c:pt>
                <c:pt idx="753">
                  <c:v>81.000000</c:v>
                </c:pt>
                <c:pt idx="754">
                  <c:v>81.000000</c:v>
                </c:pt>
                <c:pt idx="755">
                  <c:v>81.000000</c:v>
                </c:pt>
                <c:pt idx="756">
                  <c:v>80.650000</c:v>
                </c:pt>
                <c:pt idx="759">
                  <c:v>80.650000</c:v>
                </c:pt>
                <c:pt idx="760">
                  <c:v>81.000000</c:v>
                </c:pt>
                <c:pt idx="763">
                  <c:v>81.000000</c:v>
                </c:pt>
                <c:pt idx="764">
                  <c:v>80.650000</c:v>
                </c:pt>
                <c:pt idx="765">
                  <c:v>81.000000</c:v>
                </c:pt>
                <c:pt idx="766">
                  <c:v>81.000000</c:v>
                </c:pt>
                <c:pt idx="767">
                  <c:v>81.600000</c:v>
                </c:pt>
                <c:pt idx="768">
                  <c:v>81.600000</c:v>
                </c:pt>
                <c:pt idx="770">
                  <c:v>81.600000</c:v>
                </c:pt>
                <c:pt idx="771">
                  <c:v>81.600000</c:v>
                </c:pt>
                <c:pt idx="772">
                  <c:v>81.950000</c:v>
                </c:pt>
                <c:pt idx="773">
                  <c:v>81.950000</c:v>
                </c:pt>
                <c:pt idx="774">
                  <c:v>81.950000</c:v>
                </c:pt>
                <c:pt idx="775">
                  <c:v>81.600000</c:v>
                </c:pt>
                <c:pt idx="776">
                  <c:v>82.000000</c:v>
                </c:pt>
                <c:pt idx="777">
                  <c:v>81.600000</c:v>
                </c:pt>
                <c:pt idx="778">
                  <c:v>81.950000</c:v>
                </c:pt>
                <c:pt idx="779">
                  <c:v>81.950000</c:v>
                </c:pt>
                <c:pt idx="780">
                  <c:v>81.950000</c:v>
                </c:pt>
                <c:pt idx="781">
                  <c:v>81.600000</c:v>
                </c:pt>
                <c:pt idx="782">
                  <c:v>81.950000</c:v>
                </c:pt>
                <c:pt idx="783">
                  <c:v>81.600000</c:v>
                </c:pt>
                <c:pt idx="784">
                  <c:v>81.950000</c:v>
                </c:pt>
                <c:pt idx="785">
                  <c:v>81.950000</c:v>
                </c:pt>
                <c:pt idx="786">
                  <c:v>82.500000</c:v>
                </c:pt>
                <c:pt idx="787">
                  <c:v>81.950000</c:v>
                </c:pt>
                <c:pt idx="788">
                  <c:v>82.450000</c:v>
                </c:pt>
                <c:pt idx="789">
                  <c:v>82.850000</c:v>
                </c:pt>
                <c:pt idx="790">
                  <c:v>82.800000</c:v>
                </c:pt>
                <c:pt idx="791">
                  <c:v>82.350000</c:v>
                </c:pt>
                <c:pt idx="792">
                  <c:v>82.800000</c:v>
                </c:pt>
                <c:pt idx="793">
                  <c:v>82.800000</c:v>
                </c:pt>
                <c:pt idx="794">
                  <c:v>83.100000</c:v>
                </c:pt>
                <c:pt idx="795">
                  <c:v>84.000000</c:v>
                </c:pt>
                <c:pt idx="796">
                  <c:v>83.700000</c:v>
                </c:pt>
                <c:pt idx="797">
                  <c:v>83.200000</c:v>
                </c:pt>
                <c:pt idx="798">
                  <c:v>84.000000</c:v>
                </c:pt>
                <c:pt idx="799">
                  <c:v>83.700000</c:v>
                </c:pt>
                <c:pt idx="800">
                  <c:v>83.200000</c:v>
                </c:pt>
                <c:pt idx="801">
                  <c:v>82.900000</c:v>
                </c:pt>
                <c:pt idx="803">
                  <c:v>83.600000</c:v>
                </c:pt>
                <c:pt idx="804">
                  <c:v>84.000000</c:v>
                </c:pt>
                <c:pt idx="805">
                  <c:v>83.300000</c:v>
                </c:pt>
                <c:pt idx="806">
                  <c:v>83.300000</c:v>
                </c:pt>
                <c:pt idx="807">
                  <c:v>83.300000</c:v>
                </c:pt>
                <c:pt idx="808">
                  <c:v>82.950000</c:v>
                </c:pt>
                <c:pt idx="809">
                  <c:v>82.950000</c:v>
                </c:pt>
                <c:pt idx="810">
                  <c:v>83.300000</c:v>
                </c:pt>
                <c:pt idx="811">
                  <c:v>84.000000</c:v>
                </c:pt>
                <c:pt idx="812">
                  <c:v>82.950000</c:v>
                </c:pt>
                <c:pt idx="813">
                  <c:v>82.950000</c:v>
                </c:pt>
                <c:pt idx="814">
                  <c:v>82.950000</c:v>
                </c:pt>
                <c:pt idx="815">
                  <c:v>82.950000</c:v>
                </c:pt>
                <c:pt idx="816">
                  <c:v>83.650000</c:v>
                </c:pt>
                <c:pt idx="817">
                  <c:v>83.650000</c:v>
                </c:pt>
                <c:pt idx="818">
                  <c:v>84.050000</c:v>
                </c:pt>
                <c:pt idx="819">
                  <c:v>83.650000</c:v>
                </c:pt>
                <c:pt idx="820">
                  <c:v>84.050000</c:v>
                </c:pt>
                <c:pt idx="821">
                  <c:v>83.650000</c:v>
                </c:pt>
                <c:pt idx="822">
                  <c:v>83.650000</c:v>
                </c:pt>
                <c:pt idx="823">
                  <c:v>83.000000</c:v>
                </c:pt>
                <c:pt idx="824">
                  <c:v>84.000000</c:v>
                </c:pt>
                <c:pt idx="825">
                  <c:v>84.450000</c:v>
                </c:pt>
                <c:pt idx="826">
                  <c:v>84.450000</c:v>
                </c:pt>
                <c:pt idx="827">
                  <c:v>83.600000</c:v>
                </c:pt>
                <c:pt idx="828">
                  <c:v>83.600000</c:v>
                </c:pt>
                <c:pt idx="829">
                  <c:v>83.900000</c:v>
                </c:pt>
                <c:pt idx="830">
                  <c:v>84.400000</c:v>
                </c:pt>
                <c:pt idx="831">
                  <c:v>84.400000</c:v>
                </c:pt>
                <c:pt idx="833">
                  <c:v>84.050000</c:v>
                </c:pt>
                <c:pt idx="834">
                  <c:v>84.900000</c:v>
                </c:pt>
                <c:pt idx="835">
                  <c:v>84.900000</c:v>
                </c:pt>
                <c:pt idx="836">
                  <c:v>84.900000</c:v>
                </c:pt>
                <c:pt idx="837">
                  <c:v>84.900000</c:v>
                </c:pt>
                <c:pt idx="838">
                  <c:v>84.900000</c:v>
                </c:pt>
                <c:pt idx="840">
                  <c:v>84.900000</c:v>
                </c:pt>
                <c:pt idx="841">
                  <c:v>84.900000</c:v>
                </c:pt>
                <c:pt idx="842">
                  <c:v>85.200000</c:v>
                </c:pt>
                <c:pt idx="843">
                  <c:v>85.550000</c:v>
                </c:pt>
                <c:pt idx="844">
                  <c:v>85.200000</c:v>
                </c:pt>
                <c:pt idx="845">
                  <c:v>85.200000</c:v>
                </c:pt>
                <c:pt idx="846">
                  <c:v>84.900000</c:v>
                </c:pt>
                <c:pt idx="847">
                  <c:v>84.900000</c:v>
                </c:pt>
                <c:pt idx="848">
                  <c:v>85.550000</c:v>
                </c:pt>
                <c:pt idx="849">
                  <c:v>85.200000</c:v>
                </c:pt>
                <c:pt idx="850">
                  <c:v>84.900000</c:v>
                </c:pt>
                <c:pt idx="851">
                  <c:v>86.250000</c:v>
                </c:pt>
                <c:pt idx="852">
                  <c:v>86.250000</c:v>
                </c:pt>
                <c:pt idx="853">
                  <c:v>85.200000</c:v>
                </c:pt>
                <c:pt idx="854">
                  <c:v>85.500000</c:v>
                </c:pt>
                <c:pt idx="855">
                  <c:v>85.800000</c:v>
                </c:pt>
                <c:pt idx="856">
                  <c:v>85.000000</c:v>
                </c:pt>
                <c:pt idx="857">
                  <c:v>85.400000</c:v>
                </c:pt>
                <c:pt idx="858">
                  <c:v>85.400000</c:v>
                </c:pt>
                <c:pt idx="859">
                  <c:v>85.400000</c:v>
                </c:pt>
                <c:pt idx="860">
                  <c:v>85.400000</c:v>
                </c:pt>
                <c:pt idx="861">
                  <c:v>85.000000</c:v>
                </c:pt>
                <c:pt idx="862">
                  <c:v>85.400000</c:v>
                </c:pt>
                <c:pt idx="863">
                  <c:v>85.400000</c:v>
                </c:pt>
                <c:pt idx="864">
                  <c:v>85.400000</c:v>
                </c:pt>
                <c:pt idx="867">
                  <c:v>85.700000</c:v>
                </c:pt>
                <c:pt idx="868">
                  <c:v>86.100000</c:v>
                </c:pt>
                <c:pt idx="869">
                  <c:v>86.100000</c:v>
                </c:pt>
                <c:pt idx="870">
                  <c:v>86.100000</c:v>
                </c:pt>
                <c:pt idx="871">
                  <c:v>86.100000</c:v>
                </c:pt>
                <c:pt idx="873">
                  <c:v>85.450000</c:v>
                </c:pt>
                <c:pt idx="874">
                  <c:v>85.450000</c:v>
                </c:pt>
                <c:pt idx="875">
                  <c:v>85.450000</c:v>
                </c:pt>
                <c:pt idx="876">
                  <c:v>85.150000</c:v>
                </c:pt>
                <c:pt idx="877">
                  <c:v>84.850000</c:v>
                </c:pt>
                <c:pt idx="878">
                  <c:v>85.150000</c:v>
                </c:pt>
                <c:pt idx="879">
                  <c:v>85.150000</c:v>
                </c:pt>
                <c:pt idx="880">
                  <c:v>85.150000</c:v>
                </c:pt>
                <c:pt idx="881">
                  <c:v>84.300000</c:v>
                </c:pt>
                <c:pt idx="882">
                  <c:v>84.300000</c:v>
                </c:pt>
                <c:pt idx="883">
                  <c:v>84.300000</c:v>
                </c:pt>
                <c:pt idx="884">
                  <c:v>84.300000</c:v>
                </c:pt>
                <c:pt idx="885">
                  <c:v>84.000000</c:v>
                </c:pt>
                <c:pt idx="887">
                  <c:v>84.300000</c:v>
                </c:pt>
                <c:pt idx="888">
                  <c:v>84.300000</c:v>
                </c:pt>
              </c:numCache>
            </c:numRef>
          </c:val>
          <c:smooth val="0"/>
        </c:ser>
        <c:ser>
          <c:idx val="1"/>
          <c:order val="1"/>
          <c:tx>
            <c:strRef>
              <c:f>'tracking - Table 3-1'!$D$1</c:f>
              <c:strCache>
                <c:ptCount val="1"/>
                <c:pt idx="0">
                  <c:v>7-day</c:v>
                </c:pt>
              </c:strCache>
            </c:strRef>
          </c:tx>
          <c:spPr>
            <a:solidFill>
              <a:srgbClr val="51A7F9">
                <a:alpha val="75792"/>
              </a:srgbClr>
            </a:solidFill>
            <a:ln w="25400" cap="flat">
              <a:noFill/>
              <a:miter lim="400000"/>
            </a:ln>
            <a:effectLst/>
          </c:spPr>
          <c:marker>
            <c:symbol val="none"/>
            <c:size val="3"/>
            <c:spPr>
              <a:solidFill>
                <a:srgbClr val="51A7F9">
                  <a:alpha val="75792"/>
                </a:srgbClr>
              </a:solidFill>
              <a:ln w="50800" cap="flat">
                <a:noFill/>
                <a:miter lim="400000"/>
              </a:ln>
              <a:effectLst/>
            </c:spPr>
          </c:marker>
          <c:dLbls>
            <c:numFmt formatCode="0.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3-1'!$D$2:$D$924</c:f>
              <c:numCache>
                <c:ptCount val="730"/>
                <c:pt idx="6">
                  <c:v>69.000000</c:v>
                </c:pt>
                <c:pt idx="7">
                  <c:v>69.000000</c:v>
                </c:pt>
                <c:pt idx="8">
                  <c:v>69.000000</c:v>
                </c:pt>
                <c:pt idx="9">
                  <c:v>69.150000</c:v>
                </c:pt>
                <c:pt idx="10">
                  <c:v>69.400000</c:v>
                </c:pt>
                <c:pt idx="11">
                  <c:v>69.425000</c:v>
                </c:pt>
                <c:pt idx="12">
                  <c:v>69.550000</c:v>
                </c:pt>
                <c:pt idx="13">
                  <c:v>69.600000</c:v>
                </c:pt>
                <c:pt idx="14">
                  <c:v>69.666667</c:v>
                </c:pt>
                <c:pt idx="15">
                  <c:v>69.714286</c:v>
                </c:pt>
                <c:pt idx="16">
                  <c:v>69.800000</c:v>
                </c:pt>
                <c:pt idx="17">
                  <c:v>69.828571</c:v>
                </c:pt>
                <c:pt idx="18">
                  <c:v>69.885714</c:v>
                </c:pt>
                <c:pt idx="19">
                  <c:v>70.028571</c:v>
                </c:pt>
                <c:pt idx="20">
                  <c:v>70.114286</c:v>
                </c:pt>
                <c:pt idx="21">
                  <c:v>70.100000</c:v>
                </c:pt>
                <c:pt idx="22">
                  <c:v>70.157143</c:v>
                </c:pt>
                <c:pt idx="23">
                  <c:v>70.185714</c:v>
                </c:pt>
                <c:pt idx="24">
                  <c:v>70.157143</c:v>
                </c:pt>
                <c:pt idx="25">
                  <c:v>70.185714</c:v>
                </c:pt>
                <c:pt idx="26">
                  <c:v>70.128571</c:v>
                </c:pt>
                <c:pt idx="27">
                  <c:v>70.171429</c:v>
                </c:pt>
                <c:pt idx="28">
                  <c:v>70.300000</c:v>
                </c:pt>
                <c:pt idx="29">
                  <c:v>70.342857</c:v>
                </c:pt>
                <c:pt idx="30">
                  <c:v>70.414286</c:v>
                </c:pt>
                <c:pt idx="31">
                  <c:v>70.542857</c:v>
                </c:pt>
                <c:pt idx="32">
                  <c:v>70.657143</c:v>
                </c:pt>
                <c:pt idx="33">
                  <c:v>70.728571</c:v>
                </c:pt>
                <c:pt idx="34">
                  <c:v>70.800000</c:v>
                </c:pt>
                <c:pt idx="35">
                  <c:v>70.885714</c:v>
                </c:pt>
                <c:pt idx="36">
                  <c:v>70.971429</c:v>
                </c:pt>
                <c:pt idx="37">
                  <c:v>71.171429</c:v>
                </c:pt>
                <c:pt idx="38">
                  <c:v>71.185714</c:v>
                </c:pt>
                <c:pt idx="39">
                  <c:v>71.185714</c:v>
                </c:pt>
                <c:pt idx="40">
                  <c:v>71.242857</c:v>
                </c:pt>
                <c:pt idx="41">
                  <c:v>71.285714</c:v>
                </c:pt>
                <c:pt idx="42">
                  <c:v>71.300000</c:v>
                </c:pt>
                <c:pt idx="43">
                  <c:v>71.242857</c:v>
                </c:pt>
                <c:pt idx="44">
                  <c:v>71.142857</c:v>
                </c:pt>
                <c:pt idx="45">
                  <c:v>71.242857</c:v>
                </c:pt>
                <c:pt idx="46">
                  <c:v>71.342857</c:v>
                </c:pt>
                <c:pt idx="47">
                  <c:v>71.442857</c:v>
                </c:pt>
                <c:pt idx="48">
                  <c:v>71.485714</c:v>
                </c:pt>
                <c:pt idx="49">
                  <c:v>71.614286</c:v>
                </c:pt>
                <c:pt idx="50">
                  <c:v>71.771429</c:v>
                </c:pt>
                <c:pt idx="51">
                  <c:v>72.014286</c:v>
                </c:pt>
                <c:pt idx="52">
                  <c:v>72.142857</c:v>
                </c:pt>
                <c:pt idx="53">
                  <c:v>72.242857</c:v>
                </c:pt>
                <c:pt idx="54">
                  <c:v>72.371429</c:v>
                </c:pt>
                <c:pt idx="55">
                  <c:v>72.357143</c:v>
                </c:pt>
                <c:pt idx="56">
                  <c:v>72.285714</c:v>
                </c:pt>
                <c:pt idx="57">
                  <c:v>72.300000</c:v>
                </c:pt>
                <c:pt idx="58">
                  <c:v>72.328571</c:v>
                </c:pt>
                <c:pt idx="59">
                  <c:v>72.428571</c:v>
                </c:pt>
                <c:pt idx="60">
                  <c:v>72.528571</c:v>
                </c:pt>
                <c:pt idx="61">
                  <c:v>72.500000</c:v>
                </c:pt>
                <c:pt idx="62">
                  <c:v>72.571429</c:v>
                </c:pt>
                <c:pt idx="63">
                  <c:v>72.685714</c:v>
                </c:pt>
                <c:pt idx="64">
                  <c:v>72.857143</c:v>
                </c:pt>
                <c:pt idx="65">
                  <c:v>72.842857</c:v>
                </c:pt>
                <c:pt idx="66">
                  <c:v>72.942857</c:v>
                </c:pt>
                <c:pt idx="67">
                  <c:v>73.085714</c:v>
                </c:pt>
                <c:pt idx="68">
                  <c:v>73.242857</c:v>
                </c:pt>
                <c:pt idx="69">
                  <c:v>73.500000</c:v>
                </c:pt>
                <c:pt idx="70">
                  <c:v>73.628571</c:v>
                </c:pt>
                <c:pt idx="71">
                  <c:v>73.785714</c:v>
                </c:pt>
                <c:pt idx="72">
                  <c:v>73.957143</c:v>
                </c:pt>
                <c:pt idx="73">
                  <c:v>74.028571</c:v>
                </c:pt>
                <c:pt idx="74">
                  <c:v>74.114286</c:v>
                </c:pt>
                <c:pt idx="75">
                  <c:v>74.085714</c:v>
                </c:pt>
                <c:pt idx="76">
                  <c:v>74.042857</c:v>
                </c:pt>
                <c:pt idx="77">
                  <c:v>74.100000</c:v>
                </c:pt>
                <c:pt idx="78">
                  <c:v>74.014286</c:v>
                </c:pt>
                <c:pt idx="79">
                  <c:v>73.914286</c:v>
                </c:pt>
                <c:pt idx="80">
                  <c:v>73.828571</c:v>
                </c:pt>
                <c:pt idx="81">
                  <c:v>73.657143</c:v>
                </c:pt>
                <c:pt idx="82">
                  <c:v>73.642857</c:v>
                </c:pt>
                <c:pt idx="83">
                  <c:v>73.500000</c:v>
                </c:pt>
                <c:pt idx="84">
                  <c:v>73.357143</c:v>
                </c:pt>
                <c:pt idx="85">
                  <c:v>73.214286</c:v>
                </c:pt>
                <c:pt idx="86">
                  <c:v>73.100000</c:v>
                </c:pt>
                <c:pt idx="91">
                  <c:v>71.966667</c:v>
                </c:pt>
                <c:pt idx="92">
                  <c:v>71.800000</c:v>
                </c:pt>
                <c:pt idx="93">
                  <c:v>71.700000</c:v>
                </c:pt>
                <c:pt idx="94">
                  <c:v>71.700000</c:v>
                </c:pt>
                <c:pt idx="95">
                  <c:v>71.700000</c:v>
                </c:pt>
                <c:pt idx="98">
                  <c:v>71.760000</c:v>
                </c:pt>
                <c:pt idx="168">
                  <c:v>70.500000</c:v>
                </c:pt>
                <c:pt idx="170">
                  <c:v>70.525000</c:v>
                </c:pt>
                <c:pt idx="171">
                  <c:v>70.533333</c:v>
                </c:pt>
                <c:pt idx="172">
                  <c:v>70.437500</c:v>
                </c:pt>
                <c:pt idx="173">
                  <c:v>70.380000</c:v>
                </c:pt>
                <c:pt idx="174">
                  <c:v>70.408333</c:v>
                </c:pt>
                <c:pt idx="175">
                  <c:v>70.475000</c:v>
                </c:pt>
                <c:pt idx="176">
                  <c:v>70.407143</c:v>
                </c:pt>
                <c:pt idx="177">
                  <c:v>70.271429</c:v>
                </c:pt>
                <c:pt idx="178">
                  <c:v>70.178571</c:v>
                </c:pt>
                <c:pt idx="179">
                  <c:v>70.142857</c:v>
                </c:pt>
                <c:pt idx="182">
                  <c:v>69.940000</c:v>
                </c:pt>
                <c:pt idx="183">
                  <c:v>69.880000</c:v>
                </c:pt>
                <c:pt idx="184">
                  <c:v>69.900000</c:v>
                </c:pt>
                <c:pt idx="185">
                  <c:v>69.860000</c:v>
                </c:pt>
                <c:pt idx="186">
                  <c:v>69.820000</c:v>
                </c:pt>
                <c:pt idx="187">
                  <c:v>69.900000</c:v>
                </c:pt>
                <c:pt idx="188">
                  <c:v>69.950000</c:v>
                </c:pt>
                <c:pt idx="189">
                  <c:v>69.807143</c:v>
                </c:pt>
                <c:pt idx="190">
                  <c:v>69.814286</c:v>
                </c:pt>
                <c:pt idx="191">
                  <c:v>69.757143</c:v>
                </c:pt>
                <c:pt idx="192">
                  <c:v>69.700000</c:v>
                </c:pt>
                <c:pt idx="193">
                  <c:v>69.600000</c:v>
                </c:pt>
                <c:pt idx="194">
                  <c:v>69.414286</c:v>
                </c:pt>
                <c:pt idx="195">
                  <c:v>69.278571</c:v>
                </c:pt>
                <c:pt idx="196">
                  <c:v>69.235714</c:v>
                </c:pt>
                <c:pt idx="197">
                  <c:v>69.057143</c:v>
                </c:pt>
                <c:pt idx="198">
                  <c:v>69.014286</c:v>
                </c:pt>
                <c:pt idx="199">
                  <c:v>68.971429</c:v>
                </c:pt>
                <c:pt idx="200">
                  <c:v>68.964286</c:v>
                </c:pt>
                <c:pt idx="201">
                  <c:v>68.914286</c:v>
                </c:pt>
                <c:pt idx="202">
                  <c:v>68.828571</c:v>
                </c:pt>
                <c:pt idx="203">
                  <c:v>68.785714</c:v>
                </c:pt>
                <c:pt idx="204">
                  <c:v>68.814286</c:v>
                </c:pt>
                <c:pt idx="205">
                  <c:v>68.771429</c:v>
                </c:pt>
                <c:pt idx="206">
                  <c:v>68.728571</c:v>
                </c:pt>
                <c:pt idx="207">
                  <c:v>68.692857</c:v>
                </c:pt>
                <c:pt idx="209">
                  <c:v>68.733333</c:v>
                </c:pt>
                <c:pt idx="210">
                  <c:v>68.766667</c:v>
                </c:pt>
                <c:pt idx="211">
                  <c:v>68.766667</c:v>
                </c:pt>
                <c:pt idx="215">
                  <c:v>68.475000</c:v>
                </c:pt>
                <c:pt idx="216">
                  <c:v>68.100000</c:v>
                </c:pt>
                <c:pt idx="217">
                  <c:v>68.225000</c:v>
                </c:pt>
                <c:pt idx="218">
                  <c:v>68.400000</c:v>
                </c:pt>
                <c:pt idx="219">
                  <c:v>68.560000</c:v>
                </c:pt>
                <c:pt idx="221">
                  <c:v>68.700000</c:v>
                </c:pt>
                <c:pt idx="222">
                  <c:v>69.033333</c:v>
                </c:pt>
                <c:pt idx="225">
                  <c:v>69.525000</c:v>
                </c:pt>
                <c:pt idx="226">
                  <c:v>69.750000</c:v>
                </c:pt>
                <c:pt idx="227">
                  <c:v>69.840000</c:v>
                </c:pt>
                <c:pt idx="228">
                  <c:v>70.000000</c:v>
                </c:pt>
                <c:pt idx="229">
                  <c:v>70.160000</c:v>
                </c:pt>
                <c:pt idx="231">
                  <c:v>70.050000</c:v>
                </c:pt>
                <c:pt idx="233">
                  <c:v>69.870000</c:v>
                </c:pt>
                <c:pt idx="234">
                  <c:v>69.490000</c:v>
                </c:pt>
                <c:pt idx="235">
                  <c:v>69.110000</c:v>
                </c:pt>
                <c:pt idx="236">
                  <c:v>68.810000</c:v>
                </c:pt>
                <c:pt idx="237">
                  <c:v>68.825000</c:v>
                </c:pt>
                <c:pt idx="238">
                  <c:v>68.725000</c:v>
                </c:pt>
                <c:pt idx="241">
                  <c:v>68.730000</c:v>
                </c:pt>
                <c:pt idx="242">
                  <c:v>68.710000</c:v>
                </c:pt>
                <c:pt idx="243">
                  <c:v>68.610000</c:v>
                </c:pt>
                <c:pt idx="244">
                  <c:v>68.470000</c:v>
                </c:pt>
                <c:pt idx="245">
                  <c:v>68.330000</c:v>
                </c:pt>
                <c:pt idx="246">
                  <c:v>68.241667</c:v>
                </c:pt>
                <c:pt idx="247">
                  <c:v>68.278571</c:v>
                </c:pt>
                <c:pt idx="248">
                  <c:v>68.228571</c:v>
                </c:pt>
                <c:pt idx="249">
                  <c:v>68.414286</c:v>
                </c:pt>
                <c:pt idx="250">
                  <c:v>68.600000</c:v>
                </c:pt>
                <c:pt idx="251">
                  <c:v>68.785714</c:v>
                </c:pt>
                <c:pt idx="252">
                  <c:v>69.057143</c:v>
                </c:pt>
                <c:pt idx="253">
                  <c:v>69.342857</c:v>
                </c:pt>
                <c:pt idx="254">
                  <c:v>69.571429</c:v>
                </c:pt>
                <c:pt idx="255">
                  <c:v>69.885714</c:v>
                </c:pt>
                <c:pt idx="256">
                  <c:v>69.978571</c:v>
                </c:pt>
                <c:pt idx="257">
                  <c:v>69.992857</c:v>
                </c:pt>
                <c:pt idx="258">
                  <c:v>70.092857</c:v>
                </c:pt>
                <c:pt idx="259">
                  <c:v>70.107143</c:v>
                </c:pt>
                <c:pt idx="260">
                  <c:v>70.121429</c:v>
                </c:pt>
                <c:pt idx="261">
                  <c:v>70.200000</c:v>
                </c:pt>
                <c:pt idx="262">
                  <c:v>70.271429</c:v>
                </c:pt>
                <c:pt idx="263">
                  <c:v>70.392857</c:v>
                </c:pt>
                <c:pt idx="264">
                  <c:v>70.592857</c:v>
                </c:pt>
                <c:pt idx="265">
                  <c:v>70.707143</c:v>
                </c:pt>
                <c:pt idx="266">
                  <c:v>70.835714</c:v>
                </c:pt>
                <c:pt idx="267">
                  <c:v>71.071429</c:v>
                </c:pt>
                <c:pt idx="268">
                  <c:v>71.271429</c:v>
                </c:pt>
                <c:pt idx="269">
                  <c:v>71.471429</c:v>
                </c:pt>
                <c:pt idx="270">
                  <c:v>71.721429</c:v>
                </c:pt>
                <c:pt idx="271">
                  <c:v>71.807143</c:v>
                </c:pt>
                <c:pt idx="272">
                  <c:v>71.892857</c:v>
                </c:pt>
                <c:pt idx="273">
                  <c:v>72.007143</c:v>
                </c:pt>
                <c:pt idx="274">
                  <c:v>71.900000</c:v>
                </c:pt>
                <c:pt idx="275">
                  <c:v>71.764286</c:v>
                </c:pt>
                <c:pt idx="276">
                  <c:v>71.592857</c:v>
                </c:pt>
                <c:pt idx="277">
                  <c:v>71.357143</c:v>
                </c:pt>
                <c:pt idx="278">
                  <c:v>71.285714</c:v>
                </c:pt>
                <c:pt idx="279">
                  <c:v>71.171429</c:v>
                </c:pt>
                <c:pt idx="280">
                  <c:v>70.957143</c:v>
                </c:pt>
                <c:pt idx="281">
                  <c:v>71.042857</c:v>
                </c:pt>
                <c:pt idx="282">
                  <c:v>71.150000</c:v>
                </c:pt>
                <c:pt idx="283">
                  <c:v>71.171429</c:v>
                </c:pt>
                <c:pt idx="284">
                  <c:v>71.307143</c:v>
                </c:pt>
                <c:pt idx="285">
                  <c:v>71.314286</c:v>
                </c:pt>
                <c:pt idx="286">
                  <c:v>71.307143</c:v>
                </c:pt>
                <c:pt idx="287">
                  <c:v>71.514286</c:v>
                </c:pt>
                <c:pt idx="288">
                  <c:v>71.578571</c:v>
                </c:pt>
                <c:pt idx="289">
                  <c:v>71.692857</c:v>
                </c:pt>
                <c:pt idx="290">
                  <c:v>71.628571</c:v>
                </c:pt>
                <c:pt idx="291">
                  <c:v>71.478571</c:v>
                </c:pt>
                <c:pt idx="292">
                  <c:v>71.342857</c:v>
                </c:pt>
                <c:pt idx="293">
                  <c:v>71.578571</c:v>
                </c:pt>
                <c:pt idx="294">
                  <c:v>71.728571</c:v>
                </c:pt>
                <c:pt idx="295">
                  <c:v>71.878571</c:v>
                </c:pt>
                <c:pt idx="296">
                  <c:v>71.950000</c:v>
                </c:pt>
                <c:pt idx="297">
                  <c:v>72.200000</c:v>
                </c:pt>
                <c:pt idx="298">
                  <c:v>72.514286</c:v>
                </c:pt>
                <c:pt idx="299">
                  <c:v>72.935714</c:v>
                </c:pt>
                <c:pt idx="300">
                  <c:v>73.000000</c:v>
                </c:pt>
                <c:pt idx="301">
                  <c:v>73.100000</c:v>
                </c:pt>
                <c:pt idx="302">
                  <c:v>73.257143</c:v>
                </c:pt>
                <c:pt idx="303">
                  <c:v>73.292857</c:v>
                </c:pt>
                <c:pt idx="304">
                  <c:v>73.185714</c:v>
                </c:pt>
                <c:pt idx="305">
                  <c:v>73.178571</c:v>
                </c:pt>
                <c:pt idx="306">
                  <c:v>73.235714</c:v>
                </c:pt>
                <c:pt idx="307">
                  <c:v>73.385714</c:v>
                </c:pt>
                <c:pt idx="308">
                  <c:v>73.492857</c:v>
                </c:pt>
                <c:pt idx="309">
                  <c:v>73.550000</c:v>
                </c:pt>
                <c:pt idx="310">
                  <c:v>73.764286</c:v>
                </c:pt>
                <c:pt idx="311">
                  <c:v>74.121429</c:v>
                </c:pt>
                <c:pt idx="312">
                  <c:v>74.378571</c:v>
                </c:pt>
                <c:pt idx="313">
                  <c:v>74.500000</c:v>
                </c:pt>
                <c:pt idx="314">
                  <c:v>74.621429</c:v>
                </c:pt>
                <c:pt idx="315">
                  <c:v>74.714286</c:v>
                </c:pt>
                <c:pt idx="316">
                  <c:v>74.771429</c:v>
                </c:pt>
                <c:pt idx="317">
                  <c:v>74.757143</c:v>
                </c:pt>
                <c:pt idx="318">
                  <c:v>74.885714</c:v>
                </c:pt>
                <c:pt idx="319">
                  <c:v>74.992857</c:v>
                </c:pt>
                <c:pt idx="320">
                  <c:v>75.035714</c:v>
                </c:pt>
                <c:pt idx="321">
                  <c:v>75.114286</c:v>
                </c:pt>
                <c:pt idx="322">
                  <c:v>75.185714</c:v>
                </c:pt>
                <c:pt idx="323">
                  <c:v>75.271429</c:v>
                </c:pt>
                <c:pt idx="324">
                  <c:v>75.207143</c:v>
                </c:pt>
                <c:pt idx="325">
                  <c:v>75.164286</c:v>
                </c:pt>
                <c:pt idx="326">
                  <c:v>75.221429</c:v>
                </c:pt>
                <c:pt idx="327">
                  <c:v>75.400000</c:v>
                </c:pt>
                <c:pt idx="328">
                  <c:v>75.542857</c:v>
                </c:pt>
                <c:pt idx="329">
                  <c:v>75.657143</c:v>
                </c:pt>
                <c:pt idx="330">
                  <c:v>75.800000</c:v>
                </c:pt>
                <c:pt idx="331">
                  <c:v>76.035714</c:v>
                </c:pt>
                <c:pt idx="332">
                  <c:v>76.142857</c:v>
                </c:pt>
                <c:pt idx="333">
                  <c:v>76.200000</c:v>
                </c:pt>
                <c:pt idx="334">
                  <c:v>76.371429</c:v>
                </c:pt>
                <c:pt idx="335">
                  <c:v>76.500000</c:v>
                </c:pt>
                <c:pt idx="336">
                  <c:v>76.642857</c:v>
                </c:pt>
                <c:pt idx="337">
                  <c:v>76.771429</c:v>
                </c:pt>
                <c:pt idx="338">
                  <c:v>76.978571</c:v>
                </c:pt>
                <c:pt idx="339">
                  <c:v>77.192857</c:v>
                </c:pt>
                <c:pt idx="340">
                  <c:v>77.357143</c:v>
                </c:pt>
                <c:pt idx="341">
                  <c:v>77.428571</c:v>
                </c:pt>
                <c:pt idx="342">
                  <c:v>77.442857</c:v>
                </c:pt>
                <c:pt idx="343">
                  <c:v>77.450000</c:v>
                </c:pt>
                <c:pt idx="344">
                  <c:v>77.521429</c:v>
                </c:pt>
                <c:pt idx="345">
                  <c:v>77.500000</c:v>
                </c:pt>
                <c:pt idx="346">
                  <c:v>77.392857</c:v>
                </c:pt>
                <c:pt idx="347">
                  <c:v>77.335714</c:v>
                </c:pt>
                <c:pt idx="348">
                  <c:v>77.278571</c:v>
                </c:pt>
                <c:pt idx="349">
                  <c:v>76.985714</c:v>
                </c:pt>
                <c:pt idx="350">
                  <c:v>76.542857</c:v>
                </c:pt>
                <c:pt idx="351">
                  <c:v>75.957143</c:v>
                </c:pt>
                <c:pt idx="352">
                  <c:v>75.371429</c:v>
                </c:pt>
                <c:pt idx="353">
                  <c:v>74.842857</c:v>
                </c:pt>
                <c:pt idx="354">
                  <c:v>74.235714</c:v>
                </c:pt>
                <c:pt idx="355">
                  <c:v>73.485714</c:v>
                </c:pt>
                <c:pt idx="356">
                  <c:v>73.021429</c:v>
                </c:pt>
                <c:pt idx="357">
                  <c:v>72.692857</c:v>
                </c:pt>
                <c:pt idx="358">
                  <c:v>72.442857</c:v>
                </c:pt>
                <c:pt idx="359">
                  <c:v>72.378571</c:v>
                </c:pt>
                <c:pt idx="360">
                  <c:v>72.342857</c:v>
                </c:pt>
                <c:pt idx="361">
                  <c:v>72.200000</c:v>
                </c:pt>
                <c:pt idx="362">
                  <c:v>72.307143</c:v>
                </c:pt>
                <c:pt idx="363">
                  <c:v>72.371429</c:v>
                </c:pt>
                <c:pt idx="364">
                  <c:v>72.485714</c:v>
                </c:pt>
                <c:pt idx="365">
                  <c:v>72.557143</c:v>
                </c:pt>
                <c:pt idx="366">
                  <c:v>72.557143</c:v>
                </c:pt>
                <c:pt idx="367">
                  <c:v>72.557143</c:v>
                </c:pt>
                <c:pt idx="368">
                  <c:v>72.850000</c:v>
                </c:pt>
                <c:pt idx="369">
                  <c:v>72.821429</c:v>
                </c:pt>
                <c:pt idx="370">
                  <c:v>73.128571</c:v>
                </c:pt>
                <c:pt idx="371">
                  <c:v>73.464286</c:v>
                </c:pt>
                <c:pt idx="373">
                  <c:v>73.941667</c:v>
                </c:pt>
                <c:pt idx="374">
                  <c:v>74.258333</c:v>
                </c:pt>
                <c:pt idx="375">
                  <c:v>74.358333</c:v>
                </c:pt>
                <c:pt idx="377">
                  <c:v>74.720000</c:v>
                </c:pt>
                <c:pt idx="378">
                  <c:v>74.620000</c:v>
                </c:pt>
                <c:pt idx="379">
                  <c:v>74.725000</c:v>
                </c:pt>
                <c:pt idx="380">
                  <c:v>74.783333</c:v>
                </c:pt>
                <c:pt idx="381">
                  <c:v>75.008333</c:v>
                </c:pt>
                <c:pt idx="382">
                  <c:v>75.050000</c:v>
                </c:pt>
                <c:pt idx="383">
                  <c:v>75.028571</c:v>
                </c:pt>
                <c:pt idx="384">
                  <c:v>75.071429</c:v>
                </c:pt>
                <c:pt idx="385">
                  <c:v>75.114286</c:v>
                </c:pt>
                <c:pt idx="386">
                  <c:v>75.064286</c:v>
                </c:pt>
                <c:pt idx="387">
                  <c:v>74.964286</c:v>
                </c:pt>
                <c:pt idx="388">
                  <c:v>74.700000</c:v>
                </c:pt>
                <c:pt idx="389">
                  <c:v>74.657143</c:v>
                </c:pt>
                <c:pt idx="390">
                  <c:v>74.664286</c:v>
                </c:pt>
                <c:pt idx="391">
                  <c:v>74.671429</c:v>
                </c:pt>
                <c:pt idx="392">
                  <c:v>74.614286</c:v>
                </c:pt>
                <c:pt idx="393">
                  <c:v>74.514286</c:v>
                </c:pt>
                <c:pt idx="394">
                  <c:v>74.607143</c:v>
                </c:pt>
                <c:pt idx="395">
                  <c:v>74.792857</c:v>
                </c:pt>
                <c:pt idx="396">
                  <c:v>74.914286</c:v>
                </c:pt>
                <c:pt idx="397">
                  <c:v>75.014286</c:v>
                </c:pt>
                <c:pt idx="398">
                  <c:v>75.114286</c:v>
                </c:pt>
                <c:pt idx="399">
                  <c:v>75.321429</c:v>
                </c:pt>
                <c:pt idx="400">
                  <c:v>75.571429</c:v>
                </c:pt>
                <c:pt idx="401">
                  <c:v>75.614286</c:v>
                </c:pt>
                <c:pt idx="402">
                  <c:v>75.578571</c:v>
                </c:pt>
                <c:pt idx="403">
                  <c:v>75.514286</c:v>
                </c:pt>
                <c:pt idx="404">
                  <c:v>75.321429</c:v>
                </c:pt>
                <c:pt idx="405">
                  <c:v>75.128571</c:v>
                </c:pt>
                <c:pt idx="407">
                  <c:v>74.616667</c:v>
                </c:pt>
                <c:pt idx="408">
                  <c:v>74.466667</c:v>
                </c:pt>
                <c:pt idx="409">
                  <c:v>74.216667</c:v>
                </c:pt>
                <c:pt idx="410">
                  <c:v>73.950000</c:v>
                </c:pt>
                <c:pt idx="411">
                  <c:v>73.883333</c:v>
                </c:pt>
                <c:pt idx="412">
                  <c:v>73.816667</c:v>
                </c:pt>
                <c:pt idx="413">
                  <c:v>73.771429</c:v>
                </c:pt>
                <c:pt idx="414">
                  <c:v>73.942857</c:v>
                </c:pt>
                <c:pt idx="415">
                  <c:v>73.971429</c:v>
                </c:pt>
                <c:pt idx="416">
                  <c:v>74.085714</c:v>
                </c:pt>
                <c:pt idx="417">
                  <c:v>74.150000</c:v>
                </c:pt>
                <c:pt idx="418">
                  <c:v>74.242857</c:v>
                </c:pt>
                <c:pt idx="419">
                  <c:v>74.285714</c:v>
                </c:pt>
                <c:pt idx="420">
                  <c:v>74.385714</c:v>
                </c:pt>
                <c:pt idx="421">
                  <c:v>74.335714</c:v>
                </c:pt>
                <c:pt idx="422">
                  <c:v>74.342857</c:v>
                </c:pt>
                <c:pt idx="423">
                  <c:v>74.278571</c:v>
                </c:pt>
                <c:pt idx="424">
                  <c:v>74.328571</c:v>
                </c:pt>
                <c:pt idx="425">
                  <c:v>74.278571</c:v>
                </c:pt>
                <c:pt idx="426">
                  <c:v>74.271429</c:v>
                </c:pt>
                <c:pt idx="427">
                  <c:v>74.264286</c:v>
                </c:pt>
                <c:pt idx="429">
                  <c:v>74.283333</c:v>
                </c:pt>
                <c:pt idx="430">
                  <c:v>74.591667</c:v>
                </c:pt>
                <c:pt idx="431">
                  <c:v>74.875000</c:v>
                </c:pt>
                <c:pt idx="432">
                  <c:v>75.191667</c:v>
                </c:pt>
                <c:pt idx="433">
                  <c:v>75.433333</c:v>
                </c:pt>
                <c:pt idx="434">
                  <c:v>75.625000</c:v>
                </c:pt>
                <c:pt idx="435">
                  <c:v>75.521429</c:v>
                </c:pt>
                <c:pt idx="436">
                  <c:v>75.607143</c:v>
                </c:pt>
                <c:pt idx="437">
                  <c:v>75.721429</c:v>
                </c:pt>
                <c:pt idx="438">
                  <c:v>75.964286</c:v>
                </c:pt>
                <c:pt idx="439">
                  <c:v>76.121429</c:v>
                </c:pt>
                <c:pt idx="440">
                  <c:v>76.342857</c:v>
                </c:pt>
                <c:pt idx="441">
                  <c:v>76.392857</c:v>
                </c:pt>
                <c:pt idx="442">
                  <c:v>76.478571</c:v>
                </c:pt>
                <c:pt idx="443">
                  <c:v>76.464286</c:v>
                </c:pt>
                <c:pt idx="444">
                  <c:v>76.471429</c:v>
                </c:pt>
                <c:pt idx="445">
                  <c:v>76.328571</c:v>
                </c:pt>
                <c:pt idx="446">
                  <c:v>76.185714</c:v>
                </c:pt>
                <c:pt idx="447">
                  <c:v>76.100000</c:v>
                </c:pt>
                <c:pt idx="448">
                  <c:v>76.221429</c:v>
                </c:pt>
                <c:pt idx="449">
                  <c:v>76.364286</c:v>
                </c:pt>
                <c:pt idx="450">
                  <c:v>76.550000</c:v>
                </c:pt>
                <c:pt idx="451">
                  <c:v>76.757143</c:v>
                </c:pt>
                <c:pt idx="452">
                  <c:v>77.071429</c:v>
                </c:pt>
                <c:pt idx="453">
                  <c:v>77.400000</c:v>
                </c:pt>
                <c:pt idx="454">
                  <c:v>77.678571</c:v>
                </c:pt>
                <c:pt idx="455">
                  <c:v>77.964286</c:v>
                </c:pt>
                <c:pt idx="456">
                  <c:v>78.321429</c:v>
                </c:pt>
                <c:pt idx="457">
                  <c:v>78.600000</c:v>
                </c:pt>
                <c:pt idx="458">
                  <c:v>78.635714</c:v>
                </c:pt>
                <c:pt idx="459">
                  <c:v>78.635714</c:v>
                </c:pt>
                <c:pt idx="461">
                  <c:v>78.708333</c:v>
                </c:pt>
                <c:pt idx="462">
                  <c:v>78.808333</c:v>
                </c:pt>
                <c:pt idx="463">
                  <c:v>78.716667</c:v>
                </c:pt>
                <c:pt idx="464">
                  <c:v>78.675000</c:v>
                </c:pt>
                <c:pt idx="465">
                  <c:v>78.800000</c:v>
                </c:pt>
                <c:pt idx="467">
                  <c:v>78.683333</c:v>
                </c:pt>
                <c:pt idx="468">
                  <c:v>78.575000</c:v>
                </c:pt>
                <c:pt idx="469">
                  <c:v>78.416667</c:v>
                </c:pt>
                <c:pt idx="470">
                  <c:v>78.358333</c:v>
                </c:pt>
                <c:pt idx="471">
                  <c:v>78.358333</c:v>
                </c:pt>
                <c:pt idx="472">
                  <c:v>78.291667</c:v>
                </c:pt>
                <c:pt idx="473">
                  <c:v>78.314286</c:v>
                </c:pt>
                <c:pt idx="474">
                  <c:v>78.014286</c:v>
                </c:pt>
                <c:pt idx="475">
                  <c:v>77.707143</c:v>
                </c:pt>
                <c:pt idx="476">
                  <c:v>77.557143</c:v>
                </c:pt>
                <c:pt idx="477">
                  <c:v>77.542857</c:v>
                </c:pt>
                <c:pt idx="478">
                  <c:v>77.364286</c:v>
                </c:pt>
                <c:pt idx="479">
                  <c:v>77.135714</c:v>
                </c:pt>
                <c:pt idx="480">
                  <c:v>76.900000</c:v>
                </c:pt>
                <c:pt idx="481">
                  <c:v>77.150000</c:v>
                </c:pt>
                <c:pt idx="482">
                  <c:v>77.350000</c:v>
                </c:pt>
                <c:pt idx="483">
                  <c:v>77.428571</c:v>
                </c:pt>
                <c:pt idx="484">
                  <c:v>77.385714</c:v>
                </c:pt>
                <c:pt idx="485">
                  <c:v>77.521429</c:v>
                </c:pt>
                <c:pt idx="486">
                  <c:v>77.714286</c:v>
                </c:pt>
                <c:pt idx="487">
                  <c:v>78.014286</c:v>
                </c:pt>
                <c:pt idx="488">
                  <c:v>78.178571</c:v>
                </c:pt>
                <c:pt idx="489">
                  <c:v>78.450000</c:v>
                </c:pt>
                <c:pt idx="490">
                  <c:v>78.685714</c:v>
                </c:pt>
                <c:pt idx="491">
                  <c:v>78.957143</c:v>
                </c:pt>
                <c:pt idx="492">
                  <c:v>79.092857</c:v>
                </c:pt>
                <c:pt idx="493">
                  <c:v>79.121429</c:v>
                </c:pt>
                <c:pt idx="494">
                  <c:v>78.942857</c:v>
                </c:pt>
                <c:pt idx="495">
                  <c:v>78.828571</c:v>
                </c:pt>
                <c:pt idx="496">
                  <c:v>78.800000</c:v>
                </c:pt>
                <c:pt idx="497">
                  <c:v>78.764286</c:v>
                </c:pt>
                <c:pt idx="498">
                  <c:v>78.728571</c:v>
                </c:pt>
                <c:pt idx="499">
                  <c:v>78.792857</c:v>
                </c:pt>
                <c:pt idx="500">
                  <c:v>78.971429</c:v>
                </c:pt>
                <c:pt idx="501">
                  <c:v>79.250000</c:v>
                </c:pt>
                <c:pt idx="502">
                  <c:v>79.492857</c:v>
                </c:pt>
                <c:pt idx="503">
                  <c:v>79.514286</c:v>
                </c:pt>
                <c:pt idx="504">
                  <c:v>79.621429</c:v>
                </c:pt>
                <c:pt idx="505">
                  <c:v>79.657143</c:v>
                </c:pt>
                <c:pt idx="506">
                  <c:v>79.685714</c:v>
                </c:pt>
                <c:pt idx="507">
                  <c:v>79.678571</c:v>
                </c:pt>
                <c:pt idx="508">
                  <c:v>79.735714</c:v>
                </c:pt>
                <c:pt idx="509">
                  <c:v>79.785714</c:v>
                </c:pt>
                <c:pt idx="510">
                  <c:v>79.942857</c:v>
                </c:pt>
                <c:pt idx="511">
                  <c:v>80.014286</c:v>
                </c:pt>
                <c:pt idx="512">
                  <c:v>80.150000</c:v>
                </c:pt>
                <c:pt idx="513">
                  <c:v>80.285714</c:v>
                </c:pt>
                <c:pt idx="514">
                  <c:v>80.414286</c:v>
                </c:pt>
                <c:pt idx="515">
                  <c:v>80.557143</c:v>
                </c:pt>
                <c:pt idx="516">
                  <c:v>80.700000</c:v>
                </c:pt>
                <c:pt idx="517">
                  <c:v>80.835714</c:v>
                </c:pt>
                <c:pt idx="518">
                  <c:v>81.000000</c:v>
                </c:pt>
                <c:pt idx="519">
                  <c:v>81.107143</c:v>
                </c:pt>
                <c:pt idx="520">
                  <c:v>81.235714</c:v>
                </c:pt>
                <c:pt idx="521">
                  <c:v>81.264286</c:v>
                </c:pt>
                <c:pt idx="522">
                  <c:v>81.278571</c:v>
                </c:pt>
                <c:pt idx="523">
                  <c:v>81.207143</c:v>
                </c:pt>
                <c:pt idx="524">
                  <c:v>81.192857</c:v>
                </c:pt>
                <c:pt idx="525">
                  <c:v>81.100000</c:v>
                </c:pt>
                <c:pt idx="526">
                  <c:v>80.985714</c:v>
                </c:pt>
                <c:pt idx="527">
                  <c:v>80.828571</c:v>
                </c:pt>
                <c:pt idx="528">
                  <c:v>80.764286</c:v>
                </c:pt>
                <c:pt idx="529">
                  <c:v>80.735714</c:v>
                </c:pt>
                <c:pt idx="530">
                  <c:v>80.542857</c:v>
                </c:pt>
                <c:pt idx="531">
                  <c:v>80.285714</c:v>
                </c:pt>
                <c:pt idx="532">
                  <c:v>80.157143</c:v>
                </c:pt>
                <c:pt idx="533">
                  <c:v>80.107143</c:v>
                </c:pt>
                <c:pt idx="534">
                  <c:v>80.157143</c:v>
                </c:pt>
                <c:pt idx="535">
                  <c:v>80.192857</c:v>
                </c:pt>
                <c:pt idx="536">
                  <c:v>80.207143</c:v>
                </c:pt>
                <c:pt idx="537">
                  <c:v>80.450000</c:v>
                </c:pt>
                <c:pt idx="538">
                  <c:v>80.728571</c:v>
                </c:pt>
                <c:pt idx="539">
                  <c:v>80.885714</c:v>
                </c:pt>
                <c:pt idx="540">
                  <c:v>80.964286</c:v>
                </c:pt>
                <c:pt idx="544">
                  <c:v>80.912500</c:v>
                </c:pt>
                <c:pt idx="545">
                  <c:v>80.675000</c:v>
                </c:pt>
                <c:pt idx="546">
                  <c:v>80.575000</c:v>
                </c:pt>
                <c:pt idx="547">
                  <c:v>80.750000</c:v>
                </c:pt>
                <c:pt idx="548">
                  <c:v>80.880000</c:v>
                </c:pt>
                <c:pt idx="549">
                  <c:v>81.016667</c:v>
                </c:pt>
                <c:pt idx="550">
                  <c:v>81.042857</c:v>
                </c:pt>
                <c:pt idx="551">
                  <c:v>81.171429</c:v>
                </c:pt>
                <c:pt idx="552">
                  <c:v>81.300000</c:v>
                </c:pt>
                <c:pt idx="553">
                  <c:v>81.385714</c:v>
                </c:pt>
                <c:pt idx="554">
                  <c:v>81.357143</c:v>
                </c:pt>
                <c:pt idx="555">
                  <c:v>81.292857</c:v>
                </c:pt>
                <c:pt idx="556">
                  <c:v>81.314286</c:v>
                </c:pt>
                <c:pt idx="557">
                  <c:v>81.350000</c:v>
                </c:pt>
                <c:pt idx="558">
                  <c:v>81.342857</c:v>
                </c:pt>
                <c:pt idx="559">
                  <c:v>81.428571</c:v>
                </c:pt>
                <c:pt idx="560">
                  <c:v>81.507143</c:v>
                </c:pt>
                <c:pt idx="561">
                  <c:v>81.628571</c:v>
                </c:pt>
                <c:pt idx="562">
                  <c:v>81.714286</c:v>
                </c:pt>
                <c:pt idx="563">
                  <c:v>81.678571</c:v>
                </c:pt>
                <c:pt idx="564">
                  <c:v>81.721429</c:v>
                </c:pt>
                <c:pt idx="565">
                  <c:v>81.814286</c:v>
                </c:pt>
                <c:pt idx="566">
                  <c:v>81.792857</c:v>
                </c:pt>
                <c:pt idx="567">
                  <c:v>81.842857</c:v>
                </c:pt>
                <c:pt idx="568">
                  <c:v>81.750000</c:v>
                </c:pt>
                <c:pt idx="569">
                  <c:v>81.642857</c:v>
                </c:pt>
                <c:pt idx="570">
                  <c:v>81.485714</c:v>
                </c:pt>
                <c:pt idx="571">
                  <c:v>81.350000</c:v>
                </c:pt>
                <c:pt idx="572">
                  <c:v>81.021429</c:v>
                </c:pt>
                <c:pt idx="573">
                  <c:v>80.792857</c:v>
                </c:pt>
                <c:pt idx="574">
                  <c:v>80.621429</c:v>
                </c:pt>
                <c:pt idx="575">
                  <c:v>80.550000</c:v>
                </c:pt>
                <c:pt idx="576">
                  <c:v>80.635714</c:v>
                </c:pt>
                <c:pt idx="577">
                  <c:v>80.778571</c:v>
                </c:pt>
                <c:pt idx="578">
                  <c:v>80.921429</c:v>
                </c:pt>
                <c:pt idx="579">
                  <c:v>81.257143</c:v>
                </c:pt>
                <c:pt idx="580">
                  <c:v>81.471429</c:v>
                </c:pt>
                <c:pt idx="581">
                  <c:v>81.557143</c:v>
                </c:pt>
                <c:pt idx="582">
                  <c:v>81.642857</c:v>
                </c:pt>
                <c:pt idx="583">
                  <c:v>81.657143</c:v>
                </c:pt>
                <c:pt idx="584">
                  <c:v>81.700000</c:v>
                </c:pt>
                <c:pt idx="585">
                  <c:v>81.728571</c:v>
                </c:pt>
                <c:pt idx="586">
                  <c:v>81.707143</c:v>
                </c:pt>
                <c:pt idx="587">
                  <c:v>81.757143</c:v>
                </c:pt>
                <c:pt idx="588">
                  <c:v>81.750000</c:v>
                </c:pt>
                <c:pt idx="589">
                  <c:v>81.742857</c:v>
                </c:pt>
                <c:pt idx="590">
                  <c:v>81.735714</c:v>
                </c:pt>
                <c:pt idx="591">
                  <c:v>81.685714</c:v>
                </c:pt>
                <c:pt idx="592">
                  <c:v>81.607143</c:v>
                </c:pt>
                <c:pt idx="594">
                  <c:v>81.225000</c:v>
                </c:pt>
                <c:pt idx="628">
                  <c:v>81.500000</c:v>
                </c:pt>
                <c:pt idx="629">
                  <c:v>81.875000</c:v>
                </c:pt>
                <c:pt idx="630">
                  <c:v>81.750000</c:v>
                </c:pt>
                <c:pt idx="631">
                  <c:v>81.687500</c:v>
                </c:pt>
                <c:pt idx="632">
                  <c:v>81.590000</c:v>
                </c:pt>
                <c:pt idx="633">
                  <c:v>81.641667</c:v>
                </c:pt>
                <c:pt idx="634">
                  <c:v>81.678571</c:v>
                </c:pt>
                <c:pt idx="635">
                  <c:v>81.735714</c:v>
                </c:pt>
                <c:pt idx="636">
                  <c:v>81.685714</c:v>
                </c:pt>
                <c:pt idx="637">
                  <c:v>81.685714</c:v>
                </c:pt>
                <c:pt idx="638">
                  <c:v>81.685714</c:v>
                </c:pt>
                <c:pt idx="639">
                  <c:v>81.728571</c:v>
                </c:pt>
                <c:pt idx="640">
                  <c:v>81.671429</c:v>
                </c:pt>
                <c:pt idx="641">
                  <c:v>81.614286</c:v>
                </c:pt>
                <c:pt idx="642">
                  <c:v>81.557143</c:v>
                </c:pt>
                <c:pt idx="643">
                  <c:v>81.542857</c:v>
                </c:pt>
                <c:pt idx="644">
                  <c:v>81.671429</c:v>
                </c:pt>
                <c:pt idx="645">
                  <c:v>81.714286</c:v>
                </c:pt>
                <c:pt idx="646">
                  <c:v>81.800000</c:v>
                </c:pt>
                <c:pt idx="647">
                  <c:v>81.842857</c:v>
                </c:pt>
                <c:pt idx="648">
                  <c:v>81.885714</c:v>
                </c:pt>
                <c:pt idx="649">
                  <c:v>81.885714</c:v>
                </c:pt>
                <c:pt idx="650">
                  <c:v>81.842857</c:v>
                </c:pt>
                <c:pt idx="651">
                  <c:v>81.714286</c:v>
                </c:pt>
                <c:pt idx="652">
                  <c:v>81.614286</c:v>
                </c:pt>
                <c:pt idx="653">
                  <c:v>81.471429</c:v>
                </c:pt>
                <c:pt idx="654">
                  <c:v>81.328571</c:v>
                </c:pt>
                <c:pt idx="655">
                  <c:v>81.228571</c:v>
                </c:pt>
                <c:pt idx="656">
                  <c:v>81.128571</c:v>
                </c:pt>
                <c:pt idx="657">
                  <c:v>81.028571</c:v>
                </c:pt>
                <c:pt idx="659">
                  <c:v>80.716667</c:v>
                </c:pt>
                <c:pt idx="660">
                  <c:v>80.666667</c:v>
                </c:pt>
                <c:pt idx="661">
                  <c:v>80.600000</c:v>
                </c:pt>
                <c:pt idx="662">
                  <c:v>80.425000</c:v>
                </c:pt>
                <c:pt idx="663">
                  <c:v>80.358333</c:v>
                </c:pt>
                <c:pt idx="664">
                  <c:v>80.358333</c:v>
                </c:pt>
                <c:pt idx="665">
                  <c:v>80.421429</c:v>
                </c:pt>
                <c:pt idx="666">
                  <c:v>80.635714</c:v>
                </c:pt>
                <c:pt idx="667">
                  <c:v>80.692857</c:v>
                </c:pt>
                <c:pt idx="668">
                  <c:v>80.700000</c:v>
                </c:pt>
                <c:pt idx="669">
                  <c:v>80.757143</c:v>
                </c:pt>
                <c:pt idx="670">
                  <c:v>80.700000</c:v>
                </c:pt>
                <c:pt idx="671">
                  <c:v>80.700000</c:v>
                </c:pt>
                <c:pt idx="673">
                  <c:v>80.483333</c:v>
                </c:pt>
                <c:pt idx="674">
                  <c:v>80.341667</c:v>
                </c:pt>
                <c:pt idx="676">
                  <c:v>80.300000</c:v>
                </c:pt>
                <c:pt idx="677">
                  <c:v>80.480000</c:v>
                </c:pt>
                <c:pt idx="678">
                  <c:v>80.500000</c:v>
                </c:pt>
                <c:pt idx="679">
                  <c:v>80.475000</c:v>
                </c:pt>
                <c:pt idx="680">
                  <c:v>80.675000</c:v>
                </c:pt>
                <c:pt idx="681">
                  <c:v>80.758333</c:v>
                </c:pt>
                <c:pt idx="682">
                  <c:v>80.700000</c:v>
                </c:pt>
                <c:pt idx="683">
                  <c:v>80.700000</c:v>
                </c:pt>
                <c:pt idx="684">
                  <c:v>80.642857</c:v>
                </c:pt>
                <c:pt idx="685">
                  <c:v>80.564286</c:v>
                </c:pt>
                <c:pt idx="686">
                  <c:v>80.564286</c:v>
                </c:pt>
                <c:pt idx="687">
                  <c:v>80.428571</c:v>
                </c:pt>
                <c:pt idx="688">
                  <c:v>80.342857</c:v>
                </c:pt>
                <c:pt idx="689">
                  <c:v>80.328571</c:v>
                </c:pt>
                <c:pt idx="692">
                  <c:v>80.330000</c:v>
                </c:pt>
                <c:pt idx="693">
                  <c:v>80.370000</c:v>
                </c:pt>
                <c:pt idx="694">
                  <c:v>80.430000</c:v>
                </c:pt>
                <c:pt idx="695">
                  <c:v>80.380000</c:v>
                </c:pt>
                <c:pt idx="696">
                  <c:v>80.340000</c:v>
                </c:pt>
                <c:pt idx="698">
                  <c:v>80.291667</c:v>
                </c:pt>
                <c:pt idx="699">
                  <c:v>80.300000</c:v>
                </c:pt>
                <c:pt idx="700">
                  <c:v>80.308333</c:v>
                </c:pt>
                <c:pt idx="701">
                  <c:v>80.316667</c:v>
                </c:pt>
                <c:pt idx="702">
                  <c:v>80.416667</c:v>
                </c:pt>
                <c:pt idx="703">
                  <c:v>80.441667</c:v>
                </c:pt>
                <c:pt idx="704">
                  <c:v>80.507143</c:v>
                </c:pt>
                <c:pt idx="705">
                  <c:v>80.685714</c:v>
                </c:pt>
                <c:pt idx="706">
                  <c:v>80.714286</c:v>
                </c:pt>
                <c:pt idx="707">
                  <c:v>80.742857</c:v>
                </c:pt>
                <c:pt idx="708">
                  <c:v>80.728571</c:v>
                </c:pt>
                <c:pt idx="709">
                  <c:v>80.714286</c:v>
                </c:pt>
                <c:pt idx="710">
                  <c:v>80.857143</c:v>
                </c:pt>
                <c:pt idx="712">
                  <c:v>80.783333</c:v>
                </c:pt>
                <c:pt idx="713">
                  <c:v>80.941667</c:v>
                </c:pt>
                <c:pt idx="714">
                  <c:v>81.050000</c:v>
                </c:pt>
                <c:pt idx="715">
                  <c:v>81.033333</c:v>
                </c:pt>
                <c:pt idx="716">
                  <c:v>81.108333</c:v>
                </c:pt>
                <c:pt idx="717">
                  <c:v>81.300000</c:v>
                </c:pt>
                <c:pt idx="718">
                  <c:v>81.342857</c:v>
                </c:pt>
                <c:pt idx="719">
                  <c:v>81.442857</c:v>
                </c:pt>
                <c:pt idx="720">
                  <c:v>81.421429</c:v>
                </c:pt>
                <c:pt idx="721">
                  <c:v>81.364286</c:v>
                </c:pt>
                <c:pt idx="722">
                  <c:v>81.400000</c:v>
                </c:pt>
                <c:pt idx="723">
                  <c:v>81.357143</c:v>
                </c:pt>
                <c:pt idx="724">
                  <c:v>81.114286</c:v>
                </c:pt>
                <c:pt idx="725">
                  <c:v>80.978571</c:v>
                </c:pt>
                <c:pt idx="726">
                  <c:v>80.771429</c:v>
                </c:pt>
                <c:pt idx="727">
                  <c:v>80.564286</c:v>
                </c:pt>
                <c:pt idx="728">
                  <c:v>80.435714</c:v>
                </c:pt>
                <c:pt idx="729">
                  <c:v>80.464286</c:v>
                </c:pt>
                <c:pt idx="730">
                  <c:v>80.492857</c:v>
                </c:pt>
                <c:pt idx="731">
                  <c:v>80.585714</c:v>
                </c:pt>
                <c:pt idx="732">
                  <c:v>80.614286</c:v>
                </c:pt>
                <c:pt idx="734">
                  <c:v>80.733333</c:v>
                </c:pt>
                <c:pt idx="735">
                  <c:v>80.850000</c:v>
                </c:pt>
                <c:pt idx="736">
                  <c:v>80.850000</c:v>
                </c:pt>
                <c:pt idx="737">
                  <c:v>80.850000</c:v>
                </c:pt>
                <c:pt idx="738">
                  <c:v>80.775000</c:v>
                </c:pt>
                <c:pt idx="739">
                  <c:v>80.775000</c:v>
                </c:pt>
                <c:pt idx="740">
                  <c:v>80.664286</c:v>
                </c:pt>
                <c:pt idx="741">
                  <c:v>80.714286</c:v>
                </c:pt>
                <c:pt idx="742">
                  <c:v>80.771429</c:v>
                </c:pt>
                <c:pt idx="743">
                  <c:v>80.835714</c:v>
                </c:pt>
                <c:pt idx="744">
                  <c:v>80.900000</c:v>
                </c:pt>
                <c:pt idx="745">
                  <c:v>80.964286</c:v>
                </c:pt>
                <c:pt idx="746">
                  <c:v>81.028571</c:v>
                </c:pt>
                <c:pt idx="748">
                  <c:v>81.291667</c:v>
                </c:pt>
                <c:pt idx="749">
                  <c:v>81.250000</c:v>
                </c:pt>
                <c:pt idx="750">
                  <c:v>81.300000</c:v>
                </c:pt>
                <c:pt idx="751">
                  <c:v>81.350000</c:v>
                </c:pt>
                <c:pt idx="752">
                  <c:v>81.400000</c:v>
                </c:pt>
                <c:pt idx="753">
                  <c:v>81.350000</c:v>
                </c:pt>
                <c:pt idx="754">
                  <c:v>81.300000</c:v>
                </c:pt>
                <c:pt idx="755">
                  <c:v>81.257143</c:v>
                </c:pt>
                <c:pt idx="756">
                  <c:v>81.207143</c:v>
                </c:pt>
                <c:pt idx="759">
                  <c:v>80.860000</c:v>
                </c:pt>
                <c:pt idx="760">
                  <c:v>80.860000</c:v>
                </c:pt>
                <c:pt idx="763">
                  <c:v>80.883333</c:v>
                </c:pt>
                <c:pt idx="764">
                  <c:v>80.825000</c:v>
                </c:pt>
                <c:pt idx="765">
                  <c:v>80.860000</c:v>
                </c:pt>
                <c:pt idx="766">
                  <c:v>80.930000</c:v>
                </c:pt>
                <c:pt idx="767">
                  <c:v>81.050000</c:v>
                </c:pt>
                <c:pt idx="768">
                  <c:v>81.141667</c:v>
                </c:pt>
                <c:pt idx="770">
                  <c:v>81.241667</c:v>
                </c:pt>
                <c:pt idx="771">
                  <c:v>81.400000</c:v>
                </c:pt>
                <c:pt idx="772">
                  <c:v>81.558333</c:v>
                </c:pt>
                <c:pt idx="773">
                  <c:v>81.716667</c:v>
                </c:pt>
                <c:pt idx="774">
                  <c:v>81.775000</c:v>
                </c:pt>
                <c:pt idx="775">
                  <c:v>81.775000</c:v>
                </c:pt>
                <c:pt idx="776">
                  <c:v>81.807143</c:v>
                </c:pt>
                <c:pt idx="777">
                  <c:v>81.807143</c:v>
                </c:pt>
                <c:pt idx="778">
                  <c:v>81.857143</c:v>
                </c:pt>
                <c:pt idx="779">
                  <c:v>81.857143</c:v>
                </c:pt>
                <c:pt idx="780">
                  <c:v>81.857143</c:v>
                </c:pt>
                <c:pt idx="781">
                  <c:v>81.807143</c:v>
                </c:pt>
                <c:pt idx="782">
                  <c:v>81.857143</c:v>
                </c:pt>
                <c:pt idx="783">
                  <c:v>81.800000</c:v>
                </c:pt>
                <c:pt idx="784">
                  <c:v>81.850000</c:v>
                </c:pt>
                <c:pt idx="785">
                  <c:v>81.850000</c:v>
                </c:pt>
                <c:pt idx="786">
                  <c:v>81.928571</c:v>
                </c:pt>
                <c:pt idx="787">
                  <c:v>81.928571</c:v>
                </c:pt>
                <c:pt idx="788">
                  <c:v>82.050000</c:v>
                </c:pt>
                <c:pt idx="789">
                  <c:v>82.178571</c:v>
                </c:pt>
                <c:pt idx="790">
                  <c:v>82.350000</c:v>
                </c:pt>
                <c:pt idx="791">
                  <c:v>82.407143</c:v>
                </c:pt>
                <c:pt idx="792">
                  <c:v>82.528571</c:v>
                </c:pt>
                <c:pt idx="793">
                  <c:v>82.571429</c:v>
                </c:pt>
                <c:pt idx="794">
                  <c:v>82.735714</c:v>
                </c:pt>
                <c:pt idx="795">
                  <c:v>82.957143</c:v>
                </c:pt>
                <c:pt idx="796">
                  <c:v>83.078571</c:v>
                </c:pt>
                <c:pt idx="797">
                  <c:v>83.135714</c:v>
                </c:pt>
                <c:pt idx="798">
                  <c:v>83.371429</c:v>
                </c:pt>
                <c:pt idx="799">
                  <c:v>83.500000</c:v>
                </c:pt>
                <c:pt idx="800">
                  <c:v>83.557143</c:v>
                </c:pt>
                <c:pt idx="801">
                  <c:v>83.528571</c:v>
                </c:pt>
                <c:pt idx="803">
                  <c:v>83.433333</c:v>
                </c:pt>
                <c:pt idx="804">
                  <c:v>83.566667</c:v>
                </c:pt>
                <c:pt idx="805">
                  <c:v>83.450000</c:v>
                </c:pt>
                <c:pt idx="806">
                  <c:v>83.383333</c:v>
                </c:pt>
                <c:pt idx="807">
                  <c:v>83.400000</c:v>
                </c:pt>
                <c:pt idx="808">
                  <c:v>83.408333</c:v>
                </c:pt>
                <c:pt idx="809">
                  <c:v>83.342857</c:v>
                </c:pt>
                <c:pt idx="810">
                  <c:v>83.300000</c:v>
                </c:pt>
                <c:pt idx="811">
                  <c:v>83.300000</c:v>
                </c:pt>
                <c:pt idx="812">
                  <c:v>83.250000</c:v>
                </c:pt>
                <c:pt idx="813">
                  <c:v>83.200000</c:v>
                </c:pt>
                <c:pt idx="814">
                  <c:v>83.150000</c:v>
                </c:pt>
                <c:pt idx="815">
                  <c:v>83.150000</c:v>
                </c:pt>
                <c:pt idx="816">
                  <c:v>83.250000</c:v>
                </c:pt>
                <c:pt idx="817">
                  <c:v>83.300000</c:v>
                </c:pt>
                <c:pt idx="818">
                  <c:v>83.307143</c:v>
                </c:pt>
                <c:pt idx="819">
                  <c:v>83.407143</c:v>
                </c:pt>
                <c:pt idx="820">
                  <c:v>83.564286</c:v>
                </c:pt>
                <c:pt idx="821">
                  <c:v>83.664286</c:v>
                </c:pt>
                <c:pt idx="822">
                  <c:v>83.764286</c:v>
                </c:pt>
                <c:pt idx="823">
                  <c:v>83.671429</c:v>
                </c:pt>
                <c:pt idx="824">
                  <c:v>83.721429</c:v>
                </c:pt>
                <c:pt idx="825">
                  <c:v>83.778571</c:v>
                </c:pt>
                <c:pt idx="826">
                  <c:v>83.892857</c:v>
                </c:pt>
                <c:pt idx="827">
                  <c:v>83.828571</c:v>
                </c:pt>
                <c:pt idx="828">
                  <c:v>83.821429</c:v>
                </c:pt>
                <c:pt idx="829">
                  <c:v>83.857143</c:v>
                </c:pt>
                <c:pt idx="830">
                  <c:v>84.057143</c:v>
                </c:pt>
                <c:pt idx="831">
                  <c:v>84.114286</c:v>
                </c:pt>
                <c:pt idx="833">
                  <c:v>83.991667</c:v>
                </c:pt>
                <c:pt idx="834">
                  <c:v>84.208333</c:v>
                </c:pt>
                <c:pt idx="835">
                  <c:v>84.425000</c:v>
                </c:pt>
                <c:pt idx="836">
                  <c:v>84.591667</c:v>
                </c:pt>
                <c:pt idx="837">
                  <c:v>84.675000</c:v>
                </c:pt>
                <c:pt idx="838">
                  <c:v>84.758333</c:v>
                </c:pt>
                <c:pt idx="840">
                  <c:v>84.900000</c:v>
                </c:pt>
                <c:pt idx="841">
                  <c:v>84.900000</c:v>
                </c:pt>
                <c:pt idx="842">
                  <c:v>84.950000</c:v>
                </c:pt>
                <c:pt idx="843">
                  <c:v>85.058333</c:v>
                </c:pt>
                <c:pt idx="844">
                  <c:v>85.108333</c:v>
                </c:pt>
                <c:pt idx="845">
                  <c:v>85.158333</c:v>
                </c:pt>
                <c:pt idx="846">
                  <c:v>85.121429</c:v>
                </c:pt>
                <c:pt idx="847">
                  <c:v>85.121429</c:v>
                </c:pt>
                <c:pt idx="848">
                  <c:v>85.214286</c:v>
                </c:pt>
                <c:pt idx="849">
                  <c:v>85.214286</c:v>
                </c:pt>
                <c:pt idx="850">
                  <c:v>85.121429</c:v>
                </c:pt>
                <c:pt idx="851">
                  <c:v>85.271429</c:v>
                </c:pt>
                <c:pt idx="852">
                  <c:v>85.421429</c:v>
                </c:pt>
                <c:pt idx="853">
                  <c:v>85.464286</c:v>
                </c:pt>
                <c:pt idx="854">
                  <c:v>85.550000</c:v>
                </c:pt>
                <c:pt idx="855">
                  <c:v>85.585714</c:v>
                </c:pt>
                <c:pt idx="856">
                  <c:v>85.557143</c:v>
                </c:pt>
                <c:pt idx="857">
                  <c:v>85.628571</c:v>
                </c:pt>
                <c:pt idx="858">
                  <c:v>85.507143</c:v>
                </c:pt>
                <c:pt idx="859">
                  <c:v>85.385714</c:v>
                </c:pt>
                <c:pt idx="860">
                  <c:v>85.414286</c:v>
                </c:pt>
                <c:pt idx="861">
                  <c:v>85.342857</c:v>
                </c:pt>
                <c:pt idx="862">
                  <c:v>85.285714</c:v>
                </c:pt>
                <c:pt idx="863">
                  <c:v>85.342857</c:v>
                </c:pt>
                <c:pt idx="864">
                  <c:v>85.342857</c:v>
                </c:pt>
                <c:pt idx="867">
                  <c:v>85.380000</c:v>
                </c:pt>
                <c:pt idx="868">
                  <c:v>85.600000</c:v>
                </c:pt>
                <c:pt idx="869">
                  <c:v>85.740000</c:v>
                </c:pt>
                <c:pt idx="870">
                  <c:v>85.880000</c:v>
                </c:pt>
                <c:pt idx="871">
                  <c:v>86.020000</c:v>
                </c:pt>
                <c:pt idx="873">
                  <c:v>85.925000</c:v>
                </c:pt>
                <c:pt idx="874">
                  <c:v>85.883333</c:v>
                </c:pt>
                <c:pt idx="875">
                  <c:v>85.775000</c:v>
                </c:pt>
                <c:pt idx="876">
                  <c:v>85.616667</c:v>
                </c:pt>
                <c:pt idx="877">
                  <c:v>85.408333</c:v>
                </c:pt>
                <c:pt idx="878">
                  <c:v>85.250000</c:v>
                </c:pt>
                <c:pt idx="879">
                  <c:v>85.235714</c:v>
                </c:pt>
                <c:pt idx="880">
                  <c:v>85.192857</c:v>
                </c:pt>
                <c:pt idx="881">
                  <c:v>85.028571</c:v>
                </c:pt>
                <c:pt idx="882">
                  <c:v>84.864286</c:v>
                </c:pt>
                <c:pt idx="883">
                  <c:v>84.742857</c:v>
                </c:pt>
                <c:pt idx="884">
                  <c:v>84.664286</c:v>
                </c:pt>
                <c:pt idx="885">
                  <c:v>84.500000</c:v>
                </c:pt>
                <c:pt idx="887">
                  <c:v>84.250000</c:v>
                </c:pt>
                <c:pt idx="888">
                  <c:v>84.250000</c:v>
                </c:pt>
              </c:numCache>
            </c:numRef>
          </c:val>
          <c:smooth val="0"/>
        </c:ser>
        <c:ser>
          <c:idx val="2"/>
          <c:order val="2"/>
          <c:tx>
            <c:strRef>
              <c:f>'tracking - Table 3-1'!$E$1</c:f>
              <c:strCache>
                <c:ptCount val="1"/>
                <c:pt idx="0">
                  <c:v>14-day</c:v>
                </c:pt>
              </c:strCache>
            </c:strRef>
          </c:tx>
          <c:spPr>
            <a:solidFill>
              <a:srgbClr val="51A7F9">
                <a:alpha val="76726"/>
              </a:srgbClr>
            </a:solidFill>
            <a:ln w="50800" cap="flat">
              <a:solidFill>
                <a:srgbClr val="51A7F9">
                  <a:alpha val="75351"/>
                </a:srgbClr>
              </a:solidFill>
              <a:prstDash val="solid"/>
              <a:miter lim="400000"/>
            </a:ln>
            <a:effectLst/>
          </c:spPr>
          <c:marker>
            <c:symbol val="circle"/>
            <c:size val="4"/>
            <c:spPr>
              <a:solidFill>
                <a:srgbClr val="51A7F9">
                  <a:alpha val="76726"/>
                </a:srgbClr>
              </a:solidFill>
              <a:ln w="50800" cap="flat">
                <a:noFill/>
                <a:miter lim="400000"/>
              </a:ln>
              <a:effectLst/>
            </c:spPr>
          </c:marker>
          <c:dLbls>
            <c:numFmt formatCode="0.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3-1'!$E$2:$E$924</c:f>
              <c:numCache>
                <c:ptCount val="723"/>
                <c:pt idx="13">
                  <c:v>69.428571</c:v>
                </c:pt>
                <c:pt idx="14">
                  <c:v>69.571429</c:v>
                </c:pt>
                <c:pt idx="15">
                  <c:v>69.625000</c:v>
                </c:pt>
                <c:pt idx="16">
                  <c:v>69.655556</c:v>
                </c:pt>
                <c:pt idx="17">
                  <c:v>69.700000</c:v>
                </c:pt>
                <c:pt idx="18">
                  <c:v>69.718182</c:v>
                </c:pt>
                <c:pt idx="19">
                  <c:v>69.854545</c:v>
                </c:pt>
                <c:pt idx="20">
                  <c:v>69.900000</c:v>
                </c:pt>
                <c:pt idx="21">
                  <c:v>69.900000</c:v>
                </c:pt>
                <c:pt idx="22">
                  <c:v>69.935714</c:v>
                </c:pt>
                <c:pt idx="23">
                  <c:v>69.992857</c:v>
                </c:pt>
                <c:pt idx="24">
                  <c:v>69.992857</c:v>
                </c:pt>
                <c:pt idx="25">
                  <c:v>70.035714</c:v>
                </c:pt>
                <c:pt idx="26">
                  <c:v>70.078571</c:v>
                </c:pt>
                <c:pt idx="27">
                  <c:v>70.142857</c:v>
                </c:pt>
                <c:pt idx="28">
                  <c:v>70.200000</c:v>
                </c:pt>
                <c:pt idx="29">
                  <c:v>70.250000</c:v>
                </c:pt>
                <c:pt idx="30">
                  <c:v>70.300000</c:v>
                </c:pt>
                <c:pt idx="31">
                  <c:v>70.350000</c:v>
                </c:pt>
                <c:pt idx="32">
                  <c:v>70.421429</c:v>
                </c:pt>
                <c:pt idx="33">
                  <c:v>70.428571</c:v>
                </c:pt>
                <c:pt idx="34">
                  <c:v>70.485714</c:v>
                </c:pt>
                <c:pt idx="35">
                  <c:v>70.592857</c:v>
                </c:pt>
                <c:pt idx="36">
                  <c:v>70.657143</c:v>
                </c:pt>
                <c:pt idx="37">
                  <c:v>70.792857</c:v>
                </c:pt>
                <c:pt idx="38">
                  <c:v>70.864286</c:v>
                </c:pt>
                <c:pt idx="39">
                  <c:v>70.921429</c:v>
                </c:pt>
                <c:pt idx="40">
                  <c:v>70.985714</c:v>
                </c:pt>
                <c:pt idx="41">
                  <c:v>71.042857</c:v>
                </c:pt>
                <c:pt idx="42">
                  <c:v>71.092857</c:v>
                </c:pt>
                <c:pt idx="43">
                  <c:v>71.107143</c:v>
                </c:pt>
                <c:pt idx="44">
                  <c:v>71.157143</c:v>
                </c:pt>
                <c:pt idx="45">
                  <c:v>71.214286</c:v>
                </c:pt>
                <c:pt idx="46">
                  <c:v>71.264286</c:v>
                </c:pt>
                <c:pt idx="47">
                  <c:v>71.342857</c:v>
                </c:pt>
                <c:pt idx="48">
                  <c:v>71.385714</c:v>
                </c:pt>
                <c:pt idx="49">
                  <c:v>71.457143</c:v>
                </c:pt>
                <c:pt idx="50">
                  <c:v>71.507143</c:v>
                </c:pt>
                <c:pt idx="51">
                  <c:v>71.578571</c:v>
                </c:pt>
                <c:pt idx="52">
                  <c:v>71.692857</c:v>
                </c:pt>
                <c:pt idx="53">
                  <c:v>71.792857</c:v>
                </c:pt>
                <c:pt idx="54">
                  <c:v>71.907143</c:v>
                </c:pt>
                <c:pt idx="55">
                  <c:v>71.921429</c:v>
                </c:pt>
                <c:pt idx="56">
                  <c:v>71.950000</c:v>
                </c:pt>
                <c:pt idx="57">
                  <c:v>72.035714</c:v>
                </c:pt>
                <c:pt idx="58">
                  <c:v>72.171429</c:v>
                </c:pt>
                <c:pt idx="59">
                  <c:v>72.285714</c:v>
                </c:pt>
                <c:pt idx="60">
                  <c:v>72.385714</c:v>
                </c:pt>
                <c:pt idx="61">
                  <c:v>72.435714</c:v>
                </c:pt>
                <c:pt idx="62">
                  <c:v>72.464286</c:v>
                </c:pt>
                <c:pt idx="63">
                  <c:v>72.485714</c:v>
                </c:pt>
                <c:pt idx="64">
                  <c:v>72.578571</c:v>
                </c:pt>
                <c:pt idx="65">
                  <c:v>72.585714</c:v>
                </c:pt>
                <c:pt idx="66">
                  <c:v>72.685714</c:v>
                </c:pt>
                <c:pt idx="67">
                  <c:v>72.807143</c:v>
                </c:pt>
                <c:pt idx="68">
                  <c:v>72.871429</c:v>
                </c:pt>
                <c:pt idx="69">
                  <c:v>73.035714</c:v>
                </c:pt>
                <c:pt idx="70">
                  <c:v>73.157143</c:v>
                </c:pt>
                <c:pt idx="71">
                  <c:v>73.321429</c:v>
                </c:pt>
                <c:pt idx="72">
                  <c:v>73.400000</c:v>
                </c:pt>
                <c:pt idx="73">
                  <c:v>73.485714</c:v>
                </c:pt>
                <c:pt idx="74">
                  <c:v>73.600000</c:v>
                </c:pt>
                <c:pt idx="75">
                  <c:v>73.664286</c:v>
                </c:pt>
                <c:pt idx="76">
                  <c:v>73.771429</c:v>
                </c:pt>
                <c:pt idx="77">
                  <c:v>73.864286</c:v>
                </c:pt>
                <c:pt idx="78">
                  <c:v>73.900000</c:v>
                </c:pt>
                <c:pt idx="79">
                  <c:v>73.935714</c:v>
                </c:pt>
                <c:pt idx="80">
                  <c:v>73.928571</c:v>
                </c:pt>
                <c:pt idx="81">
                  <c:v>73.885714</c:v>
                </c:pt>
                <c:pt idx="82">
                  <c:v>73.864286</c:v>
                </c:pt>
                <c:pt idx="83">
                  <c:v>73.771429</c:v>
                </c:pt>
                <c:pt idx="84">
                  <c:v>73.728571</c:v>
                </c:pt>
                <c:pt idx="85">
                  <c:v>73.614286</c:v>
                </c:pt>
                <c:pt idx="86">
                  <c:v>73.507143</c:v>
                </c:pt>
                <c:pt idx="91">
                  <c:v>72.840000</c:v>
                </c:pt>
                <c:pt idx="92">
                  <c:v>72.710000</c:v>
                </c:pt>
                <c:pt idx="93">
                  <c:v>72.470000</c:v>
                </c:pt>
                <c:pt idx="94">
                  <c:v>72.470000</c:v>
                </c:pt>
                <c:pt idx="95">
                  <c:v>72.300000</c:v>
                </c:pt>
                <c:pt idx="98">
                  <c:v>71.975000</c:v>
                </c:pt>
                <c:pt idx="168">
                  <c:v>70.500000</c:v>
                </c:pt>
                <c:pt idx="170">
                  <c:v>70.525000</c:v>
                </c:pt>
                <c:pt idx="171">
                  <c:v>70.533333</c:v>
                </c:pt>
                <c:pt idx="172">
                  <c:v>70.437500</c:v>
                </c:pt>
                <c:pt idx="173">
                  <c:v>70.380000</c:v>
                </c:pt>
                <c:pt idx="174">
                  <c:v>70.408333</c:v>
                </c:pt>
                <c:pt idx="175">
                  <c:v>70.478571</c:v>
                </c:pt>
                <c:pt idx="176">
                  <c:v>70.418750</c:v>
                </c:pt>
                <c:pt idx="177">
                  <c:v>70.327778</c:v>
                </c:pt>
                <c:pt idx="178">
                  <c:v>70.285000</c:v>
                </c:pt>
                <c:pt idx="179">
                  <c:v>70.250000</c:v>
                </c:pt>
                <c:pt idx="182">
                  <c:v>70.231818</c:v>
                </c:pt>
                <c:pt idx="183">
                  <c:v>70.187500</c:v>
                </c:pt>
                <c:pt idx="184">
                  <c:v>70.116667</c:v>
                </c:pt>
                <c:pt idx="185">
                  <c:v>70.045833</c:v>
                </c:pt>
                <c:pt idx="186">
                  <c:v>70.008333</c:v>
                </c:pt>
                <c:pt idx="187">
                  <c:v>70.020833</c:v>
                </c:pt>
                <c:pt idx="188">
                  <c:v>69.995833</c:v>
                </c:pt>
                <c:pt idx="189">
                  <c:v>69.862500</c:v>
                </c:pt>
                <c:pt idx="190">
                  <c:v>69.841667</c:v>
                </c:pt>
                <c:pt idx="191">
                  <c:v>69.816667</c:v>
                </c:pt>
                <c:pt idx="192">
                  <c:v>69.766667</c:v>
                </c:pt>
                <c:pt idx="193">
                  <c:v>69.691667</c:v>
                </c:pt>
                <c:pt idx="194">
                  <c:v>69.638462</c:v>
                </c:pt>
                <c:pt idx="195">
                  <c:v>69.614286</c:v>
                </c:pt>
                <c:pt idx="196">
                  <c:v>69.521429</c:v>
                </c:pt>
                <c:pt idx="197">
                  <c:v>69.435714</c:v>
                </c:pt>
                <c:pt idx="198">
                  <c:v>69.385714</c:v>
                </c:pt>
                <c:pt idx="199">
                  <c:v>69.335714</c:v>
                </c:pt>
                <c:pt idx="200">
                  <c:v>69.282143</c:v>
                </c:pt>
                <c:pt idx="201">
                  <c:v>69.164286</c:v>
                </c:pt>
                <c:pt idx="202">
                  <c:v>69.053571</c:v>
                </c:pt>
                <c:pt idx="203">
                  <c:v>69.010714</c:v>
                </c:pt>
                <c:pt idx="204">
                  <c:v>68.935714</c:v>
                </c:pt>
                <c:pt idx="205">
                  <c:v>68.892857</c:v>
                </c:pt>
                <c:pt idx="206">
                  <c:v>68.850000</c:v>
                </c:pt>
                <c:pt idx="207">
                  <c:v>68.828571</c:v>
                </c:pt>
                <c:pt idx="209">
                  <c:v>68.784615</c:v>
                </c:pt>
                <c:pt idx="210">
                  <c:v>68.776923</c:v>
                </c:pt>
                <c:pt idx="211">
                  <c:v>68.792308</c:v>
                </c:pt>
                <c:pt idx="215">
                  <c:v>68.610000</c:v>
                </c:pt>
                <c:pt idx="216">
                  <c:v>68.480000</c:v>
                </c:pt>
                <c:pt idx="217">
                  <c:v>68.550000</c:v>
                </c:pt>
                <c:pt idx="218">
                  <c:v>68.620000</c:v>
                </c:pt>
                <c:pt idx="219">
                  <c:v>68.670000</c:v>
                </c:pt>
                <c:pt idx="221">
                  <c:v>68.744444</c:v>
                </c:pt>
                <c:pt idx="222">
                  <c:v>68.810000</c:v>
                </c:pt>
                <c:pt idx="225">
                  <c:v>68.962500</c:v>
                </c:pt>
                <c:pt idx="226">
                  <c:v>69.088889</c:v>
                </c:pt>
                <c:pt idx="227">
                  <c:v>69.200000</c:v>
                </c:pt>
                <c:pt idx="228">
                  <c:v>69.290909</c:v>
                </c:pt>
                <c:pt idx="229">
                  <c:v>69.545455</c:v>
                </c:pt>
                <c:pt idx="231">
                  <c:v>69.770000</c:v>
                </c:pt>
                <c:pt idx="233">
                  <c:v>69.816667</c:v>
                </c:pt>
                <c:pt idx="234">
                  <c:v>69.665000</c:v>
                </c:pt>
                <c:pt idx="235">
                  <c:v>69.555000</c:v>
                </c:pt>
                <c:pt idx="236">
                  <c:v>69.485000</c:v>
                </c:pt>
                <c:pt idx="237">
                  <c:v>69.431818</c:v>
                </c:pt>
                <c:pt idx="238">
                  <c:v>69.387500</c:v>
                </c:pt>
                <c:pt idx="241">
                  <c:v>69.110000</c:v>
                </c:pt>
                <c:pt idx="242">
                  <c:v>68.910000</c:v>
                </c:pt>
                <c:pt idx="243">
                  <c:v>68.710000</c:v>
                </c:pt>
                <c:pt idx="244">
                  <c:v>68.663636</c:v>
                </c:pt>
                <c:pt idx="245">
                  <c:v>68.545455</c:v>
                </c:pt>
                <c:pt idx="246">
                  <c:v>68.483333</c:v>
                </c:pt>
                <c:pt idx="247">
                  <c:v>68.420833</c:v>
                </c:pt>
                <c:pt idx="248">
                  <c:v>68.437500</c:v>
                </c:pt>
                <c:pt idx="249">
                  <c:v>68.537500</c:v>
                </c:pt>
                <c:pt idx="250">
                  <c:v>68.604167</c:v>
                </c:pt>
                <c:pt idx="251">
                  <c:v>68.654167</c:v>
                </c:pt>
                <c:pt idx="252">
                  <c:v>68.754167</c:v>
                </c:pt>
                <c:pt idx="253">
                  <c:v>68.834615</c:v>
                </c:pt>
                <c:pt idx="254">
                  <c:v>68.925000</c:v>
                </c:pt>
                <c:pt idx="255">
                  <c:v>69.057143</c:v>
                </c:pt>
                <c:pt idx="256">
                  <c:v>69.196429</c:v>
                </c:pt>
                <c:pt idx="257">
                  <c:v>69.296429</c:v>
                </c:pt>
                <c:pt idx="258">
                  <c:v>69.439286</c:v>
                </c:pt>
                <c:pt idx="259">
                  <c:v>69.582143</c:v>
                </c:pt>
                <c:pt idx="260">
                  <c:v>69.732143</c:v>
                </c:pt>
                <c:pt idx="261">
                  <c:v>69.885714</c:v>
                </c:pt>
                <c:pt idx="262">
                  <c:v>70.078571</c:v>
                </c:pt>
                <c:pt idx="263">
                  <c:v>70.185714</c:v>
                </c:pt>
                <c:pt idx="264">
                  <c:v>70.292857</c:v>
                </c:pt>
                <c:pt idx="265">
                  <c:v>70.400000</c:v>
                </c:pt>
                <c:pt idx="266">
                  <c:v>70.471429</c:v>
                </c:pt>
                <c:pt idx="267">
                  <c:v>70.596429</c:v>
                </c:pt>
                <c:pt idx="268">
                  <c:v>70.735714</c:v>
                </c:pt>
                <c:pt idx="269">
                  <c:v>70.871429</c:v>
                </c:pt>
                <c:pt idx="270">
                  <c:v>71.057143</c:v>
                </c:pt>
                <c:pt idx="271">
                  <c:v>71.200000</c:v>
                </c:pt>
                <c:pt idx="272">
                  <c:v>71.300000</c:v>
                </c:pt>
                <c:pt idx="273">
                  <c:v>71.421429</c:v>
                </c:pt>
                <c:pt idx="274">
                  <c:v>71.485714</c:v>
                </c:pt>
                <c:pt idx="275">
                  <c:v>71.517857</c:v>
                </c:pt>
                <c:pt idx="276">
                  <c:v>71.532143</c:v>
                </c:pt>
                <c:pt idx="277">
                  <c:v>71.539286</c:v>
                </c:pt>
                <c:pt idx="278">
                  <c:v>71.546429</c:v>
                </c:pt>
                <c:pt idx="279">
                  <c:v>71.532143</c:v>
                </c:pt>
                <c:pt idx="280">
                  <c:v>71.482143</c:v>
                </c:pt>
                <c:pt idx="281">
                  <c:v>71.471429</c:v>
                </c:pt>
                <c:pt idx="282">
                  <c:v>71.457143</c:v>
                </c:pt>
                <c:pt idx="283">
                  <c:v>71.382143</c:v>
                </c:pt>
                <c:pt idx="284">
                  <c:v>71.332143</c:v>
                </c:pt>
                <c:pt idx="285">
                  <c:v>71.300000</c:v>
                </c:pt>
                <c:pt idx="286">
                  <c:v>71.239286</c:v>
                </c:pt>
                <c:pt idx="287">
                  <c:v>71.235714</c:v>
                </c:pt>
                <c:pt idx="288">
                  <c:v>71.310714</c:v>
                </c:pt>
                <c:pt idx="289">
                  <c:v>71.421429</c:v>
                </c:pt>
                <c:pt idx="290">
                  <c:v>71.400000</c:v>
                </c:pt>
                <c:pt idx="291">
                  <c:v>71.392857</c:v>
                </c:pt>
                <c:pt idx="292">
                  <c:v>71.328571</c:v>
                </c:pt>
                <c:pt idx="293">
                  <c:v>71.442857</c:v>
                </c:pt>
                <c:pt idx="294">
                  <c:v>71.621429</c:v>
                </c:pt>
                <c:pt idx="295">
                  <c:v>71.728571</c:v>
                </c:pt>
                <c:pt idx="296">
                  <c:v>71.821429</c:v>
                </c:pt>
                <c:pt idx="297">
                  <c:v>71.914286</c:v>
                </c:pt>
                <c:pt idx="298">
                  <c:v>71.996429</c:v>
                </c:pt>
                <c:pt idx="299">
                  <c:v>72.139286</c:v>
                </c:pt>
                <c:pt idx="300">
                  <c:v>72.289286</c:v>
                </c:pt>
                <c:pt idx="301">
                  <c:v>72.414286</c:v>
                </c:pt>
                <c:pt idx="302">
                  <c:v>72.567857</c:v>
                </c:pt>
                <c:pt idx="303">
                  <c:v>72.621429</c:v>
                </c:pt>
                <c:pt idx="304">
                  <c:v>72.692857</c:v>
                </c:pt>
                <c:pt idx="305">
                  <c:v>72.846429</c:v>
                </c:pt>
                <c:pt idx="306">
                  <c:v>73.085714</c:v>
                </c:pt>
                <c:pt idx="307">
                  <c:v>73.192857</c:v>
                </c:pt>
                <c:pt idx="308">
                  <c:v>73.296429</c:v>
                </c:pt>
                <c:pt idx="309">
                  <c:v>73.403571</c:v>
                </c:pt>
                <c:pt idx="310">
                  <c:v>73.528571</c:v>
                </c:pt>
                <c:pt idx="311">
                  <c:v>73.653571</c:v>
                </c:pt>
                <c:pt idx="312">
                  <c:v>73.778571</c:v>
                </c:pt>
                <c:pt idx="313">
                  <c:v>73.867857</c:v>
                </c:pt>
                <c:pt idx="314">
                  <c:v>74.003571</c:v>
                </c:pt>
                <c:pt idx="315">
                  <c:v>74.103571</c:v>
                </c:pt>
                <c:pt idx="316">
                  <c:v>74.160714</c:v>
                </c:pt>
                <c:pt idx="317">
                  <c:v>74.260714</c:v>
                </c:pt>
                <c:pt idx="318">
                  <c:v>74.503571</c:v>
                </c:pt>
                <c:pt idx="319">
                  <c:v>74.685714</c:v>
                </c:pt>
                <c:pt idx="320">
                  <c:v>74.767857</c:v>
                </c:pt>
                <c:pt idx="321">
                  <c:v>74.867857</c:v>
                </c:pt>
                <c:pt idx="322">
                  <c:v>74.950000</c:v>
                </c:pt>
                <c:pt idx="323">
                  <c:v>75.021429</c:v>
                </c:pt>
                <c:pt idx="324">
                  <c:v>74.982143</c:v>
                </c:pt>
                <c:pt idx="325">
                  <c:v>75.025000</c:v>
                </c:pt>
                <c:pt idx="326">
                  <c:v>75.107143</c:v>
                </c:pt>
                <c:pt idx="327">
                  <c:v>75.217857</c:v>
                </c:pt>
                <c:pt idx="328">
                  <c:v>75.328571</c:v>
                </c:pt>
                <c:pt idx="329">
                  <c:v>75.421429</c:v>
                </c:pt>
                <c:pt idx="330">
                  <c:v>75.535714</c:v>
                </c:pt>
                <c:pt idx="331">
                  <c:v>75.621429</c:v>
                </c:pt>
                <c:pt idx="332">
                  <c:v>75.653571</c:v>
                </c:pt>
                <c:pt idx="333">
                  <c:v>75.710714</c:v>
                </c:pt>
                <c:pt idx="334">
                  <c:v>75.885714</c:v>
                </c:pt>
                <c:pt idx="335">
                  <c:v>76.021429</c:v>
                </c:pt>
                <c:pt idx="336">
                  <c:v>76.150000</c:v>
                </c:pt>
                <c:pt idx="337">
                  <c:v>76.285714</c:v>
                </c:pt>
                <c:pt idx="338">
                  <c:v>76.507143</c:v>
                </c:pt>
                <c:pt idx="339">
                  <c:v>76.667857</c:v>
                </c:pt>
                <c:pt idx="340">
                  <c:v>76.778571</c:v>
                </c:pt>
                <c:pt idx="341">
                  <c:v>76.900000</c:v>
                </c:pt>
                <c:pt idx="342">
                  <c:v>76.971429</c:v>
                </c:pt>
                <c:pt idx="343">
                  <c:v>77.046429</c:v>
                </c:pt>
                <c:pt idx="344">
                  <c:v>77.146429</c:v>
                </c:pt>
                <c:pt idx="345">
                  <c:v>77.239286</c:v>
                </c:pt>
                <c:pt idx="346">
                  <c:v>77.292857</c:v>
                </c:pt>
                <c:pt idx="347">
                  <c:v>77.346429</c:v>
                </c:pt>
                <c:pt idx="348">
                  <c:v>77.353571</c:v>
                </c:pt>
                <c:pt idx="349">
                  <c:v>77.214286</c:v>
                </c:pt>
                <c:pt idx="350">
                  <c:v>76.996429</c:v>
                </c:pt>
                <c:pt idx="351">
                  <c:v>76.739286</c:v>
                </c:pt>
                <c:pt idx="352">
                  <c:v>76.435714</c:v>
                </c:pt>
                <c:pt idx="353">
                  <c:v>76.117857</c:v>
                </c:pt>
                <c:pt idx="354">
                  <c:v>75.785714</c:v>
                </c:pt>
                <c:pt idx="355">
                  <c:v>75.382143</c:v>
                </c:pt>
                <c:pt idx="356">
                  <c:v>75.003571</c:v>
                </c:pt>
                <c:pt idx="357">
                  <c:v>74.617857</c:v>
                </c:pt>
                <c:pt idx="358">
                  <c:v>74.200000</c:v>
                </c:pt>
                <c:pt idx="359">
                  <c:v>73.875000</c:v>
                </c:pt>
                <c:pt idx="360">
                  <c:v>73.592857</c:v>
                </c:pt>
                <c:pt idx="361">
                  <c:v>73.217857</c:v>
                </c:pt>
                <c:pt idx="362">
                  <c:v>72.896429</c:v>
                </c:pt>
                <c:pt idx="363">
                  <c:v>72.696429</c:v>
                </c:pt>
                <c:pt idx="364">
                  <c:v>72.589286</c:v>
                </c:pt>
                <c:pt idx="365">
                  <c:v>72.500000</c:v>
                </c:pt>
                <c:pt idx="366">
                  <c:v>72.467857</c:v>
                </c:pt>
                <c:pt idx="367">
                  <c:v>72.450000</c:v>
                </c:pt>
                <c:pt idx="368">
                  <c:v>72.525000</c:v>
                </c:pt>
                <c:pt idx="369">
                  <c:v>72.564286</c:v>
                </c:pt>
                <c:pt idx="370">
                  <c:v>72.750000</c:v>
                </c:pt>
                <c:pt idx="371">
                  <c:v>72.975000</c:v>
                </c:pt>
                <c:pt idx="373">
                  <c:v>73.196154</c:v>
                </c:pt>
                <c:pt idx="374">
                  <c:v>73.342308</c:v>
                </c:pt>
                <c:pt idx="375">
                  <c:v>73.546154</c:v>
                </c:pt>
                <c:pt idx="377">
                  <c:v>73.791667</c:v>
                </c:pt>
                <c:pt idx="378">
                  <c:v>73.945833</c:v>
                </c:pt>
                <c:pt idx="379">
                  <c:v>74.179167</c:v>
                </c:pt>
                <c:pt idx="380">
                  <c:v>74.362500</c:v>
                </c:pt>
                <c:pt idx="381">
                  <c:v>74.633333</c:v>
                </c:pt>
                <c:pt idx="382">
                  <c:v>74.704167</c:v>
                </c:pt>
                <c:pt idx="383">
                  <c:v>74.900000</c:v>
                </c:pt>
                <c:pt idx="384">
                  <c:v>74.925000</c:v>
                </c:pt>
                <c:pt idx="385">
                  <c:v>74.908333</c:v>
                </c:pt>
                <c:pt idx="386">
                  <c:v>74.907692</c:v>
                </c:pt>
                <c:pt idx="387">
                  <c:v>74.880769</c:v>
                </c:pt>
                <c:pt idx="388">
                  <c:v>74.842308</c:v>
                </c:pt>
                <c:pt idx="389">
                  <c:v>74.838462</c:v>
                </c:pt>
                <c:pt idx="390">
                  <c:v>74.846429</c:v>
                </c:pt>
                <c:pt idx="391">
                  <c:v>74.871429</c:v>
                </c:pt>
                <c:pt idx="392">
                  <c:v>74.864286</c:v>
                </c:pt>
                <c:pt idx="393">
                  <c:v>74.789286</c:v>
                </c:pt>
                <c:pt idx="394">
                  <c:v>74.785714</c:v>
                </c:pt>
                <c:pt idx="395">
                  <c:v>74.746429</c:v>
                </c:pt>
                <c:pt idx="396">
                  <c:v>74.785714</c:v>
                </c:pt>
                <c:pt idx="397">
                  <c:v>74.839286</c:v>
                </c:pt>
                <c:pt idx="398">
                  <c:v>74.892857</c:v>
                </c:pt>
                <c:pt idx="399">
                  <c:v>74.967857</c:v>
                </c:pt>
                <c:pt idx="400">
                  <c:v>75.042857</c:v>
                </c:pt>
                <c:pt idx="401">
                  <c:v>75.110714</c:v>
                </c:pt>
                <c:pt idx="402">
                  <c:v>75.185714</c:v>
                </c:pt>
                <c:pt idx="403">
                  <c:v>75.214286</c:v>
                </c:pt>
                <c:pt idx="404">
                  <c:v>75.167857</c:v>
                </c:pt>
                <c:pt idx="405">
                  <c:v>75.121429</c:v>
                </c:pt>
                <c:pt idx="407">
                  <c:v>75.130769</c:v>
                </c:pt>
                <c:pt idx="408">
                  <c:v>75.084615</c:v>
                </c:pt>
                <c:pt idx="409">
                  <c:v>74.950000</c:v>
                </c:pt>
                <c:pt idx="410">
                  <c:v>74.792308</c:v>
                </c:pt>
                <c:pt idx="411">
                  <c:v>74.657692</c:v>
                </c:pt>
                <c:pt idx="412">
                  <c:v>74.523077</c:v>
                </c:pt>
                <c:pt idx="413">
                  <c:v>74.334615</c:v>
                </c:pt>
                <c:pt idx="414">
                  <c:v>74.253846</c:v>
                </c:pt>
                <c:pt idx="415">
                  <c:v>74.200000</c:v>
                </c:pt>
                <c:pt idx="416">
                  <c:v>74.146154</c:v>
                </c:pt>
                <c:pt idx="417">
                  <c:v>74.057692</c:v>
                </c:pt>
                <c:pt idx="418">
                  <c:v>74.076923</c:v>
                </c:pt>
                <c:pt idx="419">
                  <c:v>74.069231</c:v>
                </c:pt>
                <c:pt idx="420">
                  <c:v>74.078571</c:v>
                </c:pt>
                <c:pt idx="421">
                  <c:v>74.139286</c:v>
                </c:pt>
                <c:pt idx="422">
                  <c:v>74.157143</c:v>
                </c:pt>
                <c:pt idx="423">
                  <c:v>74.182143</c:v>
                </c:pt>
                <c:pt idx="424">
                  <c:v>74.239286</c:v>
                </c:pt>
                <c:pt idx="425">
                  <c:v>74.260714</c:v>
                </c:pt>
                <c:pt idx="426">
                  <c:v>74.278571</c:v>
                </c:pt>
                <c:pt idx="427">
                  <c:v>74.325000</c:v>
                </c:pt>
                <c:pt idx="429">
                  <c:v>74.315385</c:v>
                </c:pt>
                <c:pt idx="430">
                  <c:v>74.423077</c:v>
                </c:pt>
                <c:pt idx="431">
                  <c:v>74.580769</c:v>
                </c:pt>
                <c:pt idx="432">
                  <c:v>74.700000</c:v>
                </c:pt>
                <c:pt idx="433">
                  <c:v>74.807692</c:v>
                </c:pt>
                <c:pt idx="434">
                  <c:v>74.892308</c:v>
                </c:pt>
                <c:pt idx="435">
                  <c:v>74.919231</c:v>
                </c:pt>
                <c:pt idx="436">
                  <c:v>74.996154</c:v>
                </c:pt>
                <c:pt idx="437">
                  <c:v>75.200000</c:v>
                </c:pt>
                <c:pt idx="438">
                  <c:v>75.461538</c:v>
                </c:pt>
                <c:pt idx="439">
                  <c:v>75.692308</c:v>
                </c:pt>
                <c:pt idx="440">
                  <c:v>75.923077</c:v>
                </c:pt>
                <c:pt idx="441">
                  <c:v>76.038462</c:v>
                </c:pt>
                <c:pt idx="442">
                  <c:v>76.000000</c:v>
                </c:pt>
                <c:pt idx="443">
                  <c:v>76.035714</c:v>
                </c:pt>
                <c:pt idx="444">
                  <c:v>76.096429</c:v>
                </c:pt>
                <c:pt idx="445">
                  <c:v>76.146429</c:v>
                </c:pt>
                <c:pt idx="446">
                  <c:v>76.153571</c:v>
                </c:pt>
                <c:pt idx="447">
                  <c:v>76.221429</c:v>
                </c:pt>
                <c:pt idx="448">
                  <c:v>76.307143</c:v>
                </c:pt>
                <c:pt idx="449">
                  <c:v>76.421429</c:v>
                </c:pt>
                <c:pt idx="450">
                  <c:v>76.507143</c:v>
                </c:pt>
                <c:pt idx="451">
                  <c:v>76.614286</c:v>
                </c:pt>
                <c:pt idx="452">
                  <c:v>76.700000</c:v>
                </c:pt>
                <c:pt idx="453">
                  <c:v>76.792857</c:v>
                </c:pt>
                <c:pt idx="454">
                  <c:v>76.889286</c:v>
                </c:pt>
                <c:pt idx="455">
                  <c:v>77.092857</c:v>
                </c:pt>
                <c:pt idx="456">
                  <c:v>77.342857</c:v>
                </c:pt>
                <c:pt idx="457">
                  <c:v>77.575000</c:v>
                </c:pt>
                <c:pt idx="458">
                  <c:v>77.696429</c:v>
                </c:pt>
                <c:pt idx="459">
                  <c:v>77.853571</c:v>
                </c:pt>
                <c:pt idx="461">
                  <c:v>78.153846</c:v>
                </c:pt>
                <c:pt idx="462">
                  <c:v>78.353846</c:v>
                </c:pt>
                <c:pt idx="463">
                  <c:v>78.503846</c:v>
                </c:pt>
                <c:pt idx="464">
                  <c:v>78.634615</c:v>
                </c:pt>
                <c:pt idx="465">
                  <c:v>78.711538</c:v>
                </c:pt>
                <c:pt idx="467">
                  <c:v>78.670833</c:v>
                </c:pt>
                <c:pt idx="468">
                  <c:v>78.641667</c:v>
                </c:pt>
                <c:pt idx="469">
                  <c:v>78.612500</c:v>
                </c:pt>
                <c:pt idx="470">
                  <c:v>78.537500</c:v>
                </c:pt>
                <c:pt idx="471">
                  <c:v>78.516667</c:v>
                </c:pt>
                <c:pt idx="472">
                  <c:v>78.545833</c:v>
                </c:pt>
                <c:pt idx="473">
                  <c:v>78.516667</c:v>
                </c:pt>
                <c:pt idx="474">
                  <c:v>78.323077</c:v>
                </c:pt>
                <c:pt idx="475">
                  <c:v>78.107692</c:v>
                </c:pt>
                <c:pt idx="476">
                  <c:v>77.953846</c:v>
                </c:pt>
                <c:pt idx="477">
                  <c:v>77.919231</c:v>
                </c:pt>
                <c:pt idx="478">
                  <c:v>77.823077</c:v>
                </c:pt>
                <c:pt idx="479">
                  <c:v>77.669231</c:v>
                </c:pt>
                <c:pt idx="480">
                  <c:v>77.607143</c:v>
                </c:pt>
                <c:pt idx="481">
                  <c:v>77.582143</c:v>
                </c:pt>
                <c:pt idx="482">
                  <c:v>77.528571</c:v>
                </c:pt>
                <c:pt idx="483">
                  <c:v>77.492857</c:v>
                </c:pt>
                <c:pt idx="484">
                  <c:v>77.464286</c:v>
                </c:pt>
                <c:pt idx="485">
                  <c:v>77.442857</c:v>
                </c:pt>
                <c:pt idx="486">
                  <c:v>77.425000</c:v>
                </c:pt>
                <c:pt idx="487">
                  <c:v>77.457143</c:v>
                </c:pt>
                <c:pt idx="488">
                  <c:v>77.664286</c:v>
                </c:pt>
                <c:pt idx="489">
                  <c:v>77.900000</c:v>
                </c:pt>
                <c:pt idx="490">
                  <c:v>78.057143</c:v>
                </c:pt>
                <c:pt idx="491">
                  <c:v>78.171429</c:v>
                </c:pt>
                <c:pt idx="492">
                  <c:v>78.307143</c:v>
                </c:pt>
                <c:pt idx="493">
                  <c:v>78.417857</c:v>
                </c:pt>
                <c:pt idx="494">
                  <c:v>78.478571</c:v>
                </c:pt>
                <c:pt idx="495">
                  <c:v>78.503571</c:v>
                </c:pt>
                <c:pt idx="496">
                  <c:v>78.625000</c:v>
                </c:pt>
                <c:pt idx="497">
                  <c:v>78.725000</c:v>
                </c:pt>
                <c:pt idx="498">
                  <c:v>78.842857</c:v>
                </c:pt>
                <c:pt idx="499">
                  <c:v>78.942857</c:v>
                </c:pt>
                <c:pt idx="500">
                  <c:v>79.046429</c:v>
                </c:pt>
                <c:pt idx="501">
                  <c:v>79.096429</c:v>
                </c:pt>
                <c:pt idx="502">
                  <c:v>79.160714</c:v>
                </c:pt>
                <c:pt idx="503">
                  <c:v>79.157143</c:v>
                </c:pt>
                <c:pt idx="504">
                  <c:v>79.192857</c:v>
                </c:pt>
                <c:pt idx="505">
                  <c:v>79.192857</c:v>
                </c:pt>
                <c:pt idx="506">
                  <c:v>79.239286</c:v>
                </c:pt>
                <c:pt idx="507">
                  <c:v>79.325000</c:v>
                </c:pt>
                <c:pt idx="508">
                  <c:v>79.492857</c:v>
                </c:pt>
                <c:pt idx="509">
                  <c:v>79.639286</c:v>
                </c:pt>
                <c:pt idx="510">
                  <c:v>79.728571</c:v>
                </c:pt>
                <c:pt idx="511">
                  <c:v>79.817857</c:v>
                </c:pt>
                <c:pt idx="512">
                  <c:v>79.903571</c:v>
                </c:pt>
                <c:pt idx="513">
                  <c:v>79.985714</c:v>
                </c:pt>
                <c:pt idx="514">
                  <c:v>80.046429</c:v>
                </c:pt>
                <c:pt idx="515">
                  <c:v>80.146429</c:v>
                </c:pt>
                <c:pt idx="516">
                  <c:v>80.242857</c:v>
                </c:pt>
                <c:pt idx="517">
                  <c:v>80.389286</c:v>
                </c:pt>
                <c:pt idx="518">
                  <c:v>80.507143</c:v>
                </c:pt>
                <c:pt idx="519">
                  <c:v>80.628571</c:v>
                </c:pt>
                <c:pt idx="520">
                  <c:v>80.760714</c:v>
                </c:pt>
                <c:pt idx="521">
                  <c:v>80.839286</c:v>
                </c:pt>
                <c:pt idx="522">
                  <c:v>80.917857</c:v>
                </c:pt>
                <c:pt idx="523">
                  <c:v>80.953571</c:v>
                </c:pt>
                <c:pt idx="524">
                  <c:v>81.014286</c:v>
                </c:pt>
                <c:pt idx="525">
                  <c:v>81.050000</c:v>
                </c:pt>
                <c:pt idx="526">
                  <c:v>81.046429</c:v>
                </c:pt>
                <c:pt idx="527">
                  <c:v>81.032143</c:v>
                </c:pt>
                <c:pt idx="528">
                  <c:v>81.014286</c:v>
                </c:pt>
                <c:pt idx="529">
                  <c:v>81.007143</c:v>
                </c:pt>
                <c:pt idx="530">
                  <c:v>80.875000</c:v>
                </c:pt>
                <c:pt idx="531">
                  <c:v>80.739286</c:v>
                </c:pt>
                <c:pt idx="532">
                  <c:v>80.628571</c:v>
                </c:pt>
                <c:pt idx="533">
                  <c:v>80.546429</c:v>
                </c:pt>
                <c:pt idx="534">
                  <c:v>80.492857</c:v>
                </c:pt>
                <c:pt idx="535">
                  <c:v>80.478571</c:v>
                </c:pt>
                <c:pt idx="536">
                  <c:v>80.471429</c:v>
                </c:pt>
                <c:pt idx="537">
                  <c:v>80.496429</c:v>
                </c:pt>
                <c:pt idx="538">
                  <c:v>80.507143</c:v>
                </c:pt>
                <c:pt idx="539">
                  <c:v>80.521429</c:v>
                </c:pt>
                <c:pt idx="540">
                  <c:v>80.535714</c:v>
                </c:pt>
                <c:pt idx="544">
                  <c:v>80.618182</c:v>
                </c:pt>
                <c:pt idx="545">
                  <c:v>80.709091</c:v>
                </c:pt>
                <c:pt idx="546">
                  <c:v>80.772727</c:v>
                </c:pt>
                <c:pt idx="547">
                  <c:v>80.886364</c:v>
                </c:pt>
                <c:pt idx="548">
                  <c:v>80.936364</c:v>
                </c:pt>
                <c:pt idx="549">
                  <c:v>81.013636</c:v>
                </c:pt>
                <c:pt idx="550">
                  <c:v>81.031818</c:v>
                </c:pt>
                <c:pt idx="551">
                  <c:v>81.077273</c:v>
                </c:pt>
                <c:pt idx="552">
                  <c:v>81.072727</c:v>
                </c:pt>
                <c:pt idx="553">
                  <c:v>81.090909</c:v>
                </c:pt>
                <c:pt idx="554">
                  <c:v>81.136364</c:v>
                </c:pt>
                <c:pt idx="555">
                  <c:v>81.120833</c:v>
                </c:pt>
                <c:pt idx="556">
                  <c:v>81.176923</c:v>
                </c:pt>
                <c:pt idx="557">
                  <c:v>81.196429</c:v>
                </c:pt>
                <c:pt idx="558">
                  <c:v>81.257143</c:v>
                </c:pt>
                <c:pt idx="559">
                  <c:v>81.364286</c:v>
                </c:pt>
                <c:pt idx="560">
                  <c:v>81.446429</c:v>
                </c:pt>
                <c:pt idx="561">
                  <c:v>81.492857</c:v>
                </c:pt>
                <c:pt idx="562">
                  <c:v>81.503571</c:v>
                </c:pt>
                <c:pt idx="563">
                  <c:v>81.496429</c:v>
                </c:pt>
                <c:pt idx="564">
                  <c:v>81.535714</c:v>
                </c:pt>
                <c:pt idx="565">
                  <c:v>81.578571</c:v>
                </c:pt>
                <c:pt idx="566">
                  <c:v>81.610714</c:v>
                </c:pt>
                <c:pt idx="567">
                  <c:v>81.675000</c:v>
                </c:pt>
                <c:pt idx="568">
                  <c:v>81.689286</c:v>
                </c:pt>
                <c:pt idx="569">
                  <c:v>81.678571</c:v>
                </c:pt>
                <c:pt idx="570">
                  <c:v>81.582143</c:v>
                </c:pt>
                <c:pt idx="571">
                  <c:v>81.535714</c:v>
                </c:pt>
                <c:pt idx="572">
                  <c:v>81.417857</c:v>
                </c:pt>
                <c:pt idx="573">
                  <c:v>81.292857</c:v>
                </c:pt>
                <c:pt idx="574">
                  <c:v>81.232143</c:v>
                </c:pt>
                <c:pt idx="575">
                  <c:v>81.150000</c:v>
                </c:pt>
                <c:pt idx="576">
                  <c:v>81.139286</c:v>
                </c:pt>
                <c:pt idx="577">
                  <c:v>81.132143</c:v>
                </c:pt>
                <c:pt idx="578">
                  <c:v>81.135714</c:v>
                </c:pt>
                <c:pt idx="579">
                  <c:v>81.139286</c:v>
                </c:pt>
                <c:pt idx="580">
                  <c:v>81.132143</c:v>
                </c:pt>
                <c:pt idx="581">
                  <c:v>81.089286</c:v>
                </c:pt>
                <c:pt idx="582">
                  <c:v>81.096429</c:v>
                </c:pt>
                <c:pt idx="583">
                  <c:v>81.146429</c:v>
                </c:pt>
                <c:pt idx="584">
                  <c:v>81.239286</c:v>
                </c:pt>
                <c:pt idx="585">
                  <c:v>81.325000</c:v>
                </c:pt>
                <c:pt idx="586">
                  <c:v>81.482143</c:v>
                </c:pt>
                <c:pt idx="587">
                  <c:v>81.614286</c:v>
                </c:pt>
                <c:pt idx="588">
                  <c:v>81.653571</c:v>
                </c:pt>
                <c:pt idx="589">
                  <c:v>81.692857</c:v>
                </c:pt>
                <c:pt idx="590">
                  <c:v>81.696429</c:v>
                </c:pt>
                <c:pt idx="591">
                  <c:v>81.692857</c:v>
                </c:pt>
                <c:pt idx="592">
                  <c:v>81.667857</c:v>
                </c:pt>
                <c:pt idx="594">
                  <c:v>81.511538</c:v>
                </c:pt>
                <c:pt idx="628">
                  <c:v>81.500000</c:v>
                </c:pt>
                <c:pt idx="629">
                  <c:v>81.875000</c:v>
                </c:pt>
                <c:pt idx="630">
                  <c:v>81.750000</c:v>
                </c:pt>
                <c:pt idx="631">
                  <c:v>81.687500</c:v>
                </c:pt>
                <c:pt idx="632">
                  <c:v>81.590000</c:v>
                </c:pt>
                <c:pt idx="633">
                  <c:v>81.641667</c:v>
                </c:pt>
                <c:pt idx="634">
                  <c:v>81.678571</c:v>
                </c:pt>
                <c:pt idx="635">
                  <c:v>81.706250</c:v>
                </c:pt>
                <c:pt idx="636">
                  <c:v>81.727778</c:v>
                </c:pt>
                <c:pt idx="637">
                  <c:v>81.705000</c:v>
                </c:pt>
                <c:pt idx="638">
                  <c:v>81.686364</c:v>
                </c:pt>
                <c:pt idx="639">
                  <c:v>81.670833</c:v>
                </c:pt>
                <c:pt idx="640">
                  <c:v>81.657692</c:v>
                </c:pt>
                <c:pt idx="641">
                  <c:v>81.646429</c:v>
                </c:pt>
                <c:pt idx="642">
                  <c:v>81.646429</c:v>
                </c:pt>
                <c:pt idx="643">
                  <c:v>81.614286</c:v>
                </c:pt>
                <c:pt idx="644">
                  <c:v>81.678571</c:v>
                </c:pt>
                <c:pt idx="645">
                  <c:v>81.700000</c:v>
                </c:pt>
                <c:pt idx="646">
                  <c:v>81.764286</c:v>
                </c:pt>
                <c:pt idx="647">
                  <c:v>81.757143</c:v>
                </c:pt>
                <c:pt idx="648">
                  <c:v>81.750000</c:v>
                </c:pt>
                <c:pt idx="649">
                  <c:v>81.721429</c:v>
                </c:pt>
                <c:pt idx="650">
                  <c:v>81.692857</c:v>
                </c:pt>
                <c:pt idx="651">
                  <c:v>81.692857</c:v>
                </c:pt>
                <c:pt idx="652">
                  <c:v>81.664286</c:v>
                </c:pt>
                <c:pt idx="653">
                  <c:v>81.635714</c:v>
                </c:pt>
                <c:pt idx="654">
                  <c:v>81.585714</c:v>
                </c:pt>
                <c:pt idx="655">
                  <c:v>81.557143</c:v>
                </c:pt>
                <c:pt idx="656">
                  <c:v>81.507143</c:v>
                </c:pt>
                <c:pt idx="657">
                  <c:v>81.435714</c:v>
                </c:pt>
                <c:pt idx="659">
                  <c:v>81.200000</c:v>
                </c:pt>
                <c:pt idx="660">
                  <c:v>81.100000</c:v>
                </c:pt>
                <c:pt idx="661">
                  <c:v>80.992308</c:v>
                </c:pt>
                <c:pt idx="662">
                  <c:v>80.857692</c:v>
                </c:pt>
                <c:pt idx="663">
                  <c:v>80.773077</c:v>
                </c:pt>
                <c:pt idx="664">
                  <c:v>80.719231</c:v>
                </c:pt>
                <c:pt idx="665">
                  <c:v>80.665385</c:v>
                </c:pt>
                <c:pt idx="666">
                  <c:v>80.673077</c:v>
                </c:pt>
                <c:pt idx="667">
                  <c:v>80.680769</c:v>
                </c:pt>
                <c:pt idx="668">
                  <c:v>80.653846</c:v>
                </c:pt>
                <c:pt idx="669">
                  <c:v>80.603846</c:v>
                </c:pt>
                <c:pt idx="670">
                  <c:v>80.542308</c:v>
                </c:pt>
                <c:pt idx="671">
                  <c:v>80.542308</c:v>
                </c:pt>
                <c:pt idx="673">
                  <c:v>80.565385</c:v>
                </c:pt>
                <c:pt idx="674">
                  <c:v>80.530769</c:v>
                </c:pt>
                <c:pt idx="676">
                  <c:v>80.566667</c:v>
                </c:pt>
                <c:pt idx="677">
                  <c:v>80.608333</c:v>
                </c:pt>
                <c:pt idx="678">
                  <c:v>80.616667</c:v>
                </c:pt>
                <c:pt idx="679">
                  <c:v>80.579167</c:v>
                </c:pt>
                <c:pt idx="680">
                  <c:v>80.579167</c:v>
                </c:pt>
                <c:pt idx="681">
                  <c:v>80.550000</c:v>
                </c:pt>
                <c:pt idx="682">
                  <c:v>80.541667</c:v>
                </c:pt>
                <c:pt idx="683">
                  <c:v>80.533333</c:v>
                </c:pt>
                <c:pt idx="684">
                  <c:v>80.575000</c:v>
                </c:pt>
                <c:pt idx="685">
                  <c:v>80.537500</c:v>
                </c:pt>
                <c:pt idx="686">
                  <c:v>80.523077</c:v>
                </c:pt>
                <c:pt idx="687">
                  <c:v>80.542308</c:v>
                </c:pt>
                <c:pt idx="688">
                  <c:v>80.534615</c:v>
                </c:pt>
                <c:pt idx="689">
                  <c:v>80.514286</c:v>
                </c:pt>
                <c:pt idx="692">
                  <c:v>80.466667</c:v>
                </c:pt>
                <c:pt idx="693">
                  <c:v>80.483333</c:v>
                </c:pt>
                <c:pt idx="694">
                  <c:v>80.429167</c:v>
                </c:pt>
                <c:pt idx="695">
                  <c:v>80.358333</c:v>
                </c:pt>
                <c:pt idx="696">
                  <c:v>80.333333</c:v>
                </c:pt>
                <c:pt idx="698">
                  <c:v>80.290909</c:v>
                </c:pt>
                <c:pt idx="699">
                  <c:v>80.313636</c:v>
                </c:pt>
                <c:pt idx="700">
                  <c:v>80.336364</c:v>
                </c:pt>
                <c:pt idx="701">
                  <c:v>80.368182</c:v>
                </c:pt>
                <c:pt idx="702">
                  <c:v>80.400000</c:v>
                </c:pt>
                <c:pt idx="703">
                  <c:v>80.395455</c:v>
                </c:pt>
                <c:pt idx="704">
                  <c:v>80.437500</c:v>
                </c:pt>
                <c:pt idx="705">
                  <c:v>80.503846</c:v>
                </c:pt>
                <c:pt idx="706">
                  <c:v>80.523077</c:v>
                </c:pt>
                <c:pt idx="707">
                  <c:v>80.542308</c:v>
                </c:pt>
                <c:pt idx="708">
                  <c:v>80.538462</c:v>
                </c:pt>
                <c:pt idx="709">
                  <c:v>80.576923</c:v>
                </c:pt>
                <c:pt idx="710">
                  <c:v>80.665385</c:v>
                </c:pt>
                <c:pt idx="712">
                  <c:v>80.730769</c:v>
                </c:pt>
                <c:pt idx="713">
                  <c:v>80.819231</c:v>
                </c:pt>
                <c:pt idx="714">
                  <c:v>80.884615</c:v>
                </c:pt>
                <c:pt idx="715">
                  <c:v>80.869231</c:v>
                </c:pt>
                <c:pt idx="716">
                  <c:v>80.896154</c:v>
                </c:pt>
                <c:pt idx="717">
                  <c:v>81.061538</c:v>
                </c:pt>
                <c:pt idx="718">
                  <c:v>81.115385</c:v>
                </c:pt>
                <c:pt idx="719">
                  <c:v>81.138462</c:v>
                </c:pt>
                <c:pt idx="720">
                  <c:v>81.200000</c:v>
                </c:pt>
                <c:pt idx="721">
                  <c:v>81.219231</c:v>
                </c:pt>
                <c:pt idx="722">
                  <c:v>81.230769</c:v>
                </c:pt>
                <c:pt idx="723">
                  <c:v>81.242308</c:v>
                </c:pt>
                <c:pt idx="724">
                  <c:v>81.200000</c:v>
                </c:pt>
                <c:pt idx="725">
                  <c:v>81.160714</c:v>
                </c:pt>
                <c:pt idx="726">
                  <c:v>81.107143</c:v>
                </c:pt>
                <c:pt idx="727">
                  <c:v>80.992857</c:v>
                </c:pt>
                <c:pt idx="728">
                  <c:v>80.900000</c:v>
                </c:pt>
                <c:pt idx="729">
                  <c:v>80.932143</c:v>
                </c:pt>
                <c:pt idx="730">
                  <c:v>80.925000</c:v>
                </c:pt>
                <c:pt idx="731">
                  <c:v>80.850000</c:v>
                </c:pt>
                <c:pt idx="732">
                  <c:v>80.796429</c:v>
                </c:pt>
                <c:pt idx="734">
                  <c:v>80.642308</c:v>
                </c:pt>
                <c:pt idx="735">
                  <c:v>80.626923</c:v>
                </c:pt>
                <c:pt idx="736">
                  <c:v>80.642308</c:v>
                </c:pt>
                <c:pt idx="737">
                  <c:v>80.657692</c:v>
                </c:pt>
                <c:pt idx="738">
                  <c:v>80.673077</c:v>
                </c:pt>
                <c:pt idx="739">
                  <c:v>80.688462</c:v>
                </c:pt>
                <c:pt idx="740">
                  <c:v>80.676923</c:v>
                </c:pt>
                <c:pt idx="741">
                  <c:v>80.723077</c:v>
                </c:pt>
                <c:pt idx="742">
                  <c:v>80.807692</c:v>
                </c:pt>
                <c:pt idx="743">
                  <c:v>80.842308</c:v>
                </c:pt>
                <c:pt idx="744">
                  <c:v>80.876923</c:v>
                </c:pt>
                <c:pt idx="745">
                  <c:v>80.876923</c:v>
                </c:pt>
                <c:pt idx="746">
                  <c:v>80.911538</c:v>
                </c:pt>
                <c:pt idx="748">
                  <c:v>80.980769</c:v>
                </c:pt>
                <c:pt idx="749">
                  <c:v>80.992308</c:v>
                </c:pt>
                <c:pt idx="750">
                  <c:v>81.050000</c:v>
                </c:pt>
                <c:pt idx="751">
                  <c:v>81.107692</c:v>
                </c:pt>
                <c:pt idx="752">
                  <c:v>81.165385</c:v>
                </c:pt>
                <c:pt idx="753">
                  <c:v>81.176923</c:v>
                </c:pt>
                <c:pt idx="754">
                  <c:v>81.253846</c:v>
                </c:pt>
                <c:pt idx="755">
                  <c:v>81.273077</c:v>
                </c:pt>
                <c:pt idx="756">
                  <c:v>81.226923</c:v>
                </c:pt>
                <c:pt idx="759">
                  <c:v>81.154545</c:v>
                </c:pt>
                <c:pt idx="760">
                  <c:v>81.127273</c:v>
                </c:pt>
                <c:pt idx="763">
                  <c:v>81.110000</c:v>
                </c:pt>
                <c:pt idx="764">
                  <c:v>81.015000</c:v>
                </c:pt>
                <c:pt idx="765">
                  <c:v>80.955000</c:v>
                </c:pt>
                <c:pt idx="766">
                  <c:v>80.895000</c:v>
                </c:pt>
                <c:pt idx="767">
                  <c:v>80.955000</c:v>
                </c:pt>
                <c:pt idx="768">
                  <c:v>81.015000</c:v>
                </c:pt>
                <c:pt idx="770">
                  <c:v>81.122222</c:v>
                </c:pt>
                <c:pt idx="771">
                  <c:v>81.170000</c:v>
                </c:pt>
                <c:pt idx="772">
                  <c:v>81.240909</c:v>
                </c:pt>
                <c:pt idx="773">
                  <c:v>81.359091</c:v>
                </c:pt>
                <c:pt idx="774">
                  <c:v>81.445455</c:v>
                </c:pt>
                <c:pt idx="775">
                  <c:v>81.458333</c:v>
                </c:pt>
                <c:pt idx="776">
                  <c:v>81.500000</c:v>
                </c:pt>
                <c:pt idx="777">
                  <c:v>81.546154</c:v>
                </c:pt>
                <c:pt idx="778">
                  <c:v>81.646154</c:v>
                </c:pt>
                <c:pt idx="779">
                  <c:v>81.719231</c:v>
                </c:pt>
                <c:pt idx="780">
                  <c:v>81.792308</c:v>
                </c:pt>
                <c:pt idx="781">
                  <c:v>81.792308</c:v>
                </c:pt>
                <c:pt idx="782">
                  <c:v>81.819231</c:v>
                </c:pt>
                <c:pt idx="783">
                  <c:v>81.803571</c:v>
                </c:pt>
                <c:pt idx="784">
                  <c:v>81.828571</c:v>
                </c:pt>
                <c:pt idx="785">
                  <c:v>81.853571</c:v>
                </c:pt>
                <c:pt idx="786">
                  <c:v>81.892857</c:v>
                </c:pt>
                <c:pt idx="787">
                  <c:v>81.892857</c:v>
                </c:pt>
                <c:pt idx="788">
                  <c:v>81.928571</c:v>
                </c:pt>
                <c:pt idx="789">
                  <c:v>82.017857</c:v>
                </c:pt>
                <c:pt idx="790">
                  <c:v>82.075000</c:v>
                </c:pt>
                <c:pt idx="791">
                  <c:v>82.128571</c:v>
                </c:pt>
                <c:pt idx="792">
                  <c:v>82.189286</c:v>
                </c:pt>
                <c:pt idx="793">
                  <c:v>82.250000</c:v>
                </c:pt>
                <c:pt idx="794">
                  <c:v>82.332143</c:v>
                </c:pt>
                <c:pt idx="795">
                  <c:v>82.503571</c:v>
                </c:pt>
                <c:pt idx="796">
                  <c:v>82.628571</c:v>
                </c:pt>
                <c:pt idx="797">
                  <c:v>82.742857</c:v>
                </c:pt>
                <c:pt idx="798">
                  <c:v>82.889286</c:v>
                </c:pt>
                <c:pt idx="799">
                  <c:v>83.014286</c:v>
                </c:pt>
                <c:pt idx="800">
                  <c:v>83.064286</c:v>
                </c:pt>
                <c:pt idx="801">
                  <c:v>83.132143</c:v>
                </c:pt>
                <c:pt idx="803">
                  <c:v>83.242308</c:v>
                </c:pt>
                <c:pt idx="804">
                  <c:v>83.334615</c:v>
                </c:pt>
                <c:pt idx="805">
                  <c:v>83.407692</c:v>
                </c:pt>
                <c:pt idx="806">
                  <c:v>83.446154</c:v>
                </c:pt>
                <c:pt idx="807">
                  <c:v>83.484615</c:v>
                </c:pt>
                <c:pt idx="808">
                  <c:v>83.473077</c:v>
                </c:pt>
                <c:pt idx="809">
                  <c:v>83.392308</c:v>
                </c:pt>
                <c:pt idx="810">
                  <c:v>83.361538</c:v>
                </c:pt>
                <c:pt idx="811">
                  <c:v>83.423077</c:v>
                </c:pt>
                <c:pt idx="812">
                  <c:v>83.342308</c:v>
                </c:pt>
                <c:pt idx="813">
                  <c:v>83.284615</c:v>
                </c:pt>
                <c:pt idx="814">
                  <c:v>83.265385</c:v>
                </c:pt>
                <c:pt idx="815">
                  <c:v>83.269231</c:v>
                </c:pt>
                <c:pt idx="816">
                  <c:v>83.296429</c:v>
                </c:pt>
                <c:pt idx="817">
                  <c:v>83.300000</c:v>
                </c:pt>
                <c:pt idx="818">
                  <c:v>83.303571</c:v>
                </c:pt>
                <c:pt idx="819">
                  <c:v>83.328571</c:v>
                </c:pt>
                <c:pt idx="820">
                  <c:v>83.382143</c:v>
                </c:pt>
                <c:pt idx="821">
                  <c:v>83.407143</c:v>
                </c:pt>
                <c:pt idx="822">
                  <c:v>83.457143</c:v>
                </c:pt>
                <c:pt idx="823">
                  <c:v>83.460714</c:v>
                </c:pt>
                <c:pt idx="824">
                  <c:v>83.510714</c:v>
                </c:pt>
                <c:pt idx="825">
                  <c:v>83.542857</c:v>
                </c:pt>
                <c:pt idx="826">
                  <c:v>83.650000</c:v>
                </c:pt>
                <c:pt idx="827">
                  <c:v>83.696429</c:v>
                </c:pt>
                <c:pt idx="828">
                  <c:v>83.742857</c:v>
                </c:pt>
                <c:pt idx="829">
                  <c:v>83.810714</c:v>
                </c:pt>
                <c:pt idx="830">
                  <c:v>83.864286</c:v>
                </c:pt>
                <c:pt idx="831">
                  <c:v>83.917857</c:v>
                </c:pt>
                <c:pt idx="833">
                  <c:v>83.938462</c:v>
                </c:pt>
                <c:pt idx="834">
                  <c:v>84.003846</c:v>
                </c:pt>
                <c:pt idx="835">
                  <c:v>84.100000</c:v>
                </c:pt>
                <c:pt idx="836">
                  <c:v>84.196154</c:v>
                </c:pt>
                <c:pt idx="837">
                  <c:v>84.342308</c:v>
                </c:pt>
                <c:pt idx="838">
                  <c:v>84.411538</c:v>
                </c:pt>
                <c:pt idx="840">
                  <c:v>84.445833</c:v>
                </c:pt>
                <c:pt idx="841">
                  <c:v>84.554167</c:v>
                </c:pt>
                <c:pt idx="842">
                  <c:v>84.687500</c:v>
                </c:pt>
                <c:pt idx="843">
                  <c:v>84.825000</c:v>
                </c:pt>
                <c:pt idx="844">
                  <c:v>84.891667</c:v>
                </c:pt>
                <c:pt idx="845">
                  <c:v>84.958333</c:v>
                </c:pt>
                <c:pt idx="846">
                  <c:v>84.953846</c:v>
                </c:pt>
                <c:pt idx="847">
                  <c:v>85.019231</c:v>
                </c:pt>
                <c:pt idx="848">
                  <c:v>85.069231</c:v>
                </c:pt>
                <c:pt idx="849">
                  <c:v>85.092308</c:v>
                </c:pt>
                <c:pt idx="850">
                  <c:v>85.092308</c:v>
                </c:pt>
                <c:pt idx="851">
                  <c:v>85.196154</c:v>
                </c:pt>
                <c:pt idx="852">
                  <c:v>85.300000</c:v>
                </c:pt>
                <c:pt idx="853">
                  <c:v>85.292857</c:v>
                </c:pt>
                <c:pt idx="854">
                  <c:v>85.335714</c:v>
                </c:pt>
                <c:pt idx="855">
                  <c:v>85.400000</c:v>
                </c:pt>
                <c:pt idx="856">
                  <c:v>85.385714</c:v>
                </c:pt>
                <c:pt idx="857">
                  <c:v>85.375000</c:v>
                </c:pt>
                <c:pt idx="858">
                  <c:v>85.389286</c:v>
                </c:pt>
                <c:pt idx="859">
                  <c:v>85.403571</c:v>
                </c:pt>
                <c:pt idx="860">
                  <c:v>85.439286</c:v>
                </c:pt>
                <c:pt idx="861">
                  <c:v>85.446429</c:v>
                </c:pt>
                <c:pt idx="862">
                  <c:v>85.435714</c:v>
                </c:pt>
                <c:pt idx="863">
                  <c:v>85.450000</c:v>
                </c:pt>
                <c:pt idx="864">
                  <c:v>85.485714</c:v>
                </c:pt>
                <c:pt idx="867">
                  <c:v>85.400000</c:v>
                </c:pt>
                <c:pt idx="868">
                  <c:v>85.450000</c:v>
                </c:pt>
                <c:pt idx="869">
                  <c:v>85.475000</c:v>
                </c:pt>
                <c:pt idx="870">
                  <c:v>85.566667</c:v>
                </c:pt>
                <c:pt idx="871">
                  <c:v>85.625000</c:v>
                </c:pt>
                <c:pt idx="873">
                  <c:v>85.650000</c:v>
                </c:pt>
                <c:pt idx="874">
                  <c:v>85.654545</c:v>
                </c:pt>
                <c:pt idx="875">
                  <c:v>85.695455</c:v>
                </c:pt>
                <c:pt idx="876">
                  <c:v>85.672727</c:v>
                </c:pt>
                <c:pt idx="877">
                  <c:v>85.622727</c:v>
                </c:pt>
                <c:pt idx="878">
                  <c:v>85.600000</c:v>
                </c:pt>
                <c:pt idx="879">
                  <c:v>85.562500</c:v>
                </c:pt>
                <c:pt idx="880">
                  <c:v>85.530769</c:v>
                </c:pt>
                <c:pt idx="881">
                  <c:v>85.423077</c:v>
                </c:pt>
                <c:pt idx="882">
                  <c:v>85.284615</c:v>
                </c:pt>
                <c:pt idx="883">
                  <c:v>85.146154</c:v>
                </c:pt>
                <c:pt idx="884">
                  <c:v>85.007692</c:v>
                </c:pt>
                <c:pt idx="885">
                  <c:v>84.846154</c:v>
                </c:pt>
                <c:pt idx="887">
                  <c:v>84.757692</c:v>
                </c:pt>
                <c:pt idx="888">
                  <c:v>84.669231</c:v>
                </c:pt>
              </c:numCache>
            </c:numRef>
          </c:val>
          <c:smooth val="0"/>
        </c:ser>
        <c:ser>
          <c:idx val="3"/>
          <c:order val="3"/>
          <c:tx>
            <c:strRef>
              <c:f>'tracking - Table 3-1'!$F$1</c:f>
              <c:strCache>
                <c:ptCount val="1"/>
                <c:pt idx="0">
                  <c:v>30-day</c:v>
                </c:pt>
              </c:strCache>
            </c:strRef>
          </c:tx>
          <c:spPr>
            <a:solidFill>
              <a:srgbClr val="EF951A">
                <a:alpha val="76533"/>
              </a:srgbClr>
            </a:solidFill>
            <a:ln w="25400" cap="flat">
              <a:solidFill>
                <a:srgbClr val="EF951A">
                  <a:alpha val="76533"/>
                </a:srgbClr>
              </a:solidFill>
              <a:prstDash val="solid"/>
              <a:miter lim="400000"/>
            </a:ln>
            <a:effectLst/>
          </c:spPr>
          <c:marker>
            <c:symbol val="circle"/>
            <c:size val="2"/>
            <c:spPr>
              <a:solidFill>
                <a:srgbClr val="EF951A">
                  <a:alpha val="76533"/>
                </a:srgbClr>
              </a:solidFill>
              <a:ln w="50800" cap="flat">
                <a:noFill/>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923"/>
                <c:pt idx="0">
                  <c:v>25 May</c:v>
                </c:pt>
                <c:pt idx="1">
                  <c:v>26 May</c:v>
                </c:pt>
                <c:pt idx="2">
                  <c:v>27 May</c:v>
                </c:pt>
                <c:pt idx="3">
                  <c:v>28 May</c:v>
                </c:pt>
                <c:pt idx="4">
                  <c:v>29 May</c:v>
                </c:pt>
                <c:pt idx="5">
                  <c:v>30 May</c:v>
                </c:pt>
                <c:pt idx="6">
                  <c:v>31 May</c:v>
                </c:pt>
                <c:pt idx="7">
                  <c:v>1 Jun</c:v>
                </c:pt>
                <c:pt idx="8">
                  <c:v>2 Jun</c:v>
                </c:pt>
                <c:pt idx="9">
                  <c:v>3 Jun</c:v>
                </c:pt>
                <c:pt idx="10">
                  <c:v>4 Jun</c:v>
                </c:pt>
                <c:pt idx="11">
                  <c:v>5 Jun</c:v>
                </c:pt>
                <c:pt idx="12">
                  <c:v>6 Jun</c:v>
                </c:pt>
                <c:pt idx="13">
                  <c:v>7 Jun</c:v>
                </c:pt>
                <c:pt idx="14">
                  <c:v>8 Jun</c:v>
                </c:pt>
                <c:pt idx="15">
                  <c:v>9 Jun</c:v>
                </c:pt>
                <c:pt idx="16">
                  <c:v>10 Jun</c:v>
                </c:pt>
                <c:pt idx="17">
                  <c:v>11 Jun</c:v>
                </c:pt>
                <c:pt idx="18">
                  <c:v>12 Jun</c:v>
                </c:pt>
                <c:pt idx="19">
                  <c:v>13 Jun</c:v>
                </c:pt>
                <c:pt idx="20">
                  <c:v>14 Jun</c:v>
                </c:pt>
                <c:pt idx="21">
                  <c:v>15 Jun</c:v>
                </c:pt>
                <c:pt idx="22">
                  <c:v>16 Jun</c:v>
                </c:pt>
                <c:pt idx="23">
                  <c:v>17 Jun</c:v>
                </c:pt>
                <c:pt idx="24">
                  <c:v>18 Jun</c:v>
                </c:pt>
                <c:pt idx="25">
                  <c:v>19 Jun</c:v>
                </c:pt>
                <c:pt idx="26">
                  <c:v>20 Jun</c:v>
                </c:pt>
                <c:pt idx="27">
                  <c:v>21 Jun</c:v>
                </c:pt>
                <c:pt idx="28">
                  <c:v>22 Jun</c:v>
                </c:pt>
                <c:pt idx="29">
                  <c:v>23 Jun</c:v>
                </c:pt>
                <c:pt idx="30">
                  <c:v>24 Jun</c:v>
                </c:pt>
                <c:pt idx="31">
                  <c:v>25 Jun</c:v>
                </c:pt>
                <c:pt idx="32">
                  <c:v>26 Jun</c:v>
                </c:pt>
                <c:pt idx="33">
                  <c:v>27 Jun</c:v>
                </c:pt>
                <c:pt idx="34">
                  <c:v>28 Jun</c:v>
                </c:pt>
                <c:pt idx="35">
                  <c:v>29 Jun</c:v>
                </c:pt>
                <c:pt idx="36">
                  <c:v>30 Jun</c:v>
                </c:pt>
                <c:pt idx="37">
                  <c:v>1 Jul</c:v>
                </c:pt>
                <c:pt idx="38">
                  <c:v>2 Jul</c:v>
                </c:pt>
                <c:pt idx="39">
                  <c:v>3 Jul</c:v>
                </c:pt>
                <c:pt idx="40">
                  <c:v>4 Jul</c:v>
                </c:pt>
                <c:pt idx="41">
                  <c:v>5 Jul</c:v>
                </c:pt>
                <c:pt idx="42">
                  <c:v>6 Jul</c:v>
                </c:pt>
                <c:pt idx="43">
                  <c:v>7 Jul</c:v>
                </c:pt>
                <c:pt idx="44">
                  <c:v>8 Jul</c:v>
                </c:pt>
                <c:pt idx="45">
                  <c:v>9 Jul</c:v>
                </c:pt>
                <c:pt idx="46">
                  <c:v>10 Jul</c:v>
                </c:pt>
                <c:pt idx="47">
                  <c:v>11 Jul</c:v>
                </c:pt>
                <c:pt idx="48">
                  <c:v>12 Jul</c:v>
                </c:pt>
                <c:pt idx="49">
                  <c:v>13 Jul</c:v>
                </c:pt>
                <c:pt idx="50">
                  <c:v>14 Jul</c:v>
                </c:pt>
                <c:pt idx="51">
                  <c:v>15 Jul</c:v>
                </c:pt>
                <c:pt idx="52">
                  <c:v>16 Jul</c:v>
                </c:pt>
                <c:pt idx="53">
                  <c:v>17 Jul</c:v>
                </c:pt>
                <c:pt idx="54">
                  <c:v>18 Jul</c:v>
                </c:pt>
                <c:pt idx="55">
                  <c:v>19 Jul</c:v>
                </c:pt>
                <c:pt idx="56">
                  <c:v>20 Jul</c:v>
                </c:pt>
                <c:pt idx="57">
                  <c:v>21 Jul</c:v>
                </c:pt>
                <c:pt idx="58">
                  <c:v>22 Jul</c:v>
                </c:pt>
                <c:pt idx="59">
                  <c:v>23 Jul</c:v>
                </c:pt>
                <c:pt idx="60">
                  <c:v>24 Jul</c:v>
                </c:pt>
                <c:pt idx="61">
                  <c:v>25 Jul</c:v>
                </c:pt>
                <c:pt idx="62">
                  <c:v>26 Jul</c:v>
                </c:pt>
                <c:pt idx="63">
                  <c:v>27 Jul</c:v>
                </c:pt>
                <c:pt idx="64">
                  <c:v>28 Jul</c:v>
                </c:pt>
                <c:pt idx="65">
                  <c:v>29 Jul</c:v>
                </c:pt>
                <c:pt idx="66">
                  <c:v>30 Jul</c:v>
                </c:pt>
                <c:pt idx="67">
                  <c:v>31 Jul</c:v>
                </c:pt>
                <c:pt idx="68">
                  <c:v>1 Aug</c:v>
                </c:pt>
                <c:pt idx="69">
                  <c:v>2 Aug</c:v>
                </c:pt>
                <c:pt idx="70">
                  <c:v>3 Aug</c:v>
                </c:pt>
                <c:pt idx="71">
                  <c:v>4 Aug</c:v>
                </c:pt>
                <c:pt idx="72">
                  <c:v>5 Aug</c:v>
                </c:pt>
                <c:pt idx="73">
                  <c:v>6 Aug</c:v>
                </c:pt>
                <c:pt idx="74">
                  <c:v>7 Aug</c:v>
                </c:pt>
                <c:pt idx="75">
                  <c:v>8 Aug</c:v>
                </c:pt>
                <c:pt idx="76">
                  <c:v>9 Aug</c:v>
                </c:pt>
                <c:pt idx="77">
                  <c:v>10 Aug</c:v>
                </c:pt>
                <c:pt idx="78">
                  <c:v>11 Aug</c:v>
                </c:pt>
                <c:pt idx="79">
                  <c:v>12 Aug</c:v>
                </c:pt>
                <c:pt idx="80">
                  <c:v>13 Aug</c:v>
                </c:pt>
                <c:pt idx="81">
                  <c:v>14 Aug</c:v>
                </c:pt>
                <c:pt idx="82">
                  <c:v>15 Aug</c:v>
                </c:pt>
                <c:pt idx="83">
                  <c:v>16 Aug</c:v>
                </c:pt>
                <c:pt idx="84">
                  <c:v>17 Aug</c:v>
                </c:pt>
                <c:pt idx="85">
                  <c:v>18 Aug</c:v>
                </c:pt>
                <c:pt idx="86">
                  <c:v>19 Aug</c:v>
                </c:pt>
                <c:pt idx="87">
                  <c:v>20 Aug</c:v>
                </c:pt>
                <c:pt idx="88">
                  <c:v>21 Aug</c:v>
                </c:pt>
                <c:pt idx="89">
                  <c:v>22 Aug</c:v>
                </c:pt>
                <c:pt idx="90">
                  <c:v>23 Aug</c:v>
                </c:pt>
                <c:pt idx="91">
                  <c:v>24 Aug</c:v>
                </c:pt>
                <c:pt idx="92">
                  <c:v>25 Aug</c:v>
                </c:pt>
                <c:pt idx="93">
                  <c:v>26 Aug</c:v>
                </c:pt>
                <c:pt idx="94">
                  <c:v>27 Aug</c:v>
                </c:pt>
                <c:pt idx="95">
                  <c:v>28 Aug</c:v>
                </c:pt>
                <c:pt idx="96">
                  <c:v>29 Aug</c:v>
                </c:pt>
                <c:pt idx="97">
                  <c:v>30 Aug</c:v>
                </c:pt>
                <c:pt idx="98">
                  <c:v>31 Aug</c:v>
                </c:pt>
                <c:pt idx="99">
                  <c:v>1 Sep</c:v>
                </c:pt>
                <c:pt idx="100">
                  <c:v>2 Sep</c:v>
                </c:pt>
                <c:pt idx="101">
                  <c:v>3 Sep</c:v>
                </c:pt>
                <c:pt idx="102">
                  <c:v>4 Sep</c:v>
                </c:pt>
                <c:pt idx="103">
                  <c:v>5 Sep</c:v>
                </c:pt>
                <c:pt idx="104">
                  <c:v>6 Sep</c:v>
                </c:pt>
                <c:pt idx="105">
                  <c:v>7 Sep</c:v>
                </c:pt>
                <c:pt idx="106">
                  <c:v>8 Sep</c:v>
                </c:pt>
                <c:pt idx="107">
                  <c:v>9 Sep</c:v>
                </c:pt>
                <c:pt idx="108">
                  <c:v>10 Sep</c:v>
                </c:pt>
                <c:pt idx="109">
                  <c:v>11 Sep</c:v>
                </c:pt>
                <c:pt idx="110">
                  <c:v>12 Sep</c:v>
                </c:pt>
                <c:pt idx="111">
                  <c:v>13 Sep</c:v>
                </c:pt>
                <c:pt idx="112">
                  <c:v>14 Sep</c:v>
                </c:pt>
                <c:pt idx="113">
                  <c:v>15 Sep</c:v>
                </c:pt>
                <c:pt idx="114">
                  <c:v>16 Sep</c:v>
                </c:pt>
                <c:pt idx="115">
                  <c:v>17 Sep</c:v>
                </c:pt>
                <c:pt idx="116">
                  <c:v>18 Sep</c:v>
                </c:pt>
                <c:pt idx="117">
                  <c:v>19 Sep</c:v>
                </c:pt>
                <c:pt idx="118">
                  <c:v>20 Sep</c:v>
                </c:pt>
                <c:pt idx="119">
                  <c:v>21 Sep</c:v>
                </c:pt>
                <c:pt idx="120">
                  <c:v>22 Sep</c:v>
                </c:pt>
                <c:pt idx="121">
                  <c:v>23 Sep</c:v>
                </c:pt>
                <c:pt idx="122">
                  <c:v>24 Sep</c:v>
                </c:pt>
                <c:pt idx="123">
                  <c:v>25 Sep</c:v>
                </c:pt>
                <c:pt idx="124">
                  <c:v>26 Sep</c:v>
                </c:pt>
                <c:pt idx="125">
                  <c:v>27 Sep</c:v>
                </c:pt>
                <c:pt idx="126">
                  <c:v>28 Sep</c:v>
                </c:pt>
                <c:pt idx="127">
                  <c:v>29 Sep</c:v>
                </c:pt>
                <c:pt idx="128">
                  <c:v>30 Sep</c:v>
                </c:pt>
                <c:pt idx="129">
                  <c:v>1 Oct</c:v>
                </c:pt>
                <c:pt idx="130">
                  <c:v>2 Oct</c:v>
                </c:pt>
                <c:pt idx="131">
                  <c:v>3 Oct</c:v>
                </c:pt>
                <c:pt idx="132">
                  <c:v>4 Oct</c:v>
                </c:pt>
                <c:pt idx="133">
                  <c:v>5 Oct</c:v>
                </c:pt>
                <c:pt idx="134">
                  <c:v>6 Oct</c:v>
                </c:pt>
                <c:pt idx="135">
                  <c:v>7 Oct</c:v>
                </c:pt>
                <c:pt idx="136">
                  <c:v>8 Oct</c:v>
                </c:pt>
                <c:pt idx="137">
                  <c:v>9 Oct</c:v>
                </c:pt>
                <c:pt idx="138">
                  <c:v>10 Oct</c:v>
                </c:pt>
                <c:pt idx="139">
                  <c:v>11 Oct</c:v>
                </c:pt>
                <c:pt idx="140">
                  <c:v>12 Oct</c:v>
                </c:pt>
                <c:pt idx="141">
                  <c:v>13 Oct</c:v>
                </c:pt>
                <c:pt idx="142">
                  <c:v>14 Oct</c:v>
                </c:pt>
                <c:pt idx="143">
                  <c:v>15 Oct</c:v>
                </c:pt>
                <c:pt idx="144">
                  <c:v>16 Oct</c:v>
                </c:pt>
                <c:pt idx="145">
                  <c:v>17 Oct</c:v>
                </c:pt>
                <c:pt idx="146">
                  <c:v>18 Oct</c:v>
                </c:pt>
                <c:pt idx="147">
                  <c:v>19 Oct</c:v>
                </c:pt>
                <c:pt idx="148">
                  <c:v>20 Oct</c:v>
                </c:pt>
                <c:pt idx="149">
                  <c:v>21 Oct</c:v>
                </c:pt>
                <c:pt idx="150">
                  <c:v>22 Oct</c:v>
                </c:pt>
                <c:pt idx="151">
                  <c:v>23 Oct</c:v>
                </c:pt>
                <c:pt idx="152">
                  <c:v>24 Oct</c:v>
                </c:pt>
                <c:pt idx="153">
                  <c:v>25 Oct</c:v>
                </c:pt>
                <c:pt idx="154">
                  <c:v>26 Oct</c:v>
                </c:pt>
                <c:pt idx="155">
                  <c:v>27 Oct</c:v>
                </c:pt>
                <c:pt idx="156">
                  <c:v>28 Oct</c:v>
                </c:pt>
                <c:pt idx="157">
                  <c:v>29 Oct</c:v>
                </c:pt>
                <c:pt idx="158">
                  <c:v>30 Oct</c:v>
                </c:pt>
                <c:pt idx="159">
                  <c:v>31 Oct</c:v>
                </c:pt>
                <c:pt idx="160">
                  <c:v>1 Nov</c:v>
                </c:pt>
                <c:pt idx="161">
                  <c:v>2 Nov</c:v>
                </c:pt>
                <c:pt idx="162">
                  <c:v>3 Nov</c:v>
                </c:pt>
                <c:pt idx="163">
                  <c:v>4 Nov</c:v>
                </c:pt>
                <c:pt idx="164">
                  <c:v>5 Nov</c:v>
                </c:pt>
                <c:pt idx="165">
                  <c:v>6 Nov</c:v>
                </c:pt>
                <c:pt idx="166">
                  <c:v>7 Nov</c:v>
                </c:pt>
                <c:pt idx="167">
                  <c:v>8 Nov</c:v>
                </c:pt>
                <c:pt idx="168">
                  <c:v>9 Nov</c:v>
                </c:pt>
                <c:pt idx="169">
                  <c:v>10 Nov</c:v>
                </c:pt>
                <c:pt idx="170">
                  <c:v>11 Nov</c:v>
                </c:pt>
                <c:pt idx="171">
                  <c:v>12 Nov</c:v>
                </c:pt>
                <c:pt idx="172">
                  <c:v>13 Nov</c:v>
                </c:pt>
                <c:pt idx="173">
                  <c:v>14 Nov</c:v>
                </c:pt>
                <c:pt idx="174">
                  <c:v>15 Nov</c:v>
                </c:pt>
                <c:pt idx="175">
                  <c:v>16 Nov</c:v>
                </c:pt>
                <c:pt idx="176">
                  <c:v>17 Nov</c:v>
                </c:pt>
                <c:pt idx="177">
                  <c:v>18 Nov</c:v>
                </c:pt>
                <c:pt idx="178">
                  <c:v>19 Nov</c:v>
                </c:pt>
                <c:pt idx="179">
                  <c:v>20 Nov</c:v>
                </c:pt>
                <c:pt idx="180">
                  <c:v>21 Nov</c:v>
                </c:pt>
                <c:pt idx="181">
                  <c:v>22 Nov</c:v>
                </c:pt>
                <c:pt idx="182">
                  <c:v>23 Nov</c:v>
                </c:pt>
                <c:pt idx="183">
                  <c:v>24 Nov</c:v>
                </c:pt>
                <c:pt idx="184">
                  <c:v>25 Nov</c:v>
                </c:pt>
                <c:pt idx="185">
                  <c:v>26 Nov</c:v>
                </c:pt>
                <c:pt idx="186">
                  <c:v>27 Nov</c:v>
                </c:pt>
                <c:pt idx="187">
                  <c:v>28 Nov</c:v>
                </c:pt>
                <c:pt idx="188">
                  <c:v>29 Nov</c:v>
                </c:pt>
                <c:pt idx="189">
                  <c:v>30 Nov</c:v>
                </c:pt>
                <c:pt idx="190">
                  <c:v>1 Dec</c:v>
                </c:pt>
                <c:pt idx="191">
                  <c:v>2 Dec</c:v>
                </c:pt>
                <c:pt idx="192">
                  <c:v>3 Dec</c:v>
                </c:pt>
                <c:pt idx="193">
                  <c:v>4 Dec</c:v>
                </c:pt>
                <c:pt idx="194">
                  <c:v>5 Dec</c:v>
                </c:pt>
                <c:pt idx="195">
                  <c:v>6 Dec</c:v>
                </c:pt>
                <c:pt idx="196">
                  <c:v>7 Dec</c:v>
                </c:pt>
                <c:pt idx="197">
                  <c:v>8 Dec</c:v>
                </c:pt>
                <c:pt idx="198">
                  <c:v>9 Dec</c:v>
                </c:pt>
                <c:pt idx="199">
                  <c:v>10 Dec</c:v>
                </c:pt>
                <c:pt idx="200">
                  <c:v>11 Dec</c:v>
                </c:pt>
                <c:pt idx="201">
                  <c:v>12 Dec</c:v>
                </c:pt>
                <c:pt idx="202">
                  <c:v>13 Dec</c:v>
                </c:pt>
                <c:pt idx="203">
                  <c:v>14 Dec</c:v>
                </c:pt>
                <c:pt idx="204">
                  <c:v>15 Dec</c:v>
                </c:pt>
                <c:pt idx="205">
                  <c:v>16 Dec</c:v>
                </c:pt>
                <c:pt idx="206">
                  <c:v>17 Dec</c:v>
                </c:pt>
                <c:pt idx="207">
                  <c:v>18 Dec</c:v>
                </c:pt>
                <c:pt idx="208">
                  <c:v>19 Dec</c:v>
                </c:pt>
                <c:pt idx="209">
                  <c:v>20 Dec</c:v>
                </c:pt>
                <c:pt idx="210">
                  <c:v>21 Dec</c:v>
                </c:pt>
                <c:pt idx="211">
                  <c:v>22 Dec</c:v>
                </c:pt>
                <c:pt idx="212">
                  <c:v>23 Dec</c:v>
                </c:pt>
                <c:pt idx="213">
                  <c:v>24 Dec</c:v>
                </c:pt>
                <c:pt idx="214">
                  <c:v>25 Dec</c:v>
                </c:pt>
                <c:pt idx="215">
                  <c:v>26 Dec</c:v>
                </c:pt>
                <c:pt idx="216">
                  <c:v>27 Dec</c:v>
                </c:pt>
                <c:pt idx="217">
                  <c:v>28 Dec</c:v>
                </c:pt>
                <c:pt idx="218">
                  <c:v>29 Dec</c:v>
                </c:pt>
                <c:pt idx="219">
                  <c:v>30 Dec</c:v>
                </c:pt>
                <c:pt idx="220">
                  <c:v>31 Dec</c:v>
                </c:pt>
                <c:pt idx="221">
                  <c:v>1 Jan</c:v>
                </c:pt>
                <c:pt idx="222">
                  <c:v>2 Jan</c:v>
                </c:pt>
                <c:pt idx="223">
                  <c:v>3 Jan</c:v>
                </c:pt>
                <c:pt idx="224">
                  <c:v>4 Jan</c:v>
                </c:pt>
                <c:pt idx="225">
                  <c:v>5 Jan</c:v>
                </c:pt>
                <c:pt idx="226">
                  <c:v>6 Jan</c:v>
                </c:pt>
                <c:pt idx="227">
                  <c:v>7 Jan</c:v>
                </c:pt>
                <c:pt idx="228">
                  <c:v>8 Jan</c:v>
                </c:pt>
                <c:pt idx="229">
                  <c:v>9 Jan</c:v>
                </c:pt>
                <c:pt idx="230">
                  <c:v>10 Jan</c:v>
                </c:pt>
                <c:pt idx="231">
                  <c:v>11 Jan</c:v>
                </c:pt>
                <c:pt idx="232">
                  <c:v>12 Jan</c:v>
                </c:pt>
                <c:pt idx="233">
                  <c:v>13 Jan</c:v>
                </c:pt>
                <c:pt idx="234">
                  <c:v>14 Jan</c:v>
                </c:pt>
                <c:pt idx="235">
                  <c:v>15 Jan</c:v>
                </c:pt>
                <c:pt idx="236">
                  <c:v>16 Jan</c:v>
                </c:pt>
                <c:pt idx="237">
                  <c:v>17 Jan</c:v>
                </c:pt>
                <c:pt idx="238">
                  <c:v>18 Jan</c:v>
                </c:pt>
                <c:pt idx="239">
                  <c:v>19 Jan</c:v>
                </c:pt>
                <c:pt idx="240">
                  <c:v>20 Jan</c:v>
                </c:pt>
                <c:pt idx="241">
                  <c:v>21 Jan</c:v>
                </c:pt>
                <c:pt idx="242">
                  <c:v>22 Jan</c:v>
                </c:pt>
                <c:pt idx="243">
                  <c:v>23 Jan</c:v>
                </c:pt>
                <c:pt idx="244">
                  <c:v>24 Jan</c:v>
                </c:pt>
                <c:pt idx="245">
                  <c:v>25 Jan</c:v>
                </c:pt>
                <c:pt idx="246">
                  <c:v>26 Jan</c:v>
                </c:pt>
                <c:pt idx="247">
                  <c:v>27 Jan</c:v>
                </c:pt>
                <c:pt idx="248">
                  <c:v>28 Jan</c:v>
                </c:pt>
                <c:pt idx="249">
                  <c:v>29 Jan</c:v>
                </c:pt>
                <c:pt idx="250">
                  <c:v>30 Jan</c:v>
                </c:pt>
                <c:pt idx="251">
                  <c:v>31 Jan</c:v>
                </c:pt>
                <c:pt idx="252">
                  <c:v>1 Feb</c:v>
                </c:pt>
                <c:pt idx="253">
                  <c:v>2 Feb</c:v>
                </c:pt>
                <c:pt idx="254">
                  <c:v>3 Feb</c:v>
                </c:pt>
                <c:pt idx="255">
                  <c:v>4 Feb</c:v>
                </c:pt>
                <c:pt idx="256">
                  <c:v>5 Feb</c:v>
                </c:pt>
                <c:pt idx="257">
                  <c:v>6 Feb</c:v>
                </c:pt>
                <c:pt idx="258">
                  <c:v>7 Feb</c:v>
                </c:pt>
                <c:pt idx="259">
                  <c:v>8 Feb</c:v>
                </c:pt>
                <c:pt idx="260">
                  <c:v>9 Feb</c:v>
                </c:pt>
                <c:pt idx="261">
                  <c:v>10 Feb</c:v>
                </c:pt>
                <c:pt idx="262">
                  <c:v>11 Feb</c:v>
                </c:pt>
                <c:pt idx="263">
                  <c:v>12 Feb</c:v>
                </c:pt>
                <c:pt idx="264">
                  <c:v>13 Feb</c:v>
                </c:pt>
                <c:pt idx="265">
                  <c:v>14 Feb</c:v>
                </c:pt>
                <c:pt idx="266">
                  <c:v>15 Feb</c:v>
                </c:pt>
                <c:pt idx="267">
                  <c:v>16 Feb</c:v>
                </c:pt>
                <c:pt idx="268">
                  <c:v>17 Feb</c:v>
                </c:pt>
                <c:pt idx="269">
                  <c:v>18 Feb</c:v>
                </c:pt>
                <c:pt idx="270">
                  <c:v>19 Feb</c:v>
                </c:pt>
                <c:pt idx="271">
                  <c:v>20 Feb</c:v>
                </c:pt>
                <c:pt idx="272">
                  <c:v>21 Feb</c:v>
                </c:pt>
                <c:pt idx="273">
                  <c:v>22 Feb</c:v>
                </c:pt>
                <c:pt idx="274">
                  <c:v>23 Feb</c:v>
                </c:pt>
                <c:pt idx="275">
                  <c:v>24 Feb</c:v>
                </c:pt>
                <c:pt idx="276">
                  <c:v>25 Feb</c:v>
                </c:pt>
                <c:pt idx="277">
                  <c:v>26 Feb</c:v>
                </c:pt>
                <c:pt idx="278">
                  <c:v>27 Feb</c:v>
                </c:pt>
                <c:pt idx="279">
                  <c:v>28 Feb</c:v>
                </c:pt>
                <c:pt idx="280">
                  <c:v>1 Mar</c:v>
                </c:pt>
                <c:pt idx="281">
                  <c:v>2 Mar</c:v>
                </c:pt>
                <c:pt idx="282">
                  <c:v>3 Mar</c:v>
                </c:pt>
                <c:pt idx="283">
                  <c:v>4 Mar</c:v>
                </c:pt>
                <c:pt idx="284">
                  <c:v>5 Mar</c:v>
                </c:pt>
                <c:pt idx="285">
                  <c:v>6 Mar</c:v>
                </c:pt>
                <c:pt idx="286">
                  <c:v>7 Mar</c:v>
                </c:pt>
                <c:pt idx="287">
                  <c:v>8 Mar</c:v>
                </c:pt>
                <c:pt idx="288">
                  <c:v>9 Mar</c:v>
                </c:pt>
                <c:pt idx="289">
                  <c:v>10 Mar</c:v>
                </c:pt>
                <c:pt idx="290">
                  <c:v>11 Mar</c:v>
                </c:pt>
                <c:pt idx="291">
                  <c:v>12 Mar</c:v>
                </c:pt>
                <c:pt idx="292">
                  <c:v>13 Mar</c:v>
                </c:pt>
                <c:pt idx="293">
                  <c:v>14 Mar</c:v>
                </c:pt>
                <c:pt idx="294">
                  <c:v>15 Mar</c:v>
                </c:pt>
                <c:pt idx="295">
                  <c:v>16 Mar</c:v>
                </c:pt>
                <c:pt idx="296">
                  <c:v>17 Mar</c:v>
                </c:pt>
                <c:pt idx="297">
                  <c:v>18 Mar</c:v>
                </c:pt>
                <c:pt idx="298">
                  <c:v>19 Mar</c:v>
                </c:pt>
                <c:pt idx="299">
                  <c:v>20 Mar</c:v>
                </c:pt>
                <c:pt idx="300">
                  <c:v>21 Mar</c:v>
                </c:pt>
                <c:pt idx="301">
                  <c:v>22 Mar</c:v>
                </c:pt>
                <c:pt idx="302">
                  <c:v>23 Mar</c:v>
                </c:pt>
                <c:pt idx="303">
                  <c:v>24 Mar</c:v>
                </c:pt>
                <c:pt idx="304">
                  <c:v>25 Mar</c:v>
                </c:pt>
                <c:pt idx="305">
                  <c:v>26 Mar</c:v>
                </c:pt>
                <c:pt idx="306">
                  <c:v>27 Mar</c:v>
                </c:pt>
                <c:pt idx="307">
                  <c:v>28 Mar</c:v>
                </c:pt>
                <c:pt idx="308">
                  <c:v>29 Mar</c:v>
                </c:pt>
                <c:pt idx="309">
                  <c:v>30 Mar</c:v>
                </c:pt>
                <c:pt idx="310">
                  <c:v>31 Mar</c:v>
                </c:pt>
                <c:pt idx="311">
                  <c:v>1 Apr</c:v>
                </c:pt>
                <c:pt idx="312">
                  <c:v>2 Apr</c:v>
                </c:pt>
                <c:pt idx="313">
                  <c:v>3 Apr</c:v>
                </c:pt>
                <c:pt idx="314">
                  <c:v>4 Apr</c:v>
                </c:pt>
                <c:pt idx="315">
                  <c:v>5 Apr</c:v>
                </c:pt>
                <c:pt idx="316">
                  <c:v>6 Apr</c:v>
                </c:pt>
                <c:pt idx="317">
                  <c:v>7 Apr</c:v>
                </c:pt>
                <c:pt idx="318">
                  <c:v>8 Apr</c:v>
                </c:pt>
                <c:pt idx="319">
                  <c:v>9 Apr</c:v>
                </c:pt>
                <c:pt idx="320">
                  <c:v>10 Apr</c:v>
                </c:pt>
                <c:pt idx="321">
                  <c:v>11 Apr</c:v>
                </c:pt>
                <c:pt idx="322">
                  <c:v>12 Apr</c:v>
                </c:pt>
                <c:pt idx="323">
                  <c:v>13 Apr</c:v>
                </c:pt>
                <c:pt idx="324">
                  <c:v>14 Apr</c:v>
                </c:pt>
                <c:pt idx="325">
                  <c:v>15 Apr</c:v>
                </c:pt>
                <c:pt idx="326">
                  <c:v>16 Apr</c:v>
                </c:pt>
                <c:pt idx="327">
                  <c:v>17 Apr</c:v>
                </c:pt>
                <c:pt idx="328">
                  <c:v>18 Apr</c:v>
                </c:pt>
                <c:pt idx="329">
                  <c:v>19 Apr</c:v>
                </c:pt>
                <c:pt idx="330">
                  <c:v>20 Apr</c:v>
                </c:pt>
                <c:pt idx="331">
                  <c:v>21 Apr</c:v>
                </c:pt>
                <c:pt idx="332">
                  <c:v>22 Apr</c:v>
                </c:pt>
                <c:pt idx="333">
                  <c:v>23 Apr</c:v>
                </c:pt>
                <c:pt idx="334">
                  <c:v>24 Apr</c:v>
                </c:pt>
                <c:pt idx="335">
                  <c:v>25 Apr</c:v>
                </c:pt>
                <c:pt idx="336">
                  <c:v>26 Apr</c:v>
                </c:pt>
                <c:pt idx="337">
                  <c:v>27 Apr</c:v>
                </c:pt>
                <c:pt idx="338">
                  <c:v>28 Apr</c:v>
                </c:pt>
                <c:pt idx="339">
                  <c:v>29 Apr</c:v>
                </c:pt>
                <c:pt idx="340">
                  <c:v>30 Apr</c:v>
                </c:pt>
                <c:pt idx="341">
                  <c:v>1 May</c:v>
                </c:pt>
                <c:pt idx="342">
                  <c:v>2 May</c:v>
                </c:pt>
                <c:pt idx="343">
                  <c:v>3 May</c:v>
                </c:pt>
                <c:pt idx="344">
                  <c:v>4 May</c:v>
                </c:pt>
                <c:pt idx="345">
                  <c:v>5 May</c:v>
                </c:pt>
                <c:pt idx="346">
                  <c:v>6 May</c:v>
                </c:pt>
                <c:pt idx="347">
                  <c:v>7 May</c:v>
                </c:pt>
                <c:pt idx="348">
                  <c:v>8 May</c:v>
                </c:pt>
                <c:pt idx="349">
                  <c:v>9 May</c:v>
                </c:pt>
                <c:pt idx="350">
                  <c:v>10 May</c:v>
                </c:pt>
                <c:pt idx="351">
                  <c:v>11 May</c:v>
                </c:pt>
                <c:pt idx="352">
                  <c:v>12 May</c:v>
                </c:pt>
                <c:pt idx="353">
                  <c:v>13 May</c:v>
                </c:pt>
                <c:pt idx="354">
                  <c:v>14 May</c:v>
                </c:pt>
                <c:pt idx="355">
                  <c:v>15 May</c:v>
                </c:pt>
                <c:pt idx="356">
                  <c:v>16 May</c:v>
                </c:pt>
                <c:pt idx="357">
                  <c:v>17 May</c:v>
                </c:pt>
                <c:pt idx="358">
                  <c:v>18 May</c:v>
                </c:pt>
                <c:pt idx="359">
                  <c:v>19 May</c:v>
                </c:pt>
                <c:pt idx="360">
                  <c:v>20 May</c:v>
                </c:pt>
                <c:pt idx="361">
                  <c:v>21 May</c:v>
                </c:pt>
                <c:pt idx="362">
                  <c:v>22 May</c:v>
                </c:pt>
                <c:pt idx="363">
                  <c:v>23 May</c:v>
                </c:pt>
                <c:pt idx="364">
                  <c:v>24 May</c:v>
                </c:pt>
                <c:pt idx="365">
                  <c:v>25 May</c:v>
                </c:pt>
                <c:pt idx="366">
                  <c:v>26 May</c:v>
                </c:pt>
                <c:pt idx="367">
                  <c:v>27 May</c:v>
                </c:pt>
                <c:pt idx="368">
                  <c:v>28 May</c:v>
                </c:pt>
                <c:pt idx="369">
                  <c:v>29 May</c:v>
                </c:pt>
                <c:pt idx="370">
                  <c:v>30 May</c:v>
                </c:pt>
                <c:pt idx="371">
                  <c:v>31 May</c:v>
                </c:pt>
                <c:pt idx="372">
                  <c:v>1 Jun</c:v>
                </c:pt>
                <c:pt idx="373">
                  <c:v>2 Jun</c:v>
                </c:pt>
                <c:pt idx="374">
                  <c:v>3 Jun</c:v>
                </c:pt>
                <c:pt idx="375">
                  <c:v>4 Jun</c:v>
                </c:pt>
                <c:pt idx="376">
                  <c:v>5 Jun</c:v>
                </c:pt>
                <c:pt idx="377">
                  <c:v>6 Jun</c:v>
                </c:pt>
                <c:pt idx="378">
                  <c:v>7 Jun</c:v>
                </c:pt>
                <c:pt idx="379">
                  <c:v>8 Jun</c:v>
                </c:pt>
                <c:pt idx="380">
                  <c:v>9 Jun</c:v>
                </c:pt>
                <c:pt idx="381">
                  <c:v>10 Jun</c:v>
                </c:pt>
                <c:pt idx="382">
                  <c:v>11 Jun</c:v>
                </c:pt>
                <c:pt idx="383">
                  <c:v>12 Jun</c:v>
                </c:pt>
                <c:pt idx="384">
                  <c:v>13 Jun</c:v>
                </c:pt>
                <c:pt idx="385">
                  <c:v>14 Jun</c:v>
                </c:pt>
                <c:pt idx="386">
                  <c:v>15 Jun</c:v>
                </c:pt>
                <c:pt idx="387">
                  <c:v>16 Jun</c:v>
                </c:pt>
                <c:pt idx="388">
                  <c:v>17 Jun</c:v>
                </c:pt>
                <c:pt idx="389">
                  <c:v>18 Jun</c:v>
                </c:pt>
                <c:pt idx="390">
                  <c:v>19 Jun</c:v>
                </c:pt>
                <c:pt idx="391">
                  <c:v>20 Jun</c:v>
                </c:pt>
                <c:pt idx="392">
                  <c:v>21 Jun</c:v>
                </c:pt>
                <c:pt idx="393">
                  <c:v>22 Jun</c:v>
                </c:pt>
                <c:pt idx="394">
                  <c:v>23 Jun</c:v>
                </c:pt>
                <c:pt idx="395">
                  <c:v>24 Jun</c:v>
                </c:pt>
                <c:pt idx="396">
                  <c:v>25 Jun</c:v>
                </c:pt>
                <c:pt idx="397">
                  <c:v>26 Jun</c:v>
                </c:pt>
                <c:pt idx="398">
                  <c:v>27 Jun</c:v>
                </c:pt>
                <c:pt idx="399">
                  <c:v>28 Jun</c:v>
                </c:pt>
                <c:pt idx="400">
                  <c:v>29 Jun</c:v>
                </c:pt>
                <c:pt idx="401">
                  <c:v>30 Jun</c:v>
                </c:pt>
                <c:pt idx="402">
                  <c:v>1 Jul</c:v>
                </c:pt>
                <c:pt idx="403">
                  <c:v>2 Jul</c:v>
                </c:pt>
                <c:pt idx="404">
                  <c:v>3 Jul</c:v>
                </c:pt>
                <c:pt idx="405">
                  <c:v>4 Jul</c:v>
                </c:pt>
                <c:pt idx="406">
                  <c:v>5 Jul</c:v>
                </c:pt>
                <c:pt idx="407">
                  <c:v>6 Jul</c:v>
                </c:pt>
                <c:pt idx="408">
                  <c:v>7 Jul</c:v>
                </c:pt>
                <c:pt idx="409">
                  <c:v>8 Jul</c:v>
                </c:pt>
                <c:pt idx="410">
                  <c:v>9 Jul</c:v>
                </c:pt>
                <c:pt idx="411">
                  <c:v>10 Jul</c:v>
                </c:pt>
                <c:pt idx="412">
                  <c:v>11 Jul</c:v>
                </c:pt>
                <c:pt idx="413">
                  <c:v>12 Jul</c:v>
                </c:pt>
                <c:pt idx="414">
                  <c:v>13 Jul</c:v>
                </c:pt>
                <c:pt idx="415">
                  <c:v>14 Jul</c:v>
                </c:pt>
                <c:pt idx="416">
                  <c:v>15 Jul</c:v>
                </c:pt>
                <c:pt idx="417">
                  <c:v>16 Jul</c:v>
                </c:pt>
                <c:pt idx="418">
                  <c:v>17 Jul</c:v>
                </c:pt>
                <c:pt idx="419">
                  <c:v>18 Jul</c:v>
                </c:pt>
                <c:pt idx="420">
                  <c:v>19 Jul</c:v>
                </c:pt>
                <c:pt idx="421">
                  <c:v>20 Jul</c:v>
                </c:pt>
                <c:pt idx="422">
                  <c:v>21 Jul</c:v>
                </c:pt>
                <c:pt idx="423">
                  <c:v>22 Jul</c:v>
                </c:pt>
                <c:pt idx="424">
                  <c:v>23 Jul</c:v>
                </c:pt>
                <c:pt idx="425">
                  <c:v>24 Jul</c:v>
                </c:pt>
                <c:pt idx="426">
                  <c:v>25 Jul</c:v>
                </c:pt>
                <c:pt idx="427">
                  <c:v>26 Jul</c:v>
                </c:pt>
                <c:pt idx="428">
                  <c:v>27 Jul</c:v>
                </c:pt>
                <c:pt idx="429">
                  <c:v>28 Jul</c:v>
                </c:pt>
                <c:pt idx="430">
                  <c:v>29 Jul</c:v>
                </c:pt>
                <c:pt idx="431">
                  <c:v>30 Jul</c:v>
                </c:pt>
                <c:pt idx="432">
                  <c:v>31 Jul</c:v>
                </c:pt>
                <c:pt idx="433">
                  <c:v>1 Aug</c:v>
                </c:pt>
                <c:pt idx="434">
                  <c:v>2 Aug</c:v>
                </c:pt>
                <c:pt idx="435">
                  <c:v>3 Aug</c:v>
                </c:pt>
                <c:pt idx="436">
                  <c:v>4 Aug</c:v>
                </c:pt>
                <c:pt idx="437">
                  <c:v>5 Aug</c:v>
                </c:pt>
                <c:pt idx="438">
                  <c:v>6 Aug</c:v>
                </c:pt>
                <c:pt idx="439">
                  <c:v>7 Aug</c:v>
                </c:pt>
                <c:pt idx="440">
                  <c:v>8 Aug</c:v>
                </c:pt>
                <c:pt idx="441">
                  <c:v>9 Aug</c:v>
                </c:pt>
                <c:pt idx="442">
                  <c:v>10 Aug</c:v>
                </c:pt>
                <c:pt idx="443">
                  <c:v>11 Aug</c:v>
                </c:pt>
                <c:pt idx="444">
                  <c:v>12 Aug</c:v>
                </c:pt>
                <c:pt idx="445">
                  <c:v>13 Aug</c:v>
                </c:pt>
                <c:pt idx="446">
                  <c:v>14 Aug</c:v>
                </c:pt>
                <c:pt idx="447">
                  <c:v>15 Aug</c:v>
                </c:pt>
                <c:pt idx="448">
                  <c:v>16 Aug</c:v>
                </c:pt>
                <c:pt idx="449">
                  <c:v>17 Aug</c:v>
                </c:pt>
                <c:pt idx="450">
                  <c:v>18 Aug</c:v>
                </c:pt>
                <c:pt idx="451">
                  <c:v>19 Aug</c:v>
                </c:pt>
                <c:pt idx="452">
                  <c:v>20 Aug</c:v>
                </c:pt>
                <c:pt idx="453">
                  <c:v>21 Aug</c:v>
                </c:pt>
                <c:pt idx="454">
                  <c:v>22 Aug</c:v>
                </c:pt>
                <c:pt idx="455">
                  <c:v>23 Aug</c:v>
                </c:pt>
                <c:pt idx="456">
                  <c:v>24 Aug</c:v>
                </c:pt>
                <c:pt idx="457">
                  <c:v>25 Aug</c:v>
                </c:pt>
                <c:pt idx="458">
                  <c:v>26 Aug</c:v>
                </c:pt>
                <c:pt idx="459">
                  <c:v>27 Aug</c:v>
                </c:pt>
                <c:pt idx="460">
                  <c:v>28 Aug</c:v>
                </c:pt>
                <c:pt idx="461">
                  <c:v>29 Aug</c:v>
                </c:pt>
                <c:pt idx="462">
                  <c:v>30 Aug</c:v>
                </c:pt>
                <c:pt idx="463">
                  <c:v>31 Aug</c:v>
                </c:pt>
                <c:pt idx="464">
                  <c:v>1 Sep</c:v>
                </c:pt>
                <c:pt idx="465">
                  <c:v>2 Sep</c:v>
                </c:pt>
                <c:pt idx="466">
                  <c:v>3 Sep</c:v>
                </c:pt>
                <c:pt idx="467">
                  <c:v>4 Sep</c:v>
                </c:pt>
                <c:pt idx="468">
                  <c:v>5 Sep</c:v>
                </c:pt>
                <c:pt idx="469">
                  <c:v>6 Sep</c:v>
                </c:pt>
                <c:pt idx="470">
                  <c:v>7 Sep</c:v>
                </c:pt>
                <c:pt idx="471">
                  <c:v>8 Sep</c:v>
                </c:pt>
                <c:pt idx="472">
                  <c:v>9 Sep</c:v>
                </c:pt>
                <c:pt idx="473">
                  <c:v>10 Sep</c:v>
                </c:pt>
                <c:pt idx="474">
                  <c:v>11 Sep</c:v>
                </c:pt>
                <c:pt idx="475">
                  <c:v>12 Sep</c:v>
                </c:pt>
                <c:pt idx="476">
                  <c:v>13 Sep</c:v>
                </c:pt>
                <c:pt idx="477">
                  <c:v>14 Sep</c:v>
                </c:pt>
                <c:pt idx="478">
                  <c:v>15 Sep</c:v>
                </c:pt>
                <c:pt idx="479">
                  <c:v>16 Sep</c:v>
                </c:pt>
                <c:pt idx="480">
                  <c:v>17 Sep</c:v>
                </c:pt>
                <c:pt idx="481">
                  <c:v>18 Sep</c:v>
                </c:pt>
                <c:pt idx="482">
                  <c:v>19 Sep</c:v>
                </c:pt>
                <c:pt idx="483">
                  <c:v>20 Sep</c:v>
                </c:pt>
                <c:pt idx="484">
                  <c:v>21 Sep</c:v>
                </c:pt>
                <c:pt idx="485">
                  <c:v>22 Sep</c:v>
                </c:pt>
                <c:pt idx="486">
                  <c:v>23 Sep</c:v>
                </c:pt>
                <c:pt idx="487">
                  <c:v>24 Sep</c:v>
                </c:pt>
                <c:pt idx="488">
                  <c:v>25 Sep</c:v>
                </c:pt>
                <c:pt idx="489">
                  <c:v>26 Sep</c:v>
                </c:pt>
                <c:pt idx="490">
                  <c:v>27 Sep</c:v>
                </c:pt>
                <c:pt idx="491">
                  <c:v>28 Sep</c:v>
                </c:pt>
                <c:pt idx="492">
                  <c:v>29 Sep</c:v>
                </c:pt>
                <c:pt idx="493">
                  <c:v>30 Sep</c:v>
                </c:pt>
                <c:pt idx="494">
                  <c:v>1 Oct</c:v>
                </c:pt>
                <c:pt idx="495">
                  <c:v>2 Oct</c:v>
                </c:pt>
                <c:pt idx="496">
                  <c:v>3 Oct</c:v>
                </c:pt>
                <c:pt idx="497">
                  <c:v>4 Oct</c:v>
                </c:pt>
                <c:pt idx="498">
                  <c:v>5 Oct</c:v>
                </c:pt>
                <c:pt idx="499">
                  <c:v>6 Oct</c:v>
                </c:pt>
                <c:pt idx="500">
                  <c:v>7 Oct</c:v>
                </c:pt>
                <c:pt idx="501">
                  <c:v>8 Oct</c:v>
                </c:pt>
                <c:pt idx="502">
                  <c:v>9 Oct</c:v>
                </c:pt>
                <c:pt idx="503">
                  <c:v>10 Oct</c:v>
                </c:pt>
                <c:pt idx="504">
                  <c:v>11 Oct</c:v>
                </c:pt>
                <c:pt idx="505">
                  <c:v>12 Oct</c:v>
                </c:pt>
                <c:pt idx="506">
                  <c:v>13 Oct</c:v>
                </c:pt>
                <c:pt idx="507">
                  <c:v>14 Oct</c:v>
                </c:pt>
                <c:pt idx="508">
                  <c:v>15 Oct</c:v>
                </c:pt>
                <c:pt idx="509">
                  <c:v>16 Oct</c:v>
                </c:pt>
                <c:pt idx="510">
                  <c:v>17 Oct</c:v>
                </c:pt>
                <c:pt idx="511">
                  <c:v>18 Oct</c:v>
                </c:pt>
                <c:pt idx="512">
                  <c:v>19 Oct</c:v>
                </c:pt>
                <c:pt idx="513">
                  <c:v>20 Oct</c:v>
                </c:pt>
                <c:pt idx="514">
                  <c:v>21 Oct</c:v>
                </c:pt>
                <c:pt idx="515">
                  <c:v>22 Oct</c:v>
                </c:pt>
                <c:pt idx="516">
                  <c:v>23 Oct</c:v>
                </c:pt>
                <c:pt idx="517">
                  <c:v>24 Oct</c:v>
                </c:pt>
                <c:pt idx="518">
                  <c:v>25 Oct</c:v>
                </c:pt>
                <c:pt idx="519">
                  <c:v>26 Oct</c:v>
                </c:pt>
                <c:pt idx="520">
                  <c:v>27 Oct</c:v>
                </c:pt>
                <c:pt idx="521">
                  <c:v>28 Oct</c:v>
                </c:pt>
                <c:pt idx="522">
                  <c:v>29 Oct</c:v>
                </c:pt>
                <c:pt idx="523">
                  <c:v>30 Oct</c:v>
                </c:pt>
                <c:pt idx="524">
                  <c:v>31 Oct</c:v>
                </c:pt>
                <c:pt idx="525">
                  <c:v>1 Nov</c:v>
                </c:pt>
                <c:pt idx="526">
                  <c:v>2 Nov</c:v>
                </c:pt>
                <c:pt idx="527">
                  <c:v>3 Nov</c:v>
                </c:pt>
                <c:pt idx="528">
                  <c:v>4 Nov</c:v>
                </c:pt>
                <c:pt idx="529">
                  <c:v>5 Nov</c:v>
                </c:pt>
                <c:pt idx="530">
                  <c:v>6 Nov</c:v>
                </c:pt>
                <c:pt idx="531">
                  <c:v>7 Nov</c:v>
                </c:pt>
                <c:pt idx="532">
                  <c:v>8 Nov</c:v>
                </c:pt>
                <c:pt idx="533">
                  <c:v>9 Nov</c:v>
                </c:pt>
                <c:pt idx="534">
                  <c:v>10 Nov</c:v>
                </c:pt>
                <c:pt idx="535">
                  <c:v>11 Nov</c:v>
                </c:pt>
                <c:pt idx="536">
                  <c:v>12 Nov</c:v>
                </c:pt>
                <c:pt idx="537">
                  <c:v>13 Nov</c:v>
                </c:pt>
                <c:pt idx="538">
                  <c:v>14 Nov</c:v>
                </c:pt>
                <c:pt idx="539">
                  <c:v>15 Nov</c:v>
                </c:pt>
                <c:pt idx="540">
                  <c:v>16 Nov</c:v>
                </c:pt>
                <c:pt idx="541">
                  <c:v>17 Nov</c:v>
                </c:pt>
                <c:pt idx="542">
                  <c:v>18 Nov</c:v>
                </c:pt>
                <c:pt idx="543">
                  <c:v>19 Nov</c:v>
                </c:pt>
                <c:pt idx="544">
                  <c:v>20 Nov</c:v>
                </c:pt>
                <c:pt idx="545">
                  <c:v>21 Nov</c:v>
                </c:pt>
                <c:pt idx="546">
                  <c:v>22 Nov</c:v>
                </c:pt>
                <c:pt idx="547">
                  <c:v>23 Nov</c:v>
                </c:pt>
                <c:pt idx="548">
                  <c:v>24 Nov</c:v>
                </c:pt>
                <c:pt idx="549">
                  <c:v>25 Nov</c:v>
                </c:pt>
                <c:pt idx="550">
                  <c:v>26 Nov</c:v>
                </c:pt>
                <c:pt idx="551">
                  <c:v>27 Nov</c:v>
                </c:pt>
                <c:pt idx="552">
                  <c:v>28 Nov</c:v>
                </c:pt>
                <c:pt idx="553">
                  <c:v>29 Nov</c:v>
                </c:pt>
                <c:pt idx="554">
                  <c:v>30 Nov</c:v>
                </c:pt>
                <c:pt idx="555">
                  <c:v>1 Dec</c:v>
                </c:pt>
                <c:pt idx="556">
                  <c:v>2 Dec</c:v>
                </c:pt>
                <c:pt idx="557">
                  <c:v>3 Dec</c:v>
                </c:pt>
                <c:pt idx="558">
                  <c:v>4 Dec</c:v>
                </c:pt>
                <c:pt idx="559">
                  <c:v>5 Dec</c:v>
                </c:pt>
                <c:pt idx="560">
                  <c:v>6 Dec</c:v>
                </c:pt>
                <c:pt idx="561">
                  <c:v>7 Dec</c:v>
                </c:pt>
                <c:pt idx="562">
                  <c:v>8 Dec</c:v>
                </c:pt>
                <c:pt idx="563">
                  <c:v>9 Dec</c:v>
                </c:pt>
                <c:pt idx="564">
                  <c:v>10 Dec</c:v>
                </c:pt>
                <c:pt idx="565">
                  <c:v>11 Dec</c:v>
                </c:pt>
                <c:pt idx="566">
                  <c:v>12 Dec</c:v>
                </c:pt>
                <c:pt idx="567">
                  <c:v>13 Dec</c:v>
                </c:pt>
                <c:pt idx="568">
                  <c:v>14 Dec</c:v>
                </c:pt>
                <c:pt idx="569">
                  <c:v>15 Dec</c:v>
                </c:pt>
                <c:pt idx="570">
                  <c:v>16 Dec</c:v>
                </c:pt>
                <c:pt idx="571">
                  <c:v>17 Dec</c:v>
                </c:pt>
                <c:pt idx="572">
                  <c:v>18 Dec</c:v>
                </c:pt>
                <c:pt idx="573">
                  <c:v>19 Dec</c:v>
                </c:pt>
                <c:pt idx="574">
                  <c:v>20 Dec</c:v>
                </c:pt>
                <c:pt idx="575">
                  <c:v>21 Dec</c:v>
                </c:pt>
                <c:pt idx="576">
                  <c:v>22 Dec</c:v>
                </c:pt>
                <c:pt idx="577">
                  <c:v>23 Dec</c:v>
                </c:pt>
                <c:pt idx="578">
                  <c:v>24 Dec</c:v>
                </c:pt>
                <c:pt idx="579">
                  <c:v>25 Dec</c:v>
                </c:pt>
                <c:pt idx="580">
                  <c:v>26 Dec</c:v>
                </c:pt>
                <c:pt idx="581">
                  <c:v>27 Dec</c:v>
                </c:pt>
                <c:pt idx="582">
                  <c:v>28 Dec</c:v>
                </c:pt>
                <c:pt idx="583">
                  <c:v>29 Dec</c:v>
                </c:pt>
                <c:pt idx="584">
                  <c:v>30 Dec</c:v>
                </c:pt>
                <c:pt idx="585">
                  <c:v>31 Dec</c:v>
                </c:pt>
                <c:pt idx="586">
                  <c:v>1 Jan</c:v>
                </c:pt>
                <c:pt idx="587">
                  <c:v>2 Jan</c:v>
                </c:pt>
                <c:pt idx="588">
                  <c:v>3 Jan</c:v>
                </c:pt>
                <c:pt idx="589">
                  <c:v>4 Jan</c:v>
                </c:pt>
                <c:pt idx="590">
                  <c:v>5 Jan</c:v>
                </c:pt>
                <c:pt idx="591">
                  <c:v>6 Jan</c:v>
                </c:pt>
                <c:pt idx="592">
                  <c:v>7 Jan</c:v>
                </c:pt>
                <c:pt idx="593">
                  <c:v>8 Jan</c:v>
                </c:pt>
                <c:pt idx="594">
                  <c:v>9 Jan</c:v>
                </c:pt>
                <c:pt idx="595">
                  <c:v>10 Jan</c:v>
                </c:pt>
                <c:pt idx="596">
                  <c:v>11 Jan</c:v>
                </c:pt>
                <c:pt idx="597">
                  <c:v>12 Jan</c:v>
                </c:pt>
                <c:pt idx="598">
                  <c:v>13 Jan</c:v>
                </c:pt>
                <c:pt idx="599">
                  <c:v>14 Jan</c:v>
                </c:pt>
                <c:pt idx="600">
                  <c:v>15 Jan</c:v>
                </c:pt>
                <c:pt idx="601">
                  <c:v>16 Jan</c:v>
                </c:pt>
                <c:pt idx="602">
                  <c:v>17 Jan</c:v>
                </c:pt>
                <c:pt idx="603">
                  <c:v>18 Jan</c:v>
                </c:pt>
                <c:pt idx="604">
                  <c:v>19 Jan</c:v>
                </c:pt>
                <c:pt idx="605">
                  <c:v>20 Jan</c:v>
                </c:pt>
                <c:pt idx="606">
                  <c:v>21 Jan</c:v>
                </c:pt>
                <c:pt idx="607">
                  <c:v>22 Jan</c:v>
                </c:pt>
                <c:pt idx="608">
                  <c:v>23 Jan</c:v>
                </c:pt>
                <c:pt idx="609">
                  <c:v>24 Jan</c:v>
                </c:pt>
                <c:pt idx="610">
                  <c:v>25 Jan</c:v>
                </c:pt>
                <c:pt idx="611">
                  <c:v>26 Jan</c:v>
                </c:pt>
                <c:pt idx="612">
                  <c:v>27 Jan</c:v>
                </c:pt>
                <c:pt idx="613">
                  <c:v>28 Jan</c:v>
                </c:pt>
                <c:pt idx="614">
                  <c:v>29 Jan</c:v>
                </c:pt>
                <c:pt idx="615">
                  <c:v>30 Jan</c:v>
                </c:pt>
                <c:pt idx="616">
                  <c:v>31 Jan</c:v>
                </c:pt>
                <c:pt idx="617">
                  <c:v>1 Feb</c:v>
                </c:pt>
                <c:pt idx="618">
                  <c:v>2 Feb</c:v>
                </c:pt>
                <c:pt idx="619">
                  <c:v>3 Feb</c:v>
                </c:pt>
                <c:pt idx="620">
                  <c:v>4 Feb</c:v>
                </c:pt>
                <c:pt idx="621">
                  <c:v>5 Feb</c:v>
                </c:pt>
                <c:pt idx="622">
                  <c:v>6 Feb</c:v>
                </c:pt>
                <c:pt idx="623">
                  <c:v>7 Feb</c:v>
                </c:pt>
                <c:pt idx="624">
                  <c:v>8 Feb</c:v>
                </c:pt>
                <c:pt idx="625">
                  <c:v>9 Feb</c:v>
                </c:pt>
                <c:pt idx="626">
                  <c:v>10 Feb</c:v>
                </c:pt>
                <c:pt idx="627">
                  <c:v>11 Feb</c:v>
                </c:pt>
                <c:pt idx="628">
                  <c:v>12 Feb</c:v>
                </c:pt>
                <c:pt idx="629">
                  <c:v>13 Feb</c:v>
                </c:pt>
                <c:pt idx="630">
                  <c:v>14 Feb</c:v>
                </c:pt>
                <c:pt idx="631">
                  <c:v>15 Feb</c:v>
                </c:pt>
                <c:pt idx="632">
                  <c:v>16 Feb</c:v>
                </c:pt>
                <c:pt idx="633">
                  <c:v>17 Feb</c:v>
                </c:pt>
                <c:pt idx="634">
                  <c:v>18 Feb</c:v>
                </c:pt>
                <c:pt idx="635">
                  <c:v>19 Feb</c:v>
                </c:pt>
                <c:pt idx="636">
                  <c:v>20 Feb</c:v>
                </c:pt>
                <c:pt idx="637">
                  <c:v>21 Feb</c:v>
                </c:pt>
                <c:pt idx="638">
                  <c:v>22 Feb</c:v>
                </c:pt>
                <c:pt idx="639">
                  <c:v>23 Feb</c:v>
                </c:pt>
                <c:pt idx="640">
                  <c:v>24 Feb</c:v>
                </c:pt>
                <c:pt idx="641">
                  <c:v>25 Feb</c:v>
                </c:pt>
                <c:pt idx="642">
                  <c:v>26 Feb</c:v>
                </c:pt>
                <c:pt idx="643">
                  <c:v>27 Feb</c:v>
                </c:pt>
                <c:pt idx="644">
                  <c:v>28 Feb</c:v>
                </c:pt>
                <c:pt idx="645">
                  <c:v>1 Mar</c:v>
                </c:pt>
                <c:pt idx="646">
                  <c:v>2 Mar</c:v>
                </c:pt>
                <c:pt idx="647">
                  <c:v>3 Mar</c:v>
                </c:pt>
                <c:pt idx="648">
                  <c:v>4 Mar</c:v>
                </c:pt>
                <c:pt idx="649">
                  <c:v>5 Mar</c:v>
                </c:pt>
                <c:pt idx="650">
                  <c:v>6 Mar</c:v>
                </c:pt>
                <c:pt idx="651">
                  <c:v>7 Mar</c:v>
                </c:pt>
                <c:pt idx="652">
                  <c:v>8 Mar</c:v>
                </c:pt>
                <c:pt idx="653">
                  <c:v>9 Mar</c:v>
                </c:pt>
                <c:pt idx="654">
                  <c:v>10 Mar</c:v>
                </c:pt>
                <c:pt idx="655">
                  <c:v>11 Mar</c:v>
                </c:pt>
                <c:pt idx="656">
                  <c:v>12 Mar</c:v>
                </c:pt>
                <c:pt idx="657">
                  <c:v>13 Mar</c:v>
                </c:pt>
                <c:pt idx="658">
                  <c:v>14 Mar</c:v>
                </c:pt>
                <c:pt idx="659">
                  <c:v>15 Mar</c:v>
                </c:pt>
                <c:pt idx="660">
                  <c:v>16 Mar</c:v>
                </c:pt>
                <c:pt idx="661">
                  <c:v>17 Mar</c:v>
                </c:pt>
                <c:pt idx="662">
                  <c:v>18 Mar</c:v>
                </c:pt>
                <c:pt idx="663">
                  <c:v>19 Mar</c:v>
                </c:pt>
                <c:pt idx="664">
                  <c:v>20 Mar</c:v>
                </c:pt>
                <c:pt idx="665">
                  <c:v>21 Mar</c:v>
                </c:pt>
                <c:pt idx="666">
                  <c:v>22 Mar</c:v>
                </c:pt>
                <c:pt idx="667">
                  <c:v>23 Mar</c:v>
                </c:pt>
                <c:pt idx="668">
                  <c:v>24 Mar</c:v>
                </c:pt>
                <c:pt idx="669">
                  <c:v>25 Mar</c:v>
                </c:pt>
                <c:pt idx="670">
                  <c:v>26 Mar</c:v>
                </c:pt>
                <c:pt idx="671">
                  <c:v>27 Mar</c:v>
                </c:pt>
                <c:pt idx="672">
                  <c:v>28 Mar</c:v>
                </c:pt>
                <c:pt idx="673">
                  <c:v>29 Mar</c:v>
                </c:pt>
                <c:pt idx="674">
                  <c:v>30 Mar</c:v>
                </c:pt>
                <c:pt idx="675">
                  <c:v>31 Mar</c:v>
                </c:pt>
                <c:pt idx="676">
                  <c:v>1 Apr</c:v>
                </c:pt>
                <c:pt idx="677">
                  <c:v>2 Apr</c:v>
                </c:pt>
                <c:pt idx="678">
                  <c:v>3 Apr</c:v>
                </c:pt>
                <c:pt idx="679">
                  <c:v>4 Apr</c:v>
                </c:pt>
                <c:pt idx="680">
                  <c:v>5 Apr</c:v>
                </c:pt>
                <c:pt idx="681">
                  <c:v>6 Apr</c:v>
                </c:pt>
                <c:pt idx="682">
                  <c:v>7 Apr</c:v>
                </c:pt>
                <c:pt idx="683">
                  <c:v>8 Apr</c:v>
                </c:pt>
                <c:pt idx="684">
                  <c:v>9 Apr</c:v>
                </c:pt>
                <c:pt idx="685">
                  <c:v>10 Apr</c:v>
                </c:pt>
                <c:pt idx="686">
                  <c:v>11 Apr</c:v>
                </c:pt>
                <c:pt idx="687">
                  <c:v>12 Apr</c:v>
                </c:pt>
                <c:pt idx="688">
                  <c:v>13 Apr</c:v>
                </c:pt>
                <c:pt idx="689">
                  <c:v>14 Apr</c:v>
                </c:pt>
                <c:pt idx="690">
                  <c:v>15 Apr</c:v>
                </c:pt>
                <c:pt idx="691">
                  <c:v>16 Apr</c:v>
                </c:pt>
                <c:pt idx="692">
                  <c:v>17 Apr</c:v>
                </c:pt>
                <c:pt idx="693">
                  <c:v>18 Apr</c:v>
                </c:pt>
                <c:pt idx="694">
                  <c:v>19 Apr</c:v>
                </c:pt>
                <c:pt idx="695">
                  <c:v>20 Apr</c:v>
                </c:pt>
                <c:pt idx="696">
                  <c:v>21 Apr</c:v>
                </c:pt>
                <c:pt idx="697">
                  <c:v>22 Apr</c:v>
                </c:pt>
                <c:pt idx="698">
                  <c:v>23 Apr</c:v>
                </c:pt>
                <c:pt idx="699">
                  <c:v>24 Apr</c:v>
                </c:pt>
                <c:pt idx="700">
                  <c:v>25 Apr</c:v>
                </c:pt>
                <c:pt idx="701">
                  <c:v>26 Apr</c:v>
                </c:pt>
                <c:pt idx="702">
                  <c:v>27 Apr</c:v>
                </c:pt>
                <c:pt idx="703">
                  <c:v>28 Apr</c:v>
                </c:pt>
                <c:pt idx="704">
                  <c:v>29 Apr</c:v>
                </c:pt>
                <c:pt idx="705">
                  <c:v>30 Apr</c:v>
                </c:pt>
                <c:pt idx="706">
                  <c:v>1 May</c:v>
                </c:pt>
                <c:pt idx="707">
                  <c:v>2 May</c:v>
                </c:pt>
                <c:pt idx="708">
                  <c:v>3 May</c:v>
                </c:pt>
                <c:pt idx="709">
                  <c:v>4 May</c:v>
                </c:pt>
                <c:pt idx="710">
                  <c:v>5 May</c:v>
                </c:pt>
                <c:pt idx="711">
                  <c:v>6 May</c:v>
                </c:pt>
                <c:pt idx="712">
                  <c:v>7 May</c:v>
                </c:pt>
                <c:pt idx="713">
                  <c:v>8 May</c:v>
                </c:pt>
                <c:pt idx="714">
                  <c:v>9 May</c:v>
                </c:pt>
                <c:pt idx="715">
                  <c:v>10 May</c:v>
                </c:pt>
                <c:pt idx="716">
                  <c:v>11 May</c:v>
                </c:pt>
                <c:pt idx="717">
                  <c:v>12 May</c:v>
                </c:pt>
                <c:pt idx="718">
                  <c:v>13 May</c:v>
                </c:pt>
                <c:pt idx="719">
                  <c:v>14 May</c:v>
                </c:pt>
                <c:pt idx="720">
                  <c:v>15 May</c:v>
                </c:pt>
                <c:pt idx="721">
                  <c:v>16 May</c:v>
                </c:pt>
                <c:pt idx="722">
                  <c:v>17 May</c:v>
                </c:pt>
                <c:pt idx="723">
                  <c:v>18 May</c:v>
                </c:pt>
                <c:pt idx="724">
                  <c:v>19 May</c:v>
                </c:pt>
                <c:pt idx="725">
                  <c:v>20 May</c:v>
                </c:pt>
                <c:pt idx="726">
                  <c:v>21 May</c:v>
                </c:pt>
                <c:pt idx="727">
                  <c:v>22 May</c:v>
                </c:pt>
                <c:pt idx="728">
                  <c:v>23 May</c:v>
                </c:pt>
                <c:pt idx="729">
                  <c:v>24 May</c:v>
                </c:pt>
                <c:pt idx="730">
                  <c:v>25 May</c:v>
                </c:pt>
                <c:pt idx="731">
                  <c:v>26 May</c:v>
                </c:pt>
                <c:pt idx="732">
                  <c:v>27 May</c:v>
                </c:pt>
                <c:pt idx="733">
                  <c:v>28 May</c:v>
                </c:pt>
                <c:pt idx="734">
                  <c:v>29 May</c:v>
                </c:pt>
                <c:pt idx="735">
                  <c:v>30 May</c:v>
                </c:pt>
                <c:pt idx="736">
                  <c:v>31 May</c:v>
                </c:pt>
                <c:pt idx="737">
                  <c:v>1 Jun</c:v>
                </c:pt>
                <c:pt idx="738">
                  <c:v>2 Jun</c:v>
                </c:pt>
                <c:pt idx="739">
                  <c:v>3 Jun</c:v>
                </c:pt>
                <c:pt idx="740">
                  <c:v>4 Jun</c:v>
                </c:pt>
                <c:pt idx="741">
                  <c:v>5 Jun</c:v>
                </c:pt>
                <c:pt idx="742">
                  <c:v>6 Jun</c:v>
                </c:pt>
                <c:pt idx="743">
                  <c:v>7 Jun</c:v>
                </c:pt>
                <c:pt idx="744">
                  <c:v>8 Jun</c:v>
                </c:pt>
                <c:pt idx="745">
                  <c:v>9 Jun</c:v>
                </c:pt>
                <c:pt idx="746">
                  <c:v>10 Jun</c:v>
                </c:pt>
                <c:pt idx="747">
                  <c:v>11 Jun</c:v>
                </c:pt>
                <c:pt idx="748">
                  <c:v>12 Jun</c:v>
                </c:pt>
                <c:pt idx="749">
                  <c:v>13 Jun</c:v>
                </c:pt>
                <c:pt idx="750">
                  <c:v>14 Jun</c:v>
                </c:pt>
                <c:pt idx="751">
                  <c:v>15 Jun</c:v>
                </c:pt>
                <c:pt idx="752">
                  <c:v>16 Jun</c:v>
                </c:pt>
                <c:pt idx="753">
                  <c:v>17 Jun</c:v>
                </c:pt>
                <c:pt idx="754">
                  <c:v>18 Jun</c:v>
                </c:pt>
                <c:pt idx="755">
                  <c:v>19 Jun</c:v>
                </c:pt>
                <c:pt idx="756">
                  <c:v>20 Jun</c:v>
                </c:pt>
                <c:pt idx="757">
                  <c:v>21 Jun</c:v>
                </c:pt>
                <c:pt idx="758">
                  <c:v>22 Jun</c:v>
                </c:pt>
                <c:pt idx="759">
                  <c:v>23 Jun</c:v>
                </c:pt>
                <c:pt idx="760">
                  <c:v>24 Jun</c:v>
                </c:pt>
                <c:pt idx="761">
                  <c:v>25 Jun</c:v>
                </c:pt>
                <c:pt idx="762">
                  <c:v>26 Jun</c:v>
                </c:pt>
                <c:pt idx="763">
                  <c:v>27 Jun</c:v>
                </c:pt>
                <c:pt idx="764">
                  <c:v>28 Jun</c:v>
                </c:pt>
                <c:pt idx="765">
                  <c:v>29 Jun</c:v>
                </c:pt>
                <c:pt idx="766">
                  <c:v>30 Jun</c:v>
                </c:pt>
                <c:pt idx="767">
                  <c:v>1 Jul</c:v>
                </c:pt>
                <c:pt idx="768">
                  <c:v>2 Jul</c:v>
                </c:pt>
                <c:pt idx="769">
                  <c:v>3 Jul</c:v>
                </c:pt>
                <c:pt idx="770">
                  <c:v>4 Jul</c:v>
                </c:pt>
                <c:pt idx="771">
                  <c:v>5 Jul</c:v>
                </c:pt>
                <c:pt idx="772">
                  <c:v>6 Jul</c:v>
                </c:pt>
                <c:pt idx="773">
                  <c:v>7 Jul</c:v>
                </c:pt>
                <c:pt idx="774">
                  <c:v>8 Jul</c:v>
                </c:pt>
                <c:pt idx="775">
                  <c:v>9 Jul</c:v>
                </c:pt>
                <c:pt idx="776">
                  <c:v>10 Jul</c:v>
                </c:pt>
                <c:pt idx="777">
                  <c:v>11 Jul</c:v>
                </c:pt>
                <c:pt idx="778">
                  <c:v>12 Jul</c:v>
                </c:pt>
                <c:pt idx="779">
                  <c:v>13 Jul</c:v>
                </c:pt>
                <c:pt idx="780">
                  <c:v>14 Jul</c:v>
                </c:pt>
                <c:pt idx="781">
                  <c:v>15 Jul</c:v>
                </c:pt>
                <c:pt idx="782">
                  <c:v>16 Jul</c:v>
                </c:pt>
                <c:pt idx="783">
                  <c:v>17 Jul</c:v>
                </c:pt>
                <c:pt idx="784">
                  <c:v>18 Jul</c:v>
                </c:pt>
                <c:pt idx="785">
                  <c:v>19 Jul</c:v>
                </c:pt>
                <c:pt idx="786">
                  <c:v>20 Jul</c:v>
                </c:pt>
                <c:pt idx="787">
                  <c:v>21 Jul</c:v>
                </c:pt>
                <c:pt idx="788">
                  <c:v>22 Jul</c:v>
                </c:pt>
                <c:pt idx="789">
                  <c:v>23 Jul</c:v>
                </c:pt>
                <c:pt idx="790">
                  <c:v>24 Jul</c:v>
                </c:pt>
                <c:pt idx="791">
                  <c:v>25 Jul</c:v>
                </c:pt>
                <c:pt idx="792">
                  <c:v>26 Jul</c:v>
                </c:pt>
                <c:pt idx="793">
                  <c:v>27 Jul</c:v>
                </c:pt>
                <c:pt idx="794">
                  <c:v>28 Jul</c:v>
                </c:pt>
                <c:pt idx="795">
                  <c:v>29 Jul</c:v>
                </c:pt>
                <c:pt idx="796">
                  <c:v>30 Jul</c:v>
                </c:pt>
                <c:pt idx="797">
                  <c:v>31 Jul</c:v>
                </c:pt>
                <c:pt idx="798">
                  <c:v>1 Aug</c:v>
                </c:pt>
                <c:pt idx="799">
                  <c:v>2 Aug</c:v>
                </c:pt>
                <c:pt idx="800">
                  <c:v>3 Aug</c:v>
                </c:pt>
                <c:pt idx="801">
                  <c:v>4 Aug</c:v>
                </c:pt>
                <c:pt idx="802">
                  <c:v>5 Aug</c:v>
                </c:pt>
                <c:pt idx="803">
                  <c:v>6 Aug</c:v>
                </c:pt>
                <c:pt idx="804">
                  <c:v>7 Aug</c:v>
                </c:pt>
                <c:pt idx="805">
                  <c:v>8 Aug</c:v>
                </c:pt>
                <c:pt idx="806">
                  <c:v>9 Aug</c:v>
                </c:pt>
                <c:pt idx="807">
                  <c:v>10 Aug</c:v>
                </c:pt>
                <c:pt idx="808">
                  <c:v>11 Aug</c:v>
                </c:pt>
                <c:pt idx="809">
                  <c:v>12 Aug</c:v>
                </c:pt>
                <c:pt idx="810">
                  <c:v>13 Aug</c:v>
                </c:pt>
                <c:pt idx="811">
                  <c:v>14 Aug</c:v>
                </c:pt>
                <c:pt idx="812">
                  <c:v>15 Aug</c:v>
                </c:pt>
                <c:pt idx="813">
                  <c:v>16 Aug</c:v>
                </c:pt>
                <c:pt idx="814">
                  <c:v>17 Aug</c:v>
                </c:pt>
                <c:pt idx="815">
                  <c:v>18 Aug</c:v>
                </c:pt>
                <c:pt idx="816">
                  <c:v>19 Aug</c:v>
                </c:pt>
                <c:pt idx="817">
                  <c:v>20 Aug</c:v>
                </c:pt>
                <c:pt idx="818">
                  <c:v>21 Aug</c:v>
                </c:pt>
                <c:pt idx="819">
                  <c:v>22 Aug</c:v>
                </c:pt>
                <c:pt idx="820">
                  <c:v>23 Aug</c:v>
                </c:pt>
                <c:pt idx="821">
                  <c:v>24 Aug</c:v>
                </c:pt>
                <c:pt idx="822">
                  <c:v>25 Aug</c:v>
                </c:pt>
                <c:pt idx="823">
                  <c:v>26 Aug</c:v>
                </c:pt>
                <c:pt idx="824">
                  <c:v>27 Aug</c:v>
                </c:pt>
                <c:pt idx="825">
                  <c:v>28 Aug</c:v>
                </c:pt>
                <c:pt idx="826">
                  <c:v>29 Aug</c:v>
                </c:pt>
                <c:pt idx="827">
                  <c:v>30 Aug</c:v>
                </c:pt>
                <c:pt idx="828">
                  <c:v>31 Aug</c:v>
                </c:pt>
                <c:pt idx="829">
                  <c:v>1 Sep</c:v>
                </c:pt>
                <c:pt idx="830">
                  <c:v>2 Sep</c:v>
                </c:pt>
                <c:pt idx="831">
                  <c:v>3 Sep</c:v>
                </c:pt>
                <c:pt idx="832">
                  <c:v>4 Sep</c:v>
                </c:pt>
                <c:pt idx="833">
                  <c:v>5 Sep</c:v>
                </c:pt>
                <c:pt idx="834">
                  <c:v>6 Sep</c:v>
                </c:pt>
                <c:pt idx="835">
                  <c:v>7 Sep</c:v>
                </c:pt>
                <c:pt idx="836">
                  <c:v>8 Sep</c:v>
                </c:pt>
                <c:pt idx="837">
                  <c:v>9 Sep</c:v>
                </c:pt>
                <c:pt idx="838">
                  <c:v>10 Sep</c:v>
                </c:pt>
                <c:pt idx="839">
                  <c:v>11 Sep</c:v>
                </c:pt>
                <c:pt idx="840">
                  <c:v>12 Sep</c:v>
                </c:pt>
                <c:pt idx="841">
                  <c:v>13 Sep</c:v>
                </c:pt>
                <c:pt idx="842">
                  <c:v>14 Sep</c:v>
                </c:pt>
                <c:pt idx="843">
                  <c:v>15 Sep</c:v>
                </c:pt>
                <c:pt idx="844">
                  <c:v>16 Sep</c:v>
                </c:pt>
                <c:pt idx="845">
                  <c:v>17 Sep</c:v>
                </c:pt>
                <c:pt idx="846">
                  <c:v>18 Sep</c:v>
                </c:pt>
                <c:pt idx="847">
                  <c:v>19 Sep</c:v>
                </c:pt>
                <c:pt idx="848">
                  <c:v>20 Sep</c:v>
                </c:pt>
                <c:pt idx="849">
                  <c:v>21 Sep</c:v>
                </c:pt>
                <c:pt idx="850">
                  <c:v>22 Sep</c:v>
                </c:pt>
                <c:pt idx="851">
                  <c:v>23 Sep</c:v>
                </c:pt>
                <c:pt idx="852">
                  <c:v>24 Sep</c:v>
                </c:pt>
                <c:pt idx="853">
                  <c:v>25 Sep</c:v>
                </c:pt>
                <c:pt idx="854">
                  <c:v>26 Sep</c:v>
                </c:pt>
                <c:pt idx="855">
                  <c:v>27 Sep</c:v>
                </c:pt>
                <c:pt idx="856">
                  <c:v>28 Sep</c:v>
                </c:pt>
                <c:pt idx="857">
                  <c:v>29 Sep</c:v>
                </c:pt>
                <c:pt idx="858">
                  <c:v>30 Sep</c:v>
                </c:pt>
                <c:pt idx="859">
                  <c:v>1 Oct</c:v>
                </c:pt>
                <c:pt idx="860">
                  <c:v>2 Oct</c:v>
                </c:pt>
                <c:pt idx="861">
                  <c:v>3 Oct</c:v>
                </c:pt>
                <c:pt idx="862">
                  <c:v>4 Oct</c:v>
                </c:pt>
                <c:pt idx="863">
                  <c:v>5 Oct</c:v>
                </c:pt>
                <c:pt idx="864">
                  <c:v>6 Oct</c:v>
                </c:pt>
                <c:pt idx="865">
                  <c:v>7 Oct</c:v>
                </c:pt>
                <c:pt idx="866">
                  <c:v>8 Oct</c:v>
                </c:pt>
                <c:pt idx="867">
                  <c:v>9 Oct</c:v>
                </c:pt>
                <c:pt idx="868">
                  <c:v>10 Oct</c:v>
                </c:pt>
                <c:pt idx="869">
                  <c:v>11 Oct</c:v>
                </c:pt>
                <c:pt idx="870">
                  <c:v>12 Oct</c:v>
                </c:pt>
                <c:pt idx="871">
                  <c:v>13 Oct</c:v>
                </c:pt>
                <c:pt idx="872">
                  <c:v>14 Oct</c:v>
                </c:pt>
                <c:pt idx="873">
                  <c:v>15 Oct</c:v>
                </c:pt>
                <c:pt idx="874">
                  <c:v>16 Oct</c:v>
                </c:pt>
                <c:pt idx="875">
                  <c:v>17 Oct</c:v>
                </c:pt>
                <c:pt idx="876">
                  <c:v>18 Oct</c:v>
                </c:pt>
                <c:pt idx="877">
                  <c:v>19 Oct</c:v>
                </c:pt>
                <c:pt idx="878">
                  <c:v>20 Oct</c:v>
                </c:pt>
                <c:pt idx="879">
                  <c:v>21 Oct</c:v>
                </c:pt>
                <c:pt idx="880">
                  <c:v>22 Oct</c:v>
                </c:pt>
                <c:pt idx="881">
                  <c:v>23 Oct</c:v>
                </c:pt>
                <c:pt idx="882">
                  <c:v>24 Oct</c:v>
                </c:pt>
                <c:pt idx="883">
                  <c:v>25 Oct</c:v>
                </c:pt>
                <c:pt idx="884">
                  <c:v>26 Oct</c:v>
                </c:pt>
                <c:pt idx="885">
                  <c:v>27 Oct</c:v>
                </c:pt>
                <c:pt idx="886">
                  <c:v>28 Oct</c:v>
                </c:pt>
                <c:pt idx="887">
                  <c:v>29 Oct</c:v>
                </c:pt>
                <c:pt idx="888">
                  <c:v>30 Oct</c:v>
                </c:pt>
                <c:pt idx="889">
                  <c:v>31 Oct</c:v>
                </c:pt>
                <c:pt idx="890">
                  <c:v>1 Nov</c:v>
                </c:pt>
                <c:pt idx="891">
                  <c:v>2 Nov</c:v>
                </c:pt>
                <c:pt idx="892">
                  <c:v>3 Nov</c:v>
                </c:pt>
                <c:pt idx="893">
                  <c:v>4 Nov</c:v>
                </c:pt>
                <c:pt idx="894">
                  <c:v>5 Nov</c:v>
                </c:pt>
                <c:pt idx="895">
                  <c:v>6 Nov</c:v>
                </c:pt>
                <c:pt idx="896">
                  <c:v>7 Nov</c:v>
                </c:pt>
                <c:pt idx="897">
                  <c:v>8 Nov</c:v>
                </c:pt>
                <c:pt idx="898">
                  <c:v>9 Nov</c:v>
                </c:pt>
                <c:pt idx="899">
                  <c:v>10 Nov</c:v>
                </c:pt>
                <c:pt idx="900">
                  <c:v>11 Nov</c:v>
                </c:pt>
                <c:pt idx="901">
                  <c:v>12 Nov</c:v>
                </c:pt>
                <c:pt idx="902">
                  <c:v>13 Nov</c:v>
                </c:pt>
                <c:pt idx="903">
                  <c:v>14 Nov</c:v>
                </c:pt>
                <c:pt idx="904">
                  <c:v>15 Nov</c:v>
                </c:pt>
                <c:pt idx="905">
                  <c:v>16 Nov</c:v>
                </c:pt>
                <c:pt idx="906">
                  <c:v>17 Nov</c:v>
                </c:pt>
                <c:pt idx="907">
                  <c:v>18 Nov</c:v>
                </c:pt>
                <c:pt idx="908">
                  <c:v>19 Nov</c:v>
                </c:pt>
                <c:pt idx="909">
                  <c:v>20 Nov</c:v>
                </c:pt>
                <c:pt idx="910">
                  <c:v>21 Nov</c:v>
                </c:pt>
                <c:pt idx="911">
                  <c:v>22 Nov</c:v>
                </c:pt>
                <c:pt idx="912">
                  <c:v>23 Nov</c:v>
                </c:pt>
                <c:pt idx="913">
                  <c:v>24 Nov</c:v>
                </c:pt>
                <c:pt idx="914">
                  <c:v>25 Nov</c:v>
                </c:pt>
                <c:pt idx="915">
                  <c:v>26 Nov</c:v>
                </c:pt>
                <c:pt idx="916">
                  <c:v>27 Nov</c:v>
                </c:pt>
                <c:pt idx="917">
                  <c:v>28 Nov</c:v>
                </c:pt>
                <c:pt idx="918">
                  <c:v>29 Nov</c:v>
                </c:pt>
                <c:pt idx="919">
                  <c:v>30 Nov</c:v>
                </c:pt>
                <c:pt idx="920">
                  <c:v>1 Dec</c:v>
                </c:pt>
                <c:pt idx="921">
                  <c:v>2 Dec</c:v>
                </c:pt>
                <c:pt idx="922">
                  <c:v>3 Dec</c:v>
                </c:pt>
              </c:strCache>
            </c:strRef>
          </c:cat>
          <c:val>
            <c:numRef>
              <c:f>'tracking - Table 3-1'!$F$2:$F$924</c:f>
              <c:numCache>
                <c:ptCount val="729"/>
                <c:pt idx="0">
                  <c:v>69.000000</c:v>
                </c:pt>
                <c:pt idx="5">
                  <c:v>69.000000</c:v>
                </c:pt>
                <c:pt idx="9">
                  <c:v>69.100000</c:v>
                </c:pt>
                <c:pt idx="10">
                  <c:v>69.300000</c:v>
                </c:pt>
                <c:pt idx="11">
                  <c:v>69.340000</c:v>
                </c:pt>
                <c:pt idx="12">
                  <c:v>69.366667</c:v>
                </c:pt>
                <c:pt idx="13">
                  <c:v>69.428571</c:v>
                </c:pt>
                <c:pt idx="14">
                  <c:v>69.500000</c:v>
                </c:pt>
                <c:pt idx="15">
                  <c:v>69.555556</c:v>
                </c:pt>
                <c:pt idx="16">
                  <c:v>69.590000</c:v>
                </c:pt>
                <c:pt idx="17">
                  <c:v>69.636364</c:v>
                </c:pt>
                <c:pt idx="18">
                  <c:v>69.658333</c:v>
                </c:pt>
                <c:pt idx="19">
                  <c:v>69.723077</c:v>
                </c:pt>
                <c:pt idx="20">
                  <c:v>69.771429</c:v>
                </c:pt>
                <c:pt idx="21">
                  <c:v>69.780000</c:v>
                </c:pt>
                <c:pt idx="22">
                  <c:v>69.818750</c:v>
                </c:pt>
                <c:pt idx="23">
                  <c:v>69.835294</c:v>
                </c:pt>
                <c:pt idx="24">
                  <c:v>69.838889</c:v>
                </c:pt>
                <c:pt idx="25">
                  <c:v>69.852632</c:v>
                </c:pt>
                <c:pt idx="26">
                  <c:v>69.865000</c:v>
                </c:pt>
                <c:pt idx="27">
                  <c:v>69.904762</c:v>
                </c:pt>
                <c:pt idx="28">
                  <c:v>69.945455</c:v>
                </c:pt>
                <c:pt idx="29">
                  <c:v>69.978261</c:v>
                </c:pt>
                <c:pt idx="30">
                  <c:v>70.047826</c:v>
                </c:pt>
                <c:pt idx="31">
                  <c:v>70.079167</c:v>
                </c:pt>
                <c:pt idx="32">
                  <c:v>70.112000</c:v>
                </c:pt>
                <c:pt idx="33">
                  <c:v>70.130769</c:v>
                </c:pt>
                <c:pt idx="34">
                  <c:v>70.170370</c:v>
                </c:pt>
                <c:pt idx="35">
                  <c:v>70.259259</c:v>
                </c:pt>
                <c:pt idx="36">
                  <c:v>70.296429</c:v>
                </c:pt>
                <c:pt idx="37">
                  <c:v>70.355172</c:v>
                </c:pt>
                <c:pt idx="38">
                  <c:v>70.373333</c:v>
                </c:pt>
                <c:pt idx="39">
                  <c:v>70.426667</c:v>
                </c:pt>
                <c:pt idx="40">
                  <c:v>70.463333</c:v>
                </c:pt>
                <c:pt idx="41">
                  <c:v>70.530000</c:v>
                </c:pt>
                <c:pt idx="42">
                  <c:v>70.596667</c:v>
                </c:pt>
                <c:pt idx="43">
                  <c:v>70.633333</c:v>
                </c:pt>
                <c:pt idx="44">
                  <c:v>70.676667</c:v>
                </c:pt>
                <c:pt idx="45">
                  <c:v>70.730000</c:v>
                </c:pt>
                <c:pt idx="46">
                  <c:v>70.786667</c:v>
                </c:pt>
                <c:pt idx="47">
                  <c:v>70.840000</c:v>
                </c:pt>
                <c:pt idx="48">
                  <c:v>70.903333</c:v>
                </c:pt>
                <c:pt idx="49">
                  <c:v>70.966667</c:v>
                </c:pt>
                <c:pt idx="50">
                  <c:v>71.020000</c:v>
                </c:pt>
                <c:pt idx="51">
                  <c:v>71.123333</c:v>
                </c:pt>
                <c:pt idx="52">
                  <c:v>71.193333</c:v>
                </c:pt>
                <c:pt idx="53">
                  <c:v>71.266667</c:v>
                </c:pt>
                <c:pt idx="54">
                  <c:v>71.356667</c:v>
                </c:pt>
                <c:pt idx="55">
                  <c:v>71.410000</c:v>
                </c:pt>
                <c:pt idx="56">
                  <c:v>71.470000</c:v>
                </c:pt>
                <c:pt idx="57">
                  <c:v>71.516667</c:v>
                </c:pt>
                <c:pt idx="58">
                  <c:v>71.596667</c:v>
                </c:pt>
                <c:pt idx="59">
                  <c:v>71.680000</c:v>
                </c:pt>
                <c:pt idx="60">
                  <c:v>71.760000</c:v>
                </c:pt>
                <c:pt idx="61">
                  <c:v>71.813333</c:v>
                </c:pt>
                <c:pt idx="62">
                  <c:v>71.856667</c:v>
                </c:pt>
                <c:pt idx="63">
                  <c:v>71.926667</c:v>
                </c:pt>
                <c:pt idx="64">
                  <c:v>71.996667</c:v>
                </c:pt>
                <c:pt idx="65">
                  <c:v>72.053333</c:v>
                </c:pt>
                <c:pt idx="66">
                  <c:v>72.140000</c:v>
                </c:pt>
                <c:pt idx="67">
                  <c:v>72.206667</c:v>
                </c:pt>
                <c:pt idx="68">
                  <c:v>72.293333</c:v>
                </c:pt>
                <c:pt idx="69">
                  <c:v>72.396667</c:v>
                </c:pt>
                <c:pt idx="70">
                  <c:v>72.483333</c:v>
                </c:pt>
                <c:pt idx="71">
                  <c:v>72.580000</c:v>
                </c:pt>
                <c:pt idx="72">
                  <c:v>72.673333</c:v>
                </c:pt>
                <c:pt idx="73">
                  <c:v>72.790000</c:v>
                </c:pt>
                <c:pt idx="74">
                  <c:v>72.900000</c:v>
                </c:pt>
                <c:pt idx="75">
                  <c:v>72.956667</c:v>
                </c:pt>
                <c:pt idx="76">
                  <c:v>73.026667</c:v>
                </c:pt>
                <c:pt idx="77">
                  <c:v>73.103333</c:v>
                </c:pt>
                <c:pt idx="78">
                  <c:v>73.170000</c:v>
                </c:pt>
                <c:pt idx="79">
                  <c:v>73.210000</c:v>
                </c:pt>
                <c:pt idx="80">
                  <c:v>73.270000</c:v>
                </c:pt>
                <c:pt idx="81">
                  <c:v>73.283333</c:v>
                </c:pt>
                <c:pt idx="82">
                  <c:v>73.306667</c:v>
                </c:pt>
                <c:pt idx="83">
                  <c:v>73.320000</c:v>
                </c:pt>
                <c:pt idx="84">
                  <c:v>73.333333</c:v>
                </c:pt>
                <c:pt idx="85">
                  <c:v>73.370000</c:v>
                </c:pt>
                <c:pt idx="86">
                  <c:v>73.400000</c:v>
                </c:pt>
                <c:pt idx="91">
                  <c:v>73.442308</c:v>
                </c:pt>
                <c:pt idx="92">
                  <c:v>73.423077</c:v>
                </c:pt>
                <c:pt idx="93">
                  <c:v>73.407692</c:v>
                </c:pt>
                <c:pt idx="94">
                  <c:v>73.334615</c:v>
                </c:pt>
                <c:pt idx="95">
                  <c:v>73.280769</c:v>
                </c:pt>
                <c:pt idx="98">
                  <c:v>73.150000</c:v>
                </c:pt>
                <c:pt idx="168">
                  <c:v>70.500000</c:v>
                </c:pt>
                <c:pt idx="170">
                  <c:v>70.525000</c:v>
                </c:pt>
                <c:pt idx="171">
                  <c:v>70.533333</c:v>
                </c:pt>
                <c:pt idx="172">
                  <c:v>70.437500</c:v>
                </c:pt>
                <c:pt idx="173">
                  <c:v>70.380000</c:v>
                </c:pt>
                <c:pt idx="174">
                  <c:v>70.408333</c:v>
                </c:pt>
                <c:pt idx="175">
                  <c:v>70.478571</c:v>
                </c:pt>
                <c:pt idx="176">
                  <c:v>70.418750</c:v>
                </c:pt>
                <c:pt idx="177">
                  <c:v>70.327778</c:v>
                </c:pt>
                <c:pt idx="178">
                  <c:v>70.285000</c:v>
                </c:pt>
                <c:pt idx="179">
                  <c:v>70.250000</c:v>
                </c:pt>
                <c:pt idx="182">
                  <c:v>70.254167</c:v>
                </c:pt>
                <c:pt idx="183">
                  <c:v>70.211538</c:v>
                </c:pt>
                <c:pt idx="184">
                  <c:v>70.175000</c:v>
                </c:pt>
                <c:pt idx="185">
                  <c:v>70.143333</c:v>
                </c:pt>
                <c:pt idx="186">
                  <c:v>70.115625</c:v>
                </c:pt>
                <c:pt idx="187">
                  <c:v>70.126471</c:v>
                </c:pt>
                <c:pt idx="188">
                  <c:v>70.133333</c:v>
                </c:pt>
                <c:pt idx="189">
                  <c:v>70.089474</c:v>
                </c:pt>
                <c:pt idx="190">
                  <c:v>70.072500</c:v>
                </c:pt>
                <c:pt idx="191">
                  <c:v>70.035714</c:v>
                </c:pt>
                <c:pt idx="192">
                  <c:v>70.002273</c:v>
                </c:pt>
                <c:pt idx="193">
                  <c:v>69.958696</c:v>
                </c:pt>
                <c:pt idx="194">
                  <c:v>69.918750</c:v>
                </c:pt>
                <c:pt idx="195">
                  <c:v>69.894000</c:v>
                </c:pt>
                <c:pt idx="196">
                  <c:v>69.859615</c:v>
                </c:pt>
                <c:pt idx="197">
                  <c:v>69.809259</c:v>
                </c:pt>
                <c:pt idx="198">
                  <c:v>69.753704</c:v>
                </c:pt>
                <c:pt idx="199">
                  <c:v>69.726786</c:v>
                </c:pt>
                <c:pt idx="200">
                  <c:v>69.669643</c:v>
                </c:pt>
                <c:pt idx="201">
                  <c:v>69.601786</c:v>
                </c:pt>
                <c:pt idx="202">
                  <c:v>69.550000</c:v>
                </c:pt>
                <c:pt idx="203">
                  <c:v>69.498214</c:v>
                </c:pt>
                <c:pt idx="204">
                  <c:v>69.432143</c:v>
                </c:pt>
                <c:pt idx="205">
                  <c:v>69.353571</c:v>
                </c:pt>
                <c:pt idx="206">
                  <c:v>69.307143</c:v>
                </c:pt>
                <c:pt idx="207">
                  <c:v>69.275000</c:v>
                </c:pt>
                <c:pt idx="209">
                  <c:v>69.214815</c:v>
                </c:pt>
                <c:pt idx="210">
                  <c:v>69.203571</c:v>
                </c:pt>
                <c:pt idx="211">
                  <c:v>69.186207</c:v>
                </c:pt>
                <c:pt idx="215">
                  <c:v>69.015385</c:v>
                </c:pt>
                <c:pt idx="216">
                  <c:v>68.926923</c:v>
                </c:pt>
                <c:pt idx="217">
                  <c:v>68.892308</c:v>
                </c:pt>
                <c:pt idx="218">
                  <c:v>68.859615</c:v>
                </c:pt>
                <c:pt idx="219">
                  <c:v>68.855769</c:v>
                </c:pt>
                <c:pt idx="221">
                  <c:v>68.824000</c:v>
                </c:pt>
                <c:pt idx="222">
                  <c:v>68.828000</c:v>
                </c:pt>
                <c:pt idx="225">
                  <c:v>68.847826</c:v>
                </c:pt>
                <c:pt idx="226">
                  <c:v>68.895652</c:v>
                </c:pt>
                <c:pt idx="227">
                  <c:v>68.969565</c:v>
                </c:pt>
                <c:pt idx="228">
                  <c:v>69.021739</c:v>
                </c:pt>
                <c:pt idx="229">
                  <c:v>69.073913</c:v>
                </c:pt>
                <c:pt idx="231">
                  <c:v>69.118182</c:v>
                </c:pt>
                <c:pt idx="233">
                  <c:v>69.164286</c:v>
                </c:pt>
                <c:pt idx="234">
                  <c:v>69.145238</c:v>
                </c:pt>
                <c:pt idx="235">
                  <c:v>69.126190</c:v>
                </c:pt>
                <c:pt idx="236">
                  <c:v>69.126190</c:v>
                </c:pt>
                <c:pt idx="237">
                  <c:v>69.135714</c:v>
                </c:pt>
                <c:pt idx="238">
                  <c:v>69.125000</c:v>
                </c:pt>
                <c:pt idx="241">
                  <c:v>69.155000</c:v>
                </c:pt>
                <c:pt idx="242">
                  <c:v>69.109524</c:v>
                </c:pt>
                <c:pt idx="243">
                  <c:v>69.068182</c:v>
                </c:pt>
                <c:pt idx="244">
                  <c:v>69.030435</c:v>
                </c:pt>
                <c:pt idx="245">
                  <c:v>69.065217</c:v>
                </c:pt>
                <c:pt idx="246">
                  <c:v>69.082609</c:v>
                </c:pt>
                <c:pt idx="247">
                  <c:v>69.043478</c:v>
                </c:pt>
                <c:pt idx="248">
                  <c:v>69.004348</c:v>
                </c:pt>
                <c:pt idx="249">
                  <c:v>69.017391</c:v>
                </c:pt>
                <c:pt idx="250">
                  <c:v>69.037500</c:v>
                </c:pt>
                <c:pt idx="251">
                  <c:v>69.041667</c:v>
                </c:pt>
                <c:pt idx="252">
                  <c:v>69.070833</c:v>
                </c:pt>
                <c:pt idx="253">
                  <c:v>69.100000</c:v>
                </c:pt>
                <c:pt idx="254">
                  <c:v>69.138462</c:v>
                </c:pt>
                <c:pt idx="255">
                  <c:v>69.161538</c:v>
                </c:pt>
                <c:pt idx="256">
                  <c:v>69.163462</c:v>
                </c:pt>
                <c:pt idx="257">
                  <c:v>69.140385</c:v>
                </c:pt>
                <c:pt idx="258">
                  <c:v>69.140385</c:v>
                </c:pt>
                <c:pt idx="259">
                  <c:v>69.140385</c:v>
                </c:pt>
                <c:pt idx="260">
                  <c:v>69.168519</c:v>
                </c:pt>
                <c:pt idx="261">
                  <c:v>69.211111</c:v>
                </c:pt>
                <c:pt idx="262">
                  <c:v>69.282143</c:v>
                </c:pt>
                <c:pt idx="263">
                  <c:v>69.344643</c:v>
                </c:pt>
                <c:pt idx="264">
                  <c:v>69.441071</c:v>
                </c:pt>
                <c:pt idx="265">
                  <c:v>69.537500</c:v>
                </c:pt>
                <c:pt idx="266">
                  <c:v>69.623214</c:v>
                </c:pt>
                <c:pt idx="267">
                  <c:v>69.717857</c:v>
                </c:pt>
                <c:pt idx="268">
                  <c:v>69.830357</c:v>
                </c:pt>
                <c:pt idx="269">
                  <c:v>69.925862</c:v>
                </c:pt>
                <c:pt idx="270">
                  <c:v>70.020000</c:v>
                </c:pt>
                <c:pt idx="271">
                  <c:v>70.111667</c:v>
                </c:pt>
                <c:pt idx="272">
                  <c:v>70.225000</c:v>
                </c:pt>
                <c:pt idx="273">
                  <c:v>70.348333</c:v>
                </c:pt>
                <c:pt idx="274">
                  <c:v>70.435000</c:v>
                </c:pt>
                <c:pt idx="275">
                  <c:v>70.531667</c:v>
                </c:pt>
                <c:pt idx="276">
                  <c:v>70.651667</c:v>
                </c:pt>
                <c:pt idx="277">
                  <c:v>70.738333</c:v>
                </c:pt>
                <c:pt idx="278">
                  <c:v>70.825000</c:v>
                </c:pt>
                <c:pt idx="279">
                  <c:v>70.868333</c:v>
                </c:pt>
                <c:pt idx="280">
                  <c:v>70.898333</c:v>
                </c:pt>
                <c:pt idx="281">
                  <c:v>70.961667</c:v>
                </c:pt>
                <c:pt idx="282">
                  <c:v>71.020000</c:v>
                </c:pt>
                <c:pt idx="283">
                  <c:v>71.078333</c:v>
                </c:pt>
                <c:pt idx="284">
                  <c:v>71.143333</c:v>
                </c:pt>
                <c:pt idx="285">
                  <c:v>71.158333</c:v>
                </c:pt>
                <c:pt idx="286">
                  <c:v>71.178333</c:v>
                </c:pt>
                <c:pt idx="287">
                  <c:v>71.253333</c:v>
                </c:pt>
                <c:pt idx="288">
                  <c:v>71.308333</c:v>
                </c:pt>
                <c:pt idx="289">
                  <c:v>71.390000</c:v>
                </c:pt>
                <c:pt idx="290">
                  <c:v>71.430000</c:v>
                </c:pt>
                <c:pt idx="291">
                  <c:v>71.441667</c:v>
                </c:pt>
                <c:pt idx="292">
                  <c:v>71.408333</c:v>
                </c:pt>
                <c:pt idx="293">
                  <c:v>71.455000</c:v>
                </c:pt>
                <c:pt idx="294">
                  <c:v>71.518333</c:v>
                </c:pt>
                <c:pt idx="295">
                  <c:v>71.581667</c:v>
                </c:pt>
                <c:pt idx="296">
                  <c:v>71.650000</c:v>
                </c:pt>
                <c:pt idx="297">
                  <c:v>71.693333</c:v>
                </c:pt>
                <c:pt idx="298">
                  <c:v>71.731667</c:v>
                </c:pt>
                <c:pt idx="299">
                  <c:v>71.750000</c:v>
                </c:pt>
                <c:pt idx="300">
                  <c:v>71.753333</c:v>
                </c:pt>
                <c:pt idx="301">
                  <c:v>71.820000</c:v>
                </c:pt>
                <c:pt idx="302">
                  <c:v>71.900000</c:v>
                </c:pt>
                <c:pt idx="303">
                  <c:v>71.950000</c:v>
                </c:pt>
                <c:pt idx="304">
                  <c:v>71.993333</c:v>
                </c:pt>
                <c:pt idx="305">
                  <c:v>72.061667</c:v>
                </c:pt>
                <c:pt idx="306">
                  <c:v>72.133333</c:v>
                </c:pt>
                <c:pt idx="307">
                  <c:v>72.226667</c:v>
                </c:pt>
                <c:pt idx="308">
                  <c:v>72.335000</c:v>
                </c:pt>
                <c:pt idx="309">
                  <c:v>72.455000</c:v>
                </c:pt>
                <c:pt idx="310">
                  <c:v>72.605000</c:v>
                </c:pt>
                <c:pt idx="311">
                  <c:v>72.711667</c:v>
                </c:pt>
                <c:pt idx="312">
                  <c:v>72.815000</c:v>
                </c:pt>
                <c:pt idx="313">
                  <c:v>72.910000</c:v>
                </c:pt>
                <c:pt idx="314">
                  <c:v>73.000000</c:v>
                </c:pt>
                <c:pt idx="315">
                  <c:v>73.128333</c:v>
                </c:pt>
                <c:pt idx="316">
                  <c:v>73.263333</c:v>
                </c:pt>
                <c:pt idx="317">
                  <c:v>73.361667</c:v>
                </c:pt>
                <c:pt idx="318">
                  <c:v>73.483333</c:v>
                </c:pt>
                <c:pt idx="319">
                  <c:v>73.585000</c:v>
                </c:pt>
                <c:pt idx="320">
                  <c:v>73.705000</c:v>
                </c:pt>
                <c:pt idx="321">
                  <c:v>73.848333</c:v>
                </c:pt>
                <c:pt idx="322">
                  <c:v>74.025000</c:v>
                </c:pt>
                <c:pt idx="323">
                  <c:v>74.125000</c:v>
                </c:pt>
                <c:pt idx="324">
                  <c:v>74.173333</c:v>
                </c:pt>
                <c:pt idx="325">
                  <c:v>74.250000</c:v>
                </c:pt>
                <c:pt idx="326">
                  <c:v>74.348333</c:v>
                </c:pt>
                <c:pt idx="327">
                  <c:v>74.451667</c:v>
                </c:pt>
                <c:pt idx="328">
                  <c:v>74.555000</c:v>
                </c:pt>
                <c:pt idx="329">
                  <c:v>74.660000</c:v>
                </c:pt>
                <c:pt idx="330">
                  <c:v>74.778333</c:v>
                </c:pt>
                <c:pt idx="331">
                  <c:v>74.858333</c:v>
                </c:pt>
                <c:pt idx="332">
                  <c:v>74.923333</c:v>
                </c:pt>
                <c:pt idx="333">
                  <c:v>75.026667</c:v>
                </c:pt>
                <c:pt idx="334">
                  <c:v>75.195000</c:v>
                </c:pt>
                <c:pt idx="335">
                  <c:v>75.330000</c:v>
                </c:pt>
                <c:pt idx="336">
                  <c:v>75.455000</c:v>
                </c:pt>
                <c:pt idx="337">
                  <c:v>75.568333</c:v>
                </c:pt>
                <c:pt idx="338">
                  <c:v>75.671667</c:v>
                </c:pt>
                <c:pt idx="339">
                  <c:v>75.773333</c:v>
                </c:pt>
                <c:pt idx="340">
                  <c:v>75.865000</c:v>
                </c:pt>
                <c:pt idx="341">
                  <c:v>75.966667</c:v>
                </c:pt>
                <c:pt idx="342">
                  <c:v>76.045000</c:v>
                </c:pt>
                <c:pt idx="343">
                  <c:v>76.143333</c:v>
                </c:pt>
                <c:pt idx="344">
                  <c:v>76.245000</c:v>
                </c:pt>
                <c:pt idx="345">
                  <c:v>76.321667</c:v>
                </c:pt>
                <c:pt idx="346">
                  <c:v>76.385000</c:v>
                </c:pt>
                <c:pt idx="347">
                  <c:v>76.466667</c:v>
                </c:pt>
                <c:pt idx="348">
                  <c:v>76.525000</c:v>
                </c:pt>
                <c:pt idx="349">
                  <c:v>76.510000</c:v>
                </c:pt>
                <c:pt idx="350">
                  <c:v>76.495000</c:v>
                </c:pt>
                <c:pt idx="351">
                  <c:v>76.441667</c:v>
                </c:pt>
                <c:pt idx="352">
                  <c:v>76.365000</c:v>
                </c:pt>
                <c:pt idx="353">
                  <c:v>76.285000</c:v>
                </c:pt>
                <c:pt idx="354">
                  <c:v>76.240000</c:v>
                </c:pt>
                <c:pt idx="355">
                  <c:v>76.133333</c:v>
                </c:pt>
                <c:pt idx="356">
                  <c:v>75.996667</c:v>
                </c:pt>
                <c:pt idx="357">
                  <c:v>75.863333</c:v>
                </c:pt>
                <c:pt idx="358">
                  <c:v>75.718333</c:v>
                </c:pt>
                <c:pt idx="359">
                  <c:v>75.600000</c:v>
                </c:pt>
                <c:pt idx="360">
                  <c:v>75.478333</c:v>
                </c:pt>
                <c:pt idx="361">
                  <c:v>75.345000</c:v>
                </c:pt>
                <c:pt idx="362">
                  <c:v>75.238333</c:v>
                </c:pt>
                <c:pt idx="363">
                  <c:v>75.103333</c:v>
                </c:pt>
                <c:pt idx="364">
                  <c:v>74.956667</c:v>
                </c:pt>
                <c:pt idx="365">
                  <c:v>74.798333</c:v>
                </c:pt>
                <c:pt idx="366">
                  <c:v>74.646667</c:v>
                </c:pt>
                <c:pt idx="367">
                  <c:v>74.495000</c:v>
                </c:pt>
                <c:pt idx="368">
                  <c:v>74.381667</c:v>
                </c:pt>
                <c:pt idx="369">
                  <c:v>74.218333</c:v>
                </c:pt>
                <c:pt idx="370">
                  <c:v>74.116667</c:v>
                </c:pt>
                <c:pt idx="371">
                  <c:v>74.031667</c:v>
                </c:pt>
                <c:pt idx="373">
                  <c:v>73.824138</c:v>
                </c:pt>
                <c:pt idx="374">
                  <c:v>73.715517</c:v>
                </c:pt>
                <c:pt idx="375">
                  <c:v>73.624138</c:v>
                </c:pt>
                <c:pt idx="377">
                  <c:v>73.419643</c:v>
                </c:pt>
                <c:pt idx="378">
                  <c:v>73.325000</c:v>
                </c:pt>
                <c:pt idx="379">
                  <c:v>73.325000</c:v>
                </c:pt>
                <c:pt idx="380">
                  <c:v>73.350000</c:v>
                </c:pt>
                <c:pt idx="381">
                  <c:v>73.432143</c:v>
                </c:pt>
                <c:pt idx="382">
                  <c:v>73.492857</c:v>
                </c:pt>
                <c:pt idx="383">
                  <c:v>73.560714</c:v>
                </c:pt>
                <c:pt idx="384">
                  <c:v>73.628571</c:v>
                </c:pt>
                <c:pt idx="385">
                  <c:v>73.732143</c:v>
                </c:pt>
                <c:pt idx="386">
                  <c:v>73.835714</c:v>
                </c:pt>
                <c:pt idx="387">
                  <c:v>73.917857</c:v>
                </c:pt>
                <c:pt idx="388">
                  <c:v>73.996429</c:v>
                </c:pt>
                <c:pt idx="389">
                  <c:v>74.062500</c:v>
                </c:pt>
                <c:pt idx="390">
                  <c:v>74.141071</c:v>
                </c:pt>
                <c:pt idx="391">
                  <c:v>74.246429</c:v>
                </c:pt>
                <c:pt idx="392">
                  <c:v>74.308929</c:v>
                </c:pt>
                <c:pt idx="393">
                  <c:v>74.371429</c:v>
                </c:pt>
                <c:pt idx="394">
                  <c:v>74.448214</c:v>
                </c:pt>
                <c:pt idx="395">
                  <c:v>74.555357</c:v>
                </c:pt>
                <c:pt idx="396">
                  <c:v>74.651786</c:v>
                </c:pt>
                <c:pt idx="397">
                  <c:v>74.755357</c:v>
                </c:pt>
                <c:pt idx="398">
                  <c:v>74.812500</c:v>
                </c:pt>
                <c:pt idx="399">
                  <c:v>74.933929</c:v>
                </c:pt>
                <c:pt idx="400">
                  <c:v>74.982143</c:v>
                </c:pt>
                <c:pt idx="401">
                  <c:v>74.985714</c:v>
                </c:pt>
                <c:pt idx="402">
                  <c:v>74.993103</c:v>
                </c:pt>
                <c:pt idx="403">
                  <c:v>75.006897</c:v>
                </c:pt>
                <c:pt idx="404">
                  <c:v>74.994828</c:v>
                </c:pt>
                <c:pt idx="405">
                  <c:v>74.982759</c:v>
                </c:pt>
                <c:pt idx="407">
                  <c:v>74.951724</c:v>
                </c:pt>
                <c:pt idx="408">
                  <c:v>74.941379</c:v>
                </c:pt>
                <c:pt idx="409">
                  <c:v>74.887931</c:v>
                </c:pt>
                <c:pt idx="410">
                  <c:v>74.834483</c:v>
                </c:pt>
                <c:pt idx="411">
                  <c:v>74.762069</c:v>
                </c:pt>
                <c:pt idx="412">
                  <c:v>74.727586</c:v>
                </c:pt>
                <c:pt idx="413">
                  <c:v>74.679310</c:v>
                </c:pt>
                <c:pt idx="414">
                  <c:v>74.679310</c:v>
                </c:pt>
                <c:pt idx="415">
                  <c:v>74.665517</c:v>
                </c:pt>
                <c:pt idx="416">
                  <c:v>74.651724</c:v>
                </c:pt>
                <c:pt idx="417">
                  <c:v>74.637931</c:v>
                </c:pt>
                <c:pt idx="418">
                  <c:v>74.651724</c:v>
                </c:pt>
                <c:pt idx="419">
                  <c:v>74.637931</c:v>
                </c:pt>
                <c:pt idx="420">
                  <c:v>74.612069</c:v>
                </c:pt>
                <c:pt idx="421">
                  <c:v>74.598276</c:v>
                </c:pt>
                <c:pt idx="422">
                  <c:v>74.600000</c:v>
                </c:pt>
                <c:pt idx="423">
                  <c:v>74.594828</c:v>
                </c:pt>
                <c:pt idx="424">
                  <c:v>74.570690</c:v>
                </c:pt>
                <c:pt idx="425">
                  <c:v>74.527586</c:v>
                </c:pt>
                <c:pt idx="426">
                  <c:v>74.482759</c:v>
                </c:pt>
                <c:pt idx="427">
                  <c:v>74.431034</c:v>
                </c:pt>
                <c:pt idx="429">
                  <c:v>74.351786</c:v>
                </c:pt>
                <c:pt idx="430">
                  <c:v>74.350000</c:v>
                </c:pt>
                <c:pt idx="431">
                  <c:v>74.375000</c:v>
                </c:pt>
                <c:pt idx="432">
                  <c:v>74.407143</c:v>
                </c:pt>
                <c:pt idx="433">
                  <c:v>74.428571</c:v>
                </c:pt>
                <c:pt idx="434">
                  <c:v>74.464286</c:v>
                </c:pt>
                <c:pt idx="435">
                  <c:v>74.485714</c:v>
                </c:pt>
                <c:pt idx="436">
                  <c:v>74.522414</c:v>
                </c:pt>
                <c:pt idx="437">
                  <c:v>74.625862</c:v>
                </c:pt>
                <c:pt idx="438">
                  <c:v>74.739655</c:v>
                </c:pt>
                <c:pt idx="439">
                  <c:v>74.860345</c:v>
                </c:pt>
                <c:pt idx="440">
                  <c:v>74.989655</c:v>
                </c:pt>
                <c:pt idx="441">
                  <c:v>75.050000</c:v>
                </c:pt>
                <c:pt idx="442">
                  <c:v>75.105172</c:v>
                </c:pt>
                <c:pt idx="443">
                  <c:v>75.172414</c:v>
                </c:pt>
                <c:pt idx="444">
                  <c:v>75.236207</c:v>
                </c:pt>
                <c:pt idx="445">
                  <c:v>75.308621</c:v>
                </c:pt>
                <c:pt idx="446">
                  <c:v>75.367241</c:v>
                </c:pt>
                <c:pt idx="447">
                  <c:v>75.460345</c:v>
                </c:pt>
                <c:pt idx="448">
                  <c:v>75.527586</c:v>
                </c:pt>
                <c:pt idx="449">
                  <c:v>75.606897</c:v>
                </c:pt>
                <c:pt idx="450">
                  <c:v>75.694828</c:v>
                </c:pt>
                <c:pt idx="451">
                  <c:v>75.820690</c:v>
                </c:pt>
                <c:pt idx="452">
                  <c:v>75.967241</c:v>
                </c:pt>
                <c:pt idx="453">
                  <c:v>76.120690</c:v>
                </c:pt>
                <c:pt idx="454">
                  <c:v>76.268966</c:v>
                </c:pt>
                <c:pt idx="455">
                  <c:v>76.417241</c:v>
                </c:pt>
                <c:pt idx="456">
                  <c:v>76.584483</c:v>
                </c:pt>
                <c:pt idx="457">
                  <c:v>76.741379</c:v>
                </c:pt>
                <c:pt idx="458">
                  <c:v>76.798333</c:v>
                </c:pt>
                <c:pt idx="459">
                  <c:v>76.926667</c:v>
                </c:pt>
                <c:pt idx="461">
                  <c:v>77.062069</c:v>
                </c:pt>
                <c:pt idx="462">
                  <c:v>77.165517</c:v>
                </c:pt>
                <c:pt idx="463">
                  <c:v>77.263793</c:v>
                </c:pt>
                <c:pt idx="464">
                  <c:v>77.372414</c:v>
                </c:pt>
                <c:pt idx="465">
                  <c:v>77.520690</c:v>
                </c:pt>
                <c:pt idx="467">
                  <c:v>77.641071</c:v>
                </c:pt>
                <c:pt idx="468">
                  <c:v>77.660714</c:v>
                </c:pt>
                <c:pt idx="469">
                  <c:v>77.694643</c:v>
                </c:pt>
                <c:pt idx="470">
                  <c:v>77.728571</c:v>
                </c:pt>
                <c:pt idx="471">
                  <c:v>77.828571</c:v>
                </c:pt>
                <c:pt idx="472">
                  <c:v>77.946429</c:v>
                </c:pt>
                <c:pt idx="473">
                  <c:v>78.053571</c:v>
                </c:pt>
                <c:pt idx="474">
                  <c:v>78.026786</c:v>
                </c:pt>
                <c:pt idx="475">
                  <c:v>78.005357</c:v>
                </c:pt>
                <c:pt idx="476">
                  <c:v>78.037500</c:v>
                </c:pt>
                <c:pt idx="477">
                  <c:v>78.089286</c:v>
                </c:pt>
                <c:pt idx="478">
                  <c:v>78.114286</c:v>
                </c:pt>
                <c:pt idx="479">
                  <c:v>78.139286</c:v>
                </c:pt>
                <c:pt idx="480">
                  <c:v>78.141071</c:v>
                </c:pt>
                <c:pt idx="481">
                  <c:v>78.125000</c:v>
                </c:pt>
                <c:pt idx="482">
                  <c:v>78.075000</c:v>
                </c:pt>
                <c:pt idx="483">
                  <c:v>78.044643</c:v>
                </c:pt>
                <c:pt idx="484">
                  <c:v>78.016071</c:v>
                </c:pt>
                <c:pt idx="485">
                  <c:v>78.003571</c:v>
                </c:pt>
                <c:pt idx="486">
                  <c:v>77.987500</c:v>
                </c:pt>
                <c:pt idx="487">
                  <c:v>77.994643</c:v>
                </c:pt>
                <c:pt idx="488">
                  <c:v>78.010714</c:v>
                </c:pt>
                <c:pt idx="489">
                  <c:v>78.028571</c:v>
                </c:pt>
                <c:pt idx="490">
                  <c:v>78.072414</c:v>
                </c:pt>
                <c:pt idx="491">
                  <c:v>78.100000</c:v>
                </c:pt>
                <c:pt idx="492">
                  <c:v>78.100000</c:v>
                </c:pt>
                <c:pt idx="493">
                  <c:v>78.110345</c:v>
                </c:pt>
                <c:pt idx="494">
                  <c:v>78.082759</c:v>
                </c:pt>
                <c:pt idx="495">
                  <c:v>78.044828</c:v>
                </c:pt>
                <c:pt idx="496">
                  <c:v>78.080000</c:v>
                </c:pt>
                <c:pt idx="497">
                  <c:v>78.111667</c:v>
                </c:pt>
                <c:pt idx="498">
                  <c:v>78.151667</c:v>
                </c:pt>
                <c:pt idx="499">
                  <c:v>78.198333</c:v>
                </c:pt>
                <c:pt idx="500">
                  <c:v>78.261667</c:v>
                </c:pt>
                <c:pt idx="501">
                  <c:v>78.300000</c:v>
                </c:pt>
                <c:pt idx="502">
                  <c:v>78.333333</c:v>
                </c:pt>
                <c:pt idx="503">
                  <c:v>78.360000</c:v>
                </c:pt>
                <c:pt idx="504">
                  <c:v>78.486667</c:v>
                </c:pt>
                <c:pt idx="505">
                  <c:v>78.606667</c:v>
                </c:pt>
                <c:pt idx="506">
                  <c:v>78.695000</c:v>
                </c:pt>
                <c:pt idx="507">
                  <c:v>78.760000</c:v>
                </c:pt>
                <c:pt idx="508">
                  <c:v>78.853333</c:v>
                </c:pt>
                <c:pt idx="509">
                  <c:v>78.951667</c:v>
                </c:pt>
                <c:pt idx="510">
                  <c:v>79.070000</c:v>
                </c:pt>
                <c:pt idx="511">
                  <c:v>79.155000</c:v>
                </c:pt>
                <c:pt idx="512">
                  <c:v>79.260000</c:v>
                </c:pt>
                <c:pt idx="513">
                  <c:v>79.361667</c:v>
                </c:pt>
                <c:pt idx="514">
                  <c:v>79.466667</c:v>
                </c:pt>
                <c:pt idx="515">
                  <c:v>79.561667</c:v>
                </c:pt>
                <c:pt idx="516">
                  <c:v>79.648333</c:v>
                </c:pt>
                <c:pt idx="517">
                  <c:v>79.728333</c:v>
                </c:pt>
                <c:pt idx="518">
                  <c:v>79.813333</c:v>
                </c:pt>
                <c:pt idx="519">
                  <c:v>79.880000</c:v>
                </c:pt>
                <c:pt idx="520">
                  <c:v>79.956667</c:v>
                </c:pt>
                <c:pt idx="521">
                  <c:v>80.005000</c:v>
                </c:pt>
                <c:pt idx="522">
                  <c:v>80.071667</c:v>
                </c:pt>
                <c:pt idx="523">
                  <c:v>80.135000</c:v>
                </c:pt>
                <c:pt idx="524">
                  <c:v>80.253333</c:v>
                </c:pt>
                <c:pt idx="525">
                  <c:v>80.343333</c:v>
                </c:pt>
                <c:pt idx="526">
                  <c:v>80.390000</c:v>
                </c:pt>
                <c:pt idx="527">
                  <c:v>80.438333</c:v>
                </c:pt>
                <c:pt idx="528">
                  <c:v>80.480000</c:v>
                </c:pt>
                <c:pt idx="529">
                  <c:v>80.525000</c:v>
                </c:pt>
                <c:pt idx="530">
                  <c:v>80.501667</c:v>
                </c:pt>
                <c:pt idx="531">
                  <c:v>80.495000</c:v>
                </c:pt>
                <c:pt idx="532">
                  <c:v>80.498333</c:v>
                </c:pt>
                <c:pt idx="533">
                  <c:v>80.528333</c:v>
                </c:pt>
                <c:pt idx="534">
                  <c:v>80.563333</c:v>
                </c:pt>
                <c:pt idx="535">
                  <c:v>80.605000</c:v>
                </c:pt>
                <c:pt idx="536">
                  <c:v>80.646667</c:v>
                </c:pt>
                <c:pt idx="537">
                  <c:v>80.681667</c:v>
                </c:pt>
                <c:pt idx="538">
                  <c:v>80.726667</c:v>
                </c:pt>
                <c:pt idx="539">
                  <c:v>80.755000</c:v>
                </c:pt>
                <c:pt idx="540">
                  <c:v>80.766667</c:v>
                </c:pt>
                <c:pt idx="544">
                  <c:v>80.785185</c:v>
                </c:pt>
                <c:pt idx="545">
                  <c:v>80.762963</c:v>
                </c:pt>
                <c:pt idx="546">
                  <c:v>80.742593</c:v>
                </c:pt>
                <c:pt idx="547">
                  <c:v>80.746296</c:v>
                </c:pt>
                <c:pt idx="548">
                  <c:v>80.744444</c:v>
                </c:pt>
                <c:pt idx="549">
                  <c:v>80.759259</c:v>
                </c:pt>
                <c:pt idx="550">
                  <c:v>80.744444</c:v>
                </c:pt>
                <c:pt idx="551">
                  <c:v>80.761111</c:v>
                </c:pt>
                <c:pt idx="552">
                  <c:v>80.768519</c:v>
                </c:pt>
                <c:pt idx="553">
                  <c:v>80.788889</c:v>
                </c:pt>
                <c:pt idx="554">
                  <c:v>80.788889</c:v>
                </c:pt>
                <c:pt idx="555">
                  <c:v>80.794444</c:v>
                </c:pt>
                <c:pt idx="556">
                  <c:v>80.844444</c:v>
                </c:pt>
                <c:pt idx="557">
                  <c:v>80.879630</c:v>
                </c:pt>
                <c:pt idx="558">
                  <c:v>80.911111</c:v>
                </c:pt>
                <c:pt idx="559">
                  <c:v>80.948148</c:v>
                </c:pt>
                <c:pt idx="560">
                  <c:v>81.038889</c:v>
                </c:pt>
                <c:pt idx="561">
                  <c:v>81.137037</c:v>
                </c:pt>
                <c:pt idx="562">
                  <c:v>81.198148</c:v>
                </c:pt>
                <c:pt idx="563">
                  <c:v>81.251852</c:v>
                </c:pt>
                <c:pt idx="564">
                  <c:v>81.285185</c:v>
                </c:pt>
                <c:pt idx="565">
                  <c:v>81.331481</c:v>
                </c:pt>
                <c:pt idx="566">
                  <c:v>81.359259</c:v>
                </c:pt>
                <c:pt idx="567">
                  <c:v>81.400000</c:v>
                </c:pt>
                <c:pt idx="568">
                  <c:v>81.401852</c:v>
                </c:pt>
                <c:pt idx="569">
                  <c:v>81.394444</c:v>
                </c:pt>
                <c:pt idx="570">
                  <c:v>81.387037</c:v>
                </c:pt>
                <c:pt idx="571">
                  <c:v>81.366071</c:v>
                </c:pt>
                <c:pt idx="572">
                  <c:v>81.312069</c:v>
                </c:pt>
                <c:pt idx="573">
                  <c:v>81.273333</c:v>
                </c:pt>
                <c:pt idx="574">
                  <c:v>81.283333</c:v>
                </c:pt>
                <c:pt idx="575">
                  <c:v>81.300000</c:v>
                </c:pt>
                <c:pt idx="576">
                  <c:v>81.326667</c:v>
                </c:pt>
                <c:pt idx="577">
                  <c:v>81.330000</c:v>
                </c:pt>
                <c:pt idx="578">
                  <c:v>81.343333</c:v>
                </c:pt>
                <c:pt idx="579">
                  <c:v>81.358333</c:v>
                </c:pt>
                <c:pt idx="580">
                  <c:v>81.373333</c:v>
                </c:pt>
                <c:pt idx="581">
                  <c:v>81.373333</c:v>
                </c:pt>
                <c:pt idx="582">
                  <c:v>81.380000</c:v>
                </c:pt>
                <c:pt idx="583">
                  <c:v>81.390000</c:v>
                </c:pt>
                <c:pt idx="584">
                  <c:v>81.410000</c:v>
                </c:pt>
                <c:pt idx="585">
                  <c:v>81.445000</c:v>
                </c:pt>
                <c:pt idx="586">
                  <c:v>81.450000</c:v>
                </c:pt>
                <c:pt idx="587">
                  <c:v>81.468333</c:v>
                </c:pt>
                <c:pt idx="588">
                  <c:v>81.468333</c:v>
                </c:pt>
                <c:pt idx="589">
                  <c:v>81.453333</c:v>
                </c:pt>
                <c:pt idx="590">
                  <c:v>81.443333</c:v>
                </c:pt>
                <c:pt idx="591">
                  <c:v>81.423333</c:v>
                </c:pt>
                <c:pt idx="592">
                  <c:v>81.420000</c:v>
                </c:pt>
                <c:pt idx="594">
                  <c:v>81.356897</c:v>
                </c:pt>
                <c:pt idx="628">
                  <c:v>81.500000</c:v>
                </c:pt>
                <c:pt idx="629">
                  <c:v>81.875000</c:v>
                </c:pt>
                <c:pt idx="630">
                  <c:v>81.750000</c:v>
                </c:pt>
                <c:pt idx="631">
                  <c:v>81.687500</c:v>
                </c:pt>
                <c:pt idx="632">
                  <c:v>81.590000</c:v>
                </c:pt>
                <c:pt idx="633">
                  <c:v>81.641667</c:v>
                </c:pt>
                <c:pt idx="634">
                  <c:v>81.678571</c:v>
                </c:pt>
                <c:pt idx="635">
                  <c:v>81.706250</c:v>
                </c:pt>
                <c:pt idx="636">
                  <c:v>81.727778</c:v>
                </c:pt>
                <c:pt idx="637">
                  <c:v>81.705000</c:v>
                </c:pt>
                <c:pt idx="638">
                  <c:v>81.686364</c:v>
                </c:pt>
                <c:pt idx="639">
                  <c:v>81.670833</c:v>
                </c:pt>
                <c:pt idx="640">
                  <c:v>81.657692</c:v>
                </c:pt>
                <c:pt idx="641">
                  <c:v>81.646429</c:v>
                </c:pt>
                <c:pt idx="642">
                  <c:v>81.636667</c:v>
                </c:pt>
                <c:pt idx="643">
                  <c:v>81.646875</c:v>
                </c:pt>
                <c:pt idx="644">
                  <c:v>81.691176</c:v>
                </c:pt>
                <c:pt idx="645">
                  <c:v>81.697222</c:v>
                </c:pt>
                <c:pt idx="646">
                  <c:v>81.718421</c:v>
                </c:pt>
                <c:pt idx="647">
                  <c:v>81.722500</c:v>
                </c:pt>
                <c:pt idx="648">
                  <c:v>81.726190</c:v>
                </c:pt>
                <c:pt idx="649">
                  <c:v>81.715909</c:v>
                </c:pt>
                <c:pt idx="650">
                  <c:v>81.706522</c:v>
                </c:pt>
                <c:pt idx="651">
                  <c:v>81.697917</c:v>
                </c:pt>
                <c:pt idx="652">
                  <c:v>81.674000</c:v>
                </c:pt>
                <c:pt idx="653">
                  <c:v>81.651923</c:v>
                </c:pt>
                <c:pt idx="654">
                  <c:v>81.620370</c:v>
                </c:pt>
                <c:pt idx="655">
                  <c:v>81.601786</c:v>
                </c:pt>
                <c:pt idx="656">
                  <c:v>81.574138</c:v>
                </c:pt>
                <c:pt idx="657">
                  <c:v>81.548333</c:v>
                </c:pt>
                <c:pt idx="659">
                  <c:v>81.462069</c:v>
                </c:pt>
                <c:pt idx="660">
                  <c:v>81.437931</c:v>
                </c:pt>
                <c:pt idx="661">
                  <c:v>81.400000</c:v>
                </c:pt>
                <c:pt idx="662">
                  <c:v>81.360345</c:v>
                </c:pt>
                <c:pt idx="663">
                  <c:v>81.308621</c:v>
                </c:pt>
                <c:pt idx="664">
                  <c:v>81.270690</c:v>
                </c:pt>
                <c:pt idx="665">
                  <c:v>81.232759</c:v>
                </c:pt>
                <c:pt idx="666">
                  <c:v>81.208621</c:v>
                </c:pt>
                <c:pt idx="667">
                  <c:v>81.198276</c:v>
                </c:pt>
                <c:pt idx="668">
                  <c:v>81.162069</c:v>
                </c:pt>
                <c:pt idx="669">
                  <c:v>81.125862</c:v>
                </c:pt>
                <c:pt idx="670">
                  <c:v>81.074138</c:v>
                </c:pt>
                <c:pt idx="671">
                  <c:v>81.050000</c:v>
                </c:pt>
                <c:pt idx="673">
                  <c:v>80.969643</c:v>
                </c:pt>
                <c:pt idx="674">
                  <c:v>80.896429</c:v>
                </c:pt>
                <c:pt idx="676">
                  <c:v>80.798148</c:v>
                </c:pt>
                <c:pt idx="677">
                  <c:v>80.764815</c:v>
                </c:pt>
                <c:pt idx="678">
                  <c:v>80.731481</c:v>
                </c:pt>
                <c:pt idx="679">
                  <c:v>80.688889</c:v>
                </c:pt>
                <c:pt idx="680">
                  <c:v>80.677778</c:v>
                </c:pt>
                <c:pt idx="681">
                  <c:v>80.653704</c:v>
                </c:pt>
                <c:pt idx="682">
                  <c:v>80.625926</c:v>
                </c:pt>
                <c:pt idx="683">
                  <c:v>80.598148</c:v>
                </c:pt>
                <c:pt idx="684">
                  <c:v>80.587037</c:v>
                </c:pt>
                <c:pt idx="685">
                  <c:v>80.559259</c:v>
                </c:pt>
                <c:pt idx="686">
                  <c:v>80.542593</c:v>
                </c:pt>
                <c:pt idx="687">
                  <c:v>80.522222</c:v>
                </c:pt>
                <c:pt idx="688">
                  <c:v>80.512500</c:v>
                </c:pt>
                <c:pt idx="689">
                  <c:v>80.532143</c:v>
                </c:pt>
                <c:pt idx="692">
                  <c:v>80.546154</c:v>
                </c:pt>
                <c:pt idx="693">
                  <c:v>80.551923</c:v>
                </c:pt>
                <c:pt idx="694">
                  <c:v>80.542308</c:v>
                </c:pt>
                <c:pt idx="695">
                  <c:v>80.511538</c:v>
                </c:pt>
                <c:pt idx="696">
                  <c:v>80.467308</c:v>
                </c:pt>
                <c:pt idx="698">
                  <c:v>80.422000</c:v>
                </c:pt>
                <c:pt idx="699">
                  <c:v>80.428000</c:v>
                </c:pt>
                <c:pt idx="700">
                  <c:v>80.452000</c:v>
                </c:pt>
                <c:pt idx="701">
                  <c:v>80.444000</c:v>
                </c:pt>
                <c:pt idx="702">
                  <c:v>80.450000</c:v>
                </c:pt>
                <c:pt idx="703">
                  <c:v>80.457692</c:v>
                </c:pt>
                <c:pt idx="704">
                  <c:v>80.478846</c:v>
                </c:pt>
                <c:pt idx="705">
                  <c:v>80.509259</c:v>
                </c:pt>
                <c:pt idx="706">
                  <c:v>80.525926</c:v>
                </c:pt>
                <c:pt idx="707">
                  <c:v>80.522222</c:v>
                </c:pt>
                <c:pt idx="708">
                  <c:v>80.507407</c:v>
                </c:pt>
                <c:pt idx="709">
                  <c:v>80.512963</c:v>
                </c:pt>
                <c:pt idx="710">
                  <c:v>80.512963</c:v>
                </c:pt>
                <c:pt idx="712">
                  <c:v>80.521154</c:v>
                </c:pt>
                <c:pt idx="713">
                  <c:v>80.575000</c:v>
                </c:pt>
                <c:pt idx="714">
                  <c:v>80.611538</c:v>
                </c:pt>
                <c:pt idx="715">
                  <c:v>80.613462</c:v>
                </c:pt>
                <c:pt idx="716">
                  <c:v>80.636538</c:v>
                </c:pt>
                <c:pt idx="717">
                  <c:v>80.717308</c:v>
                </c:pt>
                <c:pt idx="718">
                  <c:v>80.769231</c:v>
                </c:pt>
                <c:pt idx="719">
                  <c:v>80.821154</c:v>
                </c:pt>
                <c:pt idx="720">
                  <c:v>80.850000</c:v>
                </c:pt>
                <c:pt idx="721">
                  <c:v>80.857143</c:v>
                </c:pt>
                <c:pt idx="722">
                  <c:v>80.860714</c:v>
                </c:pt>
                <c:pt idx="723">
                  <c:v>80.864286</c:v>
                </c:pt>
                <c:pt idx="724">
                  <c:v>80.867857</c:v>
                </c:pt>
                <c:pt idx="725">
                  <c:v>80.891071</c:v>
                </c:pt>
                <c:pt idx="726">
                  <c:v>80.894643</c:v>
                </c:pt>
                <c:pt idx="727">
                  <c:v>80.868966</c:v>
                </c:pt>
                <c:pt idx="728">
                  <c:v>80.872414</c:v>
                </c:pt>
                <c:pt idx="729">
                  <c:v>80.881034</c:v>
                </c:pt>
                <c:pt idx="730">
                  <c:v>80.889655</c:v>
                </c:pt>
                <c:pt idx="731">
                  <c:v>80.913793</c:v>
                </c:pt>
                <c:pt idx="732">
                  <c:v>80.922414</c:v>
                </c:pt>
                <c:pt idx="734">
                  <c:v>80.930357</c:v>
                </c:pt>
                <c:pt idx="735">
                  <c:v>80.914286</c:v>
                </c:pt>
                <c:pt idx="736">
                  <c:v>80.916071</c:v>
                </c:pt>
                <c:pt idx="737">
                  <c:v>80.917857</c:v>
                </c:pt>
                <c:pt idx="738">
                  <c:v>80.930357</c:v>
                </c:pt>
                <c:pt idx="739">
                  <c:v>80.942857</c:v>
                </c:pt>
                <c:pt idx="740">
                  <c:v>80.900000</c:v>
                </c:pt>
                <c:pt idx="741">
                  <c:v>80.894828</c:v>
                </c:pt>
                <c:pt idx="742">
                  <c:v>80.906897</c:v>
                </c:pt>
                <c:pt idx="743">
                  <c:v>80.891379</c:v>
                </c:pt>
                <c:pt idx="744">
                  <c:v>80.886207</c:v>
                </c:pt>
                <c:pt idx="745">
                  <c:v>80.917241</c:v>
                </c:pt>
                <c:pt idx="746">
                  <c:v>80.929310</c:v>
                </c:pt>
                <c:pt idx="748">
                  <c:v>80.867857</c:v>
                </c:pt>
                <c:pt idx="749">
                  <c:v>80.846429</c:v>
                </c:pt>
                <c:pt idx="750">
                  <c:v>80.846429</c:v>
                </c:pt>
                <c:pt idx="751">
                  <c:v>80.866071</c:v>
                </c:pt>
                <c:pt idx="752">
                  <c:v>80.900000</c:v>
                </c:pt>
                <c:pt idx="753">
                  <c:v>80.912500</c:v>
                </c:pt>
                <c:pt idx="754">
                  <c:v>80.925000</c:v>
                </c:pt>
                <c:pt idx="755">
                  <c:v>80.937500</c:v>
                </c:pt>
                <c:pt idx="756">
                  <c:v>80.955357</c:v>
                </c:pt>
                <c:pt idx="759">
                  <c:v>81.009615</c:v>
                </c:pt>
                <c:pt idx="760">
                  <c:v>81.015385</c:v>
                </c:pt>
                <c:pt idx="763">
                  <c:v>81.010000</c:v>
                </c:pt>
                <c:pt idx="764">
                  <c:v>81.020000</c:v>
                </c:pt>
                <c:pt idx="765">
                  <c:v>81.026000</c:v>
                </c:pt>
                <c:pt idx="766">
                  <c:v>81.032000</c:v>
                </c:pt>
                <c:pt idx="767">
                  <c:v>81.062000</c:v>
                </c:pt>
                <c:pt idx="768">
                  <c:v>81.092000</c:v>
                </c:pt>
                <c:pt idx="770">
                  <c:v>81.168750</c:v>
                </c:pt>
                <c:pt idx="771">
                  <c:v>81.204167</c:v>
                </c:pt>
                <c:pt idx="772">
                  <c:v>81.233333</c:v>
                </c:pt>
                <c:pt idx="773">
                  <c:v>81.260417</c:v>
                </c:pt>
                <c:pt idx="774">
                  <c:v>81.287500</c:v>
                </c:pt>
                <c:pt idx="775">
                  <c:v>81.300000</c:v>
                </c:pt>
                <c:pt idx="776">
                  <c:v>81.329167</c:v>
                </c:pt>
                <c:pt idx="777">
                  <c:v>81.340000</c:v>
                </c:pt>
                <c:pt idx="778">
                  <c:v>81.366000</c:v>
                </c:pt>
                <c:pt idx="779">
                  <c:v>81.404000</c:v>
                </c:pt>
                <c:pt idx="780">
                  <c:v>81.418000</c:v>
                </c:pt>
                <c:pt idx="781">
                  <c:v>81.418000</c:v>
                </c:pt>
                <c:pt idx="782">
                  <c:v>81.432000</c:v>
                </c:pt>
                <c:pt idx="783">
                  <c:v>81.456000</c:v>
                </c:pt>
                <c:pt idx="784">
                  <c:v>81.494000</c:v>
                </c:pt>
                <c:pt idx="785">
                  <c:v>81.532000</c:v>
                </c:pt>
                <c:pt idx="786">
                  <c:v>81.606000</c:v>
                </c:pt>
                <c:pt idx="787">
                  <c:v>81.619231</c:v>
                </c:pt>
                <c:pt idx="788">
                  <c:v>81.650000</c:v>
                </c:pt>
                <c:pt idx="789">
                  <c:v>81.731481</c:v>
                </c:pt>
                <c:pt idx="790">
                  <c:v>81.798148</c:v>
                </c:pt>
                <c:pt idx="791">
                  <c:v>81.817857</c:v>
                </c:pt>
                <c:pt idx="792">
                  <c:v>81.851724</c:v>
                </c:pt>
                <c:pt idx="793">
                  <c:v>81.913793</c:v>
                </c:pt>
                <c:pt idx="794">
                  <c:v>81.998276</c:v>
                </c:pt>
                <c:pt idx="795">
                  <c:v>82.101724</c:v>
                </c:pt>
                <c:pt idx="796">
                  <c:v>82.194828</c:v>
                </c:pt>
                <c:pt idx="797">
                  <c:v>82.250000</c:v>
                </c:pt>
                <c:pt idx="798">
                  <c:v>82.332759</c:v>
                </c:pt>
                <c:pt idx="799">
                  <c:v>82.378333</c:v>
                </c:pt>
                <c:pt idx="800">
                  <c:v>82.431667</c:v>
                </c:pt>
                <c:pt idx="801">
                  <c:v>82.475000</c:v>
                </c:pt>
                <c:pt idx="803">
                  <c:v>82.550000</c:v>
                </c:pt>
                <c:pt idx="804">
                  <c:v>82.620690</c:v>
                </c:pt>
                <c:pt idx="805">
                  <c:v>82.679310</c:v>
                </c:pt>
                <c:pt idx="806">
                  <c:v>82.724138</c:v>
                </c:pt>
                <c:pt idx="807">
                  <c:v>82.782759</c:v>
                </c:pt>
                <c:pt idx="808">
                  <c:v>82.817241</c:v>
                </c:pt>
                <c:pt idx="809">
                  <c:v>82.851724</c:v>
                </c:pt>
                <c:pt idx="810">
                  <c:v>82.898276</c:v>
                </c:pt>
                <c:pt idx="811">
                  <c:v>82.981034</c:v>
                </c:pt>
                <c:pt idx="812">
                  <c:v>83.015517</c:v>
                </c:pt>
                <c:pt idx="813">
                  <c:v>83.062069</c:v>
                </c:pt>
                <c:pt idx="814">
                  <c:v>83.096552</c:v>
                </c:pt>
                <c:pt idx="815">
                  <c:v>83.131034</c:v>
                </c:pt>
                <c:pt idx="816">
                  <c:v>83.170690</c:v>
                </c:pt>
                <c:pt idx="817">
                  <c:v>83.229310</c:v>
                </c:pt>
                <c:pt idx="818">
                  <c:v>83.284483</c:v>
                </c:pt>
                <c:pt idx="819">
                  <c:v>83.312069</c:v>
                </c:pt>
                <c:pt idx="820">
                  <c:v>83.355172</c:v>
                </c:pt>
                <c:pt idx="821">
                  <c:v>83.400000</c:v>
                </c:pt>
                <c:pt idx="822">
                  <c:v>83.429310</c:v>
                </c:pt>
                <c:pt idx="823">
                  <c:v>83.436207</c:v>
                </c:pt>
                <c:pt idx="824">
                  <c:v>83.467241</c:v>
                </c:pt>
                <c:pt idx="825">
                  <c:v>83.482759</c:v>
                </c:pt>
                <c:pt idx="826">
                  <c:v>83.508621</c:v>
                </c:pt>
                <c:pt idx="827">
                  <c:v>83.522414</c:v>
                </c:pt>
                <c:pt idx="828">
                  <c:v>83.508621</c:v>
                </c:pt>
                <c:pt idx="829">
                  <c:v>83.515517</c:v>
                </c:pt>
                <c:pt idx="830">
                  <c:v>83.556897</c:v>
                </c:pt>
                <c:pt idx="831">
                  <c:v>83.608621</c:v>
                </c:pt>
                <c:pt idx="833">
                  <c:v>83.624138</c:v>
                </c:pt>
                <c:pt idx="834">
                  <c:v>83.655172</c:v>
                </c:pt>
                <c:pt idx="835">
                  <c:v>83.710345</c:v>
                </c:pt>
                <c:pt idx="836">
                  <c:v>83.765517</c:v>
                </c:pt>
                <c:pt idx="837">
                  <c:v>83.820690</c:v>
                </c:pt>
                <c:pt idx="838">
                  <c:v>83.887931</c:v>
                </c:pt>
                <c:pt idx="840">
                  <c:v>83.978571</c:v>
                </c:pt>
                <c:pt idx="841">
                  <c:v>84.010714</c:v>
                </c:pt>
                <c:pt idx="842">
                  <c:v>84.091071</c:v>
                </c:pt>
                <c:pt idx="843">
                  <c:v>84.183929</c:v>
                </c:pt>
                <c:pt idx="844">
                  <c:v>84.264286</c:v>
                </c:pt>
                <c:pt idx="845">
                  <c:v>84.344643</c:v>
                </c:pt>
                <c:pt idx="846">
                  <c:v>84.389286</c:v>
                </c:pt>
                <c:pt idx="847">
                  <c:v>84.433929</c:v>
                </c:pt>
                <c:pt idx="848">
                  <c:v>84.487500</c:v>
                </c:pt>
                <c:pt idx="849">
                  <c:v>84.542857</c:v>
                </c:pt>
                <c:pt idx="850">
                  <c:v>84.573214</c:v>
                </c:pt>
                <c:pt idx="851">
                  <c:v>84.666071</c:v>
                </c:pt>
                <c:pt idx="852">
                  <c:v>84.758929</c:v>
                </c:pt>
                <c:pt idx="853">
                  <c:v>84.837500</c:v>
                </c:pt>
                <c:pt idx="854">
                  <c:v>84.891071</c:v>
                </c:pt>
                <c:pt idx="855">
                  <c:v>84.939286</c:v>
                </c:pt>
                <c:pt idx="856">
                  <c:v>84.958929</c:v>
                </c:pt>
                <c:pt idx="857">
                  <c:v>85.023214</c:v>
                </c:pt>
                <c:pt idx="858">
                  <c:v>85.087500</c:v>
                </c:pt>
                <c:pt idx="859">
                  <c:v>85.141071</c:v>
                </c:pt>
                <c:pt idx="860">
                  <c:v>85.176786</c:v>
                </c:pt>
                <c:pt idx="861">
                  <c:v>85.198214</c:v>
                </c:pt>
                <c:pt idx="862">
                  <c:v>85.205172</c:v>
                </c:pt>
                <c:pt idx="863">
                  <c:v>85.251724</c:v>
                </c:pt>
                <c:pt idx="864">
                  <c:v>85.268966</c:v>
                </c:pt>
                <c:pt idx="867">
                  <c:v>85.325926</c:v>
                </c:pt>
                <c:pt idx="868">
                  <c:v>85.370370</c:v>
                </c:pt>
                <c:pt idx="869">
                  <c:v>85.396429</c:v>
                </c:pt>
                <c:pt idx="870">
                  <c:v>85.439286</c:v>
                </c:pt>
                <c:pt idx="871">
                  <c:v>85.482143</c:v>
                </c:pt>
                <c:pt idx="873">
                  <c:v>85.488889</c:v>
                </c:pt>
                <c:pt idx="874">
                  <c:v>85.498148</c:v>
                </c:pt>
                <c:pt idx="875">
                  <c:v>85.507407</c:v>
                </c:pt>
                <c:pt idx="876">
                  <c:v>85.516667</c:v>
                </c:pt>
                <c:pt idx="877">
                  <c:v>85.514815</c:v>
                </c:pt>
                <c:pt idx="878">
                  <c:v>85.500000</c:v>
                </c:pt>
                <c:pt idx="879">
                  <c:v>85.498148</c:v>
                </c:pt>
                <c:pt idx="880">
                  <c:v>85.507407</c:v>
                </c:pt>
                <c:pt idx="881">
                  <c:v>85.435185</c:v>
                </c:pt>
                <c:pt idx="882">
                  <c:v>85.362963</c:v>
                </c:pt>
                <c:pt idx="883">
                  <c:v>85.329630</c:v>
                </c:pt>
                <c:pt idx="884">
                  <c:v>85.285185</c:v>
                </c:pt>
                <c:pt idx="885">
                  <c:v>85.218519</c:v>
                </c:pt>
                <c:pt idx="887">
                  <c:v>85.184615</c:v>
                </c:pt>
                <c:pt idx="888">
                  <c:v>85.142308</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66"/>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589875"/>
          <c:y val="0"/>
          <c:w val="0.859884"/>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9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43787"/>
          <c:y val="0.167195"/>
          <c:w val="0.928637"/>
          <c:h val="0.763307"/>
        </c:manualLayout>
      </c:layout>
      <c:barChart>
        <c:barDir val="col"/>
        <c:grouping val="clustered"/>
        <c:varyColors val="0"/>
        <c:ser>
          <c:idx val="0"/>
          <c:order val="0"/>
          <c:tx>
            <c:strRef>
              <c:f>'tracking - Table 3-1-1'!$E$1</c:f>
              <c:strCache/>
            </c:strRef>
          </c:tx>
          <c:spPr>
            <a:solidFill>
              <a:schemeClr val="accent1">
                <a:satOff val="11152"/>
                <a:lumOff val="9508"/>
              </a:schemeClr>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inEnd"/>
            <c:showLegendKey val="0"/>
            <c:showVal val="0"/>
            <c:showCatName val="0"/>
            <c:showSerName val="0"/>
            <c:showPercent val="0"/>
            <c:showBubbleSize val="0"/>
            <c:showLeaderLines val="0"/>
          </c:dLbls>
          <c:cat>
            <c:strRef>
              <c:f>'tracking - Table 3-1-1'!$A$2:$A$23,'tracking - Table 3-1-1'!$A$26</c:f>
              <c:strCache>
                <c:ptCount val="0"/>
              </c:strCache>
            </c:strRef>
          </c:cat>
          <c:val>
            <c:numRef>
              <c:f>'tracking - Table 3-1-1'!$E$2:$E$25</c:f>
              <c:numCache>
                <c:ptCount val="0"/>
              </c:numCache>
            </c:numRef>
          </c:val>
        </c:ser>
        <c:gapWidth val="40"/>
        <c:overlap val="-10"/>
        <c:axId val="2094734552"/>
        <c:axId val="2094734553"/>
      </c:barChart>
      <c:lineChart>
        <c:grouping val="standard"/>
        <c:varyColors val="0"/>
        <c:ser>
          <c:idx val="1"/>
          <c:order val="1"/>
          <c:tx>
            <c:strRef>
              <c:f>'tracking - Table 3-1-1'!$G$1</c:f>
              <c:strCache/>
            </c:strRef>
          </c:tx>
          <c:spPr>
            <a:solidFill>
              <a:srgbClr val="FFFFFF"/>
            </a:solidFill>
            <a:ln w="50800" cap="flat">
              <a:solidFill>
                <a:srgbClr val="70BF41"/>
              </a:solidFill>
              <a:prstDash val="solid"/>
              <a:miter lim="400000"/>
            </a:ln>
            <a:effectLst/>
          </c:spPr>
          <c:marker>
            <c:symbol val="circle"/>
            <c:size val="10"/>
            <c:spPr>
              <a:solidFill>
                <a:srgbClr val="FFFFFF"/>
              </a:solidFill>
              <a:ln w="50800" cap="flat">
                <a:solidFill>
                  <a:srgbClr val="70BF41"/>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Helvetica"/>
                  </a:defRPr>
                </a:pPr>
              </a:p>
            </c:txPr>
            <c:dLblPos val="t"/>
            <c:showLegendKey val="0"/>
            <c:showVal val="0"/>
            <c:showCatName val="0"/>
            <c:showSerName val="0"/>
            <c:showPercent val="0"/>
            <c:showBubbleSize val="0"/>
            <c:showLeaderLines val="0"/>
          </c:dLbls>
          <c:cat>
            <c:strRef>
              <c:f>'tracking - Table 3-1-1'!$A$2:$A$23,'tracking - Table 3-1-1'!$A$26</c:f>
              <c:strCache>
                <c:ptCount val="0"/>
              </c:strCache>
            </c:strRef>
          </c:cat>
          <c:val>
            <c:numRef>
              <c:f>'tracking - Table 3-1-1'!$G$2:$G$25</c:f>
              <c:numCache>
                <c:ptCount val="0"/>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no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General" sourceLinked="0"/>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between"/>
      </c:valAx>
      <c:spPr>
        <a:noFill/>
        <a:ln w="12700" cap="flat">
          <a:noFill/>
          <a:miter lim="400000"/>
        </a:ln>
        <a:effectLst/>
      </c:spPr>
    </c:plotArea>
    <c:legend>
      <c:legendPos val="t"/>
      <c:layout>
        <c:manualLayout>
          <c:xMode val="edge"/>
          <c:yMode val="edge"/>
          <c:x val="0.03501"/>
          <c:y val="0"/>
          <c:w val="0.907585"/>
          <c:h val="0.0705986"/>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9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88638"/>
          <c:y val="0.126667"/>
          <c:w val="0.866794"/>
          <c:h val="0.809167"/>
        </c:manualLayout>
      </c:layout>
      <c:lineChart>
        <c:grouping val="standard"/>
        <c:varyColors val="0"/>
        <c:ser>
          <c:idx val="0"/>
          <c:order val="0"/>
          <c:tx>
            <c:strRef>
              <c:f>'tracking - Table 3-1-1'!$B$1</c:f>
              <c:strCache>
                <c:ptCount val="1"/>
                <c:pt idx="0">
                  <c:v>kg</c:v>
                </c:pt>
              </c:strCache>
            </c:strRef>
          </c:tx>
          <c:spPr>
            <a:solidFill>
              <a:srgbClr val="F05C31">
                <a:alpha val="29115"/>
              </a:srgbClr>
            </a:solidFill>
            <a:ln w="12700" cap="flat">
              <a:solidFill>
                <a:srgbClr val="F05C31">
                  <a:alpha val="29115"/>
                </a:srgbClr>
              </a:solidFill>
              <a:prstDash val="solid"/>
              <a:miter lim="400000"/>
            </a:ln>
            <a:effectLst/>
          </c:spPr>
          <c:marker>
            <c:symbol val="diamond"/>
            <c:size val="3"/>
            <c:spPr>
              <a:solidFill>
                <a:srgbClr val="F05C31">
                  <a:alpha val="29115"/>
                </a:srgbClr>
              </a:solidFill>
              <a:ln w="50800" cap="flat">
                <a:noFill/>
                <a:miter lim="400000"/>
              </a:ln>
              <a:effectLst/>
            </c:spPr>
          </c:marker>
          <c:dLbls>
            <c:numFmt formatCode="General"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3-1-1'!$A$2:$A$24,'tracking - Table 3-1-1'!$A$26</c:f>
              <c:strCache>
                <c:ptCount val="24"/>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pt idx="13">
                  <c:v>January</c:v>
                </c:pt>
                <c:pt idx="14">
                  <c:v>February</c:v>
                </c:pt>
                <c:pt idx="15">
                  <c:v>March</c:v>
                </c:pt>
                <c:pt idx="16">
                  <c:v>April</c:v>
                </c:pt>
                <c:pt idx="17">
                  <c:v>May</c:v>
                </c:pt>
                <c:pt idx="18">
                  <c:v>June</c:v>
                </c:pt>
                <c:pt idx="19">
                  <c:v>July</c:v>
                </c:pt>
                <c:pt idx="20">
                  <c:v>August</c:v>
                </c:pt>
                <c:pt idx="21">
                  <c:v>September</c:v>
                </c:pt>
                <c:pt idx="22">
                  <c:v>October</c:v>
                </c:pt>
                <c:pt idx="23">
                  <c:v/>
                </c:pt>
              </c:strCache>
            </c:strRef>
          </c:cat>
          <c:val>
            <c:numRef>
              <c:f>'tracking - Table 3-1-1'!$B$2:$B$25</c:f>
              <c:numCache>
                <c:ptCount val="24"/>
                <c:pt idx="0">
                  <c:v>68.560000</c:v>
                </c:pt>
                <c:pt idx="1">
                  <c:v>68.785714</c:v>
                </c:pt>
                <c:pt idx="2">
                  <c:v>71.171429</c:v>
                </c:pt>
                <c:pt idx="3">
                  <c:v>73.764286</c:v>
                </c:pt>
                <c:pt idx="4">
                  <c:v>77.357143</c:v>
                </c:pt>
                <c:pt idx="5">
                  <c:v>73.464286</c:v>
                </c:pt>
                <c:pt idx="6">
                  <c:v>75.614286</c:v>
                </c:pt>
                <c:pt idx="7">
                  <c:v>75.191667</c:v>
                </c:pt>
                <c:pt idx="8">
                  <c:v>78.716667</c:v>
                </c:pt>
                <c:pt idx="9">
                  <c:v>79.121429</c:v>
                </c:pt>
                <c:pt idx="10">
                  <c:v>81.192857</c:v>
                </c:pt>
                <c:pt idx="11">
                  <c:v>81.357143</c:v>
                </c:pt>
                <c:pt idx="12">
                  <c:v>81.728571</c:v>
                </c:pt>
                <c:pt idx="13">
                  <c:v>81.225000</c:v>
                </c:pt>
                <c:pt idx="14">
                  <c:v>81.671429</c:v>
                </c:pt>
                <c:pt idx="15">
                  <c:v>80.341667</c:v>
                </c:pt>
                <c:pt idx="16">
                  <c:v>80.685714</c:v>
                </c:pt>
                <c:pt idx="17">
                  <c:v>80.850000</c:v>
                </c:pt>
                <c:pt idx="18">
                  <c:v>80.930000</c:v>
                </c:pt>
                <c:pt idx="19">
                  <c:v>83.135714</c:v>
                </c:pt>
                <c:pt idx="20">
                  <c:v>83.892857</c:v>
                </c:pt>
                <c:pt idx="21">
                  <c:v>85.507143</c:v>
                </c:pt>
                <c:pt idx="22">
                  <c:v>84.250000</c:v>
                </c:pt>
                <c:pt idx="23">
                  <c:v>84.250000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in val="68"/>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746797"/>
          <c:y val="0"/>
          <c:w val="0.813809"/>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0"/>
    <c:dispBlanksAs val="gap"/>
  </c:chart>
  <c:spPr>
    <a:noFill/>
    <a:ln>
      <a:noFill/>
    </a:ln>
    <a:effectLst/>
  </c:spPr>
</c:chartSpace>
</file>

<file path=xl/charts/chart9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520241"/>
          <c:y val="0.126667"/>
          <c:w val="0.900655"/>
          <c:h val="0.809167"/>
        </c:manualLayout>
      </c:layout>
      <c:lineChart>
        <c:grouping val="standard"/>
        <c:varyColors val="0"/>
        <c:ser>
          <c:idx val="0"/>
          <c:order val="0"/>
          <c:tx>
            <c:strRef>
              <c:f>'tracking - Table 3-1'!$B$1</c:f>
              <c:strCache>
                <c:ptCount val="1"/>
                <c:pt idx="0">
                  <c:v>kg</c:v>
                </c:pt>
              </c:strCache>
            </c:strRef>
          </c:tx>
          <c:spPr>
            <a:solidFill>
              <a:srgbClr val="F05C31">
                <a:alpha val="29115"/>
              </a:srgbClr>
            </a:solidFill>
            <a:ln w="12700" cap="flat">
              <a:solidFill>
                <a:srgbClr val="F05C31">
                  <a:alpha val="29115"/>
                </a:srgbClr>
              </a:solidFill>
              <a:prstDash val="solid"/>
              <a:miter lim="400000"/>
            </a:ln>
            <a:effectLst/>
          </c:spPr>
          <c:marker>
            <c:symbol val="diamond"/>
            <c:size val="3"/>
            <c:spPr>
              <a:solidFill>
                <a:srgbClr val="F05C31">
                  <a:alpha val="29115"/>
                </a:srgbClr>
              </a:solidFill>
              <a:ln w="50800" cap="flat">
                <a:noFill/>
                <a:miter lim="400000"/>
              </a:ln>
              <a:effectLst/>
            </c:spPr>
          </c:marker>
          <c:dLbls>
            <c:numFmt formatCode="General"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64"/>
                <c:pt idx="0">
                  <c:v>1 Oct</c:v>
                </c:pt>
                <c:pt idx="1">
                  <c:v>2 Oct</c:v>
                </c:pt>
                <c:pt idx="2">
                  <c:v>3 Oct</c:v>
                </c:pt>
                <c:pt idx="3">
                  <c:v>4 Oct</c:v>
                </c:pt>
                <c:pt idx="4">
                  <c:v>5 Oct</c:v>
                </c:pt>
                <c:pt idx="5">
                  <c:v>6 Oct</c:v>
                </c:pt>
                <c:pt idx="6">
                  <c:v>7 Oct</c:v>
                </c:pt>
                <c:pt idx="7">
                  <c:v>8 Oct</c:v>
                </c:pt>
                <c:pt idx="8">
                  <c:v>9 Oct</c:v>
                </c:pt>
                <c:pt idx="9">
                  <c:v>10 Oct</c:v>
                </c:pt>
                <c:pt idx="10">
                  <c:v>11 Oct</c:v>
                </c:pt>
                <c:pt idx="11">
                  <c:v>12 Oct</c:v>
                </c:pt>
                <c:pt idx="12">
                  <c:v>13 Oct</c:v>
                </c:pt>
                <c:pt idx="13">
                  <c:v>14 Oct</c:v>
                </c:pt>
                <c:pt idx="14">
                  <c:v>15 Oct</c:v>
                </c:pt>
                <c:pt idx="15">
                  <c:v>16 Oct</c:v>
                </c:pt>
                <c:pt idx="16">
                  <c:v>17 Oct</c:v>
                </c:pt>
                <c:pt idx="17">
                  <c:v>18 Oct</c:v>
                </c:pt>
                <c:pt idx="18">
                  <c:v>19 Oct</c:v>
                </c:pt>
                <c:pt idx="19">
                  <c:v>20 Oct</c:v>
                </c:pt>
                <c:pt idx="20">
                  <c:v>21 Oct</c:v>
                </c:pt>
                <c:pt idx="21">
                  <c:v>22 Oct</c:v>
                </c:pt>
                <c:pt idx="22">
                  <c:v>23 Oct</c:v>
                </c:pt>
                <c:pt idx="23">
                  <c:v>24 Oct</c:v>
                </c:pt>
                <c:pt idx="24">
                  <c:v>25 Oct</c:v>
                </c:pt>
                <c:pt idx="25">
                  <c:v>26 Oct</c:v>
                </c:pt>
                <c:pt idx="26">
                  <c:v>27 Oct</c:v>
                </c:pt>
                <c:pt idx="27">
                  <c:v>28 Oct</c:v>
                </c:pt>
                <c:pt idx="28">
                  <c:v>29 Oct</c:v>
                </c:pt>
                <c:pt idx="29">
                  <c:v>30 Oct</c:v>
                </c:pt>
                <c:pt idx="30">
                  <c:v>31 Oct</c:v>
                </c:pt>
                <c:pt idx="31">
                  <c:v>1 Nov</c:v>
                </c:pt>
                <c:pt idx="32">
                  <c:v>2 Nov</c:v>
                </c:pt>
                <c:pt idx="33">
                  <c:v>3 Nov</c:v>
                </c:pt>
                <c:pt idx="34">
                  <c:v>4 Nov</c:v>
                </c:pt>
                <c:pt idx="35">
                  <c:v>5 Nov</c:v>
                </c:pt>
                <c:pt idx="36">
                  <c:v>6 Nov</c:v>
                </c:pt>
                <c:pt idx="37">
                  <c:v>7 Nov</c:v>
                </c:pt>
                <c:pt idx="38">
                  <c:v>8 Nov</c:v>
                </c:pt>
                <c:pt idx="39">
                  <c:v>9 Nov</c:v>
                </c:pt>
                <c:pt idx="40">
                  <c:v>10 Nov</c:v>
                </c:pt>
                <c:pt idx="41">
                  <c:v>11 Nov</c:v>
                </c:pt>
                <c:pt idx="42">
                  <c:v>12 Nov</c:v>
                </c:pt>
                <c:pt idx="43">
                  <c:v>13 Nov</c:v>
                </c:pt>
                <c:pt idx="44">
                  <c:v>14 Nov</c:v>
                </c:pt>
                <c:pt idx="45">
                  <c:v>15 Nov</c:v>
                </c:pt>
                <c:pt idx="46">
                  <c:v>16 Nov</c:v>
                </c:pt>
                <c:pt idx="47">
                  <c:v>17 Nov</c:v>
                </c:pt>
                <c:pt idx="48">
                  <c:v>18 Nov</c:v>
                </c:pt>
                <c:pt idx="49">
                  <c:v>19 Nov</c:v>
                </c:pt>
                <c:pt idx="50">
                  <c:v>20 Nov</c:v>
                </c:pt>
                <c:pt idx="51">
                  <c:v>21 Nov</c:v>
                </c:pt>
                <c:pt idx="52">
                  <c:v>22 Nov</c:v>
                </c:pt>
                <c:pt idx="53">
                  <c:v>23 Nov</c:v>
                </c:pt>
                <c:pt idx="54">
                  <c:v>24 Nov</c:v>
                </c:pt>
                <c:pt idx="55">
                  <c:v>25 Nov</c:v>
                </c:pt>
                <c:pt idx="56">
                  <c:v>26 Nov</c:v>
                </c:pt>
                <c:pt idx="57">
                  <c:v>27 Nov</c:v>
                </c:pt>
                <c:pt idx="58">
                  <c:v>28 Nov</c:v>
                </c:pt>
                <c:pt idx="59">
                  <c:v>29 Nov</c:v>
                </c:pt>
                <c:pt idx="60">
                  <c:v>30 Nov</c:v>
                </c:pt>
                <c:pt idx="61">
                  <c:v>1 Dec</c:v>
                </c:pt>
                <c:pt idx="62">
                  <c:v>2 Dec</c:v>
                </c:pt>
                <c:pt idx="63">
                  <c:v>3 Dec</c:v>
                </c:pt>
              </c:strCache>
            </c:strRef>
          </c:cat>
          <c:val>
            <c:numRef>
              <c:f>'tracking - Table 3-1'!$B$2:$B$924</c:f>
              <c:numCache>
                <c:ptCount val="26"/>
                <c:pt idx="0">
                  <c:v>85.400000</c:v>
                </c:pt>
                <c:pt idx="1">
                  <c:v>85.400000</c:v>
                </c:pt>
                <c:pt idx="2">
                  <c:v>85.000000</c:v>
                </c:pt>
                <c:pt idx="3">
                  <c:v>85.400000</c:v>
                </c:pt>
                <c:pt idx="4">
                  <c:v>85.400000</c:v>
                </c:pt>
                <c:pt idx="5">
                  <c:v>85.400000</c:v>
                </c:pt>
                <c:pt idx="8">
                  <c:v>85.700000</c:v>
                </c:pt>
                <c:pt idx="9">
                  <c:v>86.100000</c:v>
                </c:pt>
                <c:pt idx="10">
                  <c:v>86.100000</c:v>
                </c:pt>
                <c:pt idx="11">
                  <c:v>86.100000</c:v>
                </c:pt>
                <c:pt idx="12">
                  <c:v>86.100000</c:v>
                </c:pt>
                <c:pt idx="14">
                  <c:v>85.450000</c:v>
                </c:pt>
                <c:pt idx="15">
                  <c:v>85.450000</c:v>
                </c:pt>
                <c:pt idx="16">
                  <c:v>85.450000</c:v>
                </c:pt>
                <c:pt idx="17">
                  <c:v>85.150000</c:v>
                </c:pt>
                <c:pt idx="18">
                  <c:v>84.850000</c:v>
                </c:pt>
                <c:pt idx="19">
                  <c:v>85.150000</c:v>
                </c:pt>
                <c:pt idx="20">
                  <c:v>85.150000</c:v>
                </c:pt>
                <c:pt idx="21">
                  <c:v>85.150000</c:v>
                </c:pt>
                <c:pt idx="22">
                  <c:v>84.300000</c:v>
                </c:pt>
                <c:pt idx="23">
                  <c:v>84.300000</c:v>
                </c:pt>
                <c:pt idx="24">
                  <c:v>84.300000</c:v>
                </c:pt>
                <c:pt idx="25">
                  <c:v>84.300000</c:v>
                </c:pt>
                <c:pt idx="26">
                  <c:v>84.000000</c:v>
                </c:pt>
                <c:pt idx="28">
                  <c:v>84.300000</c:v>
                </c:pt>
                <c:pt idx="29">
                  <c:v>84.300000</c:v>
                </c:pt>
              </c:numCache>
            </c:numRef>
          </c:val>
          <c:smooth val="0"/>
        </c:ser>
        <c:ser>
          <c:idx val="1"/>
          <c:order val="1"/>
          <c:tx>
            <c:strRef>
              <c:f>'tracking - Table 3-1'!$D$1</c:f>
              <c:strCache>
                <c:ptCount val="1"/>
                <c:pt idx="0">
                  <c:v>7-day</c:v>
                </c:pt>
              </c:strCache>
            </c:strRef>
          </c:tx>
          <c:spPr>
            <a:solidFill>
              <a:srgbClr val="51A7F9">
                <a:alpha val="75792"/>
              </a:srgbClr>
            </a:solidFill>
            <a:ln w="25400" cap="flat">
              <a:solidFill>
                <a:srgbClr val="51A7F9">
                  <a:alpha val="75792"/>
                </a:srgbClr>
              </a:solidFill>
              <a:prstDash val="solid"/>
              <a:miter lim="400000"/>
            </a:ln>
            <a:effectLst/>
          </c:spPr>
          <c:marker>
            <c:symbol val="circle"/>
            <c:size val="3"/>
            <c:spPr>
              <a:solidFill>
                <a:srgbClr val="51A7F9">
                  <a:alpha val="75792"/>
                </a:srgbClr>
              </a:solidFill>
              <a:ln w="50800" cap="flat">
                <a:noFill/>
                <a:miter lim="400000"/>
              </a:ln>
              <a:effectLst/>
            </c:spPr>
          </c:marker>
          <c:dLbls>
            <c:numFmt formatCode="0.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64"/>
                <c:pt idx="0">
                  <c:v>1 Oct</c:v>
                </c:pt>
                <c:pt idx="1">
                  <c:v>2 Oct</c:v>
                </c:pt>
                <c:pt idx="2">
                  <c:v>3 Oct</c:v>
                </c:pt>
                <c:pt idx="3">
                  <c:v>4 Oct</c:v>
                </c:pt>
                <c:pt idx="4">
                  <c:v>5 Oct</c:v>
                </c:pt>
                <c:pt idx="5">
                  <c:v>6 Oct</c:v>
                </c:pt>
                <c:pt idx="6">
                  <c:v>7 Oct</c:v>
                </c:pt>
                <c:pt idx="7">
                  <c:v>8 Oct</c:v>
                </c:pt>
                <c:pt idx="8">
                  <c:v>9 Oct</c:v>
                </c:pt>
                <c:pt idx="9">
                  <c:v>10 Oct</c:v>
                </c:pt>
                <c:pt idx="10">
                  <c:v>11 Oct</c:v>
                </c:pt>
                <c:pt idx="11">
                  <c:v>12 Oct</c:v>
                </c:pt>
                <c:pt idx="12">
                  <c:v>13 Oct</c:v>
                </c:pt>
                <c:pt idx="13">
                  <c:v>14 Oct</c:v>
                </c:pt>
                <c:pt idx="14">
                  <c:v>15 Oct</c:v>
                </c:pt>
                <c:pt idx="15">
                  <c:v>16 Oct</c:v>
                </c:pt>
                <c:pt idx="16">
                  <c:v>17 Oct</c:v>
                </c:pt>
                <c:pt idx="17">
                  <c:v>18 Oct</c:v>
                </c:pt>
                <c:pt idx="18">
                  <c:v>19 Oct</c:v>
                </c:pt>
                <c:pt idx="19">
                  <c:v>20 Oct</c:v>
                </c:pt>
                <c:pt idx="20">
                  <c:v>21 Oct</c:v>
                </c:pt>
                <c:pt idx="21">
                  <c:v>22 Oct</c:v>
                </c:pt>
                <c:pt idx="22">
                  <c:v>23 Oct</c:v>
                </c:pt>
                <c:pt idx="23">
                  <c:v>24 Oct</c:v>
                </c:pt>
                <c:pt idx="24">
                  <c:v>25 Oct</c:v>
                </c:pt>
                <c:pt idx="25">
                  <c:v>26 Oct</c:v>
                </c:pt>
                <c:pt idx="26">
                  <c:v>27 Oct</c:v>
                </c:pt>
                <c:pt idx="27">
                  <c:v>28 Oct</c:v>
                </c:pt>
                <c:pt idx="28">
                  <c:v>29 Oct</c:v>
                </c:pt>
                <c:pt idx="29">
                  <c:v>30 Oct</c:v>
                </c:pt>
                <c:pt idx="30">
                  <c:v>31 Oct</c:v>
                </c:pt>
                <c:pt idx="31">
                  <c:v>1 Nov</c:v>
                </c:pt>
                <c:pt idx="32">
                  <c:v>2 Nov</c:v>
                </c:pt>
                <c:pt idx="33">
                  <c:v>3 Nov</c:v>
                </c:pt>
                <c:pt idx="34">
                  <c:v>4 Nov</c:v>
                </c:pt>
                <c:pt idx="35">
                  <c:v>5 Nov</c:v>
                </c:pt>
                <c:pt idx="36">
                  <c:v>6 Nov</c:v>
                </c:pt>
                <c:pt idx="37">
                  <c:v>7 Nov</c:v>
                </c:pt>
                <c:pt idx="38">
                  <c:v>8 Nov</c:v>
                </c:pt>
                <c:pt idx="39">
                  <c:v>9 Nov</c:v>
                </c:pt>
                <c:pt idx="40">
                  <c:v>10 Nov</c:v>
                </c:pt>
                <c:pt idx="41">
                  <c:v>11 Nov</c:v>
                </c:pt>
                <c:pt idx="42">
                  <c:v>12 Nov</c:v>
                </c:pt>
                <c:pt idx="43">
                  <c:v>13 Nov</c:v>
                </c:pt>
                <c:pt idx="44">
                  <c:v>14 Nov</c:v>
                </c:pt>
                <c:pt idx="45">
                  <c:v>15 Nov</c:v>
                </c:pt>
                <c:pt idx="46">
                  <c:v>16 Nov</c:v>
                </c:pt>
                <c:pt idx="47">
                  <c:v>17 Nov</c:v>
                </c:pt>
                <c:pt idx="48">
                  <c:v>18 Nov</c:v>
                </c:pt>
                <c:pt idx="49">
                  <c:v>19 Nov</c:v>
                </c:pt>
                <c:pt idx="50">
                  <c:v>20 Nov</c:v>
                </c:pt>
                <c:pt idx="51">
                  <c:v>21 Nov</c:v>
                </c:pt>
                <c:pt idx="52">
                  <c:v>22 Nov</c:v>
                </c:pt>
                <c:pt idx="53">
                  <c:v>23 Nov</c:v>
                </c:pt>
                <c:pt idx="54">
                  <c:v>24 Nov</c:v>
                </c:pt>
                <c:pt idx="55">
                  <c:v>25 Nov</c:v>
                </c:pt>
                <c:pt idx="56">
                  <c:v>26 Nov</c:v>
                </c:pt>
                <c:pt idx="57">
                  <c:v>27 Nov</c:v>
                </c:pt>
                <c:pt idx="58">
                  <c:v>28 Nov</c:v>
                </c:pt>
                <c:pt idx="59">
                  <c:v>29 Nov</c:v>
                </c:pt>
                <c:pt idx="60">
                  <c:v>30 Nov</c:v>
                </c:pt>
                <c:pt idx="61">
                  <c:v>1 Dec</c:v>
                </c:pt>
                <c:pt idx="62">
                  <c:v>2 Dec</c:v>
                </c:pt>
                <c:pt idx="63">
                  <c:v>3 Dec</c:v>
                </c:pt>
              </c:strCache>
            </c:strRef>
          </c:cat>
          <c:val>
            <c:numRef>
              <c:f>'tracking - Table 3-1'!$D$2:$D$924</c:f>
              <c:numCache>
                <c:ptCount val="26"/>
                <c:pt idx="0">
                  <c:v>85.385714</c:v>
                </c:pt>
                <c:pt idx="1">
                  <c:v>85.414286</c:v>
                </c:pt>
                <c:pt idx="2">
                  <c:v>85.342857</c:v>
                </c:pt>
                <c:pt idx="3">
                  <c:v>85.285714</c:v>
                </c:pt>
                <c:pt idx="4">
                  <c:v>85.342857</c:v>
                </c:pt>
                <c:pt idx="5">
                  <c:v>85.342857</c:v>
                </c:pt>
                <c:pt idx="8">
                  <c:v>85.380000</c:v>
                </c:pt>
                <c:pt idx="9">
                  <c:v>85.600000</c:v>
                </c:pt>
                <c:pt idx="10">
                  <c:v>85.740000</c:v>
                </c:pt>
                <c:pt idx="11">
                  <c:v>85.880000</c:v>
                </c:pt>
                <c:pt idx="12">
                  <c:v>86.020000</c:v>
                </c:pt>
                <c:pt idx="14">
                  <c:v>85.925000</c:v>
                </c:pt>
                <c:pt idx="15">
                  <c:v>85.883333</c:v>
                </c:pt>
                <c:pt idx="16">
                  <c:v>85.775000</c:v>
                </c:pt>
                <c:pt idx="17">
                  <c:v>85.616667</c:v>
                </c:pt>
                <c:pt idx="18">
                  <c:v>85.408333</c:v>
                </c:pt>
                <c:pt idx="19">
                  <c:v>85.250000</c:v>
                </c:pt>
                <c:pt idx="20">
                  <c:v>85.235714</c:v>
                </c:pt>
                <c:pt idx="21">
                  <c:v>85.192857</c:v>
                </c:pt>
                <c:pt idx="22">
                  <c:v>85.028571</c:v>
                </c:pt>
                <c:pt idx="23">
                  <c:v>84.864286</c:v>
                </c:pt>
                <c:pt idx="24">
                  <c:v>84.742857</c:v>
                </c:pt>
                <c:pt idx="25">
                  <c:v>84.664286</c:v>
                </c:pt>
                <c:pt idx="26">
                  <c:v>84.500000</c:v>
                </c:pt>
                <c:pt idx="28">
                  <c:v>84.250000</c:v>
                </c:pt>
                <c:pt idx="29">
                  <c:v>84.250000</c:v>
                </c:pt>
              </c:numCache>
            </c:numRef>
          </c:val>
          <c:smooth val="0"/>
        </c:ser>
        <c:ser>
          <c:idx val="2"/>
          <c:order val="2"/>
          <c:tx>
            <c:strRef>
              <c:f>'tracking - Table 3-1'!$E$1</c:f>
              <c:strCache>
                <c:ptCount val="1"/>
                <c:pt idx="0">
                  <c:v>14-day</c:v>
                </c:pt>
              </c:strCache>
            </c:strRef>
          </c:tx>
          <c:spPr>
            <a:solidFill>
              <a:srgbClr val="51A7F9">
                <a:alpha val="78253"/>
              </a:srgbClr>
            </a:solidFill>
            <a:ln w="50800" cap="flat">
              <a:solidFill>
                <a:srgbClr val="51A7F9">
                  <a:alpha val="77926"/>
                </a:srgbClr>
              </a:solidFill>
              <a:prstDash val="solid"/>
              <a:miter lim="400000"/>
            </a:ln>
            <a:effectLst/>
          </c:spPr>
          <c:marker>
            <c:symbol val="circle"/>
            <c:size val="4"/>
            <c:spPr>
              <a:solidFill>
                <a:srgbClr val="51A7F9">
                  <a:alpha val="78253"/>
                </a:srgbClr>
              </a:solidFill>
              <a:ln w="50800" cap="flat">
                <a:noFill/>
                <a:miter lim="400000"/>
              </a:ln>
              <a:effectLst/>
            </c:spPr>
          </c:marker>
          <c:dLbls>
            <c:numFmt formatCode="0.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cat>
            <c:strRef>
              <c:f>'tracking - Table 3-1'!$A$2:$A$924</c:f>
              <c:strCache>
                <c:ptCount val="64"/>
                <c:pt idx="0">
                  <c:v>1 Oct</c:v>
                </c:pt>
                <c:pt idx="1">
                  <c:v>2 Oct</c:v>
                </c:pt>
                <c:pt idx="2">
                  <c:v>3 Oct</c:v>
                </c:pt>
                <c:pt idx="3">
                  <c:v>4 Oct</c:v>
                </c:pt>
                <c:pt idx="4">
                  <c:v>5 Oct</c:v>
                </c:pt>
                <c:pt idx="5">
                  <c:v>6 Oct</c:v>
                </c:pt>
                <c:pt idx="6">
                  <c:v>7 Oct</c:v>
                </c:pt>
                <c:pt idx="7">
                  <c:v>8 Oct</c:v>
                </c:pt>
                <c:pt idx="8">
                  <c:v>9 Oct</c:v>
                </c:pt>
                <c:pt idx="9">
                  <c:v>10 Oct</c:v>
                </c:pt>
                <c:pt idx="10">
                  <c:v>11 Oct</c:v>
                </c:pt>
                <c:pt idx="11">
                  <c:v>12 Oct</c:v>
                </c:pt>
                <c:pt idx="12">
                  <c:v>13 Oct</c:v>
                </c:pt>
                <c:pt idx="13">
                  <c:v>14 Oct</c:v>
                </c:pt>
                <c:pt idx="14">
                  <c:v>15 Oct</c:v>
                </c:pt>
                <c:pt idx="15">
                  <c:v>16 Oct</c:v>
                </c:pt>
                <c:pt idx="16">
                  <c:v>17 Oct</c:v>
                </c:pt>
                <c:pt idx="17">
                  <c:v>18 Oct</c:v>
                </c:pt>
                <c:pt idx="18">
                  <c:v>19 Oct</c:v>
                </c:pt>
                <c:pt idx="19">
                  <c:v>20 Oct</c:v>
                </c:pt>
                <c:pt idx="20">
                  <c:v>21 Oct</c:v>
                </c:pt>
                <c:pt idx="21">
                  <c:v>22 Oct</c:v>
                </c:pt>
                <c:pt idx="22">
                  <c:v>23 Oct</c:v>
                </c:pt>
                <c:pt idx="23">
                  <c:v>24 Oct</c:v>
                </c:pt>
                <c:pt idx="24">
                  <c:v>25 Oct</c:v>
                </c:pt>
                <c:pt idx="25">
                  <c:v>26 Oct</c:v>
                </c:pt>
                <c:pt idx="26">
                  <c:v>27 Oct</c:v>
                </c:pt>
                <c:pt idx="27">
                  <c:v>28 Oct</c:v>
                </c:pt>
                <c:pt idx="28">
                  <c:v>29 Oct</c:v>
                </c:pt>
                <c:pt idx="29">
                  <c:v>30 Oct</c:v>
                </c:pt>
                <c:pt idx="30">
                  <c:v>31 Oct</c:v>
                </c:pt>
                <c:pt idx="31">
                  <c:v>1 Nov</c:v>
                </c:pt>
                <c:pt idx="32">
                  <c:v>2 Nov</c:v>
                </c:pt>
                <c:pt idx="33">
                  <c:v>3 Nov</c:v>
                </c:pt>
                <c:pt idx="34">
                  <c:v>4 Nov</c:v>
                </c:pt>
                <c:pt idx="35">
                  <c:v>5 Nov</c:v>
                </c:pt>
                <c:pt idx="36">
                  <c:v>6 Nov</c:v>
                </c:pt>
                <c:pt idx="37">
                  <c:v>7 Nov</c:v>
                </c:pt>
                <c:pt idx="38">
                  <c:v>8 Nov</c:v>
                </c:pt>
                <c:pt idx="39">
                  <c:v>9 Nov</c:v>
                </c:pt>
                <c:pt idx="40">
                  <c:v>10 Nov</c:v>
                </c:pt>
                <c:pt idx="41">
                  <c:v>11 Nov</c:v>
                </c:pt>
                <c:pt idx="42">
                  <c:v>12 Nov</c:v>
                </c:pt>
                <c:pt idx="43">
                  <c:v>13 Nov</c:v>
                </c:pt>
                <c:pt idx="44">
                  <c:v>14 Nov</c:v>
                </c:pt>
                <c:pt idx="45">
                  <c:v>15 Nov</c:v>
                </c:pt>
                <c:pt idx="46">
                  <c:v>16 Nov</c:v>
                </c:pt>
                <c:pt idx="47">
                  <c:v>17 Nov</c:v>
                </c:pt>
                <c:pt idx="48">
                  <c:v>18 Nov</c:v>
                </c:pt>
                <c:pt idx="49">
                  <c:v>19 Nov</c:v>
                </c:pt>
                <c:pt idx="50">
                  <c:v>20 Nov</c:v>
                </c:pt>
                <c:pt idx="51">
                  <c:v>21 Nov</c:v>
                </c:pt>
                <c:pt idx="52">
                  <c:v>22 Nov</c:v>
                </c:pt>
                <c:pt idx="53">
                  <c:v>23 Nov</c:v>
                </c:pt>
                <c:pt idx="54">
                  <c:v>24 Nov</c:v>
                </c:pt>
                <c:pt idx="55">
                  <c:v>25 Nov</c:v>
                </c:pt>
                <c:pt idx="56">
                  <c:v>26 Nov</c:v>
                </c:pt>
                <c:pt idx="57">
                  <c:v>27 Nov</c:v>
                </c:pt>
                <c:pt idx="58">
                  <c:v>28 Nov</c:v>
                </c:pt>
                <c:pt idx="59">
                  <c:v>29 Nov</c:v>
                </c:pt>
                <c:pt idx="60">
                  <c:v>30 Nov</c:v>
                </c:pt>
                <c:pt idx="61">
                  <c:v>1 Dec</c:v>
                </c:pt>
                <c:pt idx="62">
                  <c:v>2 Dec</c:v>
                </c:pt>
                <c:pt idx="63">
                  <c:v>3 Dec</c:v>
                </c:pt>
              </c:strCache>
            </c:strRef>
          </c:cat>
          <c:val>
            <c:numRef>
              <c:f>'tracking - Table 3-1'!$E$2:$E$924</c:f>
              <c:numCache>
                <c:ptCount val="26"/>
                <c:pt idx="0">
                  <c:v>85.403571</c:v>
                </c:pt>
                <c:pt idx="1">
                  <c:v>85.439286</c:v>
                </c:pt>
                <c:pt idx="2">
                  <c:v>85.446429</c:v>
                </c:pt>
                <c:pt idx="3">
                  <c:v>85.435714</c:v>
                </c:pt>
                <c:pt idx="4">
                  <c:v>85.450000</c:v>
                </c:pt>
                <c:pt idx="5">
                  <c:v>85.485714</c:v>
                </c:pt>
                <c:pt idx="8">
                  <c:v>85.400000</c:v>
                </c:pt>
                <c:pt idx="9">
                  <c:v>85.450000</c:v>
                </c:pt>
                <c:pt idx="10">
                  <c:v>85.475000</c:v>
                </c:pt>
                <c:pt idx="11">
                  <c:v>85.566667</c:v>
                </c:pt>
                <c:pt idx="12">
                  <c:v>85.625000</c:v>
                </c:pt>
                <c:pt idx="14">
                  <c:v>85.650000</c:v>
                </c:pt>
                <c:pt idx="15">
                  <c:v>85.654545</c:v>
                </c:pt>
                <c:pt idx="16">
                  <c:v>85.695455</c:v>
                </c:pt>
                <c:pt idx="17">
                  <c:v>85.672727</c:v>
                </c:pt>
                <c:pt idx="18">
                  <c:v>85.622727</c:v>
                </c:pt>
                <c:pt idx="19">
                  <c:v>85.600000</c:v>
                </c:pt>
                <c:pt idx="20">
                  <c:v>85.562500</c:v>
                </c:pt>
                <c:pt idx="21">
                  <c:v>85.530769</c:v>
                </c:pt>
                <c:pt idx="22">
                  <c:v>85.423077</c:v>
                </c:pt>
                <c:pt idx="23">
                  <c:v>85.284615</c:v>
                </c:pt>
                <c:pt idx="24">
                  <c:v>85.146154</c:v>
                </c:pt>
                <c:pt idx="25">
                  <c:v>85.007692</c:v>
                </c:pt>
                <c:pt idx="26">
                  <c:v>84.846154</c:v>
                </c:pt>
                <c:pt idx="28">
                  <c:v>84.757692</c:v>
                </c:pt>
                <c:pt idx="29">
                  <c:v>84.669231</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max val="88"/>
          <c:min val="82"/>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589875"/>
          <c:y val="0"/>
          <c:w val="0.859884"/>
          <c:h val="0.065"/>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charts/chart100.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00012"/>
          <c:y val="0.113061"/>
          <c:w val="0.932343"/>
          <c:h val="0.720912"/>
        </c:manualLayout>
      </c:layout>
      <c:lineChart>
        <c:grouping val="standard"/>
        <c:varyColors val="0"/>
        <c:ser>
          <c:idx val="0"/>
          <c:order val="0"/>
          <c:tx>
            <c:strRef>
              <c:f>'auto - Table 2'!$D$2</c:f>
              <c:strCache/>
            </c:strRef>
          </c:tx>
          <c:spPr>
            <a:solidFill>
              <a:srgbClr val="51A7F9">
                <a:alpha val="50000"/>
              </a:srgbClr>
            </a:solidFill>
            <a:ln w="50800" cap="flat">
              <a:noFill/>
              <a:miter lim="400000"/>
            </a:ln>
            <a:effectLst/>
          </c:spPr>
          <c:marker>
            <c:symbol val="circle"/>
            <c:size val="9"/>
            <c:spPr>
              <a:solidFill>
                <a:srgbClr val="51A7F9">
                  <a:alpha val="50000"/>
                </a:srgbClr>
              </a:solidFill>
              <a:ln w="12700" cap="flat">
                <a:solidFill>
                  <a:srgbClr val="51A7F9">
                    <a:alpha val="50000"/>
                  </a:srgbClr>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0"/>
            <c:showCatName val="0"/>
            <c:showSerName val="0"/>
            <c:showPercent val="0"/>
            <c:showBubbleSize val="0"/>
            <c:showLeaderLines val="0"/>
          </c:dLbls>
          <c:trendline>
            <c:spPr>
              <a:noFill/>
              <a:ln w="50800" cap="flat">
                <a:solidFill>
                  <a:srgbClr val="53ABFF"/>
                </a:solidFill>
                <a:prstDash val="solid"/>
                <a:miter lim="400000"/>
              </a:ln>
              <a:effectLst/>
            </c:spPr>
            <c:trendlineType val="movingAvg"/>
            <c:period val="6"/>
            <c:forward val="0"/>
            <c:backward val="0"/>
            <c:dispRSqr val="0"/>
            <c:dispEq val="0"/>
          </c:trendline>
          <c:cat>
            <c:strRef>
              <c:f>'auto - Table 2'!$A$3:$A$50,'auto - Table 2'!$A$15:$A$38,'auto - Table 2'!$A$76</c:f>
              <c:strCache>
                <c:ptCount val="73"/>
                <c:pt idx="0">
                  <c:v/>
                </c:pt>
                <c:pt idx="1">
                  <c:v/>
                </c:pt>
                <c:pt idx="2">
                  <c:v/>
                </c:pt>
                <c:pt idx="3">
                  <c:v/>
                </c:pt>
                <c:pt idx="4">
                  <c:v/>
                </c:pt>
                <c:pt idx="5">
                  <c:v/>
                </c:pt>
                <c:pt idx="6">
                  <c:v/>
                </c:pt>
                <c:pt idx="7">
                  <c:v/>
                </c:pt>
                <c:pt idx="8">
                  <c:v/>
                </c:pt>
                <c:pt idx="9">
                  <c:v/>
                </c:pt>
                <c:pt idx="10">
                  <c:v/>
                </c:pt>
                <c:pt idx="11">
                  <c:v>Mon 29 May</c:v>
                </c:pt>
                <c:pt idx="12">
                  <c:v>Mon 12 Jun</c:v>
                </c:pt>
                <c:pt idx="13">
                  <c:v>Mon 26 Jun</c:v>
                </c:pt>
                <c:pt idx="14">
                  <c:v>Mon 3 Jul</c:v>
                </c:pt>
                <c:pt idx="15">
                  <c:v>Mon 10 Jul</c:v>
                </c:pt>
                <c:pt idx="16">
                  <c:v>Mon 31 Jul</c:v>
                </c:pt>
                <c:pt idx="17">
                  <c:v>Mon 14 Aug</c:v>
                </c:pt>
                <c:pt idx="18">
                  <c:v>Mon 28 Aug</c:v>
                </c:pt>
                <c:pt idx="19">
                  <c:v>Mon 11 Sep</c:v>
                </c:pt>
                <c:pt idx="20">
                  <c:v>Mon 18 Sep</c:v>
                </c:pt>
                <c:pt idx="21">
                  <c:v>Wed 4 Oct</c:v>
                </c:pt>
                <c:pt idx="22">
                  <c:v>Mon 9 Oct</c:v>
                </c:pt>
                <c:pt idx="23">
                  <c:v>Mon 23 Oct</c:v>
                </c:pt>
                <c:pt idx="24">
                  <c:v>Tue 7 Nov</c:v>
                </c:pt>
                <c:pt idx="25">
                  <c:v>Mon 20 Nov</c:v>
                </c:pt>
                <c:pt idx="26">
                  <c:v>Mon 4 Dec</c:v>
                </c:pt>
                <c:pt idx="27">
                  <c:v>Sat 16 Dec</c:v>
                </c:pt>
                <c:pt idx="28">
                  <c:v>Mon 1 Jan</c:v>
                </c:pt>
                <c:pt idx="29">
                  <c:v>Mon 15 Jan</c:v>
                </c:pt>
                <c:pt idx="30">
                  <c:v>Mon 22 Jan</c:v>
                </c:pt>
                <c:pt idx="31">
                  <c:v>Mon 5 Feb</c:v>
                </c:pt>
                <c:pt idx="32">
                  <c:v>Mon 12 Feb</c:v>
                </c:pt>
                <c:pt idx="33">
                  <c:v>Mon 26 Feb</c:v>
                </c:pt>
                <c:pt idx="34">
                  <c:v>Mon 5 Mar</c:v>
                </c:pt>
                <c:pt idx="35">
                  <c:v>Mon 19 Mar</c:v>
                </c:pt>
                <c:pt idx="36">
                  <c:v>Fri 13 Apr</c:v>
                </c:pt>
                <c:pt idx="37">
                  <c:v>Fri 27 Apr</c:v>
                </c:pt>
                <c:pt idx="38">
                  <c:v>Mon 14 May</c:v>
                </c:pt>
                <c:pt idx="39">
                  <c:v>Mon 21 May</c:v>
                </c:pt>
                <c:pt idx="40">
                  <c:v>Mon 4 Jun</c:v>
                </c:pt>
                <c:pt idx="41">
                  <c:v>Wed 20 Jun</c:v>
                </c:pt>
                <c:pt idx="42">
                  <c:v>Mon 9 Jul</c:v>
                </c:pt>
                <c:pt idx="43">
                  <c:v>Tue 24 Jul</c:v>
                </c:pt>
                <c:pt idx="44">
                  <c:v>Tue 14 Aug</c:v>
                </c:pt>
                <c:pt idx="45">
                  <c:v>Mon 27 Aug</c:v>
                </c:pt>
                <c:pt idx="46">
                  <c:v>Mon 17 Sep</c:v>
                </c:pt>
                <c:pt idx="47">
                  <c:v>Mon 1 Oct</c:v>
                </c:pt>
                <c:pt idx="48">
                  <c:v>Mon 12 Jun</c:v>
                </c:pt>
                <c:pt idx="49">
                  <c:v>Mon 26 Jun</c:v>
                </c:pt>
                <c:pt idx="50">
                  <c:v>Mon 3 Jul</c:v>
                </c:pt>
                <c:pt idx="51">
                  <c:v>Mon 10 Jul</c:v>
                </c:pt>
                <c:pt idx="52">
                  <c:v>Mon 31 Jul</c:v>
                </c:pt>
                <c:pt idx="53">
                  <c:v>Mon 14 Aug</c:v>
                </c:pt>
                <c:pt idx="54">
                  <c:v>Mon 28 Aug</c:v>
                </c:pt>
                <c:pt idx="55">
                  <c:v>Mon 11 Sep</c:v>
                </c:pt>
                <c:pt idx="56">
                  <c:v>Mon 18 Sep</c:v>
                </c:pt>
                <c:pt idx="57">
                  <c:v>Wed 4 Oct</c:v>
                </c:pt>
                <c:pt idx="58">
                  <c:v>Mon 9 Oct</c:v>
                </c:pt>
                <c:pt idx="59">
                  <c:v>Mon 23 Oct</c:v>
                </c:pt>
                <c:pt idx="60">
                  <c:v>Tue 7 Nov</c:v>
                </c:pt>
                <c:pt idx="61">
                  <c:v>Mon 20 Nov</c:v>
                </c:pt>
                <c:pt idx="62">
                  <c:v>Mon 4 Dec</c:v>
                </c:pt>
                <c:pt idx="63">
                  <c:v>Sat 16 Dec</c:v>
                </c:pt>
                <c:pt idx="64">
                  <c:v>Mon 1 Jan</c:v>
                </c:pt>
                <c:pt idx="65">
                  <c:v>Mon 15 Jan</c:v>
                </c:pt>
                <c:pt idx="66">
                  <c:v>Mon 22 Jan</c:v>
                </c:pt>
                <c:pt idx="67">
                  <c:v>Mon 5 Feb</c:v>
                </c:pt>
                <c:pt idx="68">
                  <c:v>Mon 12 Feb</c:v>
                </c:pt>
                <c:pt idx="69">
                  <c:v>Mon 26 Feb</c:v>
                </c:pt>
                <c:pt idx="70">
                  <c:v>Mon 5 Mar</c:v>
                </c:pt>
                <c:pt idx="71">
                  <c:v>Mon 19 Mar</c:v>
                </c:pt>
                <c:pt idx="72">
                  <c:v/>
                </c:pt>
              </c:strCache>
            </c:strRef>
          </c:cat>
          <c:val>
            <c:numRef>
              <c:f>'auto - Table 2'!$D$3:$D$75</c:f>
              <c:numCache>
                <c:ptCount val="58"/>
                <c:pt idx="1">
                  <c:v>9.745763</c:v>
                </c:pt>
                <c:pt idx="4">
                  <c:v>8.451202</c:v>
                </c:pt>
                <c:pt idx="5">
                  <c:v>10.102041</c:v>
                </c:pt>
                <c:pt idx="6">
                  <c:v>10.055304</c:v>
                </c:pt>
                <c:pt idx="14">
                  <c:v>9.855335</c:v>
                </c:pt>
                <c:pt idx="16">
                  <c:v>13.351038</c:v>
                </c:pt>
                <c:pt idx="17">
                  <c:v>10.626464</c:v>
                </c:pt>
                <c:pt idx="18">
                  <c:v>10.556213</c:v>
                </c:pt>
                <c:pt idx="19">
                  <c:v>11.147721</c:v>
                </c:pt>
                <c:pt idx="20">
                  <c:v>10.402355</c:v>
                </c:pt>
                <c:pt idx="21">
                  <c:v>11.013216</c:v>
                </c:pt>
                <c:pt idx="22">
                  <c:v>13.754647</c:v>
                </c:pt>
                <c:pt idx="23">
                  <c:v>11.004127</c:v>
                </c:pt>
                <c:pt idx="24">
                  <c:v>11.546214</c:v>
                </c:pt>
                <c:pt idx="25">
                  <c:v>10.793570</c:v>
                </c:pt>
                <c:pt idx="26">
                  <c:v>10.594153</c:v>
                </c:pt>
                <c:pt idx="27">
                  <c:v>10.703435</c:v>
                </c:pt>
                <c:pt idx="28">
                  <c:v>10.659224</c:v>
                </c:pt>
                <c:pt idx="29">
                  <c:v>10.306905</c:v>
                </c:pt>
                <c:pt idx="30">
                  <c:v>11.324042</c:v>
                </c:pt>
                <c:pt idx="31">
                  <c:v>11.477210</c:v>
                </c:pt>
                <c:pt idx="32">
                  <c:v>10.204082</c:v>
                </c:pt>
                <c:pt idx="33">
                  <c:v>11.610211</c:v>
                </c:pt>
                <c:pt idx="34">
                  <c:v>10.917031</c:v>
                </c:pt>
                <c:pt idx="35">
                  <c:v>10.856746</c:v>
                </c:pt>
                <c:pt idx="36">
                  <c:v>11.350243</c:v>
                </c:pt>
                <c:pt idx="37">
                  <c:v>11.251074</c:v>
                </c:pt>
                <c:pt idx="38">
                  <c:v>11.431743</c:v>
                </c:pt>
                <c:pt idx="39">
                  <c:v>14.010283</c:v>
                </c:pt>
                <c:pt idx="40">
                  <c:v>11.618981</c:v>
                </c:pt>
                <c:pt idx="41">
                  <c:v>11.064278</c:v>
                </c:pt>
                <c:pt idx="42">
                  <c:v>10.301899</c:v>
                </c:pt>
                <c:pt idx="43">
                  <c:v>10.621762</c:v>
                </c:pt>
                <c:pt idx="44">
                  <c:v>11.868421</c:v>
                </c:pt>
                <c:pt idx="45">
                  <c:v>11.915439</c:v>
                </c:pt>
                <c:pt idx="46">
                  <c:v>11.963023</c:v>
                </c:pt>
                <c:pt idx="47">
                  <c:v>12.386095</c:v>
                </c:pt>
                <c:pt idx="48">
                  <c:v>10.979369</c:v>
                </c:pt>
                <c:pt idx="49">
                  <c:v>13.672287</c:v>
                </c:pt>
                <c:pt idx="50">
                  <c:v>11.121023</c:v>
                </c:pt>
                <c:pt idx="51">
                  <c:v>10.527817</c:v>
                </c:pt>
                <c:pt idx="52">
                  <c:v>11.877395</c:v>
                </c:pt>
                <c:pt idx="53">
                  <c:v>11.009497</c:v>
                </c:pt>
                <c:pt idx="54">
                  <c:v>14.898814</c:v>
                </c:pt>
                <c:pt idx="55">
                  <c:v>11.197917</c:v>
                </c:pt>
                <c:pt idx="56">
                  <c:v>10.575589</c:v>
                </c:pt>
                <c:pt idx="57">
                  <c:v>10.971906</c:v>
                </c:pt>
                <c:pt idx="58">
                  <c:v>11.198277</c:v>
                </c:pt>
                <c:pt idx="59">
                  <c:v>11.259221</c:v>
                </c:pt>
                <c:pt idx="60">
                  <c:v>10.887215</c:v>
                </c:pt>
                <c:pt idx="61">
                  <c:v>15.039260</c:v>
                </c:pt>
                <c:pt idx="63">
                  <c:v>11.261213</c:v>
                </c:pt>
                <c:pt idx="64">
                  <c:v>11.850218</c:v>
                </c:pt>
                <c:pt idx="65">
                  <c:v>12.953221</c:v>
                </c:pt>
                <c:pt idx="66">
                  <c:v>12.479564</c:v>
                </c:pt>
                <c:pt idx="67">
                  <c:v>11.438711</c:v>
                </c:pt>
                <c:pt idx="68">
                  <c:v>13.579890</c:v>
                </c:pt>
                <c:pt idx="71">
                  <c:v>11.999904</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2700000"/>
          <a:lstStyle/>
          <a:p>
            <a:pPr>
              <a:defRPr b="0" i="0" strike="noStrike" sz="1000" u="none">
                <a:solidFill>
                  <a:srgbClr val="000000"/>
                </a:solidFill>
                <a:latin typeface="Helvetica"/>
              </a:defRPr>
            </a:pPr>
          </a:p>
        </c:txPr>
        <c:crossAx val="2094734553"/>
        <c:crosses val="autoZero"/>
        <c:auto val="1"/>
        <c:lblAlgn val="ctr"/>
        <c:noMultiLvlLbl val="1"/>
      </c:catAx>
      <c:valAx>
        <c:axId val="2094734553"/>
        <c:scaling>
          <c:orientation val="minMax"/>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a:defRPr>
            </a:pPr>
          </a:p>
        </c:txPr>
        <c:crossAx val="2094734552"/>
        <c:crosses val="autoZero"/>
        <c:crossBetween val="midCat"/>
      </c:valAx>
      <c:spPr>
        <a:noFill/>
        <a:ln w="12700" cap="flat">
          <a:noFill/>
          <a:miter lim="400000"/>
        </a:ln>
        <a:effectLst/>
      </c:spPr>
    </c:plotArea>
    <c:legend>
      <c:legendPos val="t"/>
      <c:layout>
        <c:manualLayout>
          <c:xMode val="edge"/>
          <c:yMode val="edge"/>
          <c:x val="0.0653489"/>
          <c:y val="0"/>
          <c:w val="0.923244"/>
          <c:h val="0.0607036"/>
        </c:manualLayout>
      </c:layout>
      <c:overlay val="1"/>
      <c:spPr>
        <a:noFill/>
        <a:ln w="12700" cap="flat">
          <a:noFill/>
          <a:miter lim="400000"/>
        </a:ln>
        <a:effectLst/>
      </c:spPr>
      <c:txPr>
        <a:bodyPr rot="0"/>
        <a:lstStyle/>
        <a:p>
          <a:pPr>
            <a:defRPr b="0" i="0" strike="noStrike" sz="1000" u="none">
              <a:solidFill>
                <a:srgbClr val="000000"/>
              </a:solidFill>
              <a:latin typeface="Helvetica"/>
            </a:defRPr>
          </a:pPr>
        </a:p>
      </c:txPr>
    </c:legend>
    <c:plotVisOnly val="1"/>
    <c:dispBlanksAs val="gap"/>
  </c:chart>
  <c:spPr>
    <a:noFill/>
    <a:ln>
      <a:noFill/>
    </a:ln>
    <a:effectLst/>
  </c:spPr>
</c:chartSpace>
</file>

<file path=xl/drawings/_rels/drawing5.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6.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 Id="rId5" Type="http://schemas.openxmlformats.org/officeDocument/2006/relationships/chart" Target="../charts/chart11.xml"/><Relationship Id="rId6" Type="http://schemas.openxmlformats.org/officeDocument/2006/relationships/chart" Target="../charts/chart12.xml"/><Relationship Id="rId7" Type="http://schemas.openxmlformats.org/officeDocument/2006/relationships/chart" Target="../charts/chart13.xml"/><Relationship Id="rId8" Type="http://schemas.openxmlformats.org/officeDocument/2006/relationships/chart" Target="../charts/chart14.xml"/></Relationships>

</file>

<file path=xl/drawings/_rels/drawing10.xml.rels><?xml version="1.0" encoding="UTF-8"?>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 Id="rId9" Type="http://schemas.openxmlformats.org/officeDocument/2006/relationships/chart" Target="../charts/chart23.xml"/><Relationship Id="rId10" Type="http://schemas.openxmlformats.org/officeDocument/2006/relationships/chart" Target="../charts/chart24.xml"/><Relationship Id="rId11" Type="http://schemas.openxmlformats.org/officeDocument/2006/relationships/chart" Target="../charts/chart25.xml"/><Relationship Id="rId12" Type="http://schemas.openxmlformats.org/officeDocument/2006/relationships/chart" Target="../charts/chart26.xml"/><Relationship Id="rId13" Type="http://schemas.openxmlformats.org/officeDocument/2006/relationships/chart" Target="../charts/chart27.xml"/><Relationship Id="rId14" Type="http://schemas.openxmlformats.org/officeDocument/2006/relationships/chart" Target="../charts/chart28.xml"/><Relationship Id="rId15" Type="http://schemas.openxmlformats.org/officeDocument/2006/relationships/chart" Target="../charts/chart29.xml"/><Relationship Id="rId16" Type="http://schemas.openxmlformats.org/officeDocument/2006/relationships/chart" Target="../charts/chart30.xml"/><Relationship Id="rId17" Type="http://schemas.openxmlformats.org/officeDocument/2006/relationships/chart" Target="../charts/chart31.xml"/><Relationship Id="rId18" Type="http://schemas.openxmlformats.org/officeDocument/2006/relationships/chart" Target="../charts/chart32.xml"/><Relationship Id="rId19" Type="http://schemas.openxmlformats.org/officeDocument/2006/relationships/chart" Target="../charts/chart33.xml"/><Relationship Id="rId20" Type="http://schemas.openxmlformats.org/officeDocument/2006/relationships/chart" Target="../charts/chart34.xml"/><Relationship Id="rId21" Type="http://schemas.openxmlformats.org/officeDocument/2006/relationships/chart" Target="../charts/chart35.xml"/><Relationship Id="rId22" Type="http://schemas.openxmlformats.org/officeDocument/2006/relationships/chart" Target="../charts/chart36.xml"/><Relationship Id="rId23" Type="http://schemas.openxmlformats.org/officeDocument/2006/relationships/chart" Target="../charts/chart37.xml"/><Relationship Id="rId24" Type="http://schemas.openxmlformats.org/officeDocument/2006/relationships/chart" Target="../charts/chart38.xml"/><Relationship Id="rId25" Type="http://schemas.openxmlformats.org/officeDocument/2006/relationships/chart" Target="../charts/chart39.xml"/><Relationship Id="rId26" Type="http://schemas.openxmlformats.org/officeDocument/2006/relationships/chart" Target="../charts/chart40.xml"/><Relationship Id="rId27" Type="http://schemas.openxmlformats.org/officeDocument/2006/relationships/chart" Target="../charts/chart41.xml"/><Relationship Id="rId28" Type="http://schemas.openxmlformats.org/officeDocument/2006/relationships/chart" Target="../charts/chart42.xml"/><Relationship Id="rId29" Type="http://schemas.openxmlformats.org/officeDocument/2006/relationships/chart" Target="../charts/chart43.xml"/><Relationship Id="rId30" Type="http://schemas.openxmlformats.org/officeDocument/2006/relationships/chart" Target="../charts/chart44.xml"/><Relationship Id="rId31" Type="http://schemas.openxmlformats.org/officeDocument/2006/relationships/chart" Target="../charts/chart45.xml"/><Relationship Id="rId32" Type="http://schemas.openxmlformats.org/officeDocument/2006/relationships/chart" Target="../charts/chart46.xml"/></Relationships>

</file>

<file path=xl/drawings/_rels/drawing15.xml.rels><?xml version="1.0" encoding="UTF-8"?>
<Relationships xmlns="http://schemas.openxmlformats.org/package/2006/relationships"><Relationship Id="rId1" Type="http://schemas.openxmlformats.org/officeDocument/2006/relationships/chart" Target="../charts/chart47.xml"/><Relationship Id="rId2" Type="http://schemas.openxmlformats.org/officeDocument/2006/relationships/chart" Target="../charts/chart48.xml"/><Relationship Id="rId3" Type="http://schemas.openxmlformats.org/officeDocument/2006/relationships/chart" Target="../charts/chart49.xml"/><Relationship Id="rId4" Type="http://schemas.openxmlformats.org/officeDocument/2006/relationships/chart" Target="../charts/chart50.xml"/><Relationship Id="rId5" Type="http://schemas.openxmlformats.org/officeDocument/2006/relationships/chart" Target="../charts/chart51.xml"/><Relationship Id="rId6" Type="http://schemas.openxmlformats.org/officeDocument/2006/relationships/chart" Target="../charts/chart52.xml"/><Relationship Id="rId7" Type="http://schemas.openxmlformats.org/officeDocument/2006/relationships/chart" Target="../charts/chart53.xml"/><Relationship Id="rId8" Type="http://schemas.openxmlformats.org/officeDocument/2006/relationships/chart" Target="../charts/chart54.xml"/><Relationship Id="rId9" Type="http://schemas.openxmlformats.org/officeDocument/2006/relationships/chart" Target="../charts/chart55.xml"/><Relationship Id="rId10" Type="http://schemas.openxmlformats.org/officeDocument/2006/relationships/chart" Target="../charts/chart56.xml"/><Relationship Id="rId11" Type="http://schemas.openxmlformats.org/officeDocument/2006/relationships/chart" Target="../charts/chart57.xml"/><Relationship Id="rId12" Type="http://schemas.openxmlformats.org/officeDocument/2006/relationships/chart" Target="../charts/chart58.xml"/><Relationship Id="rId13" Type="http://schemas.openxmlformats.org/officeDocument/2006/relationships/chart" Target="../charts/chart59.xml"/><Relationship Id="rId14" Type="http://schemas.openxmlformats.org/officeDocument/2006/relationships/chart" Target="../charts/chart60.xml"/><Relationship Id="rId15" Type="http://schemas.openxmlformats.org/officeDocument/2006/relationships/chart" Target="../charts/chart61.xml"/><Relationship Id="rId16" Type="http://schemas.openxmlformats.org/officeDocument/2006/relationships/chart" Target="../charts/chart62.xml"/><Relationship Id="rId17" Type="http://schemas.openxmlformats.org/officeDocument/2006/relationships/chart" Target="../charts/chart63.xml"/><Relationship Id="rId18" Type="http://schemas.openxmlformats.org/officeDocument/2006/relationships/chart" Target="../charts/chart64.xml"/><Relationship Id="rId19" Type="http://schemas.openxmlformats.org/officeDocument/2006/relationships/chart" Target="../charts/chart65.xml"/><Relationship Id="rId20" Type="http://schemas.openxmlformats.org/officeDocument/2006/relationships/chart" Target="../charts/chart66.xml"/><Relationship Id="rId21" Type="http://schemas.openxmlformats.org/officeDocument/2006/relationships/chart" Target="../charts/chart67.xml"/><Relationship Id="rId22" Type="http://schemas.openxmlformats.org/officeDocument/2006/relationships/chart" Target="../charts/chart68.xml"/><Relationship Id="rId23" Type="http://schemas.openxmlformats.org/officeDocument/2006/relationships/chart" Target="../charts/chart69.xml"/><Relationship Id="rId24" Type="http://schemas.openxmlformats.org/officeDocument/2006/relationships/chart" Target="../charts/chart70.xml"/><Relationship Id="rId25" Type="http://schemas.openxmlformats.org/officeDocument/2006/relationships/image" Target="../media/image2.png"/><Relationship Id="rId26" Type="http://schemas.openxmlformats.org/officeDocument/2006/relationships/chart" Target="../charts/chart71.xml"/><Relationship Id="rId27" Type="http://schemas.openxmlformats.org/officeDocument/2006/relationships/chart" Target="../charts/chart72.xml"/><Relationship Id="rId28" Type="http://schemas.openxmlformats.org/officeDocument/2006/relationships/chart" Target="../charts/chart73.xml"/><Relationship Id="rId29" Type="http://schemas.openxmlformats.org/officeDocument/2006/relationships/chart" Target="../charts/chart74.xml"/><Relationship Id="rId30" Type="http://schemas.openxmlformats.org/officeDocument/2006/relationships/chart" Target="../charts/chart75.xml"/><Relationship Id="rId31" Type="http://schemas.openxmlformats.org/officeDocument/2006/relationships/chart" Target="../charts/chart76.xml"/></Relationships>

</file>

<file path=xl/drawings/_rels/drawing16.xml.rels><?xml version="1.0" encoding="UTF-8"?>
<Relationships xmlns="http://schemas.openxmlformats.org/package/2006/relationships"><Relationship Id="rId1" Type="http://schemas.openxmlformats.org/officeDocument/2006/relationships/chart" Target="../charts/chart77.xml"/></Relationships>

</file>

<file path=xl/drawings/_rels/drawing21.xml.rels><?xml version="1.0" encoding="UTF-8"?>
<Relationships xmlns="http://schemas.openxmlformats.org/package/2006/relationships"><Relationship Id="rId1" Type="http://schemas.openxmlformats.org/officeDocument/2006/relationships/chart" Target="../charts/chart78.xml"/><Relationship Id="rId2" Type="http://schemas.openxmlformats.org/officeDocument/2006/relationships/chart" Target="../charts/chart79.xml"/><Relationship Id="rId3" Type="http://schemas.openxmlformats.org/officeDocument/2006/relationships/chart" Target="../charts/chart80.xml"/><Relationship Id="rId4" Type="http://schemas.openxmlformats.org/officeDocument/2006/relationships/chart" Target="../charts/chart81.xml"/><Relationship Id="rId5" Type="http://schemas.openxmlformats.org/officeDocument/2006/relationships/chart" Target="../charts/chart82.xml"/><Relationship Id="rId6" Type="http://schemas.openxmlformats.org/officeDocument/2006/relationships/chart" Target="../charts/chart83.xml"/><Relationship Id="rId7" Type="http://schemas.openxmlformats.org/officeDocument/2006/relationships/chart" Target="../charts/chart84.xml"/><Relationship Id="rId8" Type="http://schemas.openxmlformats.org/officeDocument/2006/relationships/chart" Target="../charts/chart85.xml"/><Relationship Id="rId9" Type="http://schemas.openxmlformats.org/officeDocument/2006/relationships/chart" Target="../charts/chart86.xml"/><Relationship Id="rId10" Type="http://schemas.openxmlformats.org/officeDocument/2006/relationships/chart" Target="../charts/chart87.xml"/><Relationship Id="rId11" Type="http://schemas.openxmlformats.org/officeDocument/2006/relationships/chart" Target="../charts/chart88.xml"/><Relationship Id="rId12" Type="http://schemas.openxmlformats.org/officeDocument/2006/relationships/chart" Target="../charts/chart89.xml"/><Relationship Id="rId13" Type="http://schemas.openxmlformats.org/officeDocument/2006/relationships/chart" Target="../charts/chart90.xml"/><Relationship Id="rId14" Type="http://schemas.openxmlformats.org/officeDocument/2006/relationships/chart" Target="../charts/chart91.xml"/><Relationship Id="rId15" Type="http://schemas.openxmlformats.org/officeDocument/2006/relationships/chart" Target="../charts/chart92.xml"/><Relationship Id="rId16" Type="http://schemas.openxmlformats.org/officeDocument/2006/relationships/chart" Target="../charts/chart93.xml"/><Relationship Id="rId17" Type="http://schemas.openxmlformats.org/officeDocument/2006/relationships/chart" Target="../charts/chart94.xml"/><Relationship Id="rId18" Type="http://schemas.openxmlformats.org/officeDocument/2006/relationships/chart" Target="../charts/chart95.xml"/><Relationship Id="rId19" Type="http://schemas.openxmlformats.org/officeDocument/2006/relationships/chart" Target="../charts/chart96.xml"/><Relationship Id="rId20" Type="http://schemas.openxmlformats.org/officeDocument/2006/relationships/chart" Target="../charts/chart97.xml"/><Relationship Id="rId21" Type="http://schemas.openxmlformats.org/officeDocument/2006/relationships/chart" Target="../charts/chart98.xml"/><Relationship Id="rId22" Type="http://schemas.openxmlformats.org/officeDocument/2006/relationships/chart" Target="../charts/chart99.xml"/></Relationships>

</file>

<file path=xl/drawings/_rels/drawing25.xml.rels><?xml version="1.0" encoding="UTF-8"?>
<Relationships xmlns="http://schemas.openxmlformats.org/package/2006/relationships"><Relationship Id="rId1" Type="http://schemas.openxmlformats.org/officeDocument/2006/relationships/chart" Target="../charts/chart100.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13</xdr:col>
      <xdr:colOff>184918</xdr:colOff>
      <xdr:row>61</xdr:row>
      <xdr:rowOff>164162</xdr:rowOff>
    </xdr:from>
    <xdr:to>
      <xdr:col>24</xdr:col>
      <xdr:colOff>268088</xdr:colOff>
      <xdr:row>97</xdr:row>
      <xdr:rowOff>10801</xdr:rowOff>
    </xdr:to>
    <xdr:graphicFrame>
      <xdr:nvGraphicFramePr>
        <xdr:cNvPr id="9" name="Mixed Chart"/>
        <xdr:cNvGraphicFramePr/>
      </xdr:nvGraphicFramePr>
      <xdr:xfrm>
        <a:off x="10090918" y="10235262"/>
        <a:ext cx="8465171" cy="5790240"/>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25</xdr:col>
      <xdr:colOff>742074</xdr:colOff>
      <xdr:row>62</xdr:row>
      <xdr:rowOff>8814</xdr:rowOff>
    </xdr:from>
    <xdr:to>
      <xdr:col>36</xdr:col>
      <xdr:colOff>587168</xdr:colOff>
      <xdr:row>97</xdr:row>
      <xdr:rowOff>21514</xdr:rowOff>
    </xdr:to>
    <xdr:graphicFrame>
      <xdr:nvGraphicFramePr>
        <xdr:cNvPr id="10" name="2D Line Chart"/>
        <xdr:cNvGraphicFramePr/>
      </xdr:nvGraphicFramePr>
      <xdr:xfrm>
        <a:off x="19792074" y="10245014"/>
        <a:ext cx="8227095" cy="5791201"/>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0</xdr:col>
      <xdr:colOff>356356</xdr:colOff>
      <xdr:row>327</xdr:row>
      <xdr:rowOff>18553</xdr:rowOff>
    </xdr:from>
    <xdr:to>
      <xdr:col>20</xdr:col>
      <xdr:colOff>2952</xdr:colOff>
      <xdr:row>382</xdr:row>
      <xdr:rowOff>154983</xdr:rowOff>
    </xdr:to>
    <xdr:graphicFrame>
      <xdr:nvGraphicFramePr>
        <xdr:cNvPr id="11" name="2D Line Chart"/>
        <xdr:cNvGraphicFramePr/>
      </xdr:nvGraphicFramePr>
      <xdr:xfrm>
        <a:off x="356356" y="54006253"/>
        <a:ext cx="14886597" cy="9216931"/>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0</xdr:col>
      <xdr:colOff>469280</xdr:colOff>
      <xdr:row>394</xdr:row>
      <xdr:rowOff>92608</xdr:rowOff>
    </xdr:from>
    <xdr:to>
      <xdr:col>19</xdr:col>
      <xdr:colOff>749712</xdr:colOff>
      <xdr:row>450</xdr:row>
      <xdr:rowOff>63937</xdr:rowOff>
    </xdr:to>
    <xdr:graphicFrame>
      <xdr:nvGraphicFramePr>
        <xdr:cNvPr id="12" name="2D Stacked Area Chart"/>
        <xdr:cNvGraphicFramePr/>
      </xdr:nvGraphicFramePr>
      <xdr:xfrm>
        <a:off x="469280" y="65142008"/>
        <a:ext cx="14758433" cy="9216930"/>
      </xdr:xfrm>
      <a:graphic xmlns:a="http://schemas.openxmlformats.org/drawingml/2006/main">
        <a:graphicData uri="http://schemas.openxmlformats.org/drawingml/2006/chart">
          <c:chart xmlns:c="http://schemas.openxmlformats.org/drawingml/2006/chart" r:id="rId4"/>
        </a:graphicData>
      </a:graphic>
    </xdr:graphicFrame>
    <xdr:clientData/>
  </xdr:twoCellAnchor>
  <xdr:twoCellAnchor>
    <xdr:from>
      <xdr:col>59</xdr:col>
      <xdr:colOff>499293</xdr:colOff>
      <xdr:row>434</xdr:row>
      <xdr:rowOff>76338</xdr:rowOff>
    </xdr:from>
    <xdr:to>
      <xdr:col>72</xdr:col>
      <xdr:colOff>342234</xdr:colOff>
      <xdr:row>465</xdr:row>
      <xdr:rowOff>151901</xdr:rowOff>
    </xdr:to>
    <xdr:graphicFrame>
      <xdr:nvGraphicFramePr>
        <xdr:cNvPr id="13" name="2D Stacked Column Chart"/>
        <xdr:cNvGraphicFramePr/>
      </xdr:nvGraphicFramePr>
      <xdr:xfrm>
        <a:off x="45457293" y="71729738"/>
        <a:ext cx="9748942" cy="5193664"/>
      </xdr:xfrm>
      <a:graphic xmlns:a="http://schemas.openxmlformats.org/drawingml/2006/main">
        <a:graphicData uri="http://schemas.openxmlformats.org/drawingml/2006/chart">
          <c:chart xmlns:c="http://schemas.openxmlformats.org/drawingml/2006/chart" r:id="rId5"/>
        </a:graphicData>
      </a:graphic>
    </xdr:graphicFrame>
    <xdr:clientData/>
  </xdr:twoCellAnchor>
  <xdr:twoCellAnchor>
    <xdr:from>
      <xdr:col>60</xdr:col>
      <xdr:colOff>5218</xdr:colOff>
      <xdr:row>467</xdr:row>
      <xdr:rowOff>30127</xdr:rowOff>
    </xdr:from>
    <xdr:to>
      <xdr:col>72</xdr:col>
      <xdr:colOff>251020</xdr:colOff>
      <xdr:row>498</xdr:row>
      <xdr:rowOff>105690</xdr:rowOff>
    </xdr:to>
    <xdr:graphicFrame>
      <xdr:nvGraphicFramePr>
        <xdr:cNvPr id="14" name="2D Stacked Column Chart"/>
        <xdr:cNvGraphicFramePr/>
      </xdr:nvGraphicFramePr>
      <xdr:xfrm>
        <a:off x="45725218" y="77131827"/>
        <a:ext cx="9389803" cy="5193664"/>
      </xdr:xfrm>
      <a:graphic xmlns:a="http://schemas.openxmlformats.org/drawingml/2006/main">
        <a:graphicData uri="http://schemas.openxmlformats.org/drawingml/2006/chart">
          <c:chart xmlns:c="http://schemas.openxmlformats.org/drawingml/2006/chart" r:id="rId6"/>
        </a:graphicData>
      </a:graphic>
    </xdr:graphicFrame>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375746</xdr:colOff>
      <xdr:row>0</xdr:row>
      <xdr:rowOff>38100</xdr:rowOff>
    </xdr:from>
    <xdr:to>
      <xdr:col>7</xdr:col>
      <xdr:colOff>441221</xdr:colOff>
      <xdr:row>0</xdr:row>
      <xdr:rowOff>3752850</xdr:rowOff>
    </xdr:to>
    <xdr:graphicFrame>
      <xdr:nvGraphicFramePr>
        <xdr:cNvPr id="16" name="Mixed Chart"/>
        <xdr:cNvGraphicFramePr/>
      </xdr:nvGraphicFramePr>
      <xdr:xfrm>
        <a:off x="1620346" y="38100"/>
        <a:ext cx="6021776" cy="3714750"/>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1</xdr:col>
      <xdr:colOff>690427</xdr:colOff>
      <xdr:row>0</xdr:row>
      <xdr:rowOff>4089400</xdr:rowOff>
    </xdr:from>
    <xdr:to>
      <xdr:col>7</xdr:col>
      <xdr:colOff>418035</xdr:colOff>
      <xdr:row>1</xdr:row>
      <xdr:rowOff>2743200</xdr:rowOff>
    </xdr:to>
    <xdr:graphicFrame>
      <xdr:nvGraphicFramePr>
        <xdr:cNvPr id="17" name="2 Axis Chart"/>
        <xdr:cNvGraphicFramePr/>
      </xdr:nvGraphicFramePr>
      <xdr:xfrm>
        <a:off x="1935027" y="4089400"/>
        <a:ext cx="5683909" cy="3848100"/>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8</xdr:col>
      <xdr:colOff>645517</xdr:colOff>
      <xdr:row>0</xdr:row>
      <xdr:rowOff>63500</xdr:rowOff>
    </xdr:from>
    <xdr:to>
      <xdr:col>14</xdr:col>
      <xdr:colOff>614414</xdr:colOff>
      <xdr:row>0</xdr:row>
      <xdr:rowOff>3778250</xdr:rowOff>
    </xdr:to>
    <xdr:graphicFrame>
      <xdr:nvGraphicFramePr>
        <xdr:cNvPr id="18" name="2D Line Chart"/>
        <xdr:cNvGraphicFramePr/>
      </xdr:nvGraphicFramePr>
      <xdr:xfrm>
        <a:off x="9091017" y="63500"/>
        <a:ext cx="6153798" cy="3714750"/>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9</xdr:col>
      <xdr:colOff>33597</xdr:colOff>
      <xdr:row>0</xdr:row>
      <xdr:rowOff>4089400</xdr:rowOff>
    </xdr:from>
    <xdr:to>
      <xdr:col>14</xdr:col>
      <xdr:colOff>860970</xdr:colOff>
      <xdr:row>1</xdr:row>
      <xdr:rowOff>2749550</xdr:rowOff>
    </xdr:to>
    <xdr:graphicFrame>
      <xdr:nvGraphicFramePr>
        <xdr:cNvPr id="19" name="2D Line Chart"/>
        <xdr:cNvGraphicFramePr/>
      </xdr:nvGraphicFramePr>
      <xdr:xfrm>
        <a:off x="9507797" y="4089400"/>
        <a:ext cx="5983574" cy="3854450"/>
      </xdr:xfrm>
      <a:graphic xmlns:a="http://schemas.openxmlformats.org/drawingml/2006/main">
        <a:graphicData uri="http://schemas.openxmlformats.org/drawingml/2006/chart">
          <c:chart xmlns:c="http://schemas.openxmlformats.org/drawingml/2006/chart" r:id="rId4"/>
        </a:graphicData>
      </a:graphic>
    </xdr:graphicFrame>
    <xdr:clientData/>
  </xdr:twoCellAnchor>
  <xdr:twoCellAnchor>
    <xdr:from>
      <xdr:col>1</xdr:col>
      <xdr:colOff>898835</xdr:colOff>
      <xdr:row>19</xdr:row>
      <xdr:rowOff>128843</xdr:rowOff>
    </xdr:from>
    <xdr:to>
      <xdr:col>7</xdr:col>
      <xdr:colOff>579499</xdr:colOff>
      <xdr:row>36</xdr:row>
      <xdr:rowOff>90743</xdr:rowOff>
    </xdr:to>
    <xdr:graphicFrame>
      <xdr:nvGraphicFramePr>
        <xdr:cNvPr id="20" name="Mixed Chart"/>
        <xdr:cNvGraphicFramePr/>
      </xdr:nvGraphicFramePr>
      <xdr:xfrm>
        <a:off x="2143435" y="13400978"/>
        <a:ext cx="5636965" cy="3848101"/>
      </xdr:xfrm>
      <a:graphic xmlns:a="http://schemas.openxmlformats.org/drawingml/2006/main">
        <a:graphicData uri="http://schemas.openxmlformats.org/drawingml/2006/chart">
          <c:chart xmlns:c="http://schemas.openxmlformats.org/drawingml/2006/chart" r:id="rId5"/>
        </a:graphicData>
      </a:graphic>
    </xdr:graphicFrame>
    <xdr:clientData/>
  </xdr:twoCellAnchor>
  <xdr:twoCellAnchor>
    <xdr:from>
      <xdr:col>8</xdr:col>
      <xdr:colOff>615526</xdr:colOff>
      <xdr:row>18</xdr:row>
      <xdr:rowOff>179643</xdr:rowOff>
    </xdr:from>
    <xdr:to>
      <xdr:col>14</xdr:col>
      <xdr:colOff>431215</xdr:colOff>
      <xdr:row>35</xdr:row>
      <xdr:rowOff>141543</xdr:rowOff>
    </xdr:to>
    <xdr:graphicFrame>
      <xdr:nvGraphicFramePr>
        <xdr:cNvPr id="21" name="Mixed Chart"/>
        <xdr:cNvGraphicFramePr/>
      </xdr:nvGraphicFramePr>
      <xdr:xfrm>
        <a:off x="9061026" y="13223178"/>
        <a:ext cx="6000590" cy="3848101"/>
      </xdr:xfrm>
      <a:graphic xmlns:a="http://schemas.openxmlformats.org/drawingml/2006/main">
        <a:graphicData uri="http://schemas.openxmlformats.org/drawingml/2006/chart">
          <c:chart xmlns:c="http://schemas.openxmlformats.org/drawingml/2006/chart" r:id="rId6"/>
        </a:graphicData>
      </a:graphic>
    </xdr:graphicFrame>
    <xdr:clientData/>
  </xdr:twoCellAnchor>
  <xdr:twoCellAnchor>
    <xdr:from>
      <xdr:col>15</xdr:col>
      <xdr:colOff>1088505</xdr:colOff>
      <xdr:row>18</xdr:row>
      <xdr:rowOff>179643</xdr:rowOff>
    </xdr:from>
    <xdr:to>
      <xdr:col>20</xdr:col>
      <xdr:colOff>686828</xdr:colOff>
      <xdr:row>35</xdr:row>
      <xdr:rowOff>141543</xdr:rowOff>
    </xdr:to>
    <xdr:graphicFrame>
      <xdr:nvGraphicFramePr>
        <xdr:cNvPr id="22" name="Mixed Chart"/>
        <xdr:cNvGraphicFramePr/>
      </xdr:nvGraphicFramePr>
      <xdr:xfrm>
        <a:off x="16938105" y="13223178"/>
        <a:ext cx="6011824" cy="3848101"/>
      </xdr:xfrm>
      <a:graphic xmlns:a="http://schemas.openxmlformats.org/drawingml/2006/main">
        <a:graphicData uri="http://schemas.openxmlformats.org/drawingml/2006/chart">
          <c:chart xmlns:c="http://schemas.openxmlformats.org/drawingml/2006/chart" r:id="rId7"/>
        </a:graphicData>
      </a:graphic>
    </xdr:graphicFrame>
    <xdr:clientData/>
  </xdr:twoCellAnchor>
  <xdr:twoCellAnchor>
    <xdr:from>
      <xdr:col>15</xdr:col>
      <xdr:colOff>717376</xdr:colOff>
      <xdr:row>0</xdr:row>
      <xdr:rowOff>381000</xdr:rowOff>
    </xdr:from>
    <xdr:to>
      <xdr:col>20</xdr:col>
      <xdr:colOff>325651</xdr:colOff>
      <xdr:row>0</xdr:row>
      <xdr:rowOff>4095750</xdr:rowOff>
    </xdr:to>
    <xdr:graphicFrame>
      <xdr:nvGraphicFramePr>
        <xdr:cNvPr id="23" name="Mixed Chart"/>
        <xdr:cNvGraphicFramePr/>
      </xdr:nvGraphicFramePr>
      <xdr:xfrm>
        <a:off x="16566976" y="381000"/>
        <a:ext cx="6021776" cy="3714750"/>
      </xdr:xfrm>
      <a:graphic xmlns:a="http://schemas.openxmlformats.org/drawingml/2006/main">
        <a:graphicData uri="http://schemas.openxmlformats.org/drawingml/2006/chart">
          <c:chart xmlns:c="http://schemas.openxmlformats.org/drawingml/2006/chart" r:id="rId8"/>
        </a:graphicData>
      </a:graphic>
    </xdr:graphicFrame>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0.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30</xdr:col>
      <xdr:colOff>445053</xdr:colOff>
      <xdr:row>24</xdr:row>
      <xdr:rowOff>12700</xdr:rowOff>
    </xdr:from>
    <xdr:to>
      <xdr:col>39</xdr:col>
      <xdr:colOff>707498</xdr:colOff>
      <xdr:row>46</xdr:row>
      <xdr:rowOff>88900</xdr:rowOff>
    </xdr:to>
    <xdr:graphicFrame>
      <xdr:nvGraphicFramePr>
        <xdr:cNvPr id="29" name="2D Line Chart"/>
        <xdr:cNvGraphicFramePr/>
      </xdr:nvGraphicFramePr>
      <xdr:xfrm>
        <a:off x="23305053" y="3975100"/>
        <a:ext cx="7120446" cy="3708400"/>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21</xdr:col>
      <xdr:colOff>353283</xdr:colOff>
      <xdr:row>24</xdr:row>
      <xdr:rowOff>12700</xdr:rowOff>
    </xdr:from>
    <xdr:to>
      <xdr:col>31</xdr:col>
      <xdr:colOff>15616</xdr:colOff>
      <xdr:row>46</xdr:row>
      <xdr:rowOff>95250</xdr:rowOff>
    </xdr:to>
    <xdr:graphicFrame>
      <xdr:nvGraphicFramePr>
        <xdr:cNvPr id="30" name="Mixed Chart"/>
        <xdr:cNvGraphicFramePr/>
      </xdr:nvGraphicFramePr>
      <xdr:xfrm>
        <a:off x="16355283" y="3975100"/>
        <a:ext cx="7282334" cy="3714750"/>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36</xdr:col>
      <xdr:colOff>709919</xdr:colOff>
      <xdr:row>215</xdr:row>
      <xdr:rowOff>63113</xdr:rowOff>
    </xdr:from>
    <xdr:to>
      <xdr:col>45</xdr:col>
      <xdr:colOff>392346</xdr:colOff>
      <xdr:row>238</xdr:row>
      <xdr:rowOff>103444</xdr:rowOff>
    </xdr:to>
    <xdr:graphicFrame>
      <xdr:nvGraphicFramePr>
        <xdr:cNvPr id="31" name="Mixed Chart"/>
        <xdr:cNvGraphicFramePr/>
      </xdr:nvGraphicFramePr>
      <xdr:xfrm>
        <a:off x="28141919" y="35559613"/>
        <a:ext cx="6540428" cy="3837632"/>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5</xdr:col>
      <xdr:colOff>217152</xdr:colOff>
      <xdr:row>0</xdr:row>
      <xdr:rowOff>0</xdr:rowOff>
    </xdr:from>
    <xdr:to>
      <xdr:col>11</xdr:col>
      <xdr:colOff>659477</xdr:colOff>
      <xdr:row>30</xdr:row>
      <xdr:rowOff>61325</xdr:rowOff>
    </xdr:to>
    <xdr:graphicFrame>
      <xdr:nvGraphicFramePr>
        <xdr:cNvPr id="32" name="2D Pie Chart"/>
        <xdr:cNvGraphicFramePr/>
      </xdr:nvGraphicFramePr>
      <xdr:xfrm>
        <a:off x="4027152" y="-570002"/>
        <a:ext cx="5014326" cy="5014327"/>
      </xdr:xfrm>
      <a:graphic xmlns:a="http://schemas.openxmlformats.org/drawingml/2006/main">
        <a:graphicData uri="http://schemas.openxmlformats.org/drawingml/2006/chart">
          <c:chart xmlns:c="http://schemas.openxmlformats.org/drawingml/2006/chart" r:id="rId4"/>
        </a:graphicData>
      </a:graphic>
    </xdr:graphicFrame>
    <xdr:clientData/>
  </xdr:twoCellAnchor>
  <xdr:twoCellAnchor>
    <xdr:from>
      <xdr:col>31</xdr:col>
      <xdr:colOff>527101</xdr:colOff>
      <xdr:row>0</xdr:row>
      <xdr:rowOff>0</xdr:rowOff>
    </xdr:from>
    <xdr:to>
      <xdr:col>39</xdr:col>
      <xdr:colOff>147565</xdr:colOff>
      <xdr:row>23</xdr:row>
      <xdr:rowOff>62735</xdr:rowOff>
    </xdr:to>
    <xdr:graphicFrame>
      <xdr:nvGraphicFramePr>
        <xdr:cNvPr id="33" name="2D Stacked Column Chart"/>
        <xdr:cNvGraphicFramePr/>
      </xdr:nvGraphicFramePr>
      <xdr:xfrm>
        <a:off x="24149101" y="-234186"/>
        <a:ext cx="5716465" cy="3860036"/>
      </xdr:xfrm>
      <a:graphic xmlns:a="http://schemas.openxmlformats.org/drawingml/2006/main">
        <a:graphicData uri="http://schemas.openxmlformats.org/drawingml/2006/chart">
          <c:chart xmlns:c="http://schemas.openxmlformats.org/drawingml/2006/chart" r:id="rId5"/>
        </a:graphicData>
      </a:graphic>
    </xdr:graphicFrame>
    <xdr:clientData/>
  </xdr:twoCellAnchor>
  <xdr:twoCellAnchor>
    <xdr:from>
      <xdr:col>49</xdr:col>
      <xdr:colOff>747823</xdr:colOff>
      <xdr:row>275</xdr:row>
      <xdr:rowOff>41953</xdr:rowOff>
    </xdr:from>
    <xdr:to>
      <xdr:col>58</xdr:col>
      <xdr:colOff>123595</xdr:colOff>
      <xdr:row>298</xdr:row>
      <xdr:rowOff>85045</xdr:rowOff>
    </xdr:to>
    <xdr:graphicFrame>
      <xdr:nvGraphicFramePr>
        <xdr:cNvPr id="34" name="Mixed Chart"/>
        <xdr:cNvGraphicFramePr/>
      </xdr:nvGraphicFramePr>
      <xdr:xfrm>
        <a:off x="38085823" y="45444453"/>
        <a:ext cx="6233773" cy="3840393"/>
      </xdr:xfrm>
      <a:graphic xmlns:a="http://schemas.openxmlformats.org/drawingml/2006/main">
        <a:graphicData uri="http://schemas.openxmlformats.org/drawingml/2006/chart">
          <c:chart xmlns:c="http://schemas.openxmlformats.org/drawingml/2006/chart" r:id="rId6"/>
        </a:graphicData>
      </a:graphic>
    </xdr:graphicFrame>
    <xdr:clientData/>
  </xdr:twoCellAnchor>
  <xdr:twoCellAnchor>
    <xdr:from>
      <xdr:col>39</xdr:col>
      <xdr:colOff>749940</xdr:colOff>
      <xdr:row>275</xdr:row>
      <xdr:rowOff>41954</xdr:rowOff>
    </xdr:from>
    <xdr:to>
      <xdr:col>49</xdr:col>
      <xdr:colOff>173510</xdr:colOff>
      <xdr:row>298</xdr:row>
      <xdr:rowOff>81694</xdr:rowOff>
    </xdr:to>
    <xdr:graphicFrame>
      <xdr:nvGraphicFramePr>
        <xdr:cNvPr id="35" name="Mixed Chart"/>
        <xdr:cNvGraphicFramePr/>
      </xdr:nvGraphicFramePr>
      <xdr:xfrm>
        <a:off x="30467940" y="45444454"/>
        <a:ext cx="7043571" cy="3837041"/>
      </xdr:xfrm>
      <a:graphic xmlns:a="http://schemas.openxmlformats.org/drawingml/2006/main">
        <a:graphicData uri="http://schemas.openxmlformats.org/drawingml/2006/chart">
          <c:chart xmlns:c="http://schemas.openxmlformats.org/drawingml/2006/chart" r:id="rId7"/>
        </a:graphicData>
      </a:graphic>
    </xdr:graphicFrame>
    <xdr:clientData/>
  </xdr:twoCellAnchor>
  <xdr:twoCellAnchor>
    <xdr:from>
      <xdr:col>0</xdr:col>
      <xdr:colOff>0</xdr:colOff>
      <xdr:row>0</xdr:row>
      <xdr:rowOff>140059</xdr:rowOff>
    </xdr:from>
    <xdr:to>
      <xdr:col>8</xdr:col>
      <xdr:colOff>470465</xdr:colOff>
      <xdr:row>20</xdr:row>
      <xdr:rowOff>13801</xdr:rowOff>
    </xdr:to>
    <xdr:graphicFrame>
      <xdr:nvGraphicFramePr>
        <xdr:cNvPr id="36" name="2D Column Chart"/>
        <xdr:cNvGraphicFramePr/>
      </xdr:nvGraphicFramePr>
      <xdr:xfrm>
        <a:off x="-26578" y="140059"/>
        <a:ext cx="6566467" cy="3175743"/>
      </xdr:xfrm>
      <a:graphic xmlns:a="http://schemas.openxmlformats.org/drawingml/2006/main">
        <a:graphicData uri="http://schemas.openxmlformats.org/drawingml/2006/chart">
          <c:chart xmlns:c="http://schemas.openxmlformats.org/drawingml/2006/chart" r:id="rId8"/>
        </a:graphicData>
      </a:graphic>
    </xdr:graphicFrame>
    <xdr:clientData/>
  </xdr:twoCellAnchor>
  <xdr:twoCellAnchor>
    <xdr:from>
      <xdr:col>37</xdr:col>
      <xdr:colOff>412439</xdr:colOff>
      <xdr:row>244</xdr:row>
      <xdr:rowOff>7977</xdr:rowOff>
    </xdr:from>
    <xdr:to>
      <xdr:col>45</xdr:col>
      <xdr:colOff>111605</xdr:colOff>
      <xdr:row>267</xdr:row>
      <xdr:rowOff>58777</xdr:rowOff>
    </xdr:to>
    <xdr:graphicFrame>
      <xdr:nvGraphicFramePr>
        <xdr:cNvPr id="37" name="Mixed Chart"/>
        <xdr:cNvGraphicFramePr/>
      </xdr:nvGraphicFramePr>
      <xdr:xfrm>
        <a:off x="28606439" y="40292377"/>
        <a:ext cx="5795167" cy="3848101"/>
      </xdr:xfrm>
      <a:graphic xmlns:a="http://schemas.openxmlformats.org/drawingml/2006/main">
        <a:graphicData uri="http://schemas.openxmlformats.org/drawingml/2006/chart">
          <c:chart xmlns:c="http://schemas.openxmlformats.org/drawingml/2006/chart" r:id="rId9"/>
        </a:graphicData>
      </a:graphic>
    </xdr:graphicFrame>
    <xdr:clientData/>
  </xdr:twoCellAnchor>
  <xdr:twoCellAnchor>
    <xdr:from>
      <xdr:col>46</xdr:col>
      <xdr:colOff>677772</xdr:colOff>
      <xdr:row>136</xdr:row>
      <xdr:rowOff>113720</xdr:rowOff>
    </xdr:from>
    <xdr:to>
      <xdr:col>55</xdr:col>
      <xdr:colOff>537688</xdr:colOff>
      <xdr:row>159</xdr:row>
      <xdr:rowOff>27649</xdr:rowOff>
    </xdr:to>
    <xdr:graphicFrame>
      <xdr:nvGraphicFramePr>
        <xdr:cNvPr id="38" name="2D Line Chart"/>
        <xdr:cNvGraphicFramePr/>
      </xdr:nvGraphicFramePr>
      <xdr:xfrm>
        <a:off x="35729772" y="22567320"/>
        <a:ext cx="6717917" cy="3711230"/>
      </xdr:xfrm>
      <a:graphic xmlns:a="http://schemas.openxmlformats.org/drawingml/2006/main">
        <a:graphicData uri="http://schemas.openxmlformats.org/drawingml/2006/chart">
          <c:chart xmlns:c="http://schemas.openxmlformats.org/drawingml/2006/chart" r:id="rId10"/>
        </a:graphicData>
      </a:graphic>
    </xdr:graphicFrame>
    <xdr:clientData/>
  </xdr:twoCellAnchor>
  <xdr:twoCellAnchor>
    <xdr:from>
      <xdr:col>1</xdr:col>
      <xdr:colOff>312709</xdr:colOff>
      <xdr:row>210</xdr:row>
      <xdr:rowOff>152105</xdr:rowOff>
    </xdr:from>
    <xdr:to>
      <xdr:col>6</xdr:col>
      <xdr:colOff>643752</xdr:colOff>
      <xdr:row>236</xdr:row>
      <xdr:rowOff>97730</xdr:rowOff>
    </xdr:to>
    <xdr:graphicFrame>
      <xdr:nvGraphicFramePr>
        <xdr:cNvPr id="39" name="Interactive Column Chart"/>
        <xdr:cNvGraphicFramePr/>
      </xdr:nvGraphicFramePr>
      <xdr:xfrm>
        <a:off x="1074709" y="34823105"/>
        <a:ext cx="4141044" cy="4238226"/>
      </xdr:xfrm>
      <a:graphic xmlns:a="http://schemas.openxmlformats.org/drawingml/2006/main">
        <a:graphicData uri="http://schemas.openxmlformats.org/drawingml/2006/chart">
          <c:chart xmlns:c="http://schemas.openxmlformats.org/drawingml/2006/chart" r:id="rId11"/>
        </a:graphicData>
      </a:graphic>
    </xdr:graphicFrame>
    <xdr:clientData/>
  </xdr:twoCellAnchor>
  <xdr:twoCellAnchor>
    <xdr:from>
      <xdr:col>45</xdr:col>
      <xdr:colOff>507004</xdr:colOff>
      <xdr:row>242</xdr:row>
      <xdr:rowOff>24674</xdr:rowOff>
    </xdr:from>
    <xdr:to>
      <xdr:col>51</xdr:col>
      <xdr:colOff>324184</xdr:colOff>
      <xdr:row>262</xdr:row>
      <xdr:rowOff>62774</xdr:rowOff>
    </xdr:to>
    <xdr:graphicFrame>
      <xdr:nvGraphicFramePr>
        <xdr:cNvPr id="40" name="2D Pie Chart"/>
        <xdr:cNvGraphicFramePr/>
      </xdr:nvGraphicFramePr>
      <xdr:xfrm>
        <a:off x="34797004" y="39978874"/>
        <a:ext cx="4389181" cy="3340101"/>
      </xdr:xfrm>
      <a:graphic xmlns:a="http://schemas.openxmlformats.org/drawingml/2006/main">
        <a:graphicData uri="http://schemas.openxmlformats.org/drawingml/2006/chart">
          <c:chart xmlns:c="http://schemas.openxmlformats.org/drawingml/2006/chart" r:id="rId12"/>
        </a:graphicData>
      </a:graphic>
    </xdr:graphicFrame>
    <xdr:clientData/>
  </xdr:twoCellAnchor>
  <xdr:twoCellAnchor>
    <xdr:from>
      <xdr:col>8</xdr:col>
      <xdr:colOff>125696</xdr:colOff>
      <xdr:row>210</xdr:row>
      <xdr:rowOff>164805</xdr:rowOff>
    </xdr:from>
    <xdr:to>
      <xdr:col>16</xdr:col>
      <xdr:colOff>66881</xdr:colOff>
      <xdr:row>234</xdr:row>
      <xdr:rowOff>50505</xdr:rowOff>
    </xdr:to>
    <xdr:graphicFrame>
      <xdr:nvGraphicFramePr>
        <xdr:cNvPr id="41" name="Mixed Chart"/>
        <xdr:cNvGraphicFramePr/>
      </xdr:nvGraphicFramePr>
      <xdr:xfrm>
        <a:off x="6221696" y="34835805"/>
        <a:ext cx="6037186" cy="3848101"/>
      </xdr:xfrm>
      <a:graphic xmlns:a="http://schemas.openxmlformats.org/drawingml/2006/main">
        <a:graphicData uri="http://schemas.openxmlformats.org/drawingml/2006/chart">
          <c:chart xmlns:c="http://schemas.openxmlformats.org/drawingml/2006/chart" r:id="rId13"/>
        </a:graphicData>
      </a:graphic>
    </xdr:graphicFrame>
    <xdr:clientData/>
  </xdr:twoCellAnchor>
  <xdr:twoCellAnchor>
    <xdr:from>
      <xdr:col>16</xdr:col>
      <xdr:colOff>725268</xdr:colOff>
      <xdr:row>210</xdr:row>
      <xdr:rowOff>12405</xdr:rowOff>
    </xdr:from>
    <xdr:to>
      <xdr:col>24</xdr:col>
      <xdr:colOff>741038</xdr:colOff>
      <xdr:row>233</xdr:row>
      <xdr:rowOff>63205</xdr:rowOff>
    </xdr:to>
    <xdr:graphicFrame>
      <xdr:nvGraphicFramePr>
        <xdr:cNvPr id="42" name="Mixed Chart"/>
        <xdr:cNvGraphicFramePr/>
      </xdr:nvGraphicFramePr>
      <xdr:xfrm>
        <a:off x="12917268" y="34683405"/>
        <a:ext cx="6111770" cy="3848101"/>
      </xdr:xfrm>
      <a:graphic xmlns:a="http://schemas.openxmlformats.org/drawingml/2006/main">
        <a:graphicData uri="http://schemas.openxmlformats.org/drawingml/2006/chart">
          <c:chart xmlns:c="http://schemas.openxmlformats.org/drawingml/2006/chart" r:id="rId14"/>
        </a:graphicData>
      </a:graphic>
    </xdr:graphicFrame>
    <xdr:clientData/>
  </xdr:twoCellAnchor>
  <xdr:twoCellAnchor>
    <xdr:from>
      <xdr:col>22</xdr:col>
      <xdr:colOff>53593</xdr:colOff>
      <xdr:row>50</xdr:row>
      <xdr:rowOff>152400</xdr:rowOff>
    </xdr:from>
    <xdr:to>
      <xdr:col>29</xdr:col>
      <xdr:colOff>649551</xdr:colOff>
      <xdr:row>74</xdr:row>
      <xdr:rowOff>38100</xdr:rowOff>
    </xdr:to>
    <xdr:graphicFrame>
      <xdr:nvGraphicFramePr>
        <xdr:cNvPr id="43" name="Mixed Chart"/>
        <xdr:cNvGraphicFramePr/>
      </xdr:nvGraphicFramePr>
      <xdr:xfrm>
        <a:off x="16817593" y="8407400"/>
        <a:ext cx="5929959" cy="3848100"/>
      </xdr:xfrm>
      <a:graphic xmlns:a="http://schemas.openxmlformats.org/drawingml/2006/main">
        <a:graphicData uri="http://schemas.openxmlformats.org/drawingml/2006/chart">
          <c:chart xmlns:c="http://schemas.openxmlformats.org/drawingml/2006/chart" r:id="rId15"/>
        </a:graphicData>
      </a:graphic>
    </xdr:graphicFrame>
    <xdr:clientData/>
  </xdr:twoCellAnchor>
  <xdr:twoCellAnchor>
    <xdr:from>
      <xdr:col>15</xdr:col>
      <xdr:colOff>613895</xdr:colOff>
      <xdr:row>266</xdr:row>
      <xdr:rowOff>31411</xdr:rowOff>
    </xdr:from>
    <xdr:to>
      <xdr:col>17</xdr:col>
      <xdr:colOff>472705</xdr:colOff>
      <xdr:row>268</xdr:row>
      <xdr:rowOff>7916</xdr:rowOff>
    </xdr:to>
    <xdr:sp>
      <xdr:nvSpPr>
        <xdr:cNvPr id="44" name="azul = rojo + verde"/>
        <xdr:cNvSpPr txBox="1"/>
      </xdr:nvSpPr>
      <xdr:spPr>
        <a:xfrm>
          <a:off x="12043895" y="43948011"/>
          <a:ext cx="1382811" cy="3067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ctr" defTabSz="45720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a:defRPr>
          </a:pPr>
          <a:r>
            <a:rPr b="0" baseline="0" cap="none" i="0" spc="0" strike="noStrike" sz="1100" u="none">
              <a:solidFill>
                <a:srgbClr val="000000"/>
              </a:solidFill>
              <a:uFillTx/>
              <a:latin typeface="+mn-lt"/>
              <a:ea typeface="+mn-ea"/>
              <a:cs typeface="+mn-cs"/>
              <a:sym typeface="Helvetica"/>
            </a:rPr>
            <a:t>azul = rojo + verde</a:t>
          </a:r>
        </a:p>
      </xdr:txBody>
    </xdr:sp>
    <xdr:clientData/>
  </xdr:twoCellAnchor>
  <xdr:twoCellAnchor>
    <xdr:from>
      <xdr:col>17</xdr:col>
      <xdr:colOff>2657</xdr:colOff>
      <xdr:row>305</xdr:row>
      <xdr:rowOff>18339</xdr:rowOff>
    </xdr:from>
    <xdr:to>
      <xdr:col>24</xdr:col>
      <xdr:colOff>705842</xdr:colOff>
      <xdr:row>328</xdr:row>
      <xdr:rowOff>69139</xdr:rowOff>
    </xdr:to>
    <xdr:graphicFrame>
      <xdr:nvGraphicFramePr>
        <xdr:cNvPr id="45" name="Mixed Chart"/>
        <xdr:cNvGraphicFramePr/>
      </xdr:nvGraphicFramePr>
      <xdr:xfrm>
        <a:off x="12956657" y="50373839"/>
        <a:ext cx="6037186" cy="3848101"/>
      </xdr:xfrm>
      <a:graphic xmlns:a="http://schemas.openxmlformats.org/drawingml/2006/main">
        <a:graphicData uri="http://schemas.openxmlformats.org/drawingml/2006/chart">
          <c:chart xmlns:c="http://schemas.openxmlformats.org/drawingml/2006/chart" r:id="rId16"/>
        </a:graphicData>
      </a:graphic>
    </xdr:graphicFrame>
    <xdr:clientData/>
  </xdr:twoCellAnchor>
  <xdr:twoCellAnchor>
    <xdr:from>
      <xdr:col>31</xdr:col>
      <xdr:colOff>243185</xdr:colOff>
      <xdr:row>50</xdr:row>
      <xdr:rowOff>152400</xdr:rowOff>
    </xdr:from>
    <xdr:to>
      <xdr:col>39</xdr:col>
      <xdr:colOff>150726</xdr:colOff>
      <xdr:row>74</xdr:row>
      <xdr:rowOff>38100</xdr:rowOff>
    </xdr:to>
    <xdr:graphicFrame>
      <xdr:nvGraphicFramePr>
        <xdr:cNvPr id="46" name="2D Column Chart"/>
        <xdr:cNvGraphicFramePr/>
      </xdr:nvGraphicFramePr>
      <xdr:xfrm>
        <a:off x="23865185" y="8407400"/>
        <a:ext cx="6003542" cy="3848100"/>
      </xdr:xfrm>
      <a:graphic xmlns:a="http://schemas.openxmlformats.org/drawingml/2006/main">
        <a:graphicData uri="http://schemas.openxmlformats.org/drawingml/2006/chart">
          <c:chart xmlns:c="http://schemas.openxmlformats.org/drawingml/2006/chart" r:id="rId17"/>
        </a:graphicData>
      </a:graphic>
    </xdr:graphicFrame>
    <xdr:clientData/>
  </xdr:twoCellAnchor>
  <xdr:twoCellAnchor>
    <xdr:from>
      <xdr:col>26</xdr:col>
      <xdr:colOff>737801</xdr:colOff>
      <xdr:row>266</xdr:row>
      <xdr:rowOff>143485</xdr:rowOff>
    </xdr:from>
    <xdr:to>
      <xdr:col>34</xdr:col>
      <xdr:colOff>729596</xdr:colOff>
      <xdr:row>290</xdr:row>
      <xdr:rowOff>29185</xdr:rowOff>
    </xdr:to>
    <xdr:graphicFrame>
      <xdr:nvGraphicFramePr>
        <xdr:cNvPr id="47" name="2D Line Chart"/>
        <xdr:cNvGraphicFramePr/>
      </xdr:nvGraphicFramePr>
      <xdr:xfrm>
        <a:off x="20549801" y="44060085"/>
        <a:ext cx="6087796" cy="3848101"/>
      </xdr:xfrm>
      <a:graphic xmlns:a="http://schemas.openxmlformats.org/drawingml/2006/main">
        <a:graphicData uri="http://schemas.openxmlformats.org/drawingml/2006/chart">
          <c:chart xmlns:c="http://schemas.openxmlformats.org/drawingml/2006/chart" r:id="rId18"/>
        </a:graphicData>
      </a:graphic>
    </xdr:graphicFrame>
    <xdr:clientData/>
  </xdr:twoCellAnchor>
  <xdr:twoCellAnchor>
    <xdr:from>
      <xdr:col>22</xdr:col>
      <xdr:colOff>61337</xdr:colOff>
      <xdr:row>0</xdr:row>
      <xdr:rowOff>0</xdr:rowOff>
    </xdr:from>
    <xdr:to>
      <xdr:col>30</xdr:col>
      <xdr:colOff>253570</xdr:colOff>
      <xdr:row>22</xdr:row>
      <xdr:rowOff>155015</xdr:rowOff>
    </xdr:to>
    <xdr:graphicFrame>
      <xdr:nvGraphicFramePr>
        <xdr:cNvPr id="48" name="2D Line Chart"/>
        <xdr:cNvGraphicFramePr/>
      </xdr:nvGraphicFramePr>
      <xdr:xfrm>
        <a:off x="16825337" y="-161366"/>
        <a:ext cx="6288234" cy="3787216"/>
      </xdr:xfrm>
      <a:graphic xmlns:a="http://schemas.openxmlformats.org/drawingml/2006/main">
        <a:graphicData uri="http://schemas.openxmlformats.org/drawingml/2006/chart">
          <c:chart xmlns:c="http://schemas.openxmlformats.org/drawingml/2006/chart" r:id="rId19"/>
        </a:graphicData>
      </a:graphic>
    </xdr:graphicFrame>
    <xdr:clientData/>
  </xdr:twoCellAnchor>
  <xdr:twoCellAnchor>
    <xdr:from>
      <xdr:col>17</xdr:col>
      <xdr:colOff>16231</xdr:colOff>
      <xdr:row>236</xdr:row>
      <xdr:rowOff>139610</xdr:rowOff>
    </xdr:from>
    <xdr:to>
      <xdr:col>24</xdr:col>
      <xdr:colOff>756404</xdr:colOff>
      <xdr:row>259</xdr:row>
      <xdr:rowOff>152310</xdr:rowOff>
    </xdr:to>
    <xdr:graphicFrame>
      <xdr:nvGraphicFramePr>
        <xdr:cNvPr id="49" name="2D Column Chart"/>
        <xdr:cNvGraphicFramePr/>
      </xdr:nvGraphicFramePr>
      <xdr:xfrm>
        <a:off x="12970231" y="39103210"/>
        <a:ext cx="6074174" cy="3810001"/>
      </xdr:xfrm>
      <a:graphic xmlns:a="http://schemas.openxmlformats.org/drawingml/2006/main">
        <a:graphicData uri="http://schemas.openxmlformats.org/drawingml/2006/chart">
          <c:chart xmlns:c="http://schemas.openxmlformats.org/drawingml/2006/chart" r:id="rId20"/>
        </a:graphicData>
      </a:graphic>
    </xdr:graphicFrame>
    <xdr:clientData/>
  </xdr:twoCellAnchor>
  <xdr:twoCellAnchor>
    <xdr:from>
      <xdr:col>46</xdr:col>
      <xdr:colOff>450077</xdr:colOff>
      <xdr:row>217</xdr:row>
      <xdr:rowOff>5365</xdr:rowOff>
    </xdr:from>
    <xdr:to>
      <xdr:col>55</xdr:col>
      <xdr:colOff>309993</xdr:colOff>
      <xdr:row>239</xdr:row>
      <xdr:rowOff>84394</xdr:rowOff>
    </xdr:to>
    <xdr:graphicFrame>
      <xdr:nvGraphicFramePr>
        <xdr:cNvPr id="50" name="2D Line Chart"/>
        <xdr:cNvGraphicFramePr/>
      </xdr:nvGraphicFramePr>
      <xdr:xfrm>
        <a:off x="35502077" y="35832065"/>
        <a:ext cx="6717917" cy="3711230"/>
      </xdr:xfrm>
      <a:graphic xmlns:a="http://schemas.openxmlformats.org/drawingml/2006/main">
        <a:graphicData uri="http://schemas.openxmlformats.org/drawingml/2006/chart">
          <c:chart xmlns:c="http://schemas.openxmlformats.org/drawingml/2006/chart" r:id="rId21"/>
        </a:graphicData>
      </a:graphic>
    </xdr:graphicFrame>
    <xdr:clientData/>
  </xdr:twoCellAnchor>
  <xdr:twoCellAnchor>
    <xdr:from>
      <xdr:col>17</xdr:col>
      <xdr:colOff>308605</xdr:colOff>
      <xdr:row>267</xdr:row>
      <xdr:rowOff>153010</xdr:rowOff>
    </xdr:from>
    <xdr:to>
      <xdr:col>25</xdr:col>
      <xdr:colOff>320422</xdr:colOff>
      <xdr:row>291</xdr:row>
      <xdr:rowOff>38710</xdr:rowOff>
    </xdr:to>
    <xdr:graphicFrame>
      <xdr:nvGraphicFramePr>
        <xdr:cNvPr id="51" name="Mixed Chart"/>
        <xdr:cNvGraphicFramePr/>
      </xdr:nvGraphicFramePr>
      <xdr:xfrm>
        <a:off x="13262605" y="44234710"/>
        <a:ext cx="6107818" cy="3848101"/>
      </xdr:xfrm>
      <a:graphic xmlns:a="http://schemas.openxmlformats.org/drawingml/2006/main">
        <a:graphicData uri="http://schemas.openxmlformats.org/drawingml/2006/chart">
          <c:chart xmlns:c="http://schemas.openxmlformats.org/drawingml/2006/chart" r:id="rId22"/>
        </a:graphicData>
      </a:graphic>
    </xdr:graphicFrame>
    <xdr:clientData/>
  </xdr:twoCellAnchor>
  <xdr:twoCellAnchor>
    <xdr:from>
      <xdr:col>25</xdr:col>
      <xdr:colOff>650250</xdr:colOff>
      <xdr:row>237</xdr:row>
      <xdr:rowOff>3595</xdr:rowOff>
    </xdr:from>
    <xdr:to>
      <xdr:col>36</xdr:col>
      <xdr:colOff>249261</xdr:colOff>
      <xdr:row>259</xdr:row>
      <xdr:rowOff>158610</xdr:rowOff>
    </xdr:to>
    <xdr:graphicFrame>
      <xdr:nvGraphicFramePr>
        <xdr:cNvPr id="52" name="2D Line Chart"/>
        <xdr:cNvGraphicFramePr/>
      </xdr:nvGraphicFramePr>
      <xdr:xfrm>
        <a:off x="19700250" y="39132295"/>
        <a:ext cx="7981012" cy="3787216"/>
      </xdr:xfrm>
      <a:graphic xmlns:a="http://schemas.openxmlformats.org/drawingml/2006/main">
        <a:graphicData uri="http://schemas.openxmlformats.org/drawingml/2006/chart">
          <c:chart xmlns:c="http://schemas.openxmlformats.org/drawingml/2006/chart" r:id="rId23"/>
        </a:graphicData>
      </a:graphic>
    </xdr:graphicFrame>
    <xdr:clientData/>
  </xdr:twoCellAnchor>
  <xdr:twoCellAnchor>
    <xdr:from>
      <xdr:col>40</xdr:col>
      <xdr:colOff>194292</xdr:colOff>
      <xdr:row>0</xdr:row>
      <xdr:rowOff>0</xdr:rowOff>
    </xdr:from>
    <xdr:to>
      <xdr:col>48</xdr:col>
      <xdr:colOff>273828</xdr:colOff>
      <xdr:row>23</xdr:row>
      <xdr:rowOff>62735</xdr:rowOff>
    </xdr:to>
    <xdr:graphicFrame>
      <xdr:nvGraphicFramePr>
        <xdr:cNvPr id="53" name="2D Stacked Column Chart"/>
        <xdr:cNvGraphicFramePr/>
      </xdr:nvGraphicFramePr>
      <xdr:xfrm>
        <a:off x="30674292" y="-234186"/>
        <a:ext cx="6175537" cy="3860036"/>
      </xdr:xfrm>
      <a:graphic xmlns:a="http://schemas.openxmlformats.org/drawingml/2006/main">
        <a:graphicData uri="http://schemas.openxmlformats.org/drawingml/2006/chart">
          <c:chart xmlns:c="http://schemas.openxmlformats.org/drawingml/2006/chart" r:id="rId24"/>
        </a:graphicData>
      </a:graphic>
    </xdr:graphicFrame>
    <xdr:clientData/>
  </xdr:twoCellAnchor>
  <xdr:twoCellAnchor>
    <xdr:from>
      <xdr:col>28</xdr:col>
      <xdr:colOff>721769</xdr:colOff>
      <xdr:row>305</xdr:row>
      <xdr:rowOff>118036</xdr:rowOff>
    </xdr:from>
    <xdr:to>
      <xdr:col>36</xdr:col>
      <xdr:colOff>729707</xdr:colOff>
      <xdr:row>328</xdr:row>
      <xdr:rowOff>130736</xdr:rowOff>
    </xdr:to>
    <xdr:graphicFrame>
      <xdr:nvGraphicFramePr>
        <xdr:cNvPr id="54" name="2 Axis Chart"/>
        <xdr:cNvGraphicFramePr/>
      </xdr:nvGraphicFramePr>
      <xdr:xfrm>
        <a:off x="22057769" y="50473536"/>
        <a:ext cx="6103939" cy="3810001"/>
      </xdr:xfrm>
      <a:graphic xmlns:a="http://schemas.openxmlformats.org/drawingml/2006/main">
        <a:graphicData uri="http://schemas.openxmlformats.org/drawingml/2006/chart">
          <c:chart xmlns:c="http://schemas.openxmlformats.org/drawingml/2006/chart" r:id="rId25"/>
        </a:graphicData>
      </a:graphic>
    </xdr:graphicFrame>
    <xdr:clientData/>
  </xdr:twoCellAnchor>
  <xdr:twoCellAnchor>
    <xdr:from>
      <xdr:col>28</xdr:col>
      <xdr:colOff>721769</xdr:colOff>
      <xdr:row>329</xdr:row>
      <xdr:rowOff>145343</xdr:rowOff>
    </xdr:from>
    <xdr:to>
      <xdr:col>36</xdr:col>
      <xdr:colOff>729707</xdr:colOff>
      <xdr:row>352</xdr:row>
      <xdr:rowOff>158043</xdr:rowOff>
    </xdr:to>
    <xdr:graphicFrame>
      <xdr:nvGraphicFramePr>
        <xdr:cNvPr id="55" name="2 Axis Chart"/>
        <xdr:cNvGraphicFramePr/>
      </xdr:nvGraphicFramePr>
      <xdr:xfrm>
        <a:off x="22057769" y="54463243"/>
        <a:ext cx="6103939" cy="3810001"/>
      </xdr:xfrm>
      <a:graphic xmlns:a="http://schemas.openxmlformats.org/drawingml/2006/main">
        <a:graphicData uri="http://schemas.openxmlformats.org/drawingml/2006/chart">
          <c:chart xmlns:c="http://schemas.openxmlformats.org/drawingml/2006/chart" r:id="rId26"/>
        </a:graphicData>
      </a:graphic>
    </xdr:graphicFrame>
    <xdr:clientData/>
  </xdr:twoCellAnchor>
  <xdr:twoCellAnchor>
    <xdr:from>
      <xdr:col>39</xdr:col>
      <xdr:colOff>579876</xdr:colOff>
      <xdr:row>24</xdr:row>
      <xdr:rowOff>12700</xdr:rowOff>
    </xdr:from>
    <xdr:to>
      <xdr:col>49</xdr:col>
      <xdr:colOff>265543</xdr:colOff>
      <xdr:row>46</xdr:row>
      <xdr:rowOff>95250</xdr:rowOff>
    </xdr:to>
    <xdr:graphicFrame>
      <xdr:nvGraphicFramePr>
        <xdr:cNvPr id="56" name="2D Line Chart"/>
        <xdr:cNvGraphicFramePr/>
      </xdr:nvGraphicFramePr>
      <xdr:xfrm>
        <a:off x="30297876" y="3975100"/>
        <a:ext cx="7305668" cy="3714750"/>
      </xdr:xfrm>
      <a:graphic xmlns:a="http://schemas.openxmlformats.org/drawingml/2006/main">
        <a:graphicData uri="http://schemas.openxmlformats.org/drawingml/2006/chart">
          <c:chart xmlns:c="http://schemas.openxmlformats.org/drawingml/2006/chart" r:id="rId27"/>
        </a:graphicData>
      </a:graphic>
    </xdr:graphicFrame>
    <xdr:clientData/>
  </xdr:twoCellAnchor>
  <xdr:twoCellAnchor>
    <xdr:from>
      <xdr:col>50</xdr:col>
      <xdr:colOff>38047</xdr:colOff>
      <xdr:row>0</xdr:row>
      <xdr:rowOff>0</xdr:rowOff>
    </xdr:from>
    <xdr:to>
      <xdr:col>57</xdr:col>
      <xdr:colOff>699067</xdr:colOff>
      <xdr:row>23</xdr:row>
      <xdr:rowOff>63500</xdr:rowOff>
    </xdr:to>
    <xdr:graphicFrame>
      <xdr:nvGraphicFramePr>
        <xdr:cNvPr id="57" name="2D Stacked Column Chart"/>
        <xdr:cNvGraphicFramePr/>
      </xdr:nvGraphicFramePr>
      <xdr:xfrm>
        <a:off x="38138047" y="-37741"/>
        <a:ext cx="5995021" cy="3860801"/>
      </xdr:xfrm>
      <a:graphic xmlns:a="http://schemas.openxmlformats.org/drawingml/2006/main">
        <a:graphicData uri="http://schemas.openxmlformats.org/drawingml/2006/chart">
          <c:chart xmlns:c="http://schemas.openxmlformats.org/drawingml/2006/chart" r:id="rId28"/>
        </a:graphicData>
      </a:graphic>
    </xdr:graphicFrame>
    <xdr:clientData/>
  </xdr:twoCellAnchor>
  <xdr:twoCellAnchor>
    <xdr:from>
      <xdr:col>40</xdr:col>
      <xdr:colOff>315602</xdr:colOff>
      <xdr:row>50</xdr:row>
      <xdr:rowOff>152400</xdr:rowOff>
    </xdr:from>
    <xdr:to>
      <xdr:col>49</xdr:col>
      <xdr:colOff>310492</xdr:colOff>
      <xdr:row>74</xdr:row>
      <xdr:rowOff>38100</xdr:rowOff>
    </xdr:to>
    <xdr:graphicFrame>
      <xdr:nvGraphicFramePr>
        <xdr:cNvPr id="58" name="2 Axis Chart"/>
        <xdr:cNvGraphicFramePr/>
      </xdr:nvGraphicFramePr>
      <xdr:xfrm>
        <a:off x="30795602" y="8407400"/>
        <a:ext cx="6852891" cy="3848100"/>
      </xdr:xfrm>
      <a:graphic xmlns:a="http://schemas.openxmlformats.org/drawingml/2006/main">
        <a:graphicData uri="http://schemas.openxmlformats.org/drawingml/2006/chart">
          <c:chart xmlns:c="http://schemas.openxmlformats.org/drawingml/2006/chart" r:id="rId29"/>
        </a:graphicData>
      </a:graphic>
    </xdr:graphicFrame>
    <xdr:clientData/>
  </xdr:twoCellAnchor>
  <xdr:twoCellAnchor>
    <xdr:from>
      <xdr:col>35</xdr:col>
      <xdr:colOff>639528</xdr:colOff>
      <xdr:row>191</xdr:row>
      <xdr:rowOff>41540</xdr:rowOff>
    </xdr:from>
    <xdr:to>
      <xdr:col>46</xdr:col>
      <xdr:colOff>238539</xdr:colOff>
      <xdr:row>214</xdr:row>
      <xdr:rowOff>31455</xdr:rowOff>
    </xdr:to>
    <xdr:graphicFrame>
      <xdr:nvGraphicFramePr>
        <xdr:cNvPr id="59" name="2D Line Chart"/>
        <xdr:cNvGraphicFramePr/>
      </xdr:nvGraphicFramePr>
      <xdr:xfrm>
        <a:off x="27309528" y="31575640"/>
        <a:ext cx="7981012" cy="3787216"/>
      </xdr:xfrm>
      <a:graphic xmlns:a="http://schemas.openxmlformats.org/drawingml/2006/main">
        <a:graphicData uri="http://schemas.openxmlformats.org/drawingml/2006/chart">
          <c:chart xmlns:c="http://schemas.openxmlformats.org/drawingml/2006/chart" r:id="rId30"/>
        </a:graphicData>
      </a:graphic>
    </xdr:graphicFrame>
    <xdr:clientData/>
  </xdr:twoCellAnchor>
  <xdr:twoCellAnchor>
    <xdr:from>
      <xdr:col>26</xdr:col>
      <xdr:colOff>253203</xdr:colOff>
      <xdr:row>210</xdr:row>
      <xdr:rowOff>79640</xdr:rowOff>
    </xdr:from>
    <xdr:to>
      <xdr:col>36</xdr:col>
      <xdr:colOff>614214</xdr:colOff>
      <xdr:row>233</xdr:row>
      <xdr:rowOff>63205</xdr:rowOff>
    </xdr:to>
    <xdr:graphicFrame>
      <xdr:nvGraphicFramePr>
        <xdr:cNvPr id="60" name="2D Line Chart"/>
        <xdr:cNvGraphicFramePr/>
      </xdr:nvGraphicFramePr>
      <xdr:xfrm>
        <a:off x="20065203" y="34750640"/>
        <a:ext cx="7981012" cy="3780866"/>
      </xdr:xfrm>
      <a:graphic xmlns:a="http://schemas.openxmlformats.org/drawingml/2006/main">
        <a:graphicData uri="http://schemas.openxmlformats.org/drawingml/2006/chart">
          <c:chart xmlns:c="http://schemas.openxmlformats.org/drawingml/2006/chart" r:id="rId31"/>
        </a:graphicData>
      </a:graphic>
    </xdr:graphicFrame>
    <xdr:clientData/>
  </xdr:twoCellAnchor>
  <xdr:twoCellAnchor>
    <xdr:from>
      <xdr:col>7</xdr:col>
      <xdr:colOff>740735</xdr:colOff>
      <xdr:row>237</xdr:row>
      <xdr:rowOff>122775</xdr:rowOff>
    </xdr:from>
    <xdr:to>
      <xdr:col>16</xdr:col>
      <xdr:colOff>423162</xdr:colOff>
      <xdr:row>260</xdr:row>
      <xdr:rowOff>163106</xdr:rowOff>
    </xdr:to>
    <xdr:graphicFrame>
      <xdr:nvGraphicFramePr>
        <xdr:cNvPr id="61" name="Mixed Chart"/>
        <xdr:cNvGraphicFramePr/>
      </xdr:nvGraphicFramePr>
      <xdr:xfrm>
        <a:off x="6074735" y="39251475"/>
        <a:ext cx="6540428" cy="3837632"/>
      </xdr:xfrm>
      <a:graphic xmlns:a="http://schemas.openxmlformats.org/drawingml/2006/main">
        <a:graphicData uri="http://schemas.openxmlformats.org/drawingml/2006/chart">
          <c:chart xmlns:c="http://schemas.openxmlformats.org/drawingml/2006/chart" r:id="rId32"/>
        </a:graphicData>
      </a:graphic>
    </xdr:graphicFrame>
    <xdr:clientData/>
  </xdr:twoCellAnchor>
</xdr:wsDr>
</file>

<file path=xl/drawings/drawing1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42</xdr:col>
      <xdr:colOff>58799</xdr:colOff>
      <xdr:row>25</xdr:row>
      <xdr:rowOff>98555</xdr:rowOff>
    </xdr:from>
    <xdr:to>
      <xdr:col>49</xdr:col>
      <xdr:colOff>341448</xdr:colOff>
      <xdr:row>48</xdr:row>
      <xdr:rowOff>104905</xdr:rowOff>
    </xdr:to>
    <xdr:graphicFrame>
      <xdr:nvGraphicFramePr>
        <xdr:cNvPr id="77" name="2D Stacked Column Chart"/>
        <xdr:cNvGraphicFramePr/>
      </xdr:nvGraphicFramePr>
      <xdr:xfrm>
        <a:off x="32062799" y="4226055"/>
        <a:ext cx="5616650" cy="3803651"/>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75</xdr:col>
      <xdr:colOff>334776</xdr:colOff>
      <xdr:row>31</xdr:row>
      <xdr:rowOff>113160</xdr:rowOff>
    </xdr:from>
    <xdr:to>
      <xdr:col>82</xdr:col>
      <xdr:colOff>5171</xdr:colOff>
      <xdr:row>54</xdr:row>
      <xdr:rowOff>119510</xdr:rowOff>
    </xdr:to>
    <xdr:graphicFrame>
      <xdr:nvGraphicFramePr>
        <xdr:cNvPr id="78" name="2D Line Chart"/>
        <xdr:cNvGraphicFramePr/>
      </xdr:nvGraphicFramePr>
      <xdr:xfrm>
        <a:off x="57484776" y="5231260"/>
        <a:ext cx="5004396" cy="3803651"/>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32</xdr:col>
      <xdr:colOff>380953</xdr:colOff>
      <xdr:row>25</xdr:row>
      <xdr:rowOff>73155</xdr:rowOff>
    </xdr:from>
    <xdr:to>
      <xdr:col>39</xdr:col>
      <xdr:colOff>689002</xdr:colOff>
      <xdr:row>48</xdr:row>
      <xdr:rowOff>79505</xdr:rowOff>
    </xdr:to>
    <xdr:graphicFrame>
      <xdr:nvGraphicFramePr>
        <xdr:cNvPr id="79" name="2D Line Chart"/>
        <xdr:cNvGraphicFramePr/>
      </xdr:nvGraphicFramePr>
      <xdr:xfrm>
        <a:off x="24764953" y="4200655"/>
        <a:ext cx="5642050" cy="3803651"/>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45</xdr:col>
      <xdr:colOff>90152</xdr:colOff>
      <xdr:row>52</xdr:row>
      <xdr:rowOff>60736</xdr:rowOff>
    </xdr:from>
    <xdr:to>
      <xdr:col>52</xdr:col>
      <xdr:colOff>323832</xdr:colOff>
      <xdr:row>75</xdr:row>
      <xdr:rowOff>73436</xdr:rowOff>
    </xdr:to>
    <xdr:graphicFrame>
      <xdr:nvGraphicFramePr>
        <xdr:cNvPr id="80" name="2D Line Chart"/>
        <xdr:cNvGraphicFramePr/>
      </xdr:nvGraphicFramePr>
      <xdr:xfrm>
        <a:off x="34380152" y="8645936"/>
        <a:ext cx="5567681" cy="3810001"/>
      </xdr:xfrm>
      <a:graphic xmlns:a="http://schemas.openxmlformats.org/drawingml/2006/main">
        <a:graphicData uri="http://schemas.openxmlformats.org/drawingml/2006/chart">
          <c:chart xmlns:c="http://schemas.openxmlformats.org/drawingml/2006/chart" r:id="rId4"/>
        </a:graphicData>
      </a:graphic>
    </xdr:graphicFrame>
    <xdr:clientData/>
  </xdr:twoCellAnchor>
  <xdr:twoCellAnchor>
    <xdr:from>
      <xdr:col>53</xdr:col>
      <xdr:colOff>203615</xdr:colOff>
      <xdr:row>23</xdr:row>
      <xdr:rowOff>5210</xdr:rowOff>
    </xdr:from>
    <xdr:to>
      <xdr:col>60</xdr:col>
      <xdr:colOff>406815</xdr:colOff>
      <xdr:row>46</xdr:row>
      <xdr:rowOff>17910</xdr:rowOff>
    </xdr:to>
    <xdr:graphicFrame>
      <xdr:nvGraphicFramePr>
        <xdr:cNvPr id="81" name="2D Stacked Column Chart"/>
        <xdr:cNvGraphicFramePr/>
      </xdr:nvGraphicFramePr>
      <xdr:xfrm>
        <a:off x="40589615" y="3802510"/>
        <a:ext cx="5537201" cy="3810001"/>
      </xdr:xfrm>
      <a:graphic xmlns:a="http://schemas.openxmlformats.org/drawingml/2006/main">
        <a:graphicData uri="http://schemas.openxmlformats.org/drawingml/2006/chart">
          <c:chart xmlns:c="http://schemas.openxmlformats.org/drawingml/2006/chart" r:id="rId5"/>
        </a:graphicData>
      </a:graphic>
    </xdr:graphicFrame>
    <xdr:clientData/>
  </xdr:twoCellAnchor>
  <xdr:twoCellAnchor>
    <xdr:from>
      <xdr:col>44</xdr:col>
      <xdr:colOff>496540</xdr:colOff>
      <xdr:row>82</xdr:row>
      <xdr:rowOff>38231</xdr:rowOff>
    </xdr:from>
    <xdr:to>
      <xdr:col>52</xdr:col>
      <xdr:colOff>321190</xdr:colOff>
      <xdr:row>105</xdr:row>
      <xdr:rowOff>50931</xdr:rowOff>
    </xdr:to>
    <xdr:graphicFrame>
      <xdr:nvGraphicFramePr>
        <xdr:cNvPr id="82" name="2D Line Chart"/>
        <xdr:cNvGraphicFramePr/>
      </xdr:nvGraphicFramePr>
      <xdr:xfrm>
        <a:off x="34024540" y="13576431"/>
        <a:ext cx="5920651" cy="3810001"/>
      </xdr:xfrm>
      <a:graphic xmlns:a="http://schemas.openxmlformats.org/drawingml/2006/main">
        <a:graphicData uri="http://schemas.openxmlformats.org/drawingml/2006/chart">
          <c:chart xmlns:c="http://schemas.openxmlformats.org/drawingml/2006/chart" r:id="rId6"/>
        </a:graphicData>
      </a:graphic>
    </xdr:graphicFrame>
    <xdr:clientData/>
  </xdr:twoCellAnchor>
  <xdr:twoCellAnchor>
    <xdr:from>
      <xdr:col>74</xdr:col>
      <xdr:colOff>663103</xdr:colOff>
      <xdr:row>61</xdr:row>
      <xdr:rowOff>79154</xdr:rowOff>
    </xdr:from>
    <xdr:to>
      <xdr:col>82</xdr:col>
      <xdr:colOff>282723</xdr:colOff>
      <xdr:row>84</xdr:row>
      <xdr:rowOff>91854</xdr:rowOff>
    </xdr:to>
    <xdr:graphicFrame>
      <xdr:nvGraphicFramePr>
        <xdr:cNvPr id="83" name="2D Stacked Column Chart"/>
        <xdr:cNvGraphicFramePr/>
      </xdr:nvGraphicFramePr>
      <xdr:xfrm>
        <a:off x="57051103" y="10150254"/>
        <a:ext cx="5715621" cy="3810001"/>
      </xdr:xfrm>
      <a:graphic xmlns:a="http://schemas.openxmlformats.org/drawingml/2006/main">
        <a:graphicData uri="http://schemas.openxmlformats.org/drawingml/2006/chart">
          <c:chart xmlns:c="http://schemas.openxmlformats.org/drawingml/2006/chart" r:id="rId7"/>
        </a:graphicData>
      </a:graphic>
    </xdr:graphicFrame>
    <xdr:clientData/>
  </xdr:twoCellAnchor>
  <xdr:twoCellAnchor>
    <xdr:from>
      <xdr:col>74</xdr:col>
      <xdr:colOff>488553</xdr:colOff>
      <xdr:row>91</xdr:row>
      <xdr:rowOff>109985</xdr:rowOff>
    </xdr:from>
    <xdr:to>
      <xdr:col>82</xdr:col>
      <xdr:colOff>282723</xdr:colOff>
      <xdr:row>114</xdr:row>
      <xdr:rowOff>122685</xdr:rowOff>
    </xdr:to>
    <xdr:graphicFrame>
      <xdr:nvGraphicFramePr>
        <xdr:cNvPr id="84" name="2D Stacked Column Chart"/>
        <xdr:cNvGraphicFramePr/>
      </xdr:nvGraphicFramePr>
      <xdr:xfrm>
        <a:off x="56876553" y="15134085"/>
        <a:ext cx="5890171" cy="3810001"/>
      </xdr:xfrm>
      <a:graphic xmlns:a="http://schemas.openxmlformats.org/drawingml/2006/main">
        <a:graphicData uri="http://schemas.openxmlformats.org/drawingml/2006/chart">
          <c:chart xmlns:c="http://schemas.openxmlformats.org/drawingml/2006/chart" r:id="rId8"/>
        </a:graphicData>
      </a:graphic>
    </xdr:graphicFrame>
    <xdr:clientData/>
  </xdr:twoCellAnchor>
  <xdr:twoCellAnchor>
    <xdr:from>
      <xdr:col>65</xdr:col>
      <xdr:colOff>640112</xdr:colOff>
      <xdr:row>109</xdr:row>
      <xdr:rowOff>105728</xdr:rowOff>
    </xdr:from>
    <xdr:to>
      <xdr:col>72</xdr:col>
      <xdr:colOff>604952</xdr:colOff>
      <xdr:row>132</xdr:row>
      <xdr:rowOff>118428</xdr:rowOff>
    </xdr:to>
    <xdr:graphicFrame>
      <xdr:nvGraphicFramePr>
        <xdr:cNvPr id="85" name="2D Stacked Column Chart"/>
        <xdr:cNvGraphicFramePr/>
      </xdr:nvGraphicFramePr>
      <xdr:xfrm>
        <a:off x="50170112" y="18101628"/>
        <a:ext cx="5298841" cy="3810001"/>
      </xdr:xfrm>
      <a:graphic xmlns:a="http://schemas.openxmlformats.org/drawingml/2006/main">
        <a:graphicData uri="http://schemas.openxmlformats.org/drawingml/2006/chart">
          <c:chart xmlns:c="http://schemas.openxmlformats.org/drawingml/2006/chart" r:id="rId9"/>
        </a:graphicData>
      </a:graphic>
    </xdr:graphicFrame>
    <xdr:clientData/>
  </xdr:twoCellAnchor>
  <xdr:twoCellAnchor>
    <xdr:from>
      <xdr:col>65</xdr:col>
      <xdr:colOff>640112</xdr:colOff>
      <xdr:row>83</xdr:row>
      <xdr:rowOff>121415</xdr:rowOff>
    </xdr:from>
    <xdr:to>
      <xdr:col>72</xdr:col>
      <xdr:colOff>604952</xdr:colOff>
      <xdr:row>106</xdr:row>
      <xdr:rowOff>134115</xdr:rowOff>
    </xdr:to>
    <xdr:graphicFrame>
      <xdr:nvGraphicFramePr>
        <xdr:cNvPr id="86" name="2D Stacked Column Chart"/>
        <xdr:cNvGraphicFramePr/>
      </xdr:nvGraphicFramePr>
      <xdr:xfrm>
        <a:off x="50170112" y="13824715"/>
        <a:ext cx="5298841" cy="3810001"/>
      </xdr:xfrm>
      <a:graphic xmlns:a="http://schemas.openxmlformats.org/drawingml/2006/main">
        <a:graphicData uri="http://schemas.openxmlformats.org/drawingml/2006/chart">
          <c:chart xmlns:c="http://schemas.openxmlformats.org/drawingml/2006/chart" r:id="rId10"/>
        </a:graphicData>
      </a:graphic>
    </xdr:graphicFrame>
    <xdr:clientData/>
  </xdr:twoCellAnchor>
  <xdr:twoCellAnchor>
    <xdr:from>
      <xdr:col>65</xdr:col>
      <xdr:colOff>215472</xdr:colOff>
      <xdr:row>50</xdr:row>
      <xdr:rowOff>99190</xdr:rowOff>
    </xdr:from>
    <xdr:to>
      <xdr:col>72</xdr:col>
      <xdr:colOff>180311</xdr:colOff>
      <xdr:row>73</xdr:row>
      <xdr:rowOff>111890</xdr:rowOff>
    </xdr:to>
    <xdr:graphicFrame>
      <xdr:nvGraphicFramePr>
        <xdr:cNvPr id="87" name="2D Stacked Column Chart"/>
        <xdr:cNvGraphicFramePr/>
      </xdr:nvGraphicFramePr>
      <xdr:xfrm>
        <a:off x="49745472" y="8354190"/>
        <a:ext cx="5298840" cy="3810001"/>
      </xdr:xfrm>
      <a:graphic xmlns:a="http://schemas.openxmlformats.org/drawingml/2006/main">
        <a:graphicData uri="http://schemas.openxmlformats.org/drawingml/2006/chart">
          <c:chart xmlns:c="http://schemas.openxmlformats.org/drawingml/2006/chart" r:id="rId11"/>
        </a:graphicData>
      </a:graphic>
    </xdr:graphicFrame>
    <xdr:clientData/>
  </xdr:twoCellAnchor>
  <xdr:twoCellAnchor>
    <xdr:from>
      <xdr:col>76</xdr:col>
      <xdr:colOff>55686</xdr:colOff>
      <xdr:row>105</xdr:row>
      <xdr:rowOff>24060</xdr:rowOff>
    </xdr:from>
    <xdr:to>
      <xdr:col>82</xdr:col>
      <xdr:colOff>282723</xdr:colOff>
      <xdr:row>105</xdr:row>
      <xdr:rowOff>24060</xdr:rowOff>
    </xdr:to>
    <xdr:sp>
      <xdr:nvSpPr>
        <xdr:cNvPr id="88" name="Line"/>
        <xdr:cNvSpPr/>
      </xdr:nvSpPr>
      <xdr:spPr>
        <a:xfrm>
          <a:off x="57967686" y="17359560"/>
          <a:ext cx="4799038"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54</xdr:col>
      <xdr:colOff>333700</xdr:colOff>
      <xdr:row>52</xdr:row>
      <xdr:rowOff>68074</xdr:rowOff>
    </xdr:from>
    <xdr:to>
      <xdr:col>61</xdr:col>
      <xdr:colOff>298539</xdr:colOff>
      <xdr:row>75</xdr:row>
      <xdr:rowOff>74424</xdr:rowOff>
    </xdr:to>
    <xdr:graphicFrame>
      <xdr:nvGraphicFramePr>
        <xdr:cNvPr id="89" name="2D Stacked Column Chart"/>
        <xdr:cNvGraphicFramePr/>
      </xdr:nvGraphicFramePr>
      <xdr:xfrm>
        <a:off x="41481700" y="8653274"/>
        <a:ext cx="5298840" cy="3803651"/>
      </xdr:xfrm>
      <a:graphic xmlns:a="http://schemas.openxmlformats.org/drawingml/2006/main">
        <a:graphicData uri="http://schemas.openxmlformats.org/drawingml/2006/chart">
          <c:chart xmlns:c="http://schemas.openxmlformats.org/drawingml/2006/chart" r:id="rId12"/>
        </a:graphicData>
      </a:graphic>
    </xdr:graphicFrame>
    <xdr:clientData/>
  </xdr:twoCellAnchor>
  <xdr:twoCellAnchor>
    <xdr:from>
      <xdr:col>82</xdr:col>
      <xdr:colOff>748563</xdr:colOff>
      <xdr:row>35</xdr:row>
      <xdr:rowOff>111536</xdr:rowOff>
    </xdr:from>
    <xdr:to>
      <xdr:col>92</xdr:col>
      <xdr:colOff>249008</xdr:colOff>
      <xdr:row>58</xdr:row>
      <xdr:rowOff>28986</xdr:rowOff>
    </xdr:to>
    <xdr:graphicFrame>
      <xdr:nvGraphicFramePr>
        <xdr:cNvPr id="90" name="2D Line Chart"/>
        <xdr:cNvGraphicFramePr/>
      </xdr:nvGraphicFramePr>
      <xdr:xfrm>
        <a:off x="63232563" y="5890036"/>
        <a:ext cx="7120446" cy="3714751"/>
      </xdr:xfrm>
      <a:graphic xmlns:a="http://schemas.openxmlformats.org/drawingml/2006/main">
        <a:graphicData uri="http://schemas.openxmlformats.org/drawingml/2006/chart">
          <c:chart xmlns:c="http://schemas.openxmlformats.org/drawingml/2006/chart" r:id="rId13"/>
        </a:graphicData>
      </a:graphic>
    </xdr:graphicFrame>
    <xdr:clientData/>
  </xdr:twoCellAnchor>
  <xdr:twoCellAnchor>
    <xdr:from>
      <xdr:col>9</xdr:col>
      <xdr:colOff>324248</xdr:colOff>
      <xdr:row>160</xdr:row>
      <xdr:rowOff>6607</xdr:rowOff>
    </xdr:from>
    <xdr:to>
      <xdr:col>17</xdr:col>
      <xdr:colOff>119448</xdr:colOff>
      <xdr:row>183</xdr:row>
      <xdr:rowOff>12957</xdr:rowOff>
    </xdr:to>
    <xdr:graphicFrame>
      <xdr:nvGraphicFramePr>
        <xdr:cNvPr id="91" name="2 Axis Chart"/>
        <xdr:cNvGraphicFramePr/>
      </xdr:nvGraphicFramePr>
      <xdr:xfrm>
        <a:off x="7182248" y="26422607"/>
        <a:ext cx="5891201" cy="3803651"/>
      </xdr:xfrm>
      <a:graphic xmlns:a="http://schemas.openxmlformats.org/drawingml/2006/main">
        <a:graphicData uri="http://schemas.openxmlformats.org/drawingml/2006/chart">
          <c:chart xmlns:c="http://schemas.openxmlformats.org/drawingml/2006/chart" r:id="rId14"/>
        </a:graphicData>
      </a:graphic>
    </xdr:graphicFrame>
    <xdr:clientData/>
  </xdr:twoCellAnchor>
  <xdr:twoCellAnchor>
    <xdr:from>
      <xdr:col>44</xdr:col>
      <xdr:colOff>416904</xdr:colOff>
      <xdr:row>108</xdr:row>
      <xdr:rowOff>111890</xdr:rowOff>
    </xdr:from>
    <xdr:to>
      <xdr:col>52</xdr:col>
      <xdr:colOff>367692</xdr:colOff>
      <xdr:row>131</xdr:row>
      <xdr:rowOff>124590</xdr:rowOff>
    </xdr:to>
    <xdr:graphicFrame>
      <xdr:nvGraphicFramePr>
        <xdr:cNvPr id="92" name="2D Line Chart"/>
        <xdr:cNvGraphicFramePr/>
      </xdr:nvGraphicFramePr>
      <xdr:xfrm>
        <a:off x="33944904" y="17942690"/>
        <a:ext cx="6046789" cy="3810001"/>
      </xdr:xfrm>
      <a:graphic xmlns:a="http://schemas.openxmlformats.org/drawingml/2006/main">
        <a:graphicData uri="http://schemas.openxmlformats.org/drawingml/2006/chart">
          <c:chart xmlns:c="http://schemas.openxmlformats.org/drawingml/2006/chart" r:id="rId15"/>
        </a:graphicData>
      </a:graphic>
    </xdr:graphicFrame>
    <xdr:clientData/>
  </xdr:twoCellAnchor>
  <xdr:twoCellAnchor>
    <xdr:from>
      <xdr:col>83</xdr:col>
      <xdr:colOff>413829</xdr:colOff>
      <xdr:row>63</xdr:row>
      <xdr:rowOff>4576</xdr:rowOff>
    </xdr:from>
    <xdr:to>
      <xdr:col>91</xdr:col>
      <xdr:colOff>343329</xdr:colOff>
      <xdr:row>86</xdr:row>
      <xdr:rowOff>68076</xdr:rowOff>
    </xdr:to>
    <xdr:graphicFrame>
      <xdr:nvGraphicFramePr>
        <xdr:cNvPr id="93" name="2D Line Chart"/>
        <xdr:cNvGraphicFramePr/>
      </xdr:nvGraphicFramePr>
      <xdr:xfrm>
        <a:off x="63659829" y="10405876"/>
        <a:ext cx="6025501" cy="3860801"/>
      </xdr:xfrm>
      <a:graphic xmlns:a="http://schemas.openxmlformats.org/drawingml/2006/main">
        <a:graphicData uri="http://schemas.openxmlformats.org/drawingml/2006/chart">
          <c:chart xmlns:c="http://schemas.openxmlformats.org/drawingml/2006/chart" r:id="rId16"/>
        </a:graphicData>
      </a:graphic>
    </xdr:graphicFrame>
    <xdr:clientData/>
  </xdr:twoCellAnchor>
  <xdr:twoCellAnchor>
    <xdr:from>
      <xdr:col>76</xdr:col>
      <xdr:colOff>54464</xdr:colOff>
      <xdr:row>72</xdr:row>
      <xdr:rowOff>43944</xdr:rowOff>
    </xdr:from>
    <xdr:to>
      <xdr:col>82</xdr:col>
      <xdr:colOff>281502</xdr:colOff>
      <xdr:row>72</xdr:row>
      <xdr:rowOff>43944</xdr:rowOff>
    </xdr:to>
    <xdr:sp>
      <xdr:nvSpPr>
        <xdr:cNvPr id="94" name="Line"/>
        <xdr:cNvSpPr/>
      </xdr:nvSpPr>
      <xdr:spPr>
        <a:xfrm>
          <a:off x="57966464" y="11931144"/>
          <a:ext cx="4799039"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54</xdr:col>
      <xdr:colOff>246301</xdr:colOff>
      <xdr:row>83</xdr:row>
      <xdr:rowOff>113983</xdr:rowOff>
    </xdr:from>
    <xdr:to>
      <xdr:col>61</xdr:col>
      <xdr:colOff>486658</xdr:colOff>
      <xdr:row>106</xdr:row>
      <xdr:rowOff>120333</xdr:rowOff>
    </xdr:to>
    <xdr:graphicFrame>
      <xdr:nvGraphicFramePr>
        <xdr:cNvPr id="95" name="2D Stacked Column Chart"/>
        <xdr:cNvGraphicFramePr/>
      </xdr:nvGraphicFramePr>
      <xdr:xfrm>
        <a:off x="41394301" y="13817283"/>
        <a:ext cx="5574358" cy="3803651"/>
      </xdr:xfrm>
      <a:graphic xmlns:a="http://schemas.openxmlformats.org/drawingml/2006/main">
        <a:graphicData uri="http://schemas.openxmlformats.org/drawingml/2006/chart">
          <c:chart xmlns:c="http://schemas.openxmlformats.org/drawingml/2006/chart" r:id="rId17"/>
        </a:graphicData>
      </a:graphic>
    </xdr:graphicFrame>
    <xdr:clientData/>
  </xdr:twoCellAnchor>
  <xdr:twoCellAnchor>
    <xdr:from>
      <xdr:col>54</xdr:col>
      <xdr:colOff>521819</xdr:colOff>
      <xdr:row>112</xdr:row>
      <xdr:rowOff>5474</xdr:rowOff>
    </xdr:from>
    <xdr:to>
      <xdr:col>61</xdr:col>
      <xdr:colOff>486658</xdr:colOff>
      <xdr:row>135</xdr:row>
      <xdr:rowOff>11824</xdr:rowOff>
    </xdr:to>
    <xdr:graphicFrame>
      <xdr:nvGraphicFramePr>
        <xdr:cNvPr id="96" name="2D Stacked Column Chart"/>
        <xdr:cNvGraphicFramePr/>
      </xdr:nvGraphicFramePr>
      <xdr:xfrm>
        <a:off x="41669819" y="18496674"/>
        <a:ext cx="5298840" cy="3803651"/>
      </xdr:xfrm>
      <a:graphic xmlns:a="http://schemas.openxmlformats.org/drawingml/2006/main">
        <a:graphicData uri="http://schemas.openxmlformats.org/drawingml/2006/chart">
          <c:chart xmlns:c="http://schemas.openxmlformats.org/drawingml/2006/chart" r:id="rId18"/>
        </a:graphicData>
      </a:graphic>
    </xdr:graphicFrame>
    <xdr:clientData/>
  </xdr:twoCellAnchor>
  <xdr:twoCellAnchor>
    <xdr:from>
      <xdr:col>76</xdr:col>
      <xdr:colOff>54464</xdr:colOff>
      <xdr:row>77</xdr:row>
      <xdr:rowOff>120144</xdr:rowOff>
    </xdr:from>
    <xdr:to>
      <xdr:col>82</xdr:col>
      <xdr:colOff>281502</xdr:colOff>
      <xdr:row>77</xdr:row>
      <xdr:rowOff>120144</xdr:rowOff>
    </xdr:to>
    <xdr:sp>
      <xdr:nvSpPr>
        <xdr:cNvPr id="97" name="Line"/>
        <xdr:cNvSpPr/>
      </xdr:nvSpPr>
      <xdr:spPr>
        <a:xfrm>
          <a:off x="57966464" y="12832844"/>
          <a:ext cx="4799039"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9</xdr:col>
      <xdr:colOff>237585</xdr:colOff>
      <xdr:row>283</xdr:row>
      <xdr:rowOff>35557</xdr:rowOff>
    </xdr:from>
    <xdr:to>
      <xdr:col>26</xdr:col>
      <xdr:colOff>323409</xdr:colOff>
      <xdr:row>328</xdr:row>
      <xdr:rowOff>10157</xdr:rowOff>
    </xdr:to>
    <xdr:graphicFrame>
      <xdr:nvGraphicFramePr>
        <xdr:cNvPr id="98" name="2D Column Chart"/>
        <xdr:cNvGraphicFramePr/>
      </xdr:nvGraphicFramePr>
      <xdr:xfrm>
        <a:off x="7095585" y="46758857"/>
        <a:ext cx="13039825" cy="7404101"/>
      </xdr:xfrm>
      <a:graphic xmlns:a="http://schemas.openxmlformats.org/drawingml/2006/main">
        <a:graphicData uri="http://schemas.openxmlformats.org/drawingml/2006/chart">
          <c:chart xmlns:c="http://schemas.openxmlformats.org/drawingml/2006/chart" r:id="rId19"/>
        </a:graphicData>
      </a:graphic>
    </xdr:graphicFrame>
    <xdr:clientData/>
  </xdr:twoCellAnchor>
  <xdr:twoCellAnchor>
    <xdr:from>
      <xdr:col>26</xdr:col>
      <xdr:colOff>666306</xdr:colOff>
      <xdr:row>287</xdr:row>
      <xdr:rowOff>159275</xdr:rowOff>
    </xdr:from>
    <xdr:to>
      <xdr:col>34</xdr:col>
      <xdr:colOff>350195</xdr:colOff>
      <xdr:row>309</xdr:row>
      <xdr:rowOff>61485</xdr:rowOff>
    </xdr:to>
    <xdr:sp>
      <xdr:nvSpPr>
        <xdr:cNvPr id="99" name="que las barras no suban de 0 !!!…"/>
        <xdr:cNvSpPr txBox="1"/>
      </xdr:nvSpPr>
      <xdr:spPr>
        <a:xfrm>
          <a:off x="20478306" y="47542975"/>
          <a:ext cx="5779890" cy="353441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latinLnBrk="0">
            <a:lnSpc>
              <a:spcPct val="100000"/>
            </a:lnSpc>
            <a:spcBef>
              <a:spcPts val="0"/>
            </a:spcBef>
            <a:spcAft>
              <a:spcPts val="0"/>
            </a:spcAft>
            <a:buClrTx/>
            <a:buSzTx/>
            <a:buFontTx/>
            <a:buNone/>
            <a:defRPr b="0" baseline="0" cap="none" i="0" spc="0" strike="noStrike" sz="2300" u="none">
              <a:solidFill>
                <a:srgbClr val="000000"/>
              </a:solidFill>
              <a:uFillTx/>
              <a:latin typeface="Menlo Regular"/>
              <a:ea typeface="Menlo Regular"/>
              <a:cs typeface="Menlo Regular"/>
              <a:sym typeface="Menlo Regular"/>
            </a:defRPr>
          </a:pPr>
          <a:r>
            <a:rPr b="0" baseline="0" cap="none" i="0" spc="0" strike="noStrike" sz="2300" u="none">
              <a:solidFill>
                <a:srgbClr val="000000"/>
              </a:solidFill>
              <a:uFillTx/>
              <a:latin typeface="Menlo Regular"/>
              <a:ea typeface="Menlo Regular"/>
              <a:cs typeface="Menlo Regular"/>
              <a:sym typeface="Menlo Regular"/>
            </a:rPr>
            <a:t>que las barras no suban de 0 !!!</a:t>
          </a:r>
          <a:endParaRPr b="0" baseline="0" cap="none" i="0" spc="0" strike="noStrike" sz="2300" u="none">
            <a:solidFill>
              <a:srgbClr val="000000"/>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2300" u="none">
              <a:solidFill>
                <a:srgbClr val="000000"/>
              </a:solidFill>
              <a:uFillTx/>
              <a:latin typeface="Menlo Regular"/>
              <a:ea typeface="Menlo Regular"/>
              <a:cs typeface="Menlo Regular"/>
              <a:sym typeface="Menlo Regular"/>
            </a:defRPr>
          </a:pPr>
          <a:endParaRPr b="0" baseline="0" cap="none" i="0" spc="0" strike="noStrike" sz="2300" u="none">
            <a:solidFill>
              <a:srgbClr val="000000"/>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2300" u="none">
              <a:solidFill>
                <a:srgbClr val="000000"/>
              </a:solidFill>
              <a:uFillTx/>
              <a:latin typeface="Menlo Regular"/>
              <a:ea typeface="Menlo Regular"/>
              <a:cs typeface="Menlo Regular"/>
              <a:sym typeface="Menlo Regular"/>
            </a:defRPr>
          </a:pPr>
          <a:r>
            <a:rPr b="0" baseline="0" cap="none" i="0" spc="0" strike="noStrike" sz="2300" u="none">
              <a:solidFill>
                <a:srgbClr val="000000"/>
              </a:solidFill>
              <a:uFillTx/>
              <a:latin typeface="Menlo Regular"/>
              <a:ea typeface="Menlo Regular"/>
              <a:cs typeface="Menlo Regular"/>
              <a:sym typeface="Menlo Regular"/>
            </a:rPr>
            <a:t>y ojalá de -500.000</a:t>
          </a:r>
          <a:endParaRPr b="0" baseline="0" cap="none" i="0" spc="0" strike="noStrike" sz="2300" u="none">
            <a:solidFill>
              <a:srgbClr val="000000"/>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2300" u="none">
              <a:solidFill>
                <a:srgbClr val="000000"/>
              </a:solidFill>
              <a:uFillTx/>
              <a:latin typeface="Menlo Regular"/>
              <a:ea typeface="Menlo Regular"/>
              <a:cs typeface="Menlo Regular"/>
              <a:sym typeface="Menlo Regular"/>
            </a:defRPr>
          </a:pPr>
          <a:endParaRPr b="0" baseline="0" cap="none" i="0" spc="0" strike="noStrike" sz="2300" u="none">
            <a:solidFill>
              <a:srgbClr val="000000"/>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2300" u="none">
              <a:solidFill>
                <a:srgbClr val="000000"/>
              </a:solidFill>
              <a:uFillTx/>
              <a:latin typeface="Menlo Regular"/>
              <a:ea typeface="Menlo Regular"/>
              <a:cs typeface="Menlo Regular"/>
              <a:sym typeface="Menlo Regular"/>
            </a:defRPr>
          </a:pPr>
          <a:r>
            <a:rPr b="0" baseline="0" cap="none" i="0" spc="0" strike="noStrike" sz="2300" u="none">
              <a:solidFill>
                <a:srgbClr val="000000"/>
              </a:solidFill>
              <a:uFillTx/>
              <a:latin typeface="Menlo Regular"/>
              <a:ea typeface="Menlo Regular"/>
              <a:cs typeface="Menlo Regular"/>
              <a:sym typeface="Menlo Regular"/>
            </a:rPr>
            <a:t>y ojalá de -1.000.000</a:t>
          </a:r>
          <a:endParaRPr b="0" baseline="0" cap="none" i="0" spc="0" strike="noStrike" sz="2300" u="none">
            <a:solidFill>
              <a:srgbClr val="000000"/>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2300" u="none">
              <a:solidFill>
                <a:srgbClr val="000000"/>
              </a:solidFill>
              <a:uFillTx/>
              <a:latin typeface="Menlo Regular"/>
              <a:ea typeface="Menlo Regular"/>
              <a:cs typeface="Menlo Regular"/>
              <a:sym typeface="Menlo Regular"/>
            </a:defRPr>
          </a:pPr>
          <a:endParaRPr b="0" baseline="0" cap="none" i="0" spc="0" strike="noStrike" sz="2300" u="none">
            <a:solidFill>
              <a:srgbClr val="000000"/>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2300" u="none">
              <a:solidFill>
                <a:srgbClr val="000000"/>
              </a:solidFill>
              <a:uFillTx/>
              <a:latin typeface="Menlo Regular"/>
              <a:ea typeface="Menlo Regular"/>
              <a:cs typeface="Menlo Regular"/>
              <a:sym typeface="Menlo Regular"/>
            </a:defRPr>
          </a:pPr>
          <a:endParaRPr b="0" baseline="0" cap="none" i="0" spc="0" strike="noStrike" sz="2300" u="none">
            <a:solidFill>
              <a:srgbClr val="000000"/>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2300" u="none">
              <a:solidFill>
                <a:srgbClr val="000000"/>
              </a:solidFill>
              <a:uFillTx/>
              <a:latin typeface="Menlo Regular"/>
              <a:ea typeface="Menlo Regular"/>
              <a:cs typeface="Menlo Regular"/>
              <a:sym typeface="Menlo Regular"/>
            </a:defRPr>
          </a:pPr>
          <a:endParaRPr b="0" baseline="0" cap="none" i="0" spc="0" strike="noStrike" sz="2300" u="none">
            <a:solidFill>
              <a:srgbClr val="000000"/>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2300" u="none">
              <a:solidFill>
                <a:srgbClr val="000000"/>
              </a:solidFill>
              <a:uFillTx/>
              <a:latin typeface="Menlo Regular"/>
              <a:ea typeface="Menlo Regular"/>
              <a:cs typeface="Menlo Regular"/>
              <a:sym typeface="Menlo Regular"/>
            </a:defRPr>
          </a:pPr>
          <a:r>
            <a:rPr b="0" baseline="0" cap="none" i="0" spc="0" strike="noStrike" sz="2300" u="none">
              <a:solidFill>
                <a:srgbClr val="000000"/>
              </a:solidFill>
              <a:uFillTx/>
              <a:latin typeface="Menlo Regular"/>
              <a:ea typeface="Menlo Regular"/>
              <a:cs typeface="Menlo Regular"/>
              <a:sym typeface="Menlo Regular"/>
            </a:rPr>
            <a:t>...y ojalá de -2.000.000</a:t>
          </a:r>
        </a:p>
      </xdr:txBody>
    </xdr:sp>
    <xdr:clientData/>
  </xdr:twoCellAnchor>
  <xdr:twoCellAnchor>
    <xdr:from>
      <xdr:col>22</xdr:col>
      <xdr:colOff>493287</xdr:colOff>
      <xdr:row>290</xdr:row>
      <xdr:rowOff>27858</xdr:rowOff>
    </xdr:from>
    <xdr:to>
      <xdr:col>22</xdr:col>
      <xdr:colOff>531819</xdr:colOff>
      <xdr:row>375</xdr:row>
      <xdr:rowOff>135935</xdr:rowOff>
    </xdr:to>
    <xdr:sp>
      <xdr:nvSpPr>
        <xdr:cNvPr id="100" name="Rectangle"/>
        <xdr:cNvSpPr/>
      </xdr:nvSpPr>
      <xdr:spPr>
        <a:xfrm>
          <a:off x="17257287" y="47906858"/>
          <a:ext cx="38533" cy="14141578"/>
        </a:xfrm>
        <a:prstGeom prst="rect">
          <a:avLst/>
        </a:prstGeom>
        <a:solidFill>
          <a:srgbClr val="2B495F"/>
        </a:solidFill>
        <a:ln w="12700" cap="flat">
          <a:noFill/>
          <a:miter lim="400000"/>
        </a:ln>
        <a:effectLst/>
      </xdr:spPr>
      <xdr:txBody>
        <a:bodyPr/>
        <a:lstStyle/>
        <a:p>
          <a:pPr/>
        </a:p>
      </xdr:txBody>
    </xdr:sp>
    <xdr:clientData/>
  </xdr:twoCellAnchor>
  <xdr:twoCellAnchor>
    <xdr:from>
      <xdr:col>134</xdr:col>
      <xdr:colOff>618306</xdr:colOff>
      <xdr:row>240</xdr:row>
      <xdr:rowOff>81278</xdr:rowOff>
    </xdr:from>
    <xdr:to>
      <xdr:col>149</xdr:col>
      <xdr:colOff>279396</xdr:colOff>
      <xdr:row>263</xdr:row>
      <xdr:rowOff>93978</xdr:rowOff>
    </xdr:to>
    <xdr:graphicFrame>
      <xdr:nvGraphicFramePr>
        <xdr:cNvPr id="101" name="2 Axis Chart"/>
        <xdr:cNvGraphicFramePr/>
      </xdr:nvGraphicFramePr>
      <xdr:xfrm>
        <a:off x="102726306" y="39705278"/>
        <a:ext cx="11091091" cy="3810001"/>
      </xdr:xfrm>
      <a:graphic xmlns:a="http://schemas.openxmlformats.org/drawingml/2006/main">
        <a:graphicData uri="http://schemas.openxmlformats.org/drawingml/2006/chart">
          <c:chart xmlns:c="http://schemas.openxmlformats.org/drawingml/2006/chart" r:id="rId20"/>
        </a:graphicData>
      </a:graphic>
    </xdr:graphicFrame>
    <xdr:clientData/>
  </xdr:twoCellAnchor>
  <xdr:twoCellAnchor>
    <xdr:from>
      <xdr:col>124</xdr:col>
      <xdr:colOff>157088</xdr:colOff>
      <xdr:row>267</xdr:row>
      <xdr:rowOff>79722</xdr:rowOff>
    </xdr:from>
    <xdr:to>
      <xdr:col>138</xdr:col>
      <xdr:colOff>213144</xdr:colOff>
      <xdr:row>290</xdr:row>
      <xdr:rowOff>92422</xdr:rowOff>
    </xdr:to>
    <xdr:graphicFrame>
      <xdr:nvGraphicFramePr>
        <xdr:cNvPr id="102" name="2D Line Chart"/>
        <xdr:cNvGraphicFramePr/>
      </xdr:nvGraphicFramePr>
      <xdr:xfrm>
        <a:off x="94645088" y="44161422"/>
        <a:ext cx="10724057" cy="3810001"/>
      </xdr:xfrm>
      <a:graphic xmlns:a="http://schemas.openxmlformats.org/drawingml/2006/main">
        <a:graphicData uri="http://schemas.openxmlformats.org/drawingml/2006/chart">
          <c:chart xmlns:c="http://schemas.openxmlformats.org/drawingml/2006/chart" r:id="rId21"/>
        </a:graphicData>
      </a:graphic>
    </xdr:graphicFrame>
    <xdr:clientData/>
  </xdr:twoCellAnchor>
  <xdr:twoCellAnchor>
    <xdr:from>
      <xdr:col>36</xdr:col>
      <xdr:colOff>221933</xdr:colOff>
      <xdr:row>279</xdr:row>
      <xdr:rowOff>157097</xdr:rowOff>
    </xdr:from>
    <xdr:to>
      <xdr:col>53</xdr:col>
      <xdr:colOff>307757</xdr:colOff>
      <xdr:row>324</xdr:row>
      <xdr:rowOff>131697</xdr:rowOff>
    </xdr:to>
    <xdr:graphicFrame>
      <xdr:nvGraphicFramePr>
        <xdr:cNvPr id="103" name="2D Column Chart"/>
        <xdr:cNvGraphicFramePr/>
      </xdr:nvGraphicFramePr>
      <xdr:xfrm>
        <a:off x="27653933" y="46219997"/>
        <a:ext cx="13039825" cy="7404101"/>
      </xdr:xfrm>
      <a:graphic xmlns:a="http://schemas.openxmlformats.org/drawingml/2006/main">
        <a:graphicData uri="http://schemas.openxmlformats.org/drawingml/2006/chart">
          <c:chart xmlns:c="http://schemas.openxmlformats.org/drawingml/2006/chart" r:id="rId22"/>
        </a:graphicData>
      </a:graphic>
    </xdr:graphicFrame>
    <xdr:clientData/>
  </xdr:twoCellAnchor>
  <xdr:twoCellAnchor>
    <xdr:from>
      <xdr:col>47</xdr:col>
      <xdr:colOff>104688</xdr:colOff>
      <xdr:row>134</xdr:row>
      <xdr:rowOff>133480</xdr:rowOff>
    </xdr:from>
    <xdr:to>
      <xdr:col>54</xdr:col>
      <xdr:colOff>69527</xdr:colOff>
      <xdr:row>157</xdr:row>
      <xdr:rowOff>146180</xdr:rowOff>
    </xdr:to>
    <xdr:graphicFrame>
      <xdr:nvGraphicFramePr>
        <xdr:cNvPr id="104" name="2D Stacked Column Chart"/>
        <xdr:cNvGraphicFramePr/>
      </xdr:nvGraphicFramePr>
      <xdr:xfrm>
        <a:off x="35918688" y="22256880"/>
        <a:ext cx="5298840" cy="3810001"/>
      </xdr:xfrm>
      <a:graphic xmlns:a="http://schemas.openxmlformats.org/drawingml/2006/main">
        <a:graphicData uri="http://schemas.openxmlformats.org/drawingml/2006/chart">
          <c:chart xmlns:c="http://schemas.openxmlformats.org/drawingml/2006/chart" r:id="rId23"/>
        </a:graphicData>
      </a:graphic>
    </xdr:graphicFrame>
    <xdr:clientData/>
  </xdr:twoCellAnchor>
  <xdr:twoCellAnchor>
    <xdr:from>
      <xdr:col>47</xdr:col>
      <xdr:colOff>617190</xdr:colOff>
      <xdr:row>147</xdr:row>
      <xdr:rowOff>34855</xdr:rowOff>
    </xdr:from>
    <xdr:to>
      <xdr:col>54</xdr:col>
      <xdr:colOff>82227</xdr:colOff>
      <xdr:row>147</xdr:row>
      <xdr:rowOff>34855</xdr:rowOff>
    </xdr:to>
    <xdr:sp>
      <xdr:nvSpPr>
        <xdr:cNvPr id="105" name="Line"/>
        <xdr:cNvSpPr/>
      </xdr:nvSpPr>
      <xdr:spPr>
        <a:xfrm>
          <a:off x="36431190" y="24304555"/>
          <a:ext cx="4799038"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75</xdr:col>
      <xdr:colOff>334776</xdr:colOff>
      <xdr:row>116</xdr:row>
      <xdr:rowOff>83315</xdr:rowOff>
    </xdr:from>
    <xdr:to>
      <xdr:col>82</xdr:col>
      <xdr:colOff>299615</xdr:colOff>
      <xdr:row>139</xdr:row>
      <xdr:rowOff>96015</xdr:rowOff>
    </xdr:to>
    <xdr:graphicFrame>
      <xdr:nvGraphicFramePr>
        <xdr:cNvPr id="106" name="2D Stacked Column Chart"/>
        <xdr:cNvGraphicFramePr/>
      </xdr:nvGraphicFramePr>
      <xdr:xfrm>
        <a:off x="57484776" y="19234915"/>
        <a:ext cx="5298840" cy="3810001"/>
      </xdr:xfrm>
      <a:graphic xmlns:a="http://schemas.openxmlformats.org/drawingml/2006/main">
        <a:graphicData uri="http://schemas.openxmlformats.org/drawingml/2006/chart">
          <c:chart xmlns:c="http://schemas.openxmlformats.org/drawingml/2006/chart" r:id="rId24"/>
        </a:graphicData>
      </a:graphic>
    </xdr:graphicFrame>
    <xdr:clientData/>
  </xdr:twoCellAnchor>
  <xdr:twoCellAnchor>
    <xdr:from>
      <xdr:col>76</xdr:col>
      <xdr:colOff>59878</xdr:colOff>
      <xdr:row>128</xdr:row>
      <xdr:rowOff>149790</xdr:rowOff>
    </xdr:from>
    <xdr:to>
      <xdr:col>82</xdr:col>
      <xdr:colOff>286915</xdr:colOff>
      <xdr:row>128</xdr:row>
      <xdr:rowOff>149790</xdr:rowOff>
    </xdr:to>
    <xdr:sp>
      <xdr:nvSpPr>
        <xdr:cNvPr id="107" name="Line"/>
        <xdr:cNvSpPr/>
      </xdr:nvSpPr>
      <xdr:spPr>
        <a:xfrm>
          <a:off x="57971878" y="21282590"/>
          <a:ext cx="4799038"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4</xdr:col>
      <xdr:colOff>277139</xdr:colOff>
      <xdr:row>281</xdr:row>
      <xdr:rowOff>93054</xdr:rowOff>
    </xdr:from>
    <xdr:to>
      <xdr:col>7</xdr:col>
      <xdr:colOff>552005</xdr:colOff>
      <xdr:row>303</xdr:row>
      <xdr:rowOff>138167</xdr:rowOff>
    </xdr:to>
    <xdr:sp>
      <xdr:nvSpPr>
        <xdr:cNvPr id="108" name="Clipboard"/>
        <xdr:cNvSpPr/>
      </xdr:nvSpPr>
      <xdr:spPr>
        <a:xfrm>
          <a:off x="3325139" y="46486154"/>
          <a:ext cx="2560867" cy="3677314"/>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10801" y="0"/>
              </a:moveTo>
              <a:cubicBezTo>
                <a:pt x="9801" y="0"/>
                <a:pt x="9330" y="294"/>
                <a:pt x="8865" y="898"/>
              </a:cubicBezTo>
              <a:cubicBezTo>
                <a:pt x="8394" y="1511"/>
                <a:pt x="7651" y="1943"/>
                <a:pt x="7089" y="1943"/>
              </a:cubicBezTo>
              <a:cubicBezTo>
                <a:pt x="6826" y="1943"/>
                <a:pt x="6299" y="1922"/>
                <a:pt x="6037" y="1943"/>
              </a:cubicBezTo>
              <a:cubicBezTo>
                <a:pt x="5104" y="2016"/>
                <a:pt x="4553" y="2318"/>
                <a:pt x="4308" y="2794"/>
              </a:cubicBezTo>
              <a:lnTo>
                <a:pt x="1139" y="2794"/>
              </a:lnTo>
              <a:cubicBezTo>
                <a:pt x="510" y="2794"/>
                <a:pt x="0" y="3149"/>
                <a:pt x="0" y="3587"/>
              </a:cubicBezTo>
              <a:lnTo>
                <a:pt x="0" y="20807"/>
              </a:lnTo>
              <a:cubicBezTo>
                <a:pt x="0" y="21245"/>
                <a:pt x="510" y="21600"/>
                <a:pt x="1139" y="21600"/>
              </a:cubicBezTo>
              <a:lnTo>
                <a:pt x="20461" y="21600"/>
              </a:lnTo>
              <a:cubicBezTo>
                <a:pt x="21090" y="21600"/>
                <a:pt x="21600" y="21245"/>
                <a:pt x="21600" y="20807"/>
              </a:cubicBezTo>
              <a:lnTo>
                <a:pt x="21600" y="3587"/>
              </a:lnTo>
              <a:cubicBezTo>
                <a:pt x="21600" y="3149"/>
                <a:pt x="21090" y="2794"/>
                <a:pt x="20461" y="2794"/>
              </a:cubicBezTo>
              <a:lnTo>
                <a:pt x="17292" y="2794"/>
              </a:lnTo>
              <a:cubicBezTo>
                <a:pt x="17047" y="2318"/>
                <a:pt x="16496" y="2016"/>
                <a:pt x="15563" y="1943"/>
              </a:cubicBezTo>
              <a:cubicBezTo>
                <a:pt x="15301" y="1922"/>
                <a:pt x="14774" y="1943"/>
                <a:pt x="14511" y="1943"/>
              </a:cubicBezTo>
              <a:cubicBezTo>
                <a:pt x="13949" y="1943"/>
                <a:pt x="13209" y="1511"/>
                <a:pt x="12738" y="898"/>
              </a:cubicBezTo>
              <a:cubicBezTo>
                <a:pt x="12273" y="294"/>
                <a:pt x="11802" y="0"/>
                <a:pt x="10801" y="0"/>
              </a:cubicBezTo>
              <a:close/>
              <a:moveTo>
                <a:pt x="10799" y="593"/>
              </a:moveTo>
              <a:cubicBezTo>
                <a:pt x="11264" y="593"/>
                <a:pt x="11644" y="857"/>
                <a:pt x="11644" y="1181"/>
              </a:cubicBezTo>
              <a:cubicBezTo>
                <a:pt x="11644" y="1506"/>
                <a:pt x="11265" y="1767"/>
                <a:pt x="10799" y="1767"/>
              </a:cubicBezTo>
              <a:cubicBezTo>
                <a:pt x="10332" y="1767"/>
                <a:pt x="9956" y="1506"/>
                <a:pt x="9956" y="1181"/>
              </a:cubicBezTo>
              <a:cubicBezTo>
                <a:pt x="9956" y="857"/>
                <a:pt x="10333" y="593"/>
                <a:pt x="10799" y="593"/>
              </a:cubicBezTo>
              <a:close/>
              <a:moveTo>
                <a:pt x="1619" y="3923"/>
              </a:moveTo>
              <a:lnTo>
                <a:pt x="4207" y="3923"/>
              </a:lnTo>
              <a:cubicBezTo>
                <a:pt x="4263" y="4130"/>
                <a:pt x="4364" y="4392"/>
                <a:pt x="4364" y="4392"/>
              </a:cubicBezTo>
              <a:lnTo>
                <a:pt x="10799" y="4392"/>
              </a:lnTo>
              <a:lnTo>
                <a:pt x="17236" y="4392"/>
              </a:lnTo>
              <a:cubicBezTo>
                <a:pt x="17236" y="4392"/>
                <a:pt x="17337" y="4130"/>
                <a:pt x="17393" y="3923"/>
              </a:cubicBezTo>
              <a:lnTo>
                <a:pt x="19981" y="3923"/>
              </a:lnTo>
              <a:lnTo>
                <a:pt x="19981" y="20471"/>
              </a:lnTo>
              <a:lnTo>
                <a:pt x="1619" y="20471"/>
              </a:lnTo>
              <a:lnTo>
                <a:pt x="1619" y="3923"/>
              </a:lnTo>
              <a:close/>
            </a:path>
          </a:pathLst>
        </a:custGeom>
        <a:blipFill rotWithShape="1">
          <a:blip r:embed="rId25"/>
          <a:srcRect l="0" t="0" r="0" b="0"/>
          <a:tile tx="0" ty="0" sx="100000" sy="100000" flip="none" algn="tl"/>
        </a:blipFill>
        <a:ln w="12700" cap="flat">
          <a:noFill/>
          <a:miter lim="400000"/>
        </a:ln>
        <a:effectLst>
          <a:outerShdw sx="100000" sy="100000" kx="0" ky="0" algn="b" rotWithShape="0" blurRad="38100" dist="25400" dir="5400000">
            <a:srgbClr val="000000">
              <a:alpha val="50000"/>
            </a:srgbClr>
          </a:outerShdw>
        </a:effectLst>
      </xdr:spPr>
      <xdr:txBody>
        <a:bodyPr/>
        <a:lstStyle/>
        <a:p>
          <a:pPr/>
        </a:p>
      </xdr:txBody>
    </xdr:sp>
    <xdr:clientData/>
  </xdr:twoCellAnchor>
  <xdr:twoCellAnchor>
    <xdr:from>
      <xdr:col>4</xdr:col>
      <xdr:colOff>533760</xdr:colOff>
      <xdr:row>286</xdr:row>
      <xdr:rowOff>97182</xdr:rowOff>
    </xdr:from>
    <xdr:to>
      <xdr:col>7</xdr:col>
      <xdr:colOff>295385</xdr:colOff>
      <xdr:row>295</xdr:row>
      <xdr:rowOff>57177</xdr:rowOff>
    </xdr:to>
    <xdr:sp>
      <xdr:nvSpPr>
        <xdr:cNvPr id="109" name="antes de pagar actualizar:…"/>
        <xdr:cNvSpPr txBox="1"/>
      </xdr:nvSpPr>
      <xdr:spPr>
        <a:xfrm>
          <a:off x="3581760" y="47315782"/>
          <a:ext cx="2047626" cy="144589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152400" marR="0" indent="-152400" algn="l" defTabSz="457200" rtl="0" latinLnBrk="0">
            <a:lnSpc>
              <a:spcPct val="100000"/>
            </a:lnSpc>
            <a:spcBef>
              <a:spcPts val="0"/>
            </a:spcBef>
            <a:spcAft>
              <a:spcPts val="0"/>
            </a:spcAft>
            <a:buClrTx/>
            <a:buSzPct val="120000"/>
            <a:buFontTx/>
            <a:buChar char="-"/>
            <a:defRPr b="0" baseline="0" cap="none" i="0" spc="0" strike="noStrike" sz="1100" u="none">
              <a:solidFill>
                <a:srgbClr val="000000"/>
              </a:solidFill>
              <a:uFillTx/>
              <a:latin typeface="+mn-lt"/>
              <a:ea typeface="+mn-ea"/>
              <a:cs typeface="+mn-cs"/>
              <a:sym typeface="Helvetica"/>
            </a:defRPr>
          </a:pPr>
          <a:r>
            <a:rPr b="0" baseline="0" cap="none" i="0" spc="0" strike="noStrike" sz="1100" u="none">
              <a:solidFill>
                <a:srgbClr val="000000"/>
              </a:solidFill>
              <a:uFillTx/>
              <a:latin typeface="+mn-lt"/>
              <a:ea typeface="+mn-ea"/>
              <a:cs typeface="+mn-cs"/>
              <a:sym typeface="Helvetica"/>
            </a:rPr>
            <a:t>antes de pagar actualizar: </a:t>
          </a:r>
          <a:endParaRPr b="0" baseline="0" cap="none" i="0" spc="0" strike="noStrike" sz="1100" u="none">
            <a:solidFill>
              <a:srgbClr val="000000"/>
            </a:solidFill>
            <a:uFillTx/>
            <a:latin typeface="+mn-lt"/>
            <a:ea typeface="+mn-ea"/>
            <a:cs typeface="+mn-cs"/>
            <a:sym typeface="Helvetica"/>
          </a:endParaRPr>
        </a:p>
        <a:p>
          <a:pPr lvl="1" marL="304800" marR="0" indent="-152400" algn="l" defTabSz="457200" rtl="0" latinLnBrk="0">
            <a:lnSpc>
              <a:spcPct val="100000"/>
            </a:lnSpc>
            <a:spcBef>
              <a:spcPts val="0"/>
            </a:spcBef>
            <a:spcAft>
              <a:spcPts val="0"/>
            </a:spcAft>
            <a:buClrTx/>
            <a:buSzPct val="120000"/>
            <a:buFontTx/>
            <a:buChar char="-"/>
            <a:defRPr b="0" baseline="0" cap="none" i="0" spc="0" strike="noStrike" sz="1100" u="none">
              <a:solidFill>
                <a:srgbClr val="000000"/>
              </a:solidFill>
              <a:uFillTx/>
              <a:latin typeface="+mn-lt"/>
              <a:ea typeface="+mn-ea"/>
              <a:cs typeface="+mn-cs"/>
              <a:sym typeface="Helvetica"/>
            </a:defRPr>
          </a:pPr>
          <a:r>
            <a:rPr b="0" baseline="0" cap="none" i="0" spc="0" strike="noStrike" sz="1100" u="none">
              <a:solidFill>
                <a:srgbClr val="000000"/>
              </a:solidFill>
              <a:uFillTx/>
              <a:latin typeface="+mn-lt"/>
              <a:ea typeface="+mn-ea"/>
              <a:cs typeface="+mn-cs"/>
              <a:sym typeface="Helvetica"/>
            </a:rPr>
            <a:t>pago min/max UF</a:t>
          </a:r>
          <a:endParaRPr b="0" baseline="0" cap="none" i="0" spc="0" strike="noStrike" sz="1100" u="none">
            <a:solidFill>
              <a:srgbClr val="000000"/>
            </a:solidFill>
            <a:uFillTx/>
            <a:latin typeface="+mn-lt"/>
            <a:ea typeface="+mn-ea"/>
            <a:cs typeface="+mn-cs"/>
            <a:sym typeface="Helvetica"/>
          </a:endParaRPr>
        </a:p>
        <a:p>
          <a:pPr lvl="1" marL="304800" marR="0" indent="-152400" algn="l" defTabSz="457200" rtl="0" latinLnBrk="0">
            <a:lnSpc>
              <a:spcPct val="100000"/>
            </a:lnSpc>
            <a:spcBef>
              <a:spcPts val="0"/>
            </a:spcBef>
            <a:spcAft>
              <a:spcPts val="0"/>
            </a:spcAft>
            <a:buClrTx/>
            <a:buSzPct val="120000"/>
            <a:buFontTx/>
            <a:buChar char="-"/>
            <a:defRPr b="0" baseline="0" cap="none" i="0" spc="0" strike="noStrike" sz="1100" u="none">
              <a:solidFill>
                <a:srgbClr val="000000"/>
              </a:solidFill>
              <a:uFillTx/>
              <a:latin typeface="+mn-lt"/>
              <a:ea typeface="+mn-ea"/>
              <a:cs typeface="+mn-cs"/>
              <a:sym typeface="Helvetica"/>
            </a:defRPr>
          </a:pPr>
          <a:r>
            <a:rPr b="0" baseline="0" cap="none" i="0" spc="0" strike="noStrike" sz="1100" u="none">
              <a:solidFill>
                <a:srgbClr val="000000"/>
              </a:solidFill>
              <a:uFillTx/>
              <a:latin typeface="+mn-lt"/>
              <a:ea typeface="+mn-ea"/>
              <a:cs typeface="+mn-cs"/>
              <a:sym typeface="Helvetica"/>
            </a:rPr>
            <a:t>seguros</a:t>
          </a:r>
          <a:endParaRPr b="0" baseline="0" cap="none" i="0" spc="0" strike="noStrike" sz="1100" u="none">
            <a:solidFill>
              <a:srgbClr val="000000"/>
            </a:solidFill>
            <a:uFillTx/>
            <a:latin typeface="+mn-lt"/>
            <a:ea typeface="+mn-ea"/>
            <a:cs typeface="+mn-cs"/>
            <a:sym typeface="Helvetica"/>
          </a:endParaRPr>
        </a:p>
        <a:p>
          <a:pPr lvl="1" marL="304800" marR="0" indent="-152400" algn="l" defTabSz="457200" rtl="0" latinLnBrk="0">
            <a:lnSpc>
              <a:spcPct val="100000"/>
            </a:lnSpc>
            <a:spcBef>
              <a:spcPts val="0"/>
            </a:spcBef>
            <a:spcAft>
              <a:spcPts val="0"/>
            </a:spcAft>
            <a:buClrTx/>
            <a:buSzPct val="120000"/>
            <a:buFontTx/>
            <a:buChar char="-"/>
            <a:defRPr b="0" baseline="0" cap="none" i="0" spc="0" strike="noStrike" sz="1100" u="none">
              <a:solidFill>
                <a:srgbClr val="000000"/>
              </a:solidFill>
              <a:uFillTx/>
              <a:latin typeface="+mn-lt"/>
              <a:ea typeface="+mn-ea"/>
              <a:cs typeface="+mn-cs"/>
              <a:sym typeface="Helvetica"/>
            </a:defRPr>
          </a:pPr>
          <a:r>
            <a:rPr b="0" baseline="0" cap="none" i="0" spc="0" strike="noStrike" sz="1100" u="none">
              <a:solidFill>
                <a:srgbClr val="000000"/>
              </a:solidFill>
              <a:uFillTx/>
              <a:latin typeface="+mn-lt"/>
              <a:ea typeface="+mn-ea"/>
              <a:cs typeface="+mn-cs"/>
              <a:sym typeface="Helvetica"/>
            </a:rPr>
            <a:t>amortización</a:t>
          </a:r>
          <a:endParaRPr b="0" baseline="0" cap="none" i="0" spc="0" strike="noStrike" sz="1100" u="none">
            <a:solidFill>
              <a:srgbClr val="000000"/>
            </a:solidFill>
            <a:uFillTx/>
            <a:latin typeface="+mn-lt"/>
            <a:ea typeface="+mn-ea"/>
            <a:cs typeface="+mn-cs"/>
            <a:sym typeface="Helvetica"/>
          </a:endParaRPr>
        </a:p>
        <a:p>
          <a:pPr lvl="1" marL="304800" marR="0" indent="-152400" algn="l" defTabSz="457200" rtl="0" latinLnBrk="0">
            <a:lnSpc>
              <a:spcPct val="100000"/>
            </a:lnSpc>
            <a:spcBef>
              <a:spcPts val="0"/>
            </a:spcBef>
            <a:spcAft>
              <a:spcPts val="0"/>
            </a:spcAft>
            <a:buClrTx/>
            <a:buSzPct val="120000"/>
            <a:buFontTx/>
            <a:buChar char="-"/>
            <a:defRPr b="0" baseline="0" cap="none" i="0" spc="0" strike="noStrike" sz="1100" u="none">
              <a:solidFill>
                <a:srgbClr val="000000"/>
              </a:solidFill>
              <a:uFillTx/>
              <a:latin typeface="+mn-lt"/>
              <a:ea typeface="+mn-ea"/>
              <a:cs typeface="+mn-cs"/>
              <a:sym typeface="Helvetica"/>
            </a:defRPr>
          </a:pPr>
          <a:r>
            <a:rPr b="0" baseline="0" cap="none" i="0" spc="0" strike="noStrike" sz="1100" u="none">
              <a:solidFill>
                <a:srgbClr val="000000"/>
              </a:solidFill>
              <a:uFillTx/>
              <a:latin typeface="+mn-lt"/>
              <a:ea typeface="+mn-ea"/>
              <a:cs typeface="+mn-cs"/>
              <a:sym typeface="Helvetica"/>
            </a:rPr>
            <a:t>interés</a:t>
          </a:r>
          <a:br>
            <a:rPr b="0" baseline="0" cap="none" i="0" spc="0" strike="noStrike" sz="1100" u="none">
              <a:solidFill>
                <a:srgbClr val="000000"/>
              </a:solidFill>
              <a:uFillTx/>
              <a:latin typeface="+mn-lt"/>
              <a:ea typeface="+mn-ea"/>
              <a:cs typeface="+mn-cs"/>
              <a:sym typeface="Helvetica"/>
            </a:rPr>
          </a:br>
          <a:endParaRPr b="0" baseline="0" cap="none" i="0" spc="0" strike="noStrike" sz="1100" u="none">
            <a:solidFill>
              <a:srgbClr val="000000"/>
            </a:solidFill>
            <a:uFillTx/>
            <a:latin typeface="+mn-lt"/>
            <a:ea typeface="+mn-ea"/>
            <a:cs typeface="+mn-cs"/>
            <a:sym typeface="Helvetica"/>
          </a:endParaRPr>
        </a:p>
        <a:p>
          <a:pPr marL="152400" marR="0" indent="-152400" algn="l" defTabSz="457200" rtl="0" latinLnBrk="0">
            <a:lnSpc>
              <a:spcPct val="100000"/>
            </a:lnSpc>
            <a:spcBef>
              <a:spcPts val="0"/>
            </a:spcBef>
            <a:spcAft>
              <a:spcPts val="0"/>
            </a:spcAft>
            <a:buClrTx/>
            <a:buSzPct val="120000"/>
            <a:buFontTx/>
            <a:buChar char="-"/>
            <a:defRPr b="0" baseline="0" cap="none" i="0" spc="0" strike="noStrike" sz="1100" u="none">
              <a:solidFill>
                <a:srgbClr val="000000"/>
              </a:solidFill>
              <a:uFillTx/>
              <a:latin typeface="+mn-lt"/>
              <a:ea typeface="+mn-ea"/>
              <a:cs typeface="+mn-cs"/>
              <a:sym typeface="Helvetica"/>
            </a:defRPr>
          </a:pPr>
          <a:r>
            <a:rPr b="0" baseline="0" cap="none" i="0" spc="0" strike="noStrike" sz="1100" u="none">
              <a:solidFill>
                <a:srgbClr val="000000"/>
              </a:solidFill>
              <a:uFillTx/>
              <a:latin typeface="+mn-lt"/>
              <a:ea typeface="+mn-ea"/>
              <a:cs typeface="+mn-cs"/>
              <a:sym typeface="Helvetica"/>
            </a:rPr>
            <a:t>ajustar decimales pago UF</a:t>
          </a:r>
        </a:p>
      </xdr:txBody>
    </xdr:sp>
    <xdr:clientData/>
  </xdr:twoCellAnchor>
  <xdr:twoCellAnchor>
    <xdr:from>
      <xdr:col>59</xdr:col>
      <xdr:colOff>147029</xdr:colOff>
      <xdr:row>25</xdr:row>
      <xdr:rowOff>61703</xdr:rowOff>
    </xdr:from>
    <xdr:to>
      <xdr:col>59</xdr:col>
      <xdr:colOff>185561</xdr:colOff>
      <xdr:row>45</xdr:row>
      <xdr:rowOff>57041</xdr:rowOff>
    </xdr:to>
    <xdr:sp>
      <xdr:nvSpPr>
        <xdr:cNvPr id="110" name="Rectangle"/>
        <xdr:cNvSpPr/>
      </xdr:nvSpPr>
      <xdr:spPr>
        <a:xfrm>
          <a:off x="45105029" y="4189203"/>
          <a:ext cx="38533" cy="3297339"/>
        </a:xfrm>
        <a:prstGeom prst="rect">
          <a:avLst/>
        </a:prstGeom>
        <a:solidFill>
          <a:srgbClr val="2B495F"/>
        </a:solidFill>
        <a:ln w="12700" cap="flat">
          <a:noFill/>
          <a:miter lim="400000"/>
        </a:ln>
        <a:effectLst/>
      </xdr:spPr>
      <xdr:txBody>
        <a:bodyPr/>
        <a:lstStyle/>
        <a:p>
          <a:pPr/>
        </a:p>
      </xdr:txBody>
    </xdr:sp>
    <xdr:clientData/>
  </xdr:twoCellAnchor>
  <xdr:twoCellAnchor>
    <xdr:from>
      <xdr:col>90</xdr:col>
      <xdr:colOff>53844</xdr:colOff>
      <xdr:row>34</xdr:row>
      <xdr:rowOff>113867</xdr:rowOff>
    </xdr:from>
    <xdr:to>
      <xdr:col>90</xdr:col>
      <xdr:colOff>73474</xdr:colOff>
      <xdr:row>88</xdr:row>
      <xdr:rowOff>142683</xdr:rowOff>
    </xdr:to>
    <xdr:sp>
      <xdr:nvSpPr>
        <xdr:cNvPr id="111" name="Rectangle"/>
        <xdr:cNvSpPr/>
      </xdr:nvSpPr>
      <xdr:spPr>
        <a:xfrm>
          <a:off x="68633844" y="5727267"/>
          <a:ext cx="19631" cy="8944217"/>
        </a:xfrm>
        <a:prstGeom prst="rect">
          <a:avLst/>
        </a:prstGeom>
        <a:solidFill>
          <a:srgbClr val="2B495F"/>
        </a:solidFill>
        <a:ln w="12700" cap="flat">
          <a:noFill/>
          <a:miter lim="400000"/>
        </a:ln>
        <a:effectLst/>
      </xdr:spPr>
      <xdr:txBody>
        <a:bodyPr/>
        <a:lstStyle/>
        <a:p>
          <a:pPr/>
        </a:p>
      </xdr:txBody>
    </xdr:sp>
    <xdr:clientData/>
  </xdr:twoCellAnchor>
  <xdr:twoCellAnchor>
    <xdr:from>
      <xdr:col>9</xdr:col>
      <xdr:colOff>178693</xdr:colOff>
      <xdr:row>331</xdr:row>
      <xdr:rowOff>148635</xdr:rowOff>
    </xdr:from>
    <xdr:to>
      <xdr:col>26</xdr:col>
      <xdr:colOff>74017</xdr:colOff>
      <xdr:row>376</xdr:row>
      <xdr:rowOff>123235</xdr:rowOff>
    </xdr:to>
    <xdr:graphicFrame>
      <xdr:nvGraphicFramePr>
        <xdr:cNvPr id="112" name="2D Line Chart"/>
        <xdr:cNvGraphicFramePr/>
      </xdr:nvGraphicFramePr>
      <xdr:xfrm>
        <a:off x="7036693" y="54796735"/>
        <a:ext cx="12849325" cy="7404101"/>
      </xdr:xfrm>
      <a:graphic xmlns:a="http://schemas.openxmlformats.org/drawingml/2006/main">
        <a:graphicData uri="http://schemas.openxmlformats.org/drawingml/2006/chart">
          <c:chart xmlns:c="http://schemas.openxmlformats.org/drawingml/2006/chart" r:id="rId26"/>
        </a:graphicData>
      </a:graphic>
    </xdr:graphicFrame>
    <xdr:clientData/>
  </xdr:twoCellAnchor>
  <xdr:twoCellAnchor>
    <xdr:from>
      <xdr:col>22</xdr:col>
      <xdr:colOff>416383</xdr:colOff>
      <xdr:row>165</xdr:row>
      <xdr:rowOff>162613</xdr:rowOff>
    </xdr:from>
    <xdr:to>
      <xdr:col>29</xdr:col>
      <xdr:colOff>724433</xdr:colOff>
      <xdr:row>189</xdr:row>
      <xdr:rowOff>3863</xdr:rowOff>
    </xdr:to>
    <xdr:graphicFrame>
      <xdr:nvGraphicFramePr>
        <xdr:cNvPr id="113" name="2D Line Chart"/>
        <xdr:cNvGraphicFramePr/>
      </xdr:nvGraphicFramePr>
      <xdr:xfrm>
        <a:off x="17180383" y="27404113"/>
        <a:ext cx="5642051" cy="3803651"/>
      </xdr:xfrm>
      <a:graphic xmlns:a="http://schemas.openxmlformats.org/drawingml/2006/main">
        <a:graphicData uri="http://schemas.openxmlformats.org/drawingml/2006/chart">
          <c:chart xmlns:c="http://schemas.openxmlformats.org/drawingml/2006/chart" r:id="rId27"/>
        </a:graphicData>
      </a:graphic>
    </xdr:graphicFrame>
    <xdr:clientData/>
  </xdr:twoCellAnchor>
  <xdr:twoCellAnchor>
    <xdr:from>
      <xdr:col>32</xdr:col>
      <xdr:colOff>636032</xdr:colOff>
      <xdr:row>161</xdr:row>
      <xdr:rowOff>19738</xdr:rowOff>
    </xdr:from>
    <xdr:to>
      <xdr:col>40</xdr:col>
      <xdr:colOff>182081</xdr:colOff>
      <xdr:row>184</xdr:row>
      <xdr:rowOff>26088</xdr:rowOff>
    </xdr:to>
    <xdr:graphicFrame>
      <xdr:nvGraphicFramePr>
        <xdr:cNvPr id="114" name="2D Line Chart"/>
        <xdr:cNvGraphicFramePr/>
      </xdr:nvGraphicFramePr>
      <xdr:xfrm>
        <a:off x="25020032" y="26600838"/>
        <a:ext cx="5642050" cy="3803651"/>
      </xdr:xfrm>
      <a:graphic xmlns:a="http://schemas.openxmlformats.org/drawingml/2006/main">
        <a:graphicData uri="http://schemas.openxmlformats.org/drawingml/2006/chart">
          <c:chart xmlns:c="http://schemas.openxmlformats.org/drawingml/2006/chart" r:id="rId28"/>
        </a:graphicData>
      </a:graphic>
    </xdr:graphicFrame>
    <xdr:clientData/>
  </xdr:twoCellAnchor>
  <xdr:twoCellAnchor>
    <xdr:from>
      <xdr:col>83</xdr:col>
      <xdr:colOff>649262</xdr:colOff>
      <xdr:row>92</xdr:row>
      <xdr:rowOff>112524</xdr:rowOff>
    </xdr:from>
    <xdr:to>
      <xdr:col>91</xdr:col>
      <xdr:colOff>109458</xdr:colOff>
      <xdr:row>115</xdr:row>
      <xdr:rowOff>118874</xdr:rowOff>
    </xdr:to>
    <xdr:graphicFrame>
      <xdr:nvGraphicFramePr>
        <xdr:cNvPr id="115" name="2D Line Chart"/>
        <xdr:cNvGraphicFramePr/>
      </xdr:nvGraphicFramePr>
      <xdr:xfrm>
        <a:off x="63895262" y="15301724"/>
        <a:ext cx="5556197" cy="3803651"/>
      </xdr:xfrm>
      <a:graphic xmlns:a="http://schemas.openxmlformats.org/drawingml/2006/main">
        <a:graphicData uri="http://schemas.openxmlformats.org/drawingml/2006/chart">
          <c:chart xmlns:c="http://schemas.openxmlformats.org/drawingml/2006/chart" r:id="rId29"/>
        </a:graphicData>
      </a:graphic>
    </xdr:graphicFrame>
    <xdr:clientData/>
  </xdr:twoCellAnchor>
  <xdr:twoCellAnchor>
    <xdr:from>
      <xdr:col>1</xdr:col>
      <xdr:colOff>579640</xdr:colOff>
      <xdr:row>314</xdr:row>
      <xdr:rowOff>47538</xdr:rowOff>
    </xdr:from>
    <xdr:to>
      <xdr:col>8</xdr:col>
      <xdr:colOff>349708</xdr:colOff>
      <xdr:row>337</xdr:row>
      <xdr:rowOff>60238</xdr:rowOff>
    </xdr:to>
    <xdr:graphicFrame>
      <xdr:nvGraphicFramePr>
        <xdr:cNvPr id="116" name="2D Line Chart"/>
        <xdr:cNvGraphicFramePr/>
      </xdr:nvGraphicFramePr>
      <xdr:xfrm>
        <a:off x="1341640" y="51888938"/>
        <a:ext cx="5104069" cy="3810001"/>
      </xdr:xfrm>
      <a:graphic xmlns:a="http://schemas.openxmlformats.org/drawingml/2006/main">
        <a:graphicData uri="http://schemas.openxmlformats.org/drawingml/2006/chart">
          <c:chart xmlns:c="http://schemas.openxmlformats.org/drawingml/2006/chart" r:id="rId30"/>
        </a:graphicData>
      </a:graphic>
    </xdr:graphicFrame>
    <xdr:clientData/>
  </xdr:twoCellAnchor>
  <xdr:twoCellAnchor>
    <xdr:from>
      <xdr:col>86</xdr:col>
      <xdr:colOff>285969</xdr:colOff>
      <xdr:row>161</xdr:row>
      <xdr:rowOff>50219</xdr:rowOff>
    </xdr:from>
    <xdr:to>
      <xdr:col>94</xdr:col>
      <xdr:colOff>215469</xdr:colOff>
      <xdr:row>184</xdr:row>
      <xdr:rowOff>113719</xdr:rowOff>
    </xdr:to>
    <xdr:graphicFrame>
      <xdr:nvGraphicFramePr>
        <xdr:cNvPr id="117" name="2D Line Chart"/>
        <xdr:cNvGraphicFramePr/>
      </xdr:nvGraphicFramePr>
      <xdr:xfrm>
        <a:off x="65817969" y="26631319"/>
        <a:ext cx="6025501" cy="3860801"/>
      </xdr:xfrm>
      <a:graphic xmlns:a="http://schemas.openxmlformats.org/drawingml/2006/main">
        <a:graphicData uri="http://schemas.openxmlformats.org/drawingml/2006/chart">
          <c:chart xmlns:c="http://schemas.openxmlformats.org/drawingml/2006/chart" r:id="rId31"/>
        </a:graphicData>
      </a:graphic>
    </xdr:graphicFrame>
    <xdr:clientData/>
  </xdr:twoCellAnchor>
</xdr:wsDr>
</file>

<file path=xl/drawings/drawing1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11</xdr:col>
      <xdr:colOff>667949</xdr:colOff>
      <xdr:row>29</xdr:row>
      <xdr:rowOff>18338</xdr:rowOff>
    </xdr:from>
    <xdr:to>
      <xdr:col>18</xdr:col>
      <xdr:colOff>501703</xdr:colOff>
      <xdr:row>52</xdr:row>
      <xdr:rowOff>31038</xdr:rowOff>
    </xdr:to>
    <xdr:graphicFrame>
      <xdr:nvGraphicFramePr>
        <xdr:cNvPr id="119" name="2D Line Chart"/>
        <xdr:cNvGraphicFramePr/>
      </xdr:nvGraphicFramePr>
      <xdr:xfrm>
        <a:off x="9049949" y="4806238"/>
        <a:ext cx="5167755" cy="3810001"/>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1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0.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26</xdr:col>
      <xdr:colOff>176962</xdr:colOff>
      <xdr:row>189</xdr:row>
      <xdr:rowOff>92484</xdr:rowOff>
    </xdr:from>
    <xdr:to>
      <xdr:col>33</xdr:col>
      <xdr:colOff>349504</xdr:colOff>
      <xdr:row>212</xdr:row>
      <xdr:rowOff>79784</xdr:rowOff>
    </xdr:to>
    <xdr:graphicFrame>
      <xdr:nvGraphicFramePr>
        <xdr:cNvPr id="131" name="2D Line Chart"/>
        <xdr:cNvGraphicFramePr/>
      </xdr:nvGraphicFramePr>
      <xdr:xfrm>
        <a:off x="19988962" y="31296384"/>
        <a:ext cx="5506543" cy="3784601"/>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26</xdr:col>
      <xdr:colOff>176410</xdr:colOff>
      <xdr:row>219</xdr:row>
      <xdr:rowOff>84413</xdr:rowOff>
    </xdr:from>
    <xdr:to>
      <xdr:col>33</xdr:col>
      <xdr:colOff>88584</xdr:colOff>
      <xdr:row>242</xdr:row>
      <xdr:rowOff>97113</xdr:rowOff>
    </xdr:to>
    <xdr:graphicFrame>
      <xdr:nvGraphicFramePr>
        <xdr:cNvPr id="132" name="2D Line Chart"/>
        <xdr:cNvGraphicFramePr/>
      </xdr:nvGraphicFramePr>
      <xdr:xfrm>
        <a:off x="19988410" y="36241313"/>
        <a:ext cx="5246175" cy="3810001"/>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26</xdr:col>
      <xdr:colOff>386937</xdr:colOff>
      <xdr:row>162</xdr:row>
      <xdr:rowOff>116799</xdr:rowOff>
    </xdr:from>
    <xdr:to>
      <xdr:col>33</xdr:col>
      <xdr:colOff>376240</xdr:colOff>
      <xdr:row>185</xdr:row>
      <xdr:rowOff>123149</xdr:rowOff>
    </xdr:to>
    <xdr:graphicFrame>
      <xdr:nvGraphicFramePr>
        <xdr:cNvPr id="133" name="2D Line Chart"/>
        <xdr:cNvGraphicFramePr/>
      </xdr:nvGraphicFramePr>
      <xdr:xfrm>
        <a:off x="20198937" y="26862999"/>
        <a:ext cx="5323304" cy="3803651"/>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40</xdr:col>
      <xdr:colOff>128156</xdr:colOff>
      <xdr:row>257</xdr:row>
      <xdr:rowOff>158719</xdr:rowOff>
    </xdr:from>
    <xdr:to>
      <xdr:col>47</xdr:col>
      <xdr:colOff>75615</xdr:colOff>
      <xdr:row>280</xdr:row>
      <xdr:rowOff>146019</xdr:rowOff>
    </xdr:to>
    <xdr:graphicFrame>
      <xdr:nvGraphicFramePr>
        <xdr:cNvPr id="134" name="2D Line Chart"/>
        <xdr:cNvGraphicFramePr/>
      </xdr:nvGraphicFramePr>
      <xdr:xfrm>
        <a:off x="30608156" y="42589418"/>
        <a:ext cx="5281460" cy="3784601"/>
      </xdr:xfrm>
      <a:graphic xmlns:a="http://schemas.openxmlformats.org/drawingml/2006/main">
        <a:graphicData uri="http://schemas.openxmlformats.org/drawingml/2006/chart">
          <c:chart xmlns:c="http://schemas.openxmlformats.org/drawingml/2006/chart" r:id="rId4"/>
        </a:graphicData>
      </a:graphic>
    </xdr:graphicFrame>
    <xdr:clientData/>
  </xdr:twoCellAnchor>
  <xdr:twoCellAnchor>
    <xdr:from>
      <xdr:col>49</xdr:col>
      <xdr:colOff>374073</xdr:colOff>
      <xdr:row>237</xdr:row>
      <xdr:rowOff>95845</xdr:rowOff>
    </xdr:from>
    <xdr:to>
      <xdr:col>56</xdr:col>
      <xdr:colOff>321532</xdr:colOff>
      <xdr:row>260</xdr:row>
      <xdr:rowOff>83145</xdr:rowOff>
    </xdr:to>
    <xdr:graphicFrame>
      <xdr:nvGraphicFramePr>
        <xdr:cNvPr id="135" name="2D Line Chart"/>
        <xdr:cNvGraphicFramePr/>
      </xdr:nvGraphicFramePr>
      <xdr:xfrm>
        <a:off x="37712073" y="39224545"/>
        <a:ext cx="5281460" cy="3784601"/>
      </xdr:xfrm>
      <a:graphic xmlns:a="http://schemas.openxmlformats.org/drawingml/2006/main">
        <a:graphicData uri="http://schemas.openxmlformats.org/drawingml/2006/chart">
          <c:chart xmlns:c="http://schemas.openxmlformats.org/drawingml/2006/chart" r:id="rId5"/>
        </a:graphicData>
      </a:graphic>
    </xdr:graphicFrame>
    <xdr:clientData/>
  </xdr:twoCellAnchor>
  <xdr:twoCellAnchor>
    <xdr:from>
      <xdr:col>40</xdr:col>
      <xdr:colOff>308856</xdr:colOff>
      <xdr:row>36</xdr:row>
      <xdr:rowOff>138518</xdr:rowOff>
    </xdr:from>
    <xdr:to>
      <xdr:col>45</xdr:col>
      <xdr:colOff>61633</xdr:colOff>
      <xdr:row>55</xdr:row>
      <xdr:rowOff>77128</xdr:rowOff>
    </xdr:to>
    <xdr:graphicFrame>
      <xdr:nvGraphicFramePr>
        <xdr:cNvPr id="136" name="2D Pie Chart"/>
        <xdr:cNvGraphicFramePr/>
      </xdr:nvGraphicFramePr>
      <xdr:xfrm>
        <a:off x="30788856" y="6082117"/>
        <a:ext cx="3562778" cy="3075512"/>
      </xdr:xfrm>
      <a:graphic xmlns:a="http://schemas.openxmlformats.org/drawingml/2006/main">
        <a:graphicData uri="http://schemas.openxmlformats.org/drawingml/2006/chart">
          <c:chart xmlns:c="http://schemas.openxmlformats.org/drawingml/2006/chart" r:id="rId6"/>
        </a:graphicData>
      </a:graphic>
    </xdr:graphicFrame>
    <xdr:clientData/>
  </xdr:twoCellAnchor>
  <xdr:twoCellAnchor>
    <xdr:from>
      <xdr:col>41</xdr:col>
      <xdr:colOff>462490</xdr:colOff>
      <xdr:row>28</xdr:row>
      <xdr:rowOff>109773</xdr:rowOff>
    </xdr:from>
    <xdr:to>
      <xdr:col>42</xdr:col>
      <xdr:colOff>634127</xdr:colOff>
      <xdr:row>34</xdr:row>
      <xdr:rowOff>52809</xdr:rowOff>
    </xdr:to>
    <xdr:graphicFrame>
      <xdr:nvGraphicFramePr>
        <xdr:cNvPr id="137" name="2D Pie Chart"/>
        <xdr:cNvGraphicFramePr/>
      </xdr:nvGraphicFramePr>
      <xdr:xfrm>
        <a:off x="31704490" y="4732573"/>
        <a:ext cx="933638" cy="933637"/>
      </xdr:xfrm>
      <a:graphic xmlns:a="http://schemas.openxmlformats.org/drawingml/2006/main">
        <a:graphicData uri="http://schemas.openxmlformats.org/drawingml/2006/chart">
          <c:chart xmlns:c="http://schemas.openxmlformats.org/drawingml/2006/chart" r:id="rId7"/>
        </a:graphicData>
      </a:graphic>
    </xdr:graphicFrame>
    <xdr:clientData/>
  </xdr:twoCellAnchor>
  <xdr:twoCellAnchor>
    <xdr:from>
      <xdr:col>43</xdr:col>
      <xdr:colOff>230943</xdr:colOff>
      <xdr:row>28</xdr:row>
      <xdr:rowOff>104454</xdr:rowOff>
    </xdr:from>
    <xdr:to>
      <xdr:col>44</xdr:col>
      <xdr:colOff>413218</xdr:colOff>
      <xdr:row>34</xdr:row>
      <xdr:rowOff>58129</xdr:rowOff>
    </xdr:to>
    <xdr:graphicFrame>
      <xdr:nvGraphicFramePr>
        <xdr:cNvPr id="138" name="2D Pie Chart"/>
        <xdr:cNvGraphicFramePr/>
      </xdr:nvGraphicFramePr>
      <xdr:xfrm>
        <a:off x="32996943" y="4727254"/>
        <a:ext cx="944276" cy="944276"/>
      </xdr:xfrm>
      <a:graphic xmlns:a="http://schemas.openxmlformats.org/drawingml/2006/main">
        <a:graphicData uri="http://schemas.openxmlformats.org/drawingml/2006/chart">
          <c:chart xmlns:c="http://schemas.openxmlformats.org/drawingml/2006/chart" r:id="rId8"/>
        </a:graphicData>
      </a:graphic>
    </xdr:graphicFrame>
    <xdr:clientData/>
  </xdr:twoCellAnchor>
  <xdr:twoCellAnchor>
    <xdr:from>
      <xdr:col>45</xdr:col>
      <xdr:colOff>10108</xdr:colOff>
      <xdr:row>28</xdr:row>
      <xdr:rowOff>109847</xdr:rowOff>
    </xdr:from>
    <xdr:to>
      <xdr:col>46</xdr:col>
      <xdr:colOff>181597</xdr:colOff>
      <xdr:row>34</xdr:row>
      <xdr:rowOff>52735</xdr:rowOff>
    </xdr:to>
    <xdr:graphicFrame>
      <xdr:nvGraphicFramePr>
        <xdr:cNvPr id="139" name="2D Pie Chart"/>
        <xdr:cNvGraphicFramePr/>
      </xdr:nvGraphicFramePr>
      <xdr:xfrm>
        <a:off x="34300108" y="4732647"/>
        <a:ext cx="933490" cy="933489"/>
      </xdr:xfrm>
      <a:graphic xmlns:a="http://schemas.openxmlformats.org/drawingml/2006/main">
        <a:graphicData uri="http://schemas.openxmlformats.org/drawingml/2006/chart">
          <c:chart xmlns:c="http://schemas.openxmlformats.org/drawingml/2006/chart" r:id="rId9"/>
        </a:graphicData>
      </a:graphic>
    </xdr:graphicFrame>
    <xdr:clientData/>
  </xdr:twoCellAnchor>
  <xdr:twoCellAnchor>
    <xdr:from>
      <xdr:col>51</xdr:col>
      <xdr:colOff>136400</xdr:colOff>
      <xdr:row>10</xdr:row>
      <xdr:rowOff>32018</xdr:rowOff>
    </xdr:from>
    <xdr:to>
      <xdr:col>58</xdr:col>
      <xdr:colOff>635840</xdr:colOff>
      <xdr:row>64</xdr:row>
      <xdr:rowOff>44718</xdr:rowOff>
    </xdr:to>
    <xdr:graphicFrame>
      <xdr:nvGraphicFramePr>
        <xdr:cNvPr id="140" name="2D Stacked Bar Chart"/>
        <xdr:cNvGraphicFramePr/>
      </xdr:nvGraphicFramePr>
      <xdr:xfrm>
        <a:off x="38998400" y="1683018"/>
        <a:ext cx="5833441" cy="8928101"/>
      </xdr:xfrm>
      <a:graphic xmlns:a="http://schemas.openxmlformats.org/drawingml/2006/main">
        <a:graphicData uri="http://schemas.openxmlformats.org/drawingml/2006/chart">
          <c:chart xmlns:c="http://schemas.openxmlformats.org/drawingml/2006/chart" r:id="rId10"/>
        </a:graphicData>
      </a:graphic>
    </xdr:graphicFrame>
    <xdr:clientData/>
  </xdr:twoCellAnchor>
  <xdr:twoCellAnchor>
    <xdr:from>
      <xdr:col>58</xdr:col>
      <xdr:colOff>614517</xdr:colOff>
      <xdr:row>10</xdr:row>
      <xdr:rowOff>35020</xdr:rowOff>
    </xdr:from>
    <xdr:to>
      <xdr:col>66</xdr:col>
      <xdr:colOff>269453</xdr:colOff>
      <xdr:row>64</xdr:row>
      <xdr:rowOff>47720</xdr:rowOff>
    </xdr:to>
    <xdr:graphicFrame>
      <xdr:nvGraphicFramePr>
        <xdr:cNvPr id="141" name="2D Stacked Bar Chart"/>
        <xdr:cNvGraphicFramePr/>
      </xdr:nvGraphicFramePr>
      <xdr:xfrm>
        <a:off x="44810517" y="1686020"/>
        <a:ext cx="5750937" cy="8928101"/>
      </xdr:xfrm>
      <a:graphic xmlns:a="http://schemas.openxmlformats.org/drawingml/2006/main">
        <a:graphicData uri="http://schemas.openxmlformats.org/drawingml/2006/chart">
          <c:chart xmlns:c="http://schemas.openxmlformats.org/drawingml/2006/chart" r:id="rId11"/>
        </a:graphicData>
      </a:graphic>
    </xdr:graphicFrame>
    <xdr:clientData/>
  </xdr:twoCellAnchor>
  <xdr:twoCellAnchor>
    <xdr:from>
      <xdr:col>66</xdr:col>
      <xdr:colOff>305234</xdr:colOff>
      <xdr:row>10</xdr:row>
      <xdr:rowOff>35604</xdr:rowOff>
    </xdr:from>
    <xdr:to>
      <xdr:col>73</xdr:col>
      <xdr:colOff>722169</xdr:colOff>
      <xdr:row>64</xdr:row>
      <xdr:rowOff>48304</xdr:rowOff>
    </xdr:to>
    <xdr:graphicFrame>
      <xdr:nvGraphicFramePr>
        <xdr:cNvPr id="142" name="2D Stacked Bar Chart"/>
        <xdr:cNvGraphicFramePr/>
      </xdr:nvGraphicFramePr>
      <xdr:xfrm>
        <a:off x="50597234" y="1686604"/>
        <a:ext cx="5750936" cy="8928101"/>
      </xdr:xfrm>
      <a:graphic xmlns:a="http://schemas.openxmlformats.org/drawingml/2006/main">
        <a:graphicData uri="http://schemas.openxmlformats.org/drawingml/2006/chart">
          <c:chart xmlns:c="http://schemas.openxmlformats.org/drawingml/2006/chart" r:id="rId12"/>
        </a:graphicData>
      </a:graphic>
    </xdr:graphicFrame>
    <xdr:clientData/>
  </xdr:twoCellAnchor>
  <xdr:twoCellAnchor>
    <xdr:from>
      <xdr:col>50</xdr:col>
      <xdr:colOff>568104</xdr:colOff>
      <xdr:row>71</xdr:row>
      <xdr:rowOff>139789</xdr:rowOff>
    </xdr:from>
    <xdr:to>
      <xdr:col>57</xdr:col>
      <xdr:colOff>602329</xdr:colOff>
      <xdr:row>94</xdr:row>
      <xdr:rowOff>158839</xdr:rowOff>
    </xdr:to>
    <xdr:graphicFrame>
      <xdr:nvGraphicFramePr>
        <xdr:cNvPr id="143" name="2D Stacked Column Chart"/>
        <xdr:cNvGraphicFramePr/>
      </xdr:nvGraphicFramePr>
      <xdr:xfrm>
        <a:off x="38668104" y="11861889"/>
        <a:ext cx="5368226" cy="3816351"/>
      </xdr:xfrm>
      <a:graphic xmlns:a="http://schemas.openxmlformats.org/drawingml/2006/main">
        <a:graphicData uri="http://schemas.openxmlformats.org/drawingml/2006/chart">
          <c:chart xmlns:c="http://schemas.openxmlformats.org/drawingml/2006/chart" r:id="rId13"/>
        </a:graphicData>
      </a:graphic>
    </xdr:graphicFrame>
    <xdr:clientData/>
  </xdr:twoCellAnchor>
  <xdr:twoCellAnchor>
    <xdr:from>
      <xdr:col>69</xdr:col>
      <xdr:colOff>456939</xdr:colOff>
      <xdr:row>66</xdr:row>
      <xdr:rowOff>32156</xdr:rowOff>
    </xdr:from>
    <xdr:to>
      <xdr:col>77</xdr:col>
      <xdr:colOff>44090</xdr:colOff>
      <xdr:row>89</xdr:row>
      <xdr:rowOff>44856</xdr:rowOff>
    </xdr:to>
    <xdr:graphicFrame>
      <xdr:nvGraphicFramePr>
        <xdr:cNvPr id="144" name="2D Line Chart"/>
        <xdr:cNvGraphicFramePr/>
      </xdr:nvGraphicFramePr>
      <xdr:xfrm>
        <a:off x="53034939" y="10928756"/>
        <a:ext cx="5683152" cy="3810001"/>
      </xdr:xfrm>
      <a:graphic xmlns:a="http://schemas.openxmlformats.org/drawingml/2006/main">
        <a:graphicData uri="http://schemas.openxmlformats.org/drawingml/2006/chart">
          <c:chart xmlns:c="http://schemas.openxmlformats.org/drawingml/2006/chart" r:id="rId14"/>
        </a:graphicData>
      </a:graphic>
    </xdr:graphicFrame>
    <xdr:clientData/>
  </xdr:twoCellAnchor>
  <xdr:twoCellAnchor>
    <xdr:from>
      <xdr:col>49</xdr:col>
      <xdr:colOff>46521</xdr:colOff>
      <xdr:row>40</xdr:row>
      <xdr:rowOff>106254</xdr:rowOff>
    </xdr:from>
    <xdr:to>
      <xdr:col>51</xdr:col>
      <xdr:colOff>82716</xdr:colOff>
      <xdr:row>50</xdr:row>
      <xdr:rowOff>15449</xdr:rowOff>
    </xdr:to>
    <xdr:graphicFrame>
      <xdr:nvGraphicFramePr>
        <xdr:cNvPr id="145" name="2D Pie Chart"/>
        <xdr:cNvGraphicFramePr/>
      </xdr:nvGraphicFramePr>
      <xdr:xfrm>
        <a:off x="37384521" y="6710254"/>
        <a:ext cx="1560196" cy="1560196"/>
      </xdr:xfrm>
      <a:graphic xmlns:a="http://schemas.openxmlformats.org/drawingml/2006/main">
        <a:graphicData uri="http://schemas.openxmlformats.org/drawingml/2006/chart">
          <c:chart xmlns:c="http://schemas.openxmlformats.org/drawingml/2006/chart" r:id="rId15"/>
        </a:graphicData>
      </a:graphic>
    </xdr:graphicFrame>
    <xdr:clientData/>
  </xdr:twoCellAnchor>
  <xdr:twoCellAnchor>
    <xdr:from>
      <xdr:col>46</xdr:col>
      <xdr:colOff>517075</xdr:colOff>
      <xdr:row>40</xdr:row>
      <xdr:rowOff>106254</xdr:rowOff>
    </xdr:from>
    <xdr:to>
      <xdr:col>48</xdr:col>
      <xdr:colOff>553270</xdr:colOff>
      <xdr:row>50</xdr:row>
      <xdr:rowOff>15449</xdr:rowOff>
    </xdr:to>
    <xdr:graphicFrame>
      <xdr:nvGraphicFramePr>
        <xdr:cNvPr id="146" name="2D Pie Chart"/>
        <xdr:cNvGraphicFramePr/>
      </xdr:nvGraphicFramePr>
      <xdr:xfrm>
        <a:off x="35569075" y="6710254"/>
        <a:ext cx="1560196" cy="1560196"/>
      </xdr:xfrm>
      <a:graphic xmlns:a="http://schemas.openxmlformats.org/drawingml/2006/main">
        <a:graphicData uri="http://schemas.openxmlformats.org/drawingml/2006/chart">
          <c:chart xmlns:c="http://schemas.openxmlformats.org/drawingml/2006/chart" r:id="rId16"/>
        </a:graphicData>
      </a:graphic>
    </xdr:graphicFrame>
    <xdr:clientData/>
  </xdr:twoCellAnchor>
  <xdr:twoCellAnchor>
    <xdr:from>
      <xdr:col>51</xdr:col>
      <xdr:colOff>40071</xdr:colOff>
      <xdr:row>105</xdr:row>
      <xdr:rowOff>88988</xdr:rowOff>
    </xdr:from>
    <xdr:to>
      <xdr:col>58</xdr:col>
      <xdr:colOff>389222</xdr:colOff>
      <xdr:row>128</xdr:row>
      <xdr:rowOff>101688</xdr:rowOff>
    </xdr:to>
    <xdr:graphicFrame>
      <xdr:nvGraphicFramePr>
        <xdr:cNvPr id="147" name="2D Line Chart"/>
        <xdr:cNvGraphicFramePr/>
      </xdr:nvGraphicFramePr>
      <xdr:xfrm>
        <a:off x="38902071" y="17424488"/>
        <a:ext cx="5683152" cy="3810001"/>
      </xdr:xfrm>
      <a:graphic xmlns:a="http://schemas.openxmlformats.org/drawingml/2006/main">
        <a:graphicData uri="http://schemas.openxmlformats.org/drawingml/2006/chart">
          <c:chart xmlns:c="http://schemas.openxmlformats.org/drawingml/2006/chart" r:id="rId17"/>
        </a:graphicData>
      </a:graphic>
    </xdr:graphicFrame>
    <xdr:clientData/>
  </xdr:twoCellAnchor>
  <xdr:twoCellAnchor>
    <xdr:from>
      <xdr:col>60</xdr:col>
      <xdr:colOff>354127</xdr:colOff>
      <xdr:row>67</xdr:row>
      <xdr:rowOff>44856</xdr:rowOff>
    </xdr:from>
    <xdr:to>
      <xdr:col>67</xdr:col>
      <xdr:colOff>100908</xdr:colOff>
      <xdr:row>90</xdr:row>
      <xdr:rowOff>57556</xdr:rowOff>
    </xdr:to>
    <xdr:graphicFrame>
      <xdr:nvGraphicFramePr>
        <xdr:cNvPr id="148" name="2D Line Chart"/>
        <xdr:cNvGraphicFramePr/>
      </xdr:nvGraphicFramePr>
      <xdr:xfrm>
        <a:off x="46074127" y="11106556"/>
        <a:ext cx="5080782" cy="3810001"/>
      </xdr:xfrm>
      <a:graphic xmlns:a="http://schemas.openxmlformats.org/drawingml/2006/main">
        <a:graphicData uri="http://schemas.openxmlformats.org/drawingml/2006/chart">
          <c:chart xmlns:c="http://schemas.openxmlformats.org/drawingml/2006/chart" r:id="rId18"/>
        </a:graphicData>
      </a:graphic>
    </xdr:graphicFrame>
    <xdr:clientData/>
  </xdr:twoCellAnchor>
  <xdr:twoCellAnchor>
    <xdr:from>
      <xdr:col>45</xdr:col>
      <xdr:colOff>399640</xdr:colOff>
      <xdr:row>159</xdr:row>
      <xdr:rowOff>89944</xdr:rowOff>
    </xdr:from>
    <xdr:to>
      <xdr:col>58</xdr:col>
      <xdr:colOff>574252</xdr:colOff>
      <xdr:row>182</xdr:row>
      <xdr:rowOff>102644</xdr:rowOff>
    </xdr:to>
    <xdr:graphicFrame>
      <xdr:nvGraphicFramePr>
        <xdr:cNvPr id="149" name="2D Line Chart"/>
        <xdr:cNvGraphicFramePr/>
      </xdr:nvGraphicFramePr>
      <xdr:xfrm>
        <a:off x="34689640" y="26340844"/>
        <a:ext cx="10080613" cy="3810001"/>
      </xdr:xfrm>
      <a:graphic xmlns:a="http://schemas.openxmlformats.org/drawingml/2006/main">
        <a:graphicData uri="http://schemas.openxmlformats.org/drawingml/2006/chart">
          <c:chart xmlns:c="http://schemas.openxmlformats.org/drawingml/2006/chart" r:id="rId19"/>
        </a:graphicData>
      </a:graphic>
    </xdr:graphicFrame>
    <xdr:clientData/>
  </xdr:twoCellAnchor>
  <xdr:twoCellAnchor>
    <xdr:from>
      <xdr:col>42</xdr:col>
      <xdr:colOff>661475</xdr:colOff>
      <xdr:row>230</xdr:row>
      <xdr:rowOff>131229</xdr:rowOff>
    </xdr:from>
    <xdr:to>
      <xdr:col>48</xdr:col>
      <xdr:colOff>453695</xdr:colOff>
      <xdr:row>251</xdr:row>
      <xdr:rowOff>6339</xdr:rowOff>
    </xdr:to>
    <xdr:graphicFrame>
      <xdr:nvGraphicFramePr>
        <xdr:cNvPr id="150" name="Mixed Chart"/>
        <xdr:cNvGraphicFramePr/>
      </xdr:nvGraphicFramePr>
      <xdr:xfrm>
        <a:off x="32665475" y="38104229"/>
        <a:ext cx="4364221" cy="3342211"/>
      </xdr:xfrm>
      <a:graphic xmlns:a="http://schemas.openxmlformats.org/drawingml/2006/main">
        <a:graphicData uri="http://schemas.openxmlformats.org/drawingml/2006/chart">
          <c:chart xmlns:c="http://schemas.openxmlformats.org/drawingml/2006/chart" r:id="rId20"/>
        </a:graphicData>
      </a:graphic>
    </xdr:graphicFrame>
    <xdr:clientData/>
  </xdr:twoCellAnchor>
  <xdr:twoCellAnchor>
    <xdr:from>
      <xdr:col>34</xdr:col>
      <xdr:colOff>633601</xdr:colOff>
      <xdr:row>188</xdr:row>
      <xdr:rowOff>33430</xdr:rowOff>
    </xdr:from>
    <xdr:to>
      <xdr:col>42</xdr:col>
      <xdr:colOff>155627</xdr:colOff>
      <xdr:row>211</xdr:row>
      <xdr:rowOff>46130</xdr:rowOff>
    </xdr:to>
    <xdr:graphicFrame>
      <xdr:nvGraphicFramePr>
        <xdr:cNvPr id="151" name="2D Line Chart"/>
        <xdr:cNvGraphicFramePr/>
      </xdr:nvGraphicFramePr>
      <xdr:xfrm>
        <a:off x="26541601" y="31072230"/>
        <a:ext cx="5618027" cy="3810001"/>
      </xdr:xfrm>
      <a:graphic xmlns:a="http://schemas.openxmlformats.org/drawingml/2006/main">
        <a:graphicData uri="http://schemas.openxmlformats.org/drawingml/2006/chart">
          <c:chart xmlns:c="http://schemas.openxmlformats.org/drawingml/2006/chart" r:id="rId21"/>
        </a:graphicData>
      </a:graphic>
    </xdr:graphicFrame>
    <xdr:clientData/>
  </xdr:twoCellAnchor>
  <xdr:twoCellAnchor>
    <xdr:from>
      <xdr:col>51</xdr:col>
      <xdr:colOff>507627</xdr:colOff>
      <xdr:row>131</xdr:row>
      <xdr:rowOff>92798</xdr:rowOff>
    </xdr:from>
    <xdr:to>
      <xdr:col>58</xdr:col>
      <xdr:colOff>574253</xdr:colOff>
      <xdr:row>154</xdr:row>
      <xdr:rowOff>105498</xdr:rowOff>
    </xdr:to>
    <xdr:graphicFrame>
      <xdr:nvGraphicFramePr>
        <xdr:cNvPr id="152" name="2D Line Chart"/>
        <xdr:cNvGraphicFramePr/>
      </xdr:nvGraphicFramePr>
      <xdr:xfrm>
        <a:off x="39369627" y="21720898"/>
        <a:ext cx="5400627" cy="3810001"/>
      </xdr:xfrm>
      <a:graphic xmlns:a="http://schemas.openxmlformats.org/drawingml/2006/main">
        <a:graphicData uri="http://schemas.openxmlformats.org/drawingml/2006/chart">
          <c:chart xmlns:c="http://schemas.openxmlformats.org/drawingml/2006/chart" r:id="rId22"/>
        </a:graphicData>
      </a:graphic>
    </xdr:graphicFrame>
    <xdr:clientData/>
  </xdr:twoCellAnchor>
</xdr:wsDr>
</file>

<file path=xl/drawings/drawing2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6350</xdr:colOff>
      <xdr:row>33</xdr:row>
      <xdr:rowOff>117792</xdr:rowOff>
    </xdr:from>
    <xdr:to>
      <xdr:col>3</xdr:col>
      <xdr:colOff>529859</xdr:colOff>
      <xdr:row>37</xdr:row>
      <xdr:rowOff>143827</xdr:rowOff>
    </xdr:to>
    <xdr:sp>
      <xdr:nvSpPr>
        <xdr:cNvPr id="159" name="1 cucharadita de sal por ~440g de carne…"/>
        <xdr:cNvSpPr txBox="1"/>
      </xdr:nvSpPr>
      <xdr:spPr>
        <a:xfrm>
          <a:off x="6350" y="5566092"/>
          <a:ext cx="2809510" cy="68643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152400" marR="0" indent="-152400" algn="l" defTabSz="457200" rtl="0" latinLnBrk="0">
            <a:lnSpc>
              <a:spcPct val="100000"/>
            </a:lnSpc>
            <a:spcBef>
              <a:spcPts val="0"/>
            </a:spcBef>
            <a:spcAft>
              <a:spcPts val="0"/>
            </a:spcAft>
            <a:buClrTx/>
            <a:buSzPct val="120000"/>
            <a:buFontTx/>
            <a:buChar char="-"/>
            <a:defRPr b="0" baseline="0" cap="none" i="0" spc="0" strike="noStrike" sz="1100" u="none">
              <a:solidFill>
                <a:srgbClr val="000000"/>
              </a:solidFill>
              <a:uFillTx/>
              <a:latin typeface="+mn-lt"/>
              <a:ea typeface="+mn-ea"/>
              <a:cs typeface="+mn-cs"/>
              <a:sym typeface="Helvetica"/>
            </a:defRPr>
          </a:pPr>
          <a:r>
            <a:rPr b="0" baseline="0" cap="none" i="0" spc="0" strike="noStrike" sz="1100" u="none">
              <a:solidFill>
                <a:srgbClr val="000000"/>
              </a:solidFill>
              <a:uFillTx/>
              <a:latin typeface="+mn-lt"/>
              <a:ea typeface="+mn-ea"/>
              <a:cs typeface="+mn-cs"/>
              <a:sym typeface="Helvetica"/>
            </a:rPr>
            <a:t>1 cucharadita de sal por ~440g de carne</a:t>
          </a:r>
          <a:endParaRPr b="0" baseline="0" cap="none" i="0" spc="0" strike="noStrike" sz="1100" u="none">
            <a:solidFill>
              <a:srgbClr val="000000"/>
            </a:solidFill>
            <a:uFillTx/>
            <a:latin typeface="+mn-lt"/>
            <a:ea typeface="+mn-ea"/>
            <a:cs typeface="+mn-cs"/>
            <a:sym typeface="Helvetica"/>
          </a:endParaRPr>
        </a:p>
        <a:p>
          <a:pPr marL="152400" marR="0" indent="-152400" algn="l" defTabSz="457200" rtl="0" latinLnBrk="0">
            <a:lnSpc>
              <a:spcPct val="100000"/>
            </a:lnSpc>
            <a:spcBef>
              <a:spcPts val="0"/>
            </a:spcBef>
            <a:spcAft>
              <a:spcPts val="0"/>
            </a:spcAft>
            <a:buClrTx/>
            <a:buSzPct val="120000"/>
            <a:buFontTx/>
            <a:buChar char="-"/>
            <a:defRPr b="0" baseline="0" cap="none" i="0" spc="0" strike="noStrike" sz="1100" u="none">
              <a:solidFill>
                <a:srgbClr val="000000"/>
              </a:solidFill>
              <a:uFillTx/>
              <a:latin typeface="+mn-lt"/>
              <a:ea typeface="+mn-ea"/>
              <a:cs typeface="+mn-cs"/>
              <a:sym typeface="Helvetica"/>
            </a:defRPr>
          </a:pPr>
          <a:r>
            <a:rPr b="0" baseline="0" cap="none" i="0" spc="0" strike="noStrike" sz="1100" u="none">
              <a:solidFill>
                <a:srgbClr val="000000"/>
              </a:solidFill>
              <a:uFillTx/>
              <a:latin typeface="+mn-lt"/>
              <a:ea typeface="+mn-ea"/>
              <a:cs typeface="+mn-cs"/>
              <a:sym typeface="Helvetica"/>
            </a:rPr>
            <a:t>Tortilla, fuego grande en 6, 5 minutos</a:t>
          </a:r>
          <a:endParaRPr b="0" baseline="0" cap="none" i="0" spc="0" strike="noStrike" sz="1100" u="none">
            <a:solidFill>
              <a:srgbClr val="000000"/>
            </a:solidFill>
            <a:uFillTx/>
            <a:latin typeface="+mn-lt"/>
            <a:ea typeface="+mn-ea"/>
            <a:cs typeface="+mn-cs"/>
            <a:sym typeface="Helvetica"/>
          </a:endParaRPr>
        </a:p>
        <a:p>
          <a:pPr marL="152400" marR="0" indent="-152400" algn="l" defTabSz="457200" rtl="0" latinLnBrk="0">
            <a:lnSpc>
              <a:spcPct val="100000"/>
            </a:lnSpc>
            <a:spcBef>
              <a:spcPts val="0"/>
            </a:spcBef>
            <a:spcAft>
              <a:spcPts val="0"/>
            </a:spcAft>
            <a:buClrTx/>
            <a:buSzPct val="120000"/>
            <a:buFontTx/>
            <a:buChar char="-"/>
            <a:defRPr b="0" baseline="0" cap="none" i="0" spc="0" strike="noStrike" sz="1100" u="none">
              <a:solidFill>
                <a:srgbClr val="000000"/>
              </a:solidFill>
              <a:uFillTx/>
              <a:latin typeface="+mn-lt"/>
              <a:ea typeface="+mn-ea"/>
              <a:cs typeface="+mn-cs"/>
              <a:sym typeface="Helvetica"/>
            </a:defRPr>
          </a:pPr>
          <a:r>
            <a:rPr b="0" baseline="0" cap="none" i="0" spc="0" strike="noStrike" sz="1100" u="none">
              <a:solidFill>
                <a:srgbClr val="000000"/>
              </a:solidFill>
              <a:uFillTx/>
              <a:latin typeface="+mn-lt"/>
              <a:ea typeface="+mn-ea"/>
              <a:cs typeface="+mn-cs"/>
              <a:sym typeface="Helvetica"/>
            </a:rPr>
            <a:t>1 taza de arroz = 1 cucharadita de sal</a:t>
          </a:r>
        </a:p>
      </xdr:txBody>
    </xdr:sp>
    <xdr:clientData/>
  </xdr:twoCellAnchor>
</xdr:wsDr>
</file>

<file path=xl/drawings/drawing2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11</xdr:col>
      <xdr:colOff>690215</xdr:colOff>
      <xdr:row>71</xdr:row>
      <xdr:rowOff>80010</xdr:rowOff>
    </xdr:from>
    <xdr:to>
      <xdr:col>21</xdr:col>
      <xdr:colOff>695225</xdr:colOff>
      <xdr:row>97</xdr:row>
      <xdr:rowOff>55887</xdr:rowOff>
    </xdr:to>
    <xdr:graphicFrame>
      <xdr:nvGraphicFramePr>
        <xdr:cNvPr id="161" name="2D Line Chart"/>
        <xdr:cNvGraphicFramePr/>
      </xdr:nvGraphicFramePr>
      <xdr:xfrm>
        <a:off x="9072215" y="11802110"/>
        <a:ext cx="7625011" cy="4268478"/>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_rels/theme1.xml.rels><?xml version="1.0" encoding="UTF-8"?>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r:embed="rId1"/>
          <a:srcRect l="0" t="0" r="0" b="0"/>
          <a:tile tx="0" ty="0" sx="100000" sy="100000" flip="none" algn="tl"/>
        </a:blipFill>
        <a:ln w="12700" cap="flat">
          <a:noFill/>
          <a:miter lim="400000"/>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outerShdw sx="100000" sy="100000" kx="0" ky="0" algn="b" rotWithShape="0" blurRad="25400" dist="23998" dir="270000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4.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6.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11.xml.rels><?xml version="1.0" encoding="UTF-8"?>
<Relationships xmlns="http://schemas.openxmlformats.org/package/2006/relationships"><Relationship Id="rId1" Type="http://schemas.openxmlformats.org/officeDocument/2006/relationships/hyperlink" Target="http://APPLE.COM" TargetMode="External"/><Relationship Id="rId2" Type="http://schemas.openxmlformats.org/officeDocument/2006/relationships/hyperlink" Target="http://APPLE.COM" TargetMode="External"/><Relationship Id="rId3" Type="http://schemas.openxmlformats.org/officeDocument/2006/relationships/hyperlink" Target="http://APPLE.COM" TargetMode="External"/><Relationship Id="rId4" Type="http://schemas.openxmlformats.org/officeDocument/2006/relationships/hyperlink" Target="http://APPLE.COM" TargetMode="External"/><Relationship Id="rId5" Type="http://schemas.openxmlformats.org/officeDocument/2006/relationships/hyperlink" Target="http://LATAM.COM" TargetMode="External"/></Relationships>

</file>

<file path=xl/worksheets/_rels/sheet12.xml.rels><?xml version="1.0" encoding="UTF-8"?>
<Relationships xmlns="http://schemas.openxmlformats.org/package/2006/relationships"><Relationship Id="rId1" Type="http://schemas.openxmlformats.org/officeDocument/2006/relationships/hyperlink" Target="http://APPLE.COM" TargetMode="External"/><Relationship Id="rId2" Type="http://schemas.openxmlformats.org/officeDocument/2006/relationships/hyperlink" Target="http://APPLE.COM" TargetMode="External"/><Relationship Id="rId3" Type="http://schemas.openxmlformats.org/officeDocument/2006/relationships/hyperlink" Target="http://APPLE.COM" TargetMode="External"/><Relationship Id="rId4" Type="http://schemas.openxmlformats.org/officeDocument/2006/relationships/hyperlink" Target="http://APPLE.COM" TargetMode="External"/><Relationship Id="rId5" Type="http://schemas.openxmlformats.org/officeDocument/2006/relationships/hyperlink" Target="http://LATAM.COM" TargetMode="External"/></Relationships>

</file>

<file path=xl/worksheets/_rels/sheet13.xml.rels><?xml version="1.0" encoding="UTF-8"?>
<Relationships xmlns="http://schemas.openxmlformats.org/package/2006/relationships"><Relationship Id="rId1" Type="http://schemas.openxmlformats.org/officeDocument/2006/relationships/hyperlink" Target="http://APPLE.COM" TargetMode="External"/><Relationship Id="rId2" Type="http://schemas.openxmlformats.org/officeDocument/2006/relationships/hyperlink" Target="http://APPLE.COM" TargetMode="External"/><Relationship Id="rId3" Type="http://schemas.openxmlformats.org/officeDocument/2006/relationships/hyperlink" Target="http://APPLE.COM" TargetMode="External"/><Relationship Id="rId4" Type="http://schemas.openxmlformats.org/officeDocument/2006/relationships/hyperlink" Target="http://LATAM.COM" TargetMode="External"/></Relationships>

</file>

<file path=xl/worksheets/_rels/sheet14.xml.rels><?xml version="1.0" encoding="UTF-8"?>
<Relationships xmlns="http://schemas.openxmlformats.org/package/2006/relationships"><Relationship Id="rId1" Type="http://schemas.openxmlformats.org/officeDocument/2006/relationships/hyperlink" Target="http://APPLE.COM" TargetMode="External"/><Relationship Id="rId2" Type="http://schemas.openxmlformats.org/officeDocument/2006/relationships/hyperlink" Target="http://APPLE.COM" TargetMode="External"/><Relationship Id="rId3" Type="http://schemas.openxmlformats.org/officeDocument/2006/relationships/hyperlink" Target="http://APPLE.COM" TargetMode="External"/></Relationships>

</file>

<file path=xl/worksheets/_rels/sheet15.xml.rels><?xml version="1.0" encoding="UTF-8"?>
<Relationships xmlns="http://schemas.openxmlformats.org/package/2006/relationships"><Relationship Id="rId1" Type="http://schemas.openxmlformats.org/officeDocument/2006/relationships/hyperlink" Target="http://APPLE.COM" TargetMode="External"/><Relationship Id="rId2" Type="http://schemas.openxmlformats.org/officeDocument/2006/relationships/hyperlink" Target="http://APPLE.COM" TargetMode="External"/><Relationship Id="rId3" Type="http://schemas.openxmlformats.org/officeDocument/2006/relationships/hyperlink" Target="http://APPLE.COM" TargetMode="External"/><Relationship Id="rId4" Type="http://schemas.openxmlformats.org/officeDocument/2006/relationships/hyperlink" Target="http://BOOKING.COM" TargetMode="External"/><Relationship Id="rId5" Type="http://schemas.openxmlformats.org/officeDocument/2006/relationships/hyperlink" Target="http://LATAM.COM" TargetMode="External"/></Relationships>

</file>

<file path=xl/worksheets/_rels/sheet16.xml.rels><?xml version="1.0" encoding="UTF-8"?>
<Relationships xmlns="http://schemas.openxmlformats.org/package/2006/relationships"><Relationship Id="rId1" Type="http://schemas.openxmlformats.org/officeDocument/2006/relationships/hyperlink" Target="http://APPLE.COM" TargetMode="External"/><Relationship Id="rId2" Type="http://schemas.openxmlformats.org/officeDocument/2006/relationships/hyperlink" Target="http://APPLE.COM" TargetMode="External"/><Relationship Id="rId3" Type="http://schemas.openxmlformats.org/officeDocument/2006/relationships/hyperlink" Target="http://APPLE.COM" TargetMode="External"/></Relationships>

</file>

<file path=xl/worksheets/_rels/sheet17.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28.xml.rels><?xml version="1.0" encoding="UTF-8"?>
<Relationships xmlns="http://schemas.openxmlformats.org/package/2006/relationships"><Relationship Id="rId1" Type="http://schemas.openxmlformats.org/officeDocument/2006/relationships/drawing" Target="../drawings/drawing5.xml"/></Relationships>

</file>

<file path=xl/worksheets/_rels/sheet29.xml.rels><?xml version="1.0" encoding="UTF-8"?>
<Relationships xmlns="http://schemas.openxmlformats.org/package/2006/relationships"><Relationship Id="rId1" Type="http://schemas.openxmlformats.org/officeDocument/2006/relationships/drawing" Target="../drawings/drawing6.xml"/></Relationships>

</file>

<file path=xl/worksheets/_rels/sheet30.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33.xml.rels><?xml version="1.0" encoding="UTF-8"?>
<Relationships xmlns="http://schemas.openxmlformats.org/package/2006/relationships"><Relationship Id="rId1" Type="http://schemas.openxmlformats.org/officeDocument/2006/relationships/drawing" Target="../drawings/drawing8.xml"/><Relationship Id="rId2" Type="http://schemas.openxmlformats.org/officeDocument/2006/relationships/vmlDrawing" Target="../drawings/vmlDrawing6.vml"/><Relationship Id="rId3" Type="http://schemas.openxmlformats.org/officeDocument/2006/relationships/comments" Target="../comments6.xml"/></Relationships>

</file>

<file path=xl/worksheets/_rels/sheet35.xml.rels><?xml version="1.0" encoding="UTF-8"?>
<Relationships xmlns="http://schemas.openxmlformats.org/package/2006/relationships"><Relationship Id="rId1" Type="http://schemas.openxmlformats.org/officeDocument/2006/relationships/drawing" Target="../drawings/drawing9.xml"/><Relationship Id="rId2" Type="http://schemas.openxmlformats.org/officeDocument/2006/relationships/vmlDrawing" Target="../drawings/vmlDrawing7.vml"/><Relationship Id="rId3" Type="http://schemas.openxmlformats.org/officeDocument/2006/relationships/comments" Target="../comments7.xml"/></Relationships>

</file>

<file path=xl/worksheets/_rels/sheet48.xml.rels><?xml version="1.0" encoding="UTF-8"?>
<Relationships xmlns="http://schemas.openxmlformats.org/package/2006/relationships"><Relationship Id="rId1" Type="http://schemas.openxmlformats.org/officeDocument/2006/relationships/drawing" Target="../drawings/drawing10.xml"/></Relationships>

</file>

<file path=xl/worksheets/_rels/sheet53.xml.rels><?xml version="1.0" encoding="UTF-8"?>
<Relationships xmlns="http://schemas.openxmlformats.org/package/2006/relationships"><Relationship Id="rId1" Type="http://schemas.openxmlformats.org/officeDocument/2006/relationships/drawing" Target="../drawings/drawing11.xml"/><Relationship Id="rId2" Type="http://schemas.openxmlformats.org/officeDocument/2006/relationships/vmlDrawing" Target="../drawings/vmlDrawing8.vml"/><Relationship Id="rId3" Type="http://schemas.openxmlformats.org/officeDocument/2006/relationships/comments" Target="../comments8.xml"/></Relationships>

</file>

<file path=xl/worksheets/_rels/sheet54.xml.rels><?xml version="1.0" encoding="UTF-8"?>
<Relationships xmlns="http://schemas.openxmlformats.org/package/2006/relationships"><Relationship Id="rId1" Type="http://schemas.openxmlformats.org/officeDocument/2006/relationships/hyperlink" Target="https://fvb.cl/" TargetMode="External"/><Relationship Id="rId2" Type="http://schemas.openxmlformats.org/officeDocument/2006/relationships/hyperlink" Target="http://elnidopropiedades.cl/" TargetMode="External"/><Relationship Id="rId3" Type="http://schemas.openxmlformats.org/officeDocument/2006/relationships/hyperlink" Target="http://www.mcclure.cl/" TargetMode="External"/><Relationship Id="rId4" Type="http://schemas.openxmlformats.org/officeDocument/2006/relationships/hyperlink" Target="https://alonsoascui.com" TargetMode="External"/><Relationship Id="rId5" Type="http://schemas.openxmlformats.org/officeDocument/2006/relationships/hyperlink" Target="http://www.realtycorp.cl" TargetMode="External"/><Relationship Id="rId6" Type="http://schemas.openxmlformats.org/officeDocument/2006/relationships/hyperlink" Target="http://www.makler.cl" TargetMode="External"/><Relationship Id="rId7" Type="http://schemas.openxmlformats.org/officeDocument/2006/relationships/hyperlink" Target="http://www.chilesir.com" TargetMode="External"/><Relationship Id="rId8" Type="http://schemas.openxmlformats.org/officeDocument/2006/relationships/hyperlink" Target="http://www.m4propiedades.cl" TargetMode="External"/><Relationship Id="rId9" Type="http://schemas.openxmlformats.org/officeDocument/2006/relationships/hyperlink" Target="https://lacasadejuana.cl/la-casa/" TargetMode="External"/><Relationship Id="rId10" Type="http://schemas.openxmlformats.org/officeDocument/2006/relationships/hyperlink" Target="https://www.casalab.cl" TargetMode="External"/><Relationship Id="rId11" Type="http://schemas.openxmlformats.org/officeDocument/2006/relationships/hyperlink" Target="https://mandaat.cl" TargetMode="External"/><Relationship Id="rId12" Type="http://schemas.openxmlformats.org/officeDocument/2006/relationships/hyperlink" Target="https://romopropiedades.cl/" TargetMode="External"/></Relationships>

</file>

<file path=xl/worksheets/_rels/sheet63.xml.rels><?xml version="1.0" encoding="UTF-8"?>
<Relationships xmlns="http://schemas.openxmlformats.org/package/2006/relationships"><Relationship Id="rId1" Type="http://schemas.openxmlformats.org/officeDocument/2006/relationships/drawing" Target="../drawings/drawing12.xml"/><Relationship Id="rId2" Type="http://schemas.openxmlformats.org/officeDocument/2006/relationships/vmlDrawing" Target="../drawings/vmlDrawing9.vml"/><Relationship Id="rId3" Type="http://schemas.openxmlformats.org/officeDocument/2006/relationships/comments" Target="../comments9.xml"/></Relationships>

</file>

<file path=xl/worksheets/_rels/sheet65.xml.rels><?xml version="1.0" encoding="UTF-8"?>
<Relationships xmlns="http://schemas.openxmlformats.org/package/2006/relationships"><Relationship Id="rId1" Type="http://schemas.openxmlformats.org/officeDocument/2006/relationships/drawing" Target="../drawings/drawing13.xml"/><Relationship Id="rId2" Type="http://schemas.openxmlformats.org/officeDocument/2006/relationships/vmlDrawing" Target="../drawings/vmlDrawing10.vml"/><Relationship Id="rId3" Type="http://schemas.openxmlformats.org/officeDocument/2006/relationships/comments" Target="../comments10.xml"/></Relationships>

</file>

<file path=xl/worksheets/_rels/sheet66.xml.rels><?xml version="1.0" encoding="UTF-8"?>
<Relationships xmlns="http://schemas.openxmlformats.org/package/2006/relationships"><Relationship Id="rId1" Type="http://schemas.openxmlformats.org/officeDocument/2006/relationships/drawing" Target="../drawings/drawing14.xml"/><Relationship Id="rId2" Type="http://schemas.openxmlformats.org/officeDocument/2006/relationships/vmlDrawing" Target="../drawings/vmlDrawing11.vml"/><Relationship Id="rId3" Type="http://schemas.openxmlformats.org/officeDocument/2006/relationships/comments" Target="../comments11.xml"/></Relationships>

</file>

<file path=xl/worksheets/_rels/sheet67.xml.rels><?xml version="1.0" encoding="UTF-8"?>
<Relationships xmlns="http://schemas.openxmlformats.org/package/2006/relationships"><Relationship Id="rId1" Type="http://schemas.openxmlformats.org/officeDocument/2006/relationships/drawing" Target="../drawings/drawing15.xml"/></Relationships>

</file>

<file path=xl/worksheets/_rels/sheet73.xml.rels><?xml version="1.0" encoding="UTF-8"?>
<Relationships xmlns="http://schemas.openxmlformats.org/package/2006/relationships"><Relationship Id="rId1" Type="http://schemas.openxmlformats.org/officeDocument/2006/relationships/drawing" Target="../drawings/drawing16.xml"/></Relationships>

</file>

<file path=xl/worksheets/_rels/sheet87.xml.rels><?xml version="1.0" encoding="UTF-8"?>
<Relationships xmlns="http://schemas.openxmlformats.org/package/2006/relationships"><Relationship Id="rId1" Type="http://schemas.openxmlformats.org/officeDocument/2006/relationships/drawing" Target="../drawings/drawing17.xml"/><Relationship Id="rId2" Type="http://schemas.openxmlformats.org/officeDocument/2006/relationships/vmlDrawing" Target="../drawings/vmlDrawing12.vml"/><Relationship Id="rId3" Type="http://schemas.openxmlformats.org/officeDocument/2006/relationships/comments" Target="../comments12.xml"/></Relationships>

</file>

<file path=xl/worksheets/_rels/sheet89.xml.rels><?xml version="1.0" encoding="UTF-8"?>
<Relationships xmlns="http://schemas.openxmlformats.org/package/2006/relationships"><Relationship Id="rId1" Type="http://schemas.openxmlformats.org/officeDocument/2006/relationships/drawing" Target="../drawings/drawing18.xml"/><Relationship Id="rId2" Type="http://schemas.openxmlformats.org/officeDocument/2006/relationships/vmlDrawing" Target="../drawings/vmlDrawing13.vml"/><Relationship Id="rId3" Type="http://schemas.openxmlformats.org/officeDocument/2006/relationships/comments" Target="../comments13.xml"/></Relationships>

</file>

<file path=xl/worksheets/_rels/sheet100.xml.rels><?xml version="1.0" encoding="UTF-8"?>
<Relationships xmlns="http://schemas.openxmlformats.org/package/2006/relationships"><Relationship Id="rId1" Type="http://schemas.openxmlformats.org/officeDocument/2006/relationships/drawing" Target="../drawings/drawing19.xml"/><Relationship Id="rId2" Type="http://schemas.openxmlformats.org/officeDocument/2006/relationships/vmlDrawing" Target="../drawings/vmlDrawing14.vml"/><Relationship Id="rId3" Type="http://schemas.openxmlformats.org/officeDocument/2006/relationships/comments" Target="../comments14.xml"/></Relationships>

</file>

<file path=xl/worksheets/_rels/sheet101.xml.rels><?xml version="1.0" encoding="UTF-8"?>
<Relationships xmlns="http://schemas.openxmlformats.org/package/2006/relationships"><Relationship Id="rId1" Type="http://schemas.openxmlformats.org/officeDocument/2006/relationships/drawing" Target="../drawings/drawing20.xml"/><Relationship Id="rId2" Type="http://schemas.openxmlformats.org/officeDocument/2006/relationships/vmlDrawing" Target="../drawings/vmlDrawing15.vml"/><Relationship Id="rId3" Type="http://schemas.openxmlformats.org/officeDocument/2006/relationships/comments" Target="../comments15.xml"/></Relationships>

</file>

<file path=xl/worksheets/_rels/sheet102.xml.rels><?xml version="1.0" encoding="UTF-8"?>
<Relationships xmlns="http://schemas.openxmlformats.org/package/2006/relationships"><Relationship Id="rId1" Type="http://schemas.openxmlformats.org/officeDocument/2006/relationships/drawing" Target="../drawings/drawing21.xml"/></Relationships>

</file>

<file path=xl/worksheets/_rels/sheet106.xml.rels><?xml version="1.0" encoding="UTF-8"?>
<Relationships xmlns="http://schemas.openxmlformats.org/package/2006/relationships"><Relationship Id="rId1" Type="http://schemas.openxmlformats.org/officeDocument/2006/relationships/drawing" Target="../drawings/drawing22.xml"/><Relationship Id="rId2" Type="http://schemas.openxmlformats.org/officeDocument/2006/relationships/vmlDrawing" Target="../drawings/vmlDrawing16.vml"/><Relationship Id="rId3" Type="http://schemas.openxmlformats.org/officeDocument/2006/relationships/comments" Target="../comments16.xml"/></Relationships>

</file>

<file path=xl/worksheets/_rels/sheet107.xml.rels><?xml version="1.0" encoding="UTF-8"?>
<Relationships xmlns="http://schemas.openxmlformats.org/package/2006/relationships"><Relationship Id="rId1" Type="http://schemas.openxmlformats.org/officeDocument/2006/relationships/drawing" Target="../drawings/drawing23.xml"/><Relationship Id="rId2" Type="http://schemas.openxmlformats.org/officeDocument/2006/relationships/vmlDrawing" Target="../drawings/vmlDrawing17.vml"/><Relationship Id="rId3" Type="http://schemas.openxmlformats.org/officeDocument/2006/relationships/comments" Target="../comments17.xml"/></Relationships>

</file>

<file path=xl/worksheets/_rels/sheet117.xml.rels><?xml version="1.0" encoding="UTF-8"?>
<Relationships xmlns="http://schemas.openxmlformats.org/package/2006/relationships"><Relationship Id="rId1" Type="http://schemas.openxmlformats.org/officeDocument/2006/relationships/hyperlink" Target="https://www.triedandtruerecipe.com/riso-al-forno-baked-risotto/" TargetMode="External"/><Relationship Id="rId2" Type="http://schemas.openxmlformats.org/officeDocument/2006/relationships/hyperlink" Target="https://www.reddit.com/r/EatCheapAndHealthy/comments/r4yigd/i_learned_about_an_italian_peasant_dish_called/" TargetMode="External"/><Relationship Id="rId3" Type="http://schemas.openxmlformats.org/officeDocument/2006/relationships/hyperlink" Target="https://www.recipetineats.com/flan-patissier-french-custard-tart/" TargetMode="External"/><Relationship Id="rId4" Type="http://schemas.openxmlformats.org/officeDocument/2006/relationships/hyperlink" Target="https://www.americastestkitchen.com/recipes/2722-molasses-spice-lemon-sandwich-cookies?pac=7N3W%2Bys/Z4NF16D7SsnD5LMjy2uTbDo2VGlIva1BpY0=%0A&amp;extcode=NSAKH28IG&amp;utm_source=instagram&amp;utm_medium=photo&amp;utm_content=molassescookies&amp;utm_campaign=atkthanksgiving" TargetMode="External"/><Relationship Id="rId5" Type="http://schemas.openxmlformats.org/officeDocument/2006/relationships/hyperlink" Target="https://en.wikipedia.org/wiki/Quince_cheese" TargetMode="External"/></Relationships>

</file>

<file path=xl/worksheets/_rels/sheet119.xml.rels><?xml version="1.0" encoding="UTF-8"?>
<Relationships xmlns="http://schemas.openxmlformats.org/package/2006/relationships"><Relationship Id="rId1" Type="http://schemas.openxmlformats.org/officeDocument/2006/relationships/drawing" Target="../drawings/drawing24.xml"/></Relationships>

</file>

<file path=xl/worksheets/_rels/sheet125.xml.rels><?xml version="1.0" encoding="UTF-8"?>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52</v>
      </c>
      <c r="D11" t="s" s="5">
        <v>53</v>
      </c>
    </row>
    <row r="12">
      <c r="B12" s="4"/>
      <c r="C12" t="s" s="4">
        <v>61</v>
      </c>
      <c r="D12" t="s" s="5">
        <v>62</v>
      </c>
    </row>
    <row r="13">
      <c r="B13" s="4"/>
      <c r="C13" t="s" s="4">
        <v>80</v>
      </c>
      <c r="D13" t="s" s="5">
        <v>81</v>
      </c>
    </row>
    <row r="14">
      <c r="B14" s="4"/>
      <c r="C14" t="s" s="4">
        <v>91</v>
      </c>
      <c r="D14" t="s" s="5">
        <v>92</v>
      </c>
    </row>
    <row r="15">
      <c r="B15" s="4"/>
      <c r="C15" t="s" s="4">
        <v>124</v>
      </c>
      <c r="D15" t="s" s="5">
        <v>125</v>
      </c>
    </row>
    <row r="16">
      <c r="B16" s="4"/>
      <c r="C16" t="s" s="4">
        <v>127</v>
      </c>
      <c r="D16" t="s" s="5">
        <v>128</v>
      </c>
    </row>
    <row r="17">
      <c r="B17" s="4"/>
      <c r="C17" t="s" s="4">
        <v>138</v>
      </c>
      <c r="D17" t="s" s="5">
        <v>139</v>
      </c>
    </row>
    <row r="18">
      <c r="B18" t="s" s="3">
        <v>145</v>
      </c>
      <c r="C18" s="3"/>
      <c r="D18" s="3"/>
    </row>
    <row r="19">
      <c r="B19" s="4"/>
      <c r="C19" t="s" s="4">
        <v>146</v>
      </c>
      <c r="D19" t="s" s="5">
        <v>147</v>
      </c>
    </row>
    <row r="20">
      <c r="B20" s="4"/>
      <c r="C20" t="s" s="4">
        <v>173</v>
      </c>
      <c r="D20" t="s" s="5">
        <v>174</v>
      </c>
    </row>
    <row r="21">
      <c r="B21" s="4"/>
      <c r="C21" t="s" s="4">
        <v>284</v>
      </c>
      <c r="D21" t="s" s="5">
        <v>285</v>
      </c>
    </row>
    <row r="22">
      <c r="B22" s="4"/>
      <c r="C22" t="s" s="4">
        <v>337</v>
      </c>
      <c r="D22" t="s" s="5">
        <v>338</v>
      </c>
    </row>
    <row r="23">
      <c r="B23" s="4"/>
      <c r="C23" t="s" s="4">
        <v>400</v>
      </c>
      <c r="D23" t="s" s="5">
        <v>401</v>
      </c>
    </row>
    <row r="24">
      <c r="B24" s="4"/>
      <c r="C24" t="s" s="4">
        <v>447</v>
      </c>
      <c r="D24" t="s" s="5">
        <v>448</v>
      </c>
    </row>
    <row r="25">
      <c r="B25" s="4"/>
      <c r="C25" t="s" s="4">
        <v>487</v>
      </c>
      <c r="D25" t="s" s="5">
        <v>488</v>
      </c>
    </row>
    <row r="26">
      <c r="B26" s="4"/>
      <c r="C26" t="s" s="4">
        <v>530</v>
      </c>
      <c r="D26" t="s" s="5">
        <v>531</v>
      </c>
    </row>
    <row r="27">
      <c r="B27" s="4"/>
      <c r="C27" t="s" s="4">
        <v>542</v>
      </c>
      <c r="D27" t="s" s="5">
        <v>543</v>
      </c>
    </row>
    <row r="28">
      <c r="B28" s="4"/>
      <c r="C28" t="s" s="4">
        <v>551</v>
      </c>
      <c r="D28" t="s" s="5">
        <v>552</v>
      </c>
    </row>
    <row r="29">
      <c r="B29" s="4"/>
      <c r="C29" t="s" s="4">
        <v>46</v>
      </c>
      <c r="D29" t="s" s="5">
        <v>557</v>
      </c>
    </row>
    <row r="30">
      <c r="B30" s="4"/>
      <c r="C30" t="s" s="4">
        <v>61</v>
      </c>
      <c r="D30" t="s" s="5">
        <v>572</v>
      </c>
    </row>
    <row r="31">
      <c r="B31" s="4"/>
      <c r="C31" t="s" s="4">
        <v>579</v>
      </c>
      <c r="D31" t="s" s="5">
        <v>580</v>
      </c>
    </row>
    <row r="32">
      <c r="B32" s="4"/>
      <c r="C32" t="s" s="4">
        <v>590</v>
      </c>
      <c r="D32" t="s" s="5">
        <v>591</v>
      </c>
    </row>
    <row r="33">
      <c r="B33" s="4"/>
      <c r="C33" t="s" s="4">
        <v>80</v>
      </c>
      <c r="D33" t="s" s="5">
        <v>594</v>
      </c>
    </row>
    <row r="34">
      <c r="B34" s="4"/>
      <c r="C34" t="s" s="4">
        <v>52</v>
      </c>
      <c r="D34" t="s" s="5">
        <v>620</v>
      </c>
    </row>
    <row r="35">
      <c r="B35" s="4"/>
      <c r="C35" t="s" s="4">
        <v>639</v>
      </c>
      <c r="D35" t="s" s="5">
        <v>640</v>
      </c>
    </row>
    <row r="36">
      <c r="B36" s="4"/>
      <c r="C36" t="s" s="4">
        <v>648</v>
      </c>
      <c r="D36" t="s" s="5">
        <v>649</v>
      </c>
    </row>
    <row r="37">
      <c r="B37" s="4"/>
      <c r="C37" t="s" s="4">
        <v>661</v>
      </c>
      <c r="D37" t="s" s="5">
        <v>662</v>
      </c>
    </row>
    <row r="38">
      <c r="B38" t="s" s="3">
        <v>663</v>
      </c>
      <c r="C38" s="3"/>
      <c r="D38" s="3"/>
    </row>
    <row r="39">
      <c r="B39" s="4"/>
      <c r="C39" t="s" s="4">
        <v>579</v>
      </c>
      <c r="D39" t="s" s="5">
        <v>664</v>
      </c>
    </row>
    <row r="40">
      <c r="B40" t="s" s="3">
        <v>681</v>
      </c>
      <c r="C40" s="3"/>
      <c r="D40" s="3"/>
    </row>
    <row r="41">
      <c r="B41" s="4"/>
      <c r="C41" t="s" s="4">
        <v>52</v>
      </c>
      <c r="D41" t="s" s="5">
        <v>682</v>
      </c>
    </row>
    <row r="42">
      <c r="B42" s="4"/>
      <c r="C42" t="s" s="4">
        <v>684</v>
      </c>
      <c r="D42" t="s" s="5">
        <v>685</v>
      </c>
    </row>
    <row r="43">
      <c r="B43" s="4"/>
      <c r="C43" t="s" s="4">
        <v>681</v>
      </c>
      <c r="D43" t="s" s="5">
        <v>689</v>
      </c>
    </row>
    <row r="44">
      <c r="B44" s="4"/>
      <c r="C44" t="s" s="4">
        <v>696</v>
      </c>
      <c r="D44" t="s" s="5">
        <v>697</v>
      </c>
    </row>
    <row r="45">
      <c r="B45" s="4"/>
      <c r="C45" t="s" s="4">
        <v>706</v>
      </c>
      <c r="D45" t="s" s="5">
        <v>707</v>
      </c>
    </row>
    <row r="46">
      <c r="B46" s="4"/>
      <c r="C46" t="s" s="4">
        <v>61</v>
      </c>
      <c r="D46" t="s" s="5">
        <v>716</v>
      </c>
    </row>
    <row r="47">
      <c r="B47" s="4"/>
      <c r="C47" t="s" s="4">
        <v>753</v>
      </c>
      <c r="D47" t="s" s="5">
        <v>754</v>
      </c>
    </row>
    <row r="48">
      <c r="B48" s="4"/>
      <c r="C48" t="s" s="4">
        <v>692</v>
      </c>
      <c r="D48" t="s" s="5">
        <v>760</v>
      </c>
    </row>
    <row r="49">
      <c r="B49" s="4"/>
      <c r="C49" t="s" s="4">
        <v>691</v>
      </c>
      <c r="D49" t="s" s="5">
        <v>768</v>
      </c>
    </row>
    <row r="50">
      <c r="B50" s="4"/>
      <c r="C50" t="s" s="4">
        <v>771</v>
      </c>
      <c r="D50" t="s" s="5">
        <v>772</v>
      </c>
    </row>
    <row r="51">
      <c r="B51" s="4"/>
      <c r="C51" t="s" s="4">
        <v>778</v>
      </c>
      <c r="D51" t="s" s="5">
        <v>779</v>
      </c>
    </row>
    <row r="52">
      <c r="B52" s="4"/>
      <c r="C52" t="s" s="4">
        <v>782</v>
      </c>
      <c r="D52" t="s" s="5">
        <v>783</v>
      </c>
    </row>
    <row r="53">
      <c r="B53" s="4"/>
      <c r="C53" t="s" s="4">
        <v>710</v>
      </c>
      <c r="D53" t="s" s="5">
        <v>788</v>
      </c>
    </row>
    <row r="54">
      <c r="B54" s="4"/>
      <c r="C54" t="s" s="4">
        <v>579</v>
      </c>
      <c r="D54" t="s" s="5">
        <v>804</v>
      </c>
    </row>
    <row r="55">
      <c r="B55" s="4"/>
      <c r="C55" t="s" s="4">
        <v>284</v>
      </c>
      <c r="D55" t="s" s="5">
        <v>810</v>
      </c>
    </row>
    <row r="56">
      <c r="B56" s="4"/>
      <c r="C56" t="s" s="4">
        <v>820</v>
      </c>
      <c r="D56" t="s" s="5">
        <v>821</v>
      </c>
    </row>
    <row r="57">
      <c r="B57" s="4"/>
      <c r="C57" t="s" s="4">
        <v>687</v>
      </c>
      <c r="D57" t="s" s="5">
        <v>826</v>
      </c>
    </row>
    <row r="58">
      <c r="B58" s="4"/>
      <c r="C58" t="s" s="4">
        <v>173</v>
      </c>
      <c r="D58" t="s" s="5">
        <v>833</v>
      </c>
    </row>
    <row r="59">
      <c r="B59" s="4"/>
      <c r="C59" t="s" s="4">
        <v>661</v>
      </c>
      <c r="D59" t="s" s="5">
        <v>887</v>
      </c>
    </row>
    <row r="60">
      <c r="B60" t="s" s="3">
        <v>888</v>
      </c>
      <c r="C60" s="3"/>
      <c r="D60" s="3"/>
    </row>
    <row r="61">
      <c r="B61" s="4"/>
      <c r="C61" t="s" s="4">
        <v>889</v>
      </c>
      <c r="D61" t="s" s="5">
        <v>890</v>
      </c>
    </row>
    <row r="62">
      <c r="B62" s="4"/>
      <c r="C62" t="s" s="4">
        <v>80</v>
      </c>
      <c r="D62" t="s" s="5">
        <v>911</v>
      </c>
    </row>
    <row r="63">
      <c r="B63" s="4"/>
      <c r="C63" t="s" s="4">
        <v>922</v>
      </c>
      <c r="D63" t="s" s="5">
        <v>923</v>
      </c>
    </row>
    <row r="64">
      <c r="B64" s="4"/>
      <c r="C64" t="s" s="4">
        <v>955</v>
      </c>
      <c r="D64" t="s" s="5">
        <v>956</v>
      </c>
    </row>
    <row r="65">
      <c r="B65" s="4"/>
      <c r="C65" t="s" s="4">
        <v>967</v>
      </c>
      <c r="D65" t="s" s="5">
        <v>968</v>
      </c>
    </row>
    <row r="66">
      <c r="B66" s="4"/>
      <c r="C66" t="s" s="4">
        <v>61</v>
      </c>
      <c r="D66" t="s" s="5">
        <v>987</v>
      </c>
    </row>
    <row r="67">
      <c r="B67" s="4"/>
      <c r="C67" t="s" s="4">
        <v>579</v>
      </c>
      <c r="D67" t="s" s="5">
        <v>1013</v>
      </c>
    </row>
    <row r="68">
      <c r="B68" s="4"/>
      <c r="C68" t="s" s="4">
        <v>52</v>
      </c>
      <c r="D68" t="s" s="5">
        <v>1027</v>
      </c>
    </row>
    <row r="69">
      <c r="B69" s="4"/>
      <c r="C69" t="s" s="4">
        <v>542</v>
      </c>
      <c r="D69" t="s" s="5">
        <v>1029</v>
      </c>
    </row>
    <row r="70">
      <c r="B70" s="4"/>
      <c r="C70" t="s" s="4">
        <v>1042</v>
      </c>
      <c r="D70" t="s" s="5">
        <v>1043</v>
      </c>
    </row>
    <row r="71">
      <c r="B71" s="4"/>
      <c r="C71" t="s" s="4">
        <v>648</v>
      </c>
      <c r="D71" t="s" s="5">
        <v>1045</v>
      </c>
    </row>
    <row r="72">
      <c r="B72" s="4"/>
      <c r="C72" t="s" s="4">
        <v>1047</v>
      </c>
      <c r="D72" t="s" s="5">
        <v>1048</v>
      </c>
    </row>
    <row r="73">
      <c r="B73" s="4"/>
      <c r="C73" t="s" s="4">
        <v>5</v>
      </c>
      <c r="D73" t="s" s="5">
        <v>1071</v>
      </c>
    </row>
    <row r="74">
      <c r="B74" s="4"/>
      <c r="C74" t="s" s="4">
        <v>1110</v>
      </c>
      <c r="D74" t="s" s="5">
        <v>1111</v>
      </c>
    </row>
    <row r="75">
      <c r="B75" s="4"/>
      <c r="C75" t="s" s="4">
        <v>1112</v>
      </c>
      <c r="D75" t="s" s="5">
        <v>1113</v>
      </c>
    </row>
    <row r="76">
      <c r="B76" s="4"/>
      <c r="C76" t="s" s="4">
        <v>284</v>
      </c>
      <c r="D76" t="s" s="5">
        <v>1122</v>
      </c>
    </row>
    <row r="77">
      <c r="B77" s="4"/>
      <c r="C77" t="s" s="4">
        <v>793</v>
      </c>
      <c r="D77" t="s" s="5">
        <v>1129</v>
      </c>
    </row>
    <row r="78">
      <c r="B78" s="4"/>
      <c r="C78" t="s" s="4">
        <v>1179</v>
      </c>
      <c r="D78" t="s" s="5">
        <v>1180</v>
      </c>
    </row>
    <row r="79">
      <c r="B79" s="4"/>
      <c r="C79" t="s" s="4">
        <v>661</v>
      </c>
      <c r="D79" t="s" s="5">
        <v>1181</v>
      </c>
    </row>
    <row r="80">
      <c r="B80" t="s" s="3">
        <v>1182</v>
      </c>
      <c r="C80" s="3"/>
      <c r="D80" s="3"/>
    </row>
    <row r="81">
      <c r="B81" s="4"/>
      <c r="C81" t="s" s="4">
        <v>61</v>
      </c>
      <c r="D81" t="s" s="5">
        <v>1183</v>
      </c>
    </row>
    <row r="82">
      <c r="B82" s="4"/>
      <c r="C82" t="s" s="4">
        <v>579</v>
      </c>
      <c r="D82" t="s" s="5">
        <v>1191</v>
      </c>
    </row>
    <row r="83">
      <c r="B83" s="4"/>
      <c r="C83" t="s" s="4">
        <v>52</v>
      </c>
      <c r="D83" t="s" s="5">
        <v>1193</v>
      </c>
    </row>
    <row r="84">
      <c r="B84" s="4"/>
      <c r="C84" t="s" s="4">
        <v>337</v>
      </c>
      <c r="D84" t="s" s="5">
        <v>1197</v>
      </c>
    </row>
    <row r="85">
      <c r="B85" s="4"/>
      <c r="C85" t="s" s="4">
        <v>80</v>
      </c>
      <c r="D85" t="s" s="5">
        <v>1200</v>
      </c>
    </row>
    <row r="86">
      <c r="B86" s="4"/>
      <c r="C86" t="s" s="4">
        <v>661</v>
      </c>
      <c r="D86" t="s" s="5">
        <v>1206</v>
      </c>
    </row>
    <row r="87">
      <c r="B87" t="s" s="3">
        <v>690</v>
      </c>
      <c r="C87" s="3"/>
      <c r="D87" s="3"/>
    </row>
    <row r="88">
      <c r="B88" s="4"/>
      <c r="C88" t="s" s="4">
        <v>1207</v>
      </c>
      <c r="D88" t="s" s="5">
        <v>1208</v>
      </c>
    </row>
    <row r="89">
      <c r="B89" s="4"/>
      <c r="C89" t="s" s="4">
        <v>1209</v>
      </c>
      <c r="D89" t="s" s="5">
        <v>1210</v>
      </c>
    </row>
    <row r="90">
      <c r="B90" s="4"/>
      <c r="C90" t="s" s="4">
        <v>1212</v>
      </c>
      <c r="D90" t="s" s="5">
        <v>1213</v>
      </c>
    </row>
    <row r="91">
      <c r="B91" t="s" s="3">
        <v>1214</v>
      </c>
      <c r="C91" s="3"/>
      <c r="D91" s="3"/>
    </row>
    <row r="92">
      <c r="B92" s="4"/>
      <c r="C92" t="s" s="4">
        <v>1215</v>
      </c>
      <c r="D92" t="s" s="5">
        <v>1216</v>
      </c>
    </row>
    <row r="93">
      <c r="B93" s="4"/>
      <c r="C93" t="s" s="4">
        <v>1229</v>
      </c>
      <c r="D93" t="s" s="5">
        <v>1230</v>
      </c>
    </row>
    <row r="94">
      <c r="B94" s="4"/>
      <c r="C94" t="s" s="4">
        <v>1245</v>
      </c>
      <c r="D94" t="s" s="5">
        <v>1246</v>
      </c>
    </row>
    <row r="95">
      <c r="B95" s="4"/>
      <c r="C95" t="s" s="4">
        <v>1290</v>
      </c>
      <c r="D95" t="s" s="5">
        <v>1291</v>
      </c>
    </row>
    <row r="96">
      <c r="B96" s="4"/>
      <c r="C96" t="s" s="4">
        <v>1309</v>
      </c>
      <c r="D96" t="s" s="5">
        <v>1310</v>
      </c>
    </row>
    <row r="97">
      <c r="B97" s="4"/>
      <c r="C97" t="s" s="4">
        <v>1343</v>
      </c>
      <c r="D97" t="s" s="5">
        <v>1344</v>
      </c>
    </row>
    <row r="98">
      <c r="B98" s="4"/>
      <c r="C98" t="s" s="4">
        <v>1346</v>
      </c>
      <c r="D98" t="s" s="5">
        <v>1347</v>
      </c>
    </row>
    <row r="99">
      <c r="B99" s="4"/>
      <c r="C99" t="s" s="4">
        <v>1349</v>
      </c>
      <c r="D99" t="s" s="5">
        <v>1350</v>
      </c>
    </row>
    <row r="100">
      <c r="B100" t="s" s="3">
        <v>1353</v>
      </c>
      <c r="C100" s="3"/>
      <c r="D100" s="3"/>
    </row>
    <row r="101">
      <c r="B101" s="4"/>
      <c r="C101" t="s" s="4">
        <v>1354</v>
      </c>
      <c r="D101" t="s" s="5">
        <v>1355</v>
      </c>
    </row>
    <row r="102">
      <c r="B102" s="4"/>
      <c r="C102" t="s" s="4">
        <v>1364</v>
      </c>
      <c r="D102" t="s" s="5">
        <v>1365</v>
      </c>
    </row>
    <row r="103">
      <c r="B103" s="4"/>
      <c r="C103" t="s" s="4">
        <v>61</v>
      </c>
      <c r="D103" t="s" s="5">
        <v>1370</v>
      </c>
    </row>
    <row r="104">
      <c r="B104" s="4"/>
      <c r="C104" t="s" s="4">
        <v>1373</v>
      </c>
      <c r="D104" t="s" s="5">
        <v>1374</v>
      </c>
    </row>
    <row r="105">
      <c r="B105" s="4"/>
      <c r="C105" t="s" s="4">
        <v>1375</v>
      </c>
      <c r="D105" t="s" s="5">
        <v>1376</v>
      </c>
    </row>
    <row r="106">
      <c r="B106" s="4"/>
      <c r="C106" t="s" s="4">
        <v>284</v>
      </c>
      <c r="D106" t="s" s="5">
        <v>1390</v>
      </c>
    </row>
    <row r="107">
      <c r="B107" s="4"/>
      <c r="C107" t="s" s="4">
        <v>542</v>
      </c>
      <c r="D107" t="s" s="5">
        <v>1399</v>
      </c>
    </row>
    <row r="108">
      <c r="B108" s="4"/>
      <c r="C108" t="s" s="4">
        <v>1468</v>
      </c>
      <c r="D108" t="s" s="5">
        <v>1469</v>
      </c>
    </row>
    <row r="109">
      <c r="B109" s="4"/>
      <c r="C109" t="s" s="4">
        <v>579</v>
      </c>
      <c r="D109" t="s" s="5">
        <v>1518</v>
      </c>
    </row>
    <row r="110">
      <c r="B110" s="4"/>
      <c r="C110" t="s" s="4">
        <v>1519</v>
      </c>
      <c r="D110" t="s" s="5">
        <v>1520</v>
      </c>
    </row>
    <row r="111">
      <c r="B111" s="4"/>
      <c r="C111" t="s" s="4">
        <v>487</v>
      </c>
      <c r="D111" t="s" s="5">
        <v>1522</v>
      </c>
    </row>
    <row r="112">
      <c r="B112" s="4"/>
      <c r="C112" t="s" s="4">
        <v>52</v>
      </c>
      <c r="D112" t="s" s="5">
        <v>1537</v>
      </c>
    </row>
    <row r="113">
      <c r="B113" s="4"/>
      <c r="C113" t="s" s="4">
        <v>80</v>
      </c>
      <c r="D113" t="s" s="5">
        <v>1540</v>
      </c>
    </row>
    <row r="114">
      <c r="B114" s="4"/>
      <c r="C114" t="s" s="4">
        <v>400</v>
      </c>
      <c r="D114" t="s" s="5">
        <v>1553</v>
      </c>
    </row>
    <row r="115">
      <c r="B115" s="4"/>
      <c r="C115" t="s" s="4">
        <v>1562</v>
      </c>
      <c r="D115" t="s" s="5">
        <v>1563</v>
      </c>
    </row>
    <row r="116">
      <c r="B116" s="4"/>
      <c r="C116" t="s" s="4">
        <v>1570</v>
      </c>
      <c r="D116" t="s" s="5">
        <v>1571</v>
      </c>
    </row>
    <row r="117">
      <c r="B117" s="4"/>
      <c r="C117" t="s" s="4">
        <v>1586</v>
      </c>
      <c r="D117" t="s" s="5">
        <v>1587</v>
      </c>
    </row>
    <row r="118">
      <c r="B118" s="4"/>
      <c r="C118" t="s" s="4">
        <v>661</v>
      </c>
      <c r="D118" t="s" s="5">
        <v>1623</v>
      </c>
    </row>
    <row r="119">
      <c r="B119" t="s" s="3">
        <v>1624</v>
      </c>
      <c r="C119" s="3"/>
      <c r="D119" s="3"/>
    </row>
    <row r="120">
      <c r="B120" s="4"/>
      <c r="C120" t="s" s="4">
        <v>61</v>
      </c>
      <c r="D120" t="s" s="5">
        <v>1625</v>
      </c>
    </row>
    <row r="121">
      <c r="B121" s="4"/>
      <c r="C121" t="s" s="4">
        <v>579</v>
      </c>
      <c r="D121" t="s" s="5">
        <v>1637</v>
      </c>
    </row>
    <row r="122">
      <c r="B122" s="4"/>
      <c r="C122" t="s" s="4">
        <v>590</v>
      </c>
      <c r="D122" t="s" s="5">
        <v>1638</v>
      </c>
    </row>
    <row r="123">
      <c r="B123" s="4"/>
      <c r="C123" t="s" s="4">
        <v>80</v>
      </c>
      <c r="D123" t="s" s="5">
        <v>1639</v>
      </c>
    </row>
    <row r="124">
      <c r="B124" s="4"/>
      <c r="C124" t="s" s="4">
        <v>487</v>
      </c>
      <c r="D124" t="s" s="5">
        <v>1640</v>
      </c>
    </row>
    <row r="125">
      <c r="B125" s="4"/>
      <c r="C125" t="s" s="4">
        <v>1364</v>
      </c>
      <c r="D125" t="s" s="5">
        <v>1659</v>
      </c>
    </row>
    <row r="126">
      <c r="B126" s="4"/>
      <c r="C126" t="s" s="4">
        <v>52</v>
      </c>
      <c r="D126" t="s" s="5">
        <v>1683</v>
      </c>
    </row>
    <row r="127">
      <c r="B127" s="4"/>
      <c r="C127" t="s" s="4">
        <v>1047</v>
      </c>
      <c r="D127" t="s" s="5">
        <v>1688</v>
      </c>
    </row>
    <row r="128">
      <c r="B128" s="4"/>
      <c r="C128" t="s" s="4">
        <v>400</v>
      </c>
      <c r="D128" t="s" s="5">
        <v>1716</v>
      </c>
    </row>
    <row r="129">
      <c r="B129" t="s" s="3">
        <v>1720</v>
      </c>
      <c r="C129" s="3"/>
      <c r="D129" s="3"/>
    </row>
    <row r="130">
      <c r="B130" s="4"/>
      <c r="C130" t="s" s="4">
        <v>61</v>
      </c>
      <c r="D130" t="s" s="5">
        <v>1720</v>
      </c>
    </row>
    <row r="131">
      <c r="B131" t="s" s="3">
        <v>1721</v>
      </c>
      <c r="C131" s="3"/>
      <c r="D131" s="3"/>
    </row>
    <row r="132">
      <c r="B132" s="4"/>
      <c r="C132" t="s" s="4">
        <v>52</v>
      </c>
      <c r="D132" t="s" s="5">
        <v>1722</v>
      </c>
    </row>
    <row r="133">
      <c r="B133" s="4"/>
      <c r="C133" t="s" s="4">
        <v>542</v>
      </c>
      <c r="D133" t="s" s="5">
        <v>1740</v>
      </c>
    </row>
    <row r="134">
      <c r="B134" s="4"/>
      <c r="C134" t="s" s="4">
        <v>1570</v>
      </c>
      <c r="D134" t="s" s="5">
        <v>1753</v>
      </c>
    </row>
    <row r="135">
      <c r="B135" s="4"/>
      <c r="C135" t="s" s="4">
        <v>1468</v>
      </c>
      <c r="D135" t="s" s="5">
        <v>1765</v>
      </c>
    </row>
    <row r="136">
      <c r="B136" s="4"/>
      <c r="C136" t="s" s="4">
        <v>1786</v>
      </c>
      <c r="D136" t="s" s="5">
        <v>1787</v>
      </c>
    </row>
    <row r="137">
      <c r="B137" s="4"/>
      <c r="C137" t="s" s="4">
        <v>61</v>
      </c>
      <c r="D137" t="s" s="5">
        <v>1800</v>
      </c>
    </row>
    <row r="138">
      <c r="B138" s="4"/>
      <c r="C138" t="s" s="4">
        <v>661</v>
      </c>
      <c r="D138" t="s" s="5">
        <v>1812</v>
      </c>
    </row>
    <row r="139">
      <c r="B139" t="s" s="3">
        <v>1813</v>
      </c>
      <c r="C139" s="3"/>
      <c r="D139" s="3"/>
    </row>
    <row r="140">
      <c r="B140" s="4"/>
      <c r="C140" t="s" s="4">
        <v>1814</v>
      </c>
      <c r="D140" t="s" s="5">
        <v>1815</v>
      </c>
    </row>
    <row r="141">
      <c r="B141" s="4"/>
      <c r="C141" t="s" s="4">
        <v>579</v>
      </c>
      <c r="D141" t="s" s="5">
        <v>1819</v>
      </c>
    </row>
    <row r="142">
      <c r="B142" s="4"/>
      <c r="C142" t="s" s="4">
        <v>1842</v>
      </c>
      <c r="D142" t="s" s="5">
        <v>1843</v>
      </c>
    </row>
    <row r="143">
      <c r="B143" s="4"/>
      <c r="C143" t="s" s="4">
        <v>80</v>
      </c>
      <c r="D143" t="s" s="5">
        <v>1845</v>
      </c>
    </row>
    <row r="144">
      <c r="B144" s="4"/>
      <c r="C144" t="s" s="4">
        <v>52</v>
      </c>
      <c r="D144" t="s" s="5">
        <v>1847</v>
      </c>
    </row>
    <row r="145">
      <c r="B145" s="4"/>
      <c r="C145" t="s" s="4">
        <v>661</v>
      </c>
      <c r="D145" t="s" s="5">
        <v>1851</v>
      </c>
    </row>
    <row r="146">
      <c r="B146" t="s" s="3">
        <v>1852</v>
      </c>
      <c r="C146" s="3"/>
      <c r="D146" s="3"/>
    </row>
    <row r="147">
      <c r="B147" s="4"/>
      <c r="C147" t="s" s="4">
        <v>1853</v>
      </c>
      <c r="D147" t="s" s="5">
        <v>1854</v>
      </c>
    </row>
    <row r="148">
      <c r="B148" t="s" s="3">
        <v>1870</v>
      </c>
      <c r="C148" s="3"/>
      <c r="D148" s="3"/>
    </row>
    <row r="149">
      <c r="B149" s="4"/>
      <c r="C149" t="s" s="4">
        <v>61</v>
      </c>
      <c r="D149" t="s" s="5">
        <v>1870</v>
      </c>
    </row>
    <row r="150">
      <c r="B150" t="s" s="3">
        <v>1888</v>
      </c>
      <c r="C150" s="3"/>
      <c r="D150" s="3"/>
    </row>
    <row r="151">
      <c r="B151" s="4"/>
      <c r="C151" t="s" s="4">
        <v>61</v>
      </c>
      <c r="D151" t="s" s="5">
        <v>1888</v>
      </c>
    </row>
    <row r="152">
      <c r="B152" t="s" s="3">
        <v>1890</v>
      </c>
      <c r="C152" s="3"/>
      <c r="D152" s="3"/>
    </row>
    <row r="153">
      <c r="B153" s="4"/>
      <c r="C153" t="s" s="4">
        <v>61</v>
      </c>
      <c r="D153" t="s" s="5">
        <v>1890</v>
      </c>
    </row>
  </sheetData>
  <mergeCells count="1">
    <mergeCell ref="B3:D3"/>
  </mergeCells>
  <hyperlinks>
    <hyperlink ref="D10" location="'presupuesto - Gastos'!R1C1" tooltip="" display="presupuesto - Gastos"/>
    <hyperlink ref="D11" location="'presupuesto - Table 2'!R1C1" tooltip="" display="presupuesto - Table 2"/>
    <hyperlink ref="D12" location="'presupuesto - Table 1'!R1C1" tooltip="" display="presupuesto - Table 1"/>
    <hyperlink ref="D13" location="'presupuesto - Table 3'!R1C1" tooltip="" display="presupuesto - Table 3"/>
    <hyperlink ref="D14" location="'presupuesto - Ingreso líquido'!R2C1" tooltip="" display="presupuesto - Ingreso líquido"/>
    <hyperlink ref="D15" location="'presupuesto - Capacidad ahorro'!R2C1" tooltip="" display="presupuesto - Capacidad ahorro"/>
    <hyperlink ref="D16" location="'presupuesto - APV - simulación '!R2C1" tooltip="" display="presupuesto - APV - simulación "/>
    <hyperlink ref="D17" location="'presupuesto - apv - rebaja impu'!R2C1" tooltip="" display="presupuesto - apv - rebaja impu"/>
    <hyperlink ref="D19" location="'flujos - Gasto mes actual'!R2C1" tooltip="" display="flujos - Gasto mes actual"/>
    <hyperlink ref="D20" location="'flujos - Table 1-3'!R1C1" tooltip="" display="flujos - Table 1-3"/>
    <hyperlink ref="D21" location="'flujos - Table 1-2'!R1C1" tooltip="" display="flujos - Table 1-2"/>
    <hyperlink ref="D22" location="'flujos - Table 1-4'!R1C1" tooltip="" display="flujos - Table 1-4"/>
    <hyperlink ref="D23" location="'flujos - Table 3-1-1'!R1C1" tooltip="" display="flujos - Table 3-1-1"/>
    <hyperlink ref="D24" location="'flujos - Table 3-1-1-1'!R1C1" tooltip="" display="flujos - Table 3-1-1-1"/>
    <hyperlink ref="D25" location="'flujos - Table 3-1'!R1C1" tooltip="" display="flujos - Table 3-1"/>
    <hyperlink ref="D26" location="'flujos - Totales'!R2C1" tooltip="" display="flujos - Totales"/>
    <hyperlink ref="D27" location="'flujos - Table 2-1'!R1C1" tooltip="" display="flujos - Table 2-1"/>
    <hyperlink ref="D28" location="'flujos - Table 3-2'!R1C1" tooltip="" display="flujos - Table 3-2"/>
    <hyperlink ref="D29" location="'flujos - Gasto mensual'!R2C1" tooltip="" display="flujos - Gasto mensual"/>
    <hyperlink ref="D30" location="'flujos - Table 1'!R1C1" tooltip="" display="flujos - Table 1"/>
    <hyperlink ref="D31" location="'flujos - Table 1-1'!R1C1" tooltip="" display="flujos - Table 1-1"/>
    <hyperlink ref="D32" location="'flujos - Table 1-1-1'!R1C1" tooltip="" display="flujos - Table 1-1-1"/>
    <hyperlink ref="D33" location="'flujos - Table 3'!R1C1" tooltip="" display="flujos - Table 3"/>
    <hyperlink ref="D34" location="'flujos - Table 2'!R1C1" tooltip="" display="flujos - Table 2"/>
    <hyperlink ref="D35" location="'flujos - Table 3-3'!R1C1" tooltip="" display="flujos - Table 3-3"/>
    <hyperlink ref="D36" location="'flujos - Table 3-3-1'!R1C1" tooltip="" display="flujos - Table 3-3-1"/>
    <hyperlink ref="D37" location="'flujos - Drawings'!R1C1" tooltip="" display="flujos - Drawings"/>
    <hyperlink ref="D39" location="'anual - Table 1-1'!R3C1" tooltip="" display="anual - Table 1-1"/>
    <hyperlink ref="D41" location="'net worth - Table 2'!R1C1" tooltip="" display="net worth - Table 2"/>
    <hyperlink ref="D42" location="'net worth - dap-1'!R2C1" tooltip="" display="net worth - dap-1"/>
    <hyperlink ref="D43" location="'net worth - net worth'!R2C1" tooltip="" display="net worth - net worth"/>
    <hyperlink ref="D44" location="'net worth - cash'!R2C1" tooltip="" display="net worth - cash"/>
    <hyperlink ref="D45" location="'net worth - balances'!R2C1" tooltip="" display="net worth - balances"/>
    <hyperlink ref="D46" location="'net worth - Table 1'!R1C1" tooltip="" display="net worth - Table 1"/>
    <hyperlink ref="D47" location="'net worth - resumen | depósitos'!R2C1" tooltip="" display="net worth - resumen | depósitos"/>
    <hyperlink ref="D48" location="'net worth - retiro'!R2C1" tooltip="" display="net worth - retiro"/>
    <hyperlink ref="D49" location="'net worth - brokerage'!R2C1" tooltip="" display="net worth - brokerage"/>
    <hyperlink ref="D50" location="'net worth - cash and cash equiv'!R2C1" tooltip="" display="net worth - cash and cash equiv"/>
    <hyperlink ref="D51" location="'net worth - criptomonedas'!R2C1" tooltip="" display="net worth - criptomonedas"/>
    <hyperlink ref="D52" location="'net worth - Aporte APV'!R2C1" tooltip="" display="net worth - Aporte APV"/>
    <hyperlink ref="D53" location="'net worth - stocks'!R2C1" tooltip="" display="net worth - stocks"/>
    <hyperlink ref="D54" location="'net worth - Table 1-1'!R1C1" tooltip="" display="net worth - Table 1-1"/>
    <hyperlink ref="D55" location="'net worth - Table 1-2'!R1C1" tooltip="" display="net worth - Table 1-2"/>
    <hyperlink ref="D56" location="'net worth - Table 1-2-1'!R1C1" tooltip="" display="net worth - Table 1-2-1"/>
    <hyperlink ref="D57" location="'net worth - dap'!R1C1" tooltip="" display="net worth - dap"/>
    <hyperlink ref="D58" location="'net worth - Table 1-3'!R1C1" tooltip="" display="net worth - Table 1-3"/>
    <hyperlink ref="D59" location="'net worth - Drawings'!R1C1" tooltip="" display="net worth - Drawings"/>
    <hyperlink ref="D61" location="'depto - Departamento'!R1C1" tooltip="" display="depto - Departamento"/>
    <hyperlink ref="D62" location="'depto - Table 3'!R1C1" tooltip="" display="depto - Table 3"/>
    <hyperlink ref="D63" location="'depto - Gastos-1'!R1C1" tooltip="" display="depto - Gastos-1"/>
    <hyperlink ref="D64" location="'depto - Table 5-2-1'!R1C1" tooltip="" display="depto - Table 5-2-1"/>
    <hyperlink ref="D65" location="'depto - Table 6'!R2C1" tooltip="" display="depto - Table 6"/>
    <hyperlink ref="D66" location="'depto - Table 1'!R1C1" tooltip="" display="depto - Table 1"/>
    <hyperlink ref="D67" location="'depto - Table 1-1'!R1C1" tooltip="" display="depto - Table 1-1"/>
    <hyperlink ref="D68" location="'depto - Table 2'!R1C1" tooltip="" display="depto - Table 2"/>
    <hyperlink ref="D69" location="'depto - Table 2-1'!R1C1" tooltip="" display="depto - Table 2-1"/>
    <hyperlink ref="D70" location="'depto - Table 7'!R2C1" tooltip="" display="depto - Table 7"/>
    <hyperlink ref="D71" location="'depto - Table 3-3-1'!R1C1" tooltip="" display="depto - Table 3-3-1"/>
    <hyperlink ref="D72" location="'depto - Table 5'!R1C1" tooltip="" display="depto - Table 5"/>
    <hyperlink ref="D73" location="'depto - Gastos'!R1C1" tooltip="" display="depto - Gastos"/>
    <hyperlink ref="D74" location="'depto - Table 5-1'!R1C1" tooltip="" display="depto - Table 5-1"/>
    <hyperlink ref="D75" location="'depto - Table 4-1'!R1C1" tooltip="" display="depto - Table 4-1"/>
    <hyperlink ref="D76" location="'depto - Table 1-2'!R1C1" tooltip="" display="depto - Table 1-2"/>
    <hyperlink ref="D77" location="'depto - dividendos'!R2C1" tooltip="" display="depto - dividendos"/>
    <hyperlink ref="D78" location="'depto - dividendos-1'!R2C1" tooltip="" display="depto - dividendos-1"/>
    <hyperlink ref="D79" location="'depto - Drawings'!R1C1" tooltip="" display="depto - Drawings"/>
    <hyperlink ref="D81" location="'variables - Table 1'!R1C1" tooltip="" display="variables - Table 1"/>
    <hyperlink ref="D82" location="'variables - Table 1-1'!R1C1" tooltip="" display="variables - Table 1-1"/>
    <hyperlink ref="D83" location="'variables - Table 2'!R2C1" tooltip="" display="variables - Table 2"/>
    <hyperlink ref="D84" location="'variables - Table 1-4'!R1C1" tooltip="" display="variables - Table 1-4"/>
    <hyperlink ref="D85" location="'variables - Table 3'!R2C1" tooltip="" display="variables - Table 3"/>
    <hyperlink ref="D86" location="'variables - Drawings'!R1C1" tooltip="" display="variables - Drawings"/>
    <hyperlink ref="D88" location="'cripto - Fees'!R2C1" tooltip="" display="cripto - Fees"/>
    <hyperlink ref="D89" location="'cripto - Bitcoin – BTC'!R2C1" tooltip="" display="cripto - Bitcoin – BTC"/>
    <hyperlink ref="D90" location="'cripto - Ether – ETH'!R2C1" tooltip="" display="cripto - Ether – ETH"/>
    <hyperlink ref="D92" location="'watchlist - anime'!R2C1" tooltip="" display="watchlist - anime"/>
    <hyperlink ref="D93" location="'watchlist - Movies'!R2C1" tooltip="" display="watchlist - Movies"/>
    <hyperlink ref="D94" location="'watchlist - dramas'!R2C1" tooltip="" display="watchlist - dramas"/>
    <hyperlink ref="D95" location="'watchlist - dramedies'!R2C1" tooltip="" display="watchlist - dramedies"/>
    <hyperlink ref="D96" location="'watchlist - sitcoms'!R2C1" tooltip="" display="watchlist - sitcoms"/>
    <hyperlink ref="D97" location="'watchlist - Games'!R2C1" tooltip="" display="watchlist - Games"/>
    <hyperlink ref="D98" location="'watchlist - accion'!R2C1" tooltip="" display="watchlist - accion"/>
    <hyperlink ref="D99" location="'watchlist - animacion'!R2C1" tooltip="" display="watchlist - animacion"/>
    <hyperlink ref="D101" location="'tracking - Table 2-1-2-1'!R1C1" tooltip="" display="tracking - Table 2-1-2-1"/>
    <hyperlink ref="D102" location="'tracking - Table 4'!R1C1" tooltip="" display="tracking - Table 4"/>
    <hyperlink ref="D103" location="'tracking - Table 1'!R1C1" tooltip="" display="tracking - Table 1"/>
    <hyperlink ref="D104" location="'tracking - Days since last-1'!R1C1" tooltip="" display="tracking - Days since last-1"/>
    <hyperlink ref="D105" location="'tracking - Trackers'!R2C1" tooltip="" display="tracking - Trackers"/>
    <hyperlink ref="D106" location="'tracking - Table 1-2'!R1C1" tooltip="" display="tracking - Table 1-2"/>
    <hyperlink ref="D107" location="'tracking - Table 2-1'!R1C1" tooltip="" display="tracking - Table 2-1"/>
    <hyperlink ref="D108" location="'tracking - Table 2-1-2'!R1C1" tooltip="" display="tracking - Table 2-1-2"/>
    <hyperlink ref="D109" location="'tracking - Table 1-1'!R1C1" tooltip="" display="tracking - Table 1-1"/>
    <hyperlink ref="D110" location="'tracking - Deudas'!R2C1" tooltip="" display="tracking - Deudas"/>
    <hyperlink ref="D111" location="'tracking - Table 3-1'!R1C1" tooltip="" display="tracking - Table 3-1"/>
    <hyperlink ref="D112" location="'tracking - Table 2'!R1C1" tooltip="" display="tracking - Table 2"/>
    <hyperlink ref="D113" location="'tracking - Table 3'!R1C1" tooltip="" display="tracking - Table 3"/>
    <hyperlink ref="D114" location="'tracking - Table 3-1-1'!R1C1" tooltip="" display="tracking - Table 3-1-1"/>
    <hyperlink ref="D115" location="'tracking - Table 3-1-1-1-1'!R1C1" tooltip="" display="tracking - Table 3-1-1-1-1"/>
    <hyperlink ref="D116" location="'tracking - Table 2-1-1'!R1C1" tooltip="" display="tracking - Table 2-1-1"/>
    <hyperlink ref="D117" location="'tracking - Table 2-1-1-1'!R1C1" tooltip="" display="tracking - Table 2-1-1-1"/>
    <hyperlink ref="D118" location="'tracking - Drawings'!R1C1" tooltip="" display="tracking - Drawings"/>
    <hyperlink ref="D120" location="'Trees - Table 1'!R1C1" tooltip="" display="Trees - Table 1"/>
    <hyperlink ref="D121" location="'Trees - Table 1-1'!R1C1" tooltip="" display="Trees - Table 1-1"/>
    <hyperlink ref="D122" location="'Trees - Table 1-1-1'!R1C1" tooltip="" display="Trees - Table 1-1-1"/>
    <hyperlink ref="D123" location="'Trees - Table 3'!R1C1" tooltip="" display="Trees - Table 3"/>
    <hyperlink ref="D124" location="'Trees - Table 3-1'!R1C1" tooltip="" display="Trees - Table 3-1"/>
    <hyperlink ref="D125" location="'Trees - Table 4'!R1C1" tooltip="" display="Trees - Table 4"/>
    <hyperlink ref="D126" location="'Trees - Table 2'!R1C1" tooltip="" display="Trees - Table 2"/>
    <hyperlink ref="D127" location="'Trees - Table 5'!R1C1" tooltip="" display="Trees - Table 5"/>
    <hyperlink ref="D128" location="'Trees - Table 3-1-1'!R1C1" tooltip="" display="Trees - Table 3-1-1"/>
    <hyperlink ref="D130" location="'Sheet 3'!R2C1" tooltip="" display="Sheet 3"/>
    <hyperlink ref="D132" location="'comida - Table 2'!R1C1" tooltip="" display="comida - Table 2"/>
    <hyperlink ref="D133" location="'comida - Table 2-1'!R1C1" tooltip="" display="comida - Table 2-1"/>
    <hyperlink ref="D134" location="'comida - Table 2-1-1'!R1C1" tooltip="" display="comida - Table 2-1-1"/>
    <hyperlink ref="D135" location="'comida - Table 2-1-2'!R1C1" tooltip="" display="comida - Table 2-1-2"/>
    <hyperlink ref="D136" location="'comida - Eat'!R1C1" tooltip="" display="comida - Eat"/>
    <hyperlink ref="D137" location="'comida - Table 1'!R1C1" tooltip="" display="comida - Table 1"/>
    <hyperlink ref="D138" location="'comida - Drawings'!R1C1" tooltip="" display="comida - Drawings"/>
    <hyperlink ref="D140" location="'auto - Depreciación auto'!R2C1" tooltip="" display="auto - Depreciación auto"/>
    <hyperlink ref="D141" location="'auto - Table 1-1'!R2C1" tooltip="" display="auto - Table 1-1"/>
    <hyperlink ref="D142" location="'auto - Mantenciones'!R2C1" tooltip="" display="auto - Mantenciones"/>
    <hyperlink ref="D143" location="'auto - Table 3'!R2C1" tooltip="" display="auto - Table 3"/>
    <hyperlink ref="D144" location="'auto - Table 2'!R2C1" tooltip="" display="auto - Table 2"/>
    <hyperlink ref="D145" location="'auto - Drawings'!R1C1" tooltip="" display="auto - Drawings"/>
    <hyperlink ref="D147" location="'Precios - Farmacia'!R2C1" tooltip="" display="Precios - Farmacia"/>
    <hyperlink ref="D149" location="'Sheet 2'!R1C1" tooltip="" display="Sheet 2"/>
    <hyperlink ref="D151" location="'Regalos'!R2C1" tooltip="" display="Regalos"/>
    <hyperlink ref="D153" location="'Sheet 1'!R2C1" tooltip="" display="Sheet 1"/>
  </hyperlinks>
</worksheet>
</file>

<file path=xl/worksheets/sheet2.xml><?xml version="1.0" encoding="utf-8"?>
<worksheet xmlns:r="http://schemas.openxmlformats.org/officeDocument/2006/relationships" xmlns="http://schemas.openxmlformats.org/spreadsheetml/2006/main">
  <sheetPr>
    <pageSetUpPr fitToPage="1"/>
  </sheetPr>
  <dimension ref="A1:I37"/>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7" style="6" customWidth="1"/>
    <col min="2" max="2" width="3.39062" style="6" customWidth="1"/>
    <col min="3" max="4" width="7.22656" style="6" customWidth="1"/>
    <col min="5" max="6" width="16.3516" style="6" customWidth="1"/>
    <col min="7" max="7" width="7.17188" style="6" customWidth="1"/>
    <col min="8" max="9" width="16.3516" style="6" customWidth="1"/>
    <col min="10" max="16384" width="16.3516" style="6" customWidth="1"/>
  </cols>
  <sheetData>
    <row r="1" ht="20.55" customHeight="1">
      <c r="A1" s="7"/>
      <c r="B1" s="8"/>
      <c r="C1" s="7"/>
      <c r="D1" s="7"/>
      <c r="E1" t="s" s="8">
        <v>7</v>
      </c>
      <c r="F1" s="7"/>
      <c r="G1" s="7"/>
      <c r="H1" s="9"/>
      <c r="I1" s="9"/>
    </row>
    <row r="2" ht="20.55" customHeight="1">
      <c r="A2" t="s" s="10">
        <v>8</v>
      </c>
      <c r="B2" t="b" s="11">
        <v>1</v>
      </c>
      <c r="C2" s="12" cm="1">
        <f t="array" ref="C2">IF(B2,E2/'presupuesto - Ingreso líquido'!$B$31,0)</f>
        <v>0.5220500850919561</v>
      </c>
      <c r="D2" s="12" cm="1">
        <f t="array" ref="D2">IF(B2,E2/'presupuesto - Ingreso líquido'!$B$32,0)</f>
        <v>0.632780430885507</v>
      </c>
      <c r="E2" s="13">
        <v>2000000</v>
      </c>
      <c r="F2" s="13" cm="1">
        <f t="array" ref="F2">SUMIF(B2:B4,"=TRUE",E2:E4)</f>
        <v>2230990</v>
      </c>
      <c r="G2" s="14" cm="1">
        <f t="array" ref="G2">IF(F2,F2/'presupuesto - Ingreso líquido'!$B$31,0)</f>
        <v>0.582344259669651</v>
      </c>
      <c r="H2" t="s" s="15">
        <v>9</v>
      </c>
      <c r="I2" s="16">
        <v>20990</v>
      </c>
    </row>
    <row r="3" ht="20.35" customHeight="1">
      <c r="A3" t="s" s="17">
        <v>10</v>
      </c>
      <c r="B3" t="b" s="18">
        <v>0</v>
      </c>
      <c r="C3" s="19" cm="1">
        <f t="array" ref="C3">IF(B3,E3/'presupuesto - Ingreso líquido'!$B$31,0)</f>
        <v>0</v>
      </c>
      <c r="D3" s="19" cm="1">
        <f t="array" ref="D3">IF(B3,E3/'presupuesto - Ingreso líquido'!$B$32,0)</f>
        <v>0</v>
      </c>
      <c r="E3" t="s" s="20">
        <v>11</v>
      </c>
      <c r="F3" s="21">
        <v>18</v>
      </c>
      <c r="G3" s="22" cm="1">
        <f t="array" ref="G3">IF(F2,F2/'presupuesto - Ingreso líquido'!$B$32,0)</f>
        <v>0.705863406750628</v>
      </c>
      <c r="H3" t="s" s="23">
        <v>12</v>
      </c>
      <c r="I3" t="s" s="24">
        <v>11</v>
      </c>
    </row>
    <row r="4" ht="20.35" customHeight="1">
      <c r="A4" t="s" s="17">
        <v>13</v>
      </c>
      <c r="B4" t="b" s="18">
        <v>1</v>
      </c>
      <c r="C4" s="19" cm="1">
        <f t="array" ref="C4">IF(B4,E4/'presupuesto - Ingreso líquido'!$B$31,0)</f>
        <v>0.0602941745776954</v>
      </c>
      <c r="D4" s="19" cm="1">
        <f t="array" ref="D4">IF(B4,E4/'presupuesto - Ingreso líquido'!$B$32,0)</f>
        <v>0.07308297586512159</v>
      </c>
      <c r="E4" s="25" cm="1">
        <f t="array" ref="E4">SUM(I2:I7)</f>
        <v>230990</v>
      </c>
      <c r="F4" s="26"/>
      <c r="G4" s="26"/>
      <c r="H4" t="s" s="23">
        <v>14</v>
      </c>
      <c r="I4" s="27">
        <v>40000</v>
      </c>
    </row>
    <row r="5" ht="20.35" customHeight="1">
      <c r="A5" s="28"/>
      <c r="B5" s="29"/>
      <c r="C5" s="19" cm="1">
        <f t="array" ref="C5">IF(B5,E5/'presupuesto - Ingreso líquido'!$B$31,0)</f>
        <v>0</v>
      </c>
      <c r="D5" s="19" cm="1">
        <f t="array" ref="D5">IF(B5,E5/'presupuesto - Ingreso líquido'!$B$32,0)</f>
        <v>0</v>
      </c>
      <c r="E5" s="30"/>
      <c r="F5" s="26"/>
      <c r="G5" s="26"/>
      <c r="H5" t="s" s="23">
        <v>15</v>
      </c>
      <c r="I5" s="27">
        <v>30000</v>
      </c>
    </row>
    <row r="6" ht="20.35" customHeight="1">
      <c r="A6" t="s" s="17">
        <v>16</v>
      </c>
      <c r="B6" t="b" s="18">
        <v>1</v>
      </c>
      <c r="C6" s="19" cm="1">
        <f t="array" ref="C6">IF(B6,E6/'presupuesto - Ingreso líquido'!$B$31,0)</f>
        <v>0.0391537563818967</v>
      </c>
      <c r="D6" s="19" cm="1">
        <f t="array" ref="D6">IF(B6,E6/'presupuesto - Ingreso líquido'!$B$32,0)</f>
        <v>0.047458532316413</v>
      </c>
      <c r="E6" s="30" cm="1">
        <f t="array" ref="E6">150000</f>
        <v>150000</v>
      </c>
      <c r="F6" s="26"/>
      <c r="G6" s="26"/>
      <c r="H6" t="s" s="23">
        <v>17</v>
      </c>
      <c r="I6" s="31">
        <v>90000</v>
      </c>
    </row>
    <row r="7" ht="20.35" customHeight="1">
      <c r="A7" s="28"/>
      <c r="B7" s="29"/>
      <c r="C7" s="19" cm="1">
        <f t="array" ref="C7">IF(B7,E7/'presupuesto - Ingreso líquido'!$B$31,0)</f>
        <v>0</v>
      </c>
      <c r="D7" s="19" cm="1">
        <f t="array" ref="D7">IF(B7,E7/'presupuesto - Ingreso líquido'!$B$32,0)</f>
        <v>0</v>
      </c>
      <c r="E7" s="26"/>
      <c r="F7" s="26"/>
      <c r="G7" s="26"/>
      <c r="H7" t="s" s="23">
        <v>18</v>
      </c>
      <c r="I7" s="31">
        <v>50000</v>
      </c>
    </row>
    <row r="8" ht="20.35" customHeight="1">
      <c r="A8" t="s" s="17">
        <v>19</v>
      </c>
      <c r="B8" t="b" s="18">
        <v>0</v>
      </c>
      <c r="C8" s="19" cm="1">
        <f t="array" ref="C8">IF(B8,E8/'presupuesto - Ingreso líquido'!$B$31,0)</f>
        <v>0</v>
      </c>
      <c r="D8" s="19" cm="1">
        <f t="array" ref="D8">IF(B8,E8/'presupuesto - Ingreso líquido'!$B$32,0)</f>
        <v>0</v>
      </c>
      <c r="E8" s="26">
        <v>20000</v>
      </c>
      <c r="F8" s="26"/>
      <c r="G8" s="26"/>
      <c r="H8" s="32"/>
      <c r="I8" s="32"/>
    </row>
    <row r="9" ht="20.35" customHeight="1">
      <c r="A9" t="s" s="17">
        <v>20</v>
      </c>
      <c r="B9" t="b" s="18">
        <v>0</v>
      </c>
      <c r="C9" s="19" cm="1">
        <f t="array" ref="C9">IF(B9,E9/'presupuesto - Ingreso líquido'!$B$31,0)</f>
        <v>0</v>
      </c>
      <c r="D9" s="19" cm="1">
        <f t="array" ref="D9">IF(B9,E9/'presupuesto - Ingreso líquido'!$B$32,0)</f>
        <v>0</v>
      </c>
      <c r="E9" s="26">
        <v>5000</v>
      </c>
      <c r="F9" s="26"/>
      <c r="G9" s="26"/>
      <c r="H9" t="s" s="23">
        <v>21</v>
      </c>
      <c r="I9" s="33" cm="1">
        <f t="array" ref="I9">'presupuesto - Ingreso líquido'!B32*30%</f>
        <v>948196.2</v>
      </c>
    </row>
    <row r="10" ht="20.35" customHeight="1">
      <c r="A10" t="s" s="17">
        <v>22</v>
      </c>
      <c r="B10" t="b" s="18">
        <v>0</v>
      </c>
      <c r="C10" s="19" cm="1">
        <f t="array" ref="C10">IF(B10,E10/'presupuesto - Ingreso líquido'!$B$31,0)</f>
        <v>0</v>
      </c>
      <c r="D10" s="19" cm="1">
        <f t="array" ref="D10">IF(B10,E10/'presupuesto - Ingreso líquido'!$B$32,0)</f>
        <v>0</v>
      </c>
      <c r="E10" s="26">
        <v>10000</v>
      </c>
      <c r="F10" s="26"/>
      <c r="G10" s="26"/>
      <c r="H10" s="26"/>
      <c r="I10" s="33" cm="1">
        <f t="array" ref="I10">'presupuesto - Ingreso líquido'!B32/3</f>
        <v>1053551.33333333</v>
      </c>
    </row>
    <row r="11" ht="20.35" customHeight="1">
      <c r="A11" t="s" s="17">
        <v>23</v>
      </c>
      <c r="B11" t="b" s="18">
        <v>1</v>
      </c>
      <c r="C11" s="19" cm="1">
        <f t="array" ref="C11">IF(B11,E11/'presupuesto - Ingreso líquido'!$B$31,0)</f>
        <v>0.00202783829927907</v>
      </c>
      <c r="D11" s="19" cm="1">
        <f t="array" ref="D11">IF(B11,E11/'presupuesto - Ingreso líquido'!$B$32,0)</f>
        <v>0.00245795648622089</v>
      </c>
      <c r="E11" s="26" cm="1">
        <f t="array" ref="E11">SUMIF('presupuesto - Table 2'!B2:B13,"=TRUE",'presupuesto - Table 2'!C2:C13)</f>
        <v>7768.75</v>
      </c>
      <c r="F11" s="26"/>
      <c r="G11" s="26"/>
      <c r="H11" s="26"/>
      <c r="I11" s="33" cm="1">
        <f t="array" ref="I11">'presupuesto - Ingreso líquido'!B31*30%</f>
        <v>1149315.01236</v>
      </c>
    </row>
    <row r="12" ht="20.35" customHeight="1">
      <c r="A12" t="s" s="17">
        <v>24</v>
      </c>
      <c r="B12" t="b" s="18">
        <v>0</v>
      </c>
      <c r="C12" s="19" cm="1">
        <f t="array" ref="C12">IF(B12,E12/'presupuesto - Ingreso líquido'!$B$31,0)</f>
        <v>0</v>
      </c>
      <c r="D12" s="19" cm="1">
        <f t="array" ref="D12">IF(B12,E12/'presupuesto - Ingreso líquido'!$B$32,0)</f>
        <v>0</v>
      </c>
      <c r="E12" s="26">
        <v>15000</v>
      </c>
      <c r="F12" s="26"/>
      <c r="G12" s="26"/>
      <c r="H12" t="s" s="23">
        <v>25</v>
      </c>
      <c r="I12" s="31" cm="1">
        <f t="array" ref="I12">SUM(E3:E4)/30%</f>
        <v>769966.666666667</v>
      </c>
    </row>
    <row r="13" ht="20.35" customHeight="1">
      <c r="A13" s="28"/>
      <c r="B13" t="b" s="18">
        <v>0</v>
      </c>
      <c r="C13" s="19" cm="1">
        <f t="array" ref="C13">IF(B13,E13/'presupuesto - Ingreso líquido'!$B$31,0)</f>
        <v>0</v>
      </c>
      <c r="D13" s="19" cm="1">
        <f t="array" ref="D13">IF(B13,E13/'presupuesto - Ingreso líquido'!$B$32,0)</f>
        <v>0</v>
      </c>
      <c r="E13" s="26"/>
      <c r="F13" s="26"/>
      <c r="G13" s="26"/>
      <c r="H13" s="26"/>
      <c r="I13" s="26" cm="1">
        <f t="array" ref="I13">I12-'presupuesto - Ingreso líquido'!B32</f>
        <v>-2390687.33333333</v>
      </c>
    </row>
    <row r="14" ht="20.35" customHeight="1">
      <c r="A14" t="s" s="17">
        <v>26</v>
      </c>
      <c r="B14" t="b" s="18">
        <v>0</v>
      </c>
      <c r="C14" s="19" cm="1">
        <f t="array" ref="C14">IF(B14,E14/'presupuesto - Ingreso líquido'!$B$31,0)</f>
        <v>0</v>
      </c>
      <c r="D14" s="19" cm="1">
        <f t="array" ref="D14">IF(B14,E14/'presupuesto - Ingreso líquido'!$B$32,0)</f>
        <v>0</v>
      </c>
      <c r="E14" s="26">
        <v>50000</v>
      </c>
      <c r="F14" s="26"/>
      <c r="G14" s="26"/>
      <c r="H14" s="32"/>
      <c r="I14" s="32"/>
    </row>
    <row r="15" ht="20.35" customHeight="1">
      <c r="A15" t="s" s="17">
        <v>27</v>
      </c>
      <c r="B15" t="b" s="18">
        <v>1</v>
      </c>
      <c r="C15" s="19" cm="1">
        <f t="array" ref="C15">IF(B15,E15/'presupuesto - Ingreso líquido'!$B$31,0)</f>
        <v>0.0667824740602608</v>
      </c>
      <c r="D15" s="19" cm="1">
        <f t="array" ref="D15">IF(B15,E15/'presupuesto - Ingreso líquido'!$B$32,0)</f>
        <v>0.08094748745038211</v>
      </c>
      <c r="E15" s="26" cm="1">
        <f t="array" ref="E15">'presupuesto - Ingreso líquido'!B18</f>
        <v>255847</v>
      </c>
      <c r="F15" s="26"/>
      <c r="G15" s="26"/>
      <c r="H15" s="32"/>
      <c r="I15" s="32"/>
    </row>
    <row r="16" ht="20.35" customHeight="1">
      <c r="A16" s="28"/>
      <c r="B16" t="b" s="18">
        <v>0</v>
      </c>
      <c r="C16" s="19" cm="1">
        <f t="array" ref="C16">IF(B16,E16/'presupuesto - Ingreso líquido'!$B$31,0)</f>
        <v>0</v>
      </c>
      <c r="D16" s="19" cm="1">
        <f t="array" ref="D16">IF(B16,E16/'presupuesto - Ingreso líquido'!$B$32,0)</f>
        <v>0</v>
      </c>
      <c r="E16" s="26"/>
      <c r="F16" s="32"/>
      <c r="G16" s="32"/>
      <c r="H16" s="32"/>
      <c r="I16" s="32"/>
    </row>
    <row r="17" ht="20.35" customHeight="1">
      <c r="A17" s="28"/>
      <c r="B17" t="b" s="18">
        <v>0</v>
      </c>
      <c r="C17" s="19" cm="1">
        <f t="array" ref="C17">IF(B17,E17/'presupuesto - Ingreso líquido'!$B$31,0)</f>
        <v>0</v>
      </c>
      <c r="D17" s="19" cm="1">
        <f t="array" ref="D17">IF(B17,E17/'presupuesto - Ingreso líquido'!$B$32,0)</f>
        <v>0</v>
      </c>
      <c r="E17" s="32"/>
      <c r="F17" s="32"/>
      <c r="G17" s="21"/>
      <c r="H17" s="32"/>
      <c r="I17" s="32"/>
    </row>
    <row r="18" ht="20.35" customHeight="1">
      <c r="A18" t="s" s="17">
        <v>18</v>
      </c>
      <c r="B18" t="b" s="18">
        <v>0</v>
      </c>
      <c r="C18" s="19" cm="1">
        <f t="array" ref="C18">IF(B18,E18/'presupuesto - Ingreso líquido'!$B$31,0)</f>
        <v>0</v>
      </c>
      <c r="D18" s="19" cm="1">
        <f t="array" ref="D18">IF(B18,E18/'presupuesto - Ingreso líquido'!$B$32,0)</f>
        <v>0</v>
      </c>
      <c r="E18" s="34" cm="1">
        <f t="array" ref="E18">F18*'variables - Table 1'!B2</f>
        <v>119801.5355</v>
      </c>
      <c r="F18" s="21">
        <v>2.95</v>
      </c>
      <c r="G18" s="21"/>
      <c r="H18" s="32"/>
      <c r="I18" t="s" s="23">
        <v>28</v>
      </c>
    </row>
    <row r="19" ht="20.35" customHeight="1">
      <c r="A19" t="s" s="17">
        <v>29</v>
      </c>
      <c r="B19" t="b" s="18">
        <v>0</v>
      </c>
      <c r="C19" s="19" cm="1">
        <f t="array" ref="C19">IF(B19,E19/'presupuesto - Ingreso líquido'!$B$31,0)</f>
        <v>0</v>
      </c>
      <c r="D19" s="19" cm="1">
        <f t="array" ref="D19">IF(B19,E19/'presupuesto - Ingreso líquido'!$B$32,0)</f>
        <v>0</v>
      </c>
      <c r="E19" s="34">
        <v>5000</v>
      </c>
      <c r="F19" s="21"/>
      <c r="G19" s="21"/>
      <c r="H19" t="s" s="23">
        <v>30</v>
      </c>
      <c r="I19" s="26">
        <v>5000</v>
      </c>
    </row>
    <row r="20" ht="20.35" customHeight="1">
      <c r="A20" t="s" s="17">
        <v>31</v>
      </c>
      <c r="B20" t="b" s="18">
        <v>1</v>
      </c>
      <c r="C20" s="19" cm="1">
        <f t="array" ref="C20">IF(B20,E20/'presupuesto - Ingreso líquido'!$B$31,0)</f>
        <v>0.00652562606364944</v>
      </c>
      <c r="D20" s="19" cm="1">
        <f t="array" ref="D20">IF(B20,E20/'presupuesto - Ingreso líquido'!$B$32,0)</f>
        <v>0.007909755386068831</v>
      </c>
      <c r="E20" s="34">
        <v>25000</v>
      </c>
      <c r="F20" s="21"/>
      <c r="G20" s="21"/>
      <c r="H20" t="s" s="23">
        <v>32</v>
      </c>
      <c r="I20" s="30">
        <v>221288</v>
      </c>
    </row>
    <row r="21" ht="20.35" customHeight="1">
      <c r="A21" t="s" s="17">
        <v>33</v>
      </c>
      <c r="B21" t="b" s="18">
        <v>1</v>
      </c>
      <c r="C21" s="19" cm="1">
        <f t="array" ref="C21">IF(B21,E21/'presupuesto - Ingreso líquido'!$B$31,0)</f>
        <v>0.00783075127637933</v>
      </c>
      <c r="D21" s="19" cm="1">
        <f t="array" ref="D21">IF(B21,E21/'presupuesto - Ingreso líquido'!$B$32,0)</f>
        <v>0.009491706463282601</v>
      </c>
      <c r="E21" s="34">
        <v>30000</v>
      </c>
      <c r="F21" s="21"/>
      <c r="G21" s="32"/>
      <c r="H21" t="s" s="23">
        <v>34</v>
      </c>
      <c r="I21" s="26">
        <v>20000</v>
      </c>
    </row>
    <row r="22" ht="21.15" customHeight="1">
      <c r="A22" t="s" s="17">
        <v>35</v>
      </c>
      <c r="B22" t="b" s="18">
        <v>0</v>
      </c>
      <c r="C22" s="19" cm="1">
        <f t="array" ref="C22">IF(B22,E22/'presupuesto - Ingreso líquido'!$B$31,0)</f>
        <v>0</v>
      </c>
      <c r="D22" s="19" cm="1">
        <f t="array" ref="D22">IF(B22,E22/'presupuesto - Ingreso líquido'!$B$32,0)</f>
        <v>0</v>
      </c>
      <c r="E22" s="35" cm="1">
        <f t="array" ref="E22">515577/12</f>
        <v>42964.75</v>
      </c>
      <c r="F22" s="26" cm="1">
        <f t="array" ref="F22">SUM(E18:E24)</f>
        <v>248290.2855</v>
      </c>
      <c r="G22" s="26"/>
      <c r="H22" s="26"/>
      <c r="I22" s="36" cm="1">
        <f t="array" ref="I22">SUM(I19:I21)</f>
        <v>246288</v>
      </c>
    </row>
    <row r="23" ht="21.15" customHeight="1">
      <c r="A23" t="s" s="17">
        <v>36</v>
      </c>
      <c r="B23" t="b" s="18">
        <v>1</v>
      </c>
      <c r="C23" s="19" cm="1">
        <f t="array" ref="C23">IF(B23,E23/'presupuesto - Ingreso líquido'!$B$31,0)</f>
        <v>0.00535727797321365</v>
      </c>
      <c r="D23" s="19" cm="1">
        <f t="array" ref="D23">IF(B23,E23/'presupuesto - Ingreso líquido'!$B$32,0)</f>
        <v>0.00649359278174707</v>
      </c>
      <c r="E23" s="35" cm="1">
        <f t="array" ref="E23">I23</f>
        <v>20524</v>
      </c>
      <c r="F23" s="37" cm="1">
        <f t="array" ref="F23">F24*12</f>
        <v>906288</v>
      </c>
      <c r="G23" s="32"/>
      <c r="H23" t="s" s="23">
        <v>37</v>
      </c>
      <c r="I23" s="38" cm="1">
        <f t="array" ref="I23">I22/12</f>
        <v>20524</v>
      </c>
    </row>
    <row r="24" ht="20.35" customHeight="1">
      <c r="A24" t="s" s="17">
        <v>38</v>
      </c>
      <c r="B24" t="b" s="18">
        <v>0</v>
      </c>
      <c r="C24" s="19" cm="1">
        <f t="array" ref="C24">IF(B24,E24/'presupuesto - Ingreso líquido'!$B$31,0)</f>
        <v>0</v>
      </c>
      <c r="D24" s="19" cm="1">
        <f t="array" ref="D24">IF(B24,E24/'presupuesto - Ingreso líquido'!$B$32,0)</f>
        <v>0</v>
      </c>
      <c r="E24" s="34">
        <v>5000</v>
      </c>
      <c r="F24" s="35" cm="1">
        <f t="array" ref="F24">SUMIF(B18:B24,"=TRUE",E18:E24)</f>
        <v>75524</v>
      </c>
      <c r="G24" s="39" cm="1">
        <f t="array" ref="G24">IF(F24,F24/'presupuesto - Ingreso líquido'!$B$31,0)</f>
        <v>0.0197136553132424</v>
      </c>
      <c r="H24" s="32"/>
      <c r="I24" s="32"/>
    </row>
    <row r="25" ht="20.35" customHeight="1">
      <c r="A25" s="28"/>
      <c r="B25" t="b" s="18">
        <v>0</v>
      </c>
      <c r="C25" s="19" cm="1">
        <f t="array" ref="C25">IF(B25,E25/'presupuesto - Ingreso líquido'!$B$31,0)</f>
        <v>0</v>
      </c>
      <c r="D25" s="19" cm="1">
        <f t="array" ref="D25">IF(B25,E25/'presupuesto - Ingreso líquido'!$B$32,0)</f>
        <v>0</v>
      </c>
      <c r="E25" s="26"/>
      <c r="F25" s="32"/>
      <c r="G25" s="32"/>
      <c r="H25" s="32"/>
      <c r="I25" s="32"/>
    </row>
    <row r="26" ht="20.35" customHeight="1">
      <c r="A26" t="s" s="17">
        <v>39</v>
      </c>
      <c r="B26" t="b" s="18">
        <v>1</v>
      </c>
      <c r="C26" s="19" cm="1">
        <f t="array" ref="C26">IF(B26,E26/'presupuesto - Ingreso líquido'!$B$31,0)</f>
        <v>0.0261025042545978</v>
      </c>
      <c r="D26" s="19" cm="1">
        <f t="array" ref="D26">IF(B26,E26/'presupuesto - Ingreso líquido'!$B$32,0)</f>
        <v>0.0316390215442753</v>
      </c>
      <c r="E26" s="30">
        <v>100000</v>
      </c>
      <c r="F26" s="32"/>
      <c r="G26" s="32"/>
      <c r="H26" s="32"/>
      <c r="I26" s="32"/>
    </row>
    <row r="27" ht="20.35" customHeight="1">
      <c r="A27" t="s" s="17">
        <v>40</v>
      </c>
      <c r="B27" t="b" s="18">
        <v>1</v>
      </c>
      <c r="C27" s="19" cm="1">
        <f t="array" ref="C27">IF(B27,E27/'presupuesto - Ingreso líquido'!$B$31,0)</f>
        <v>0.0261025042545978</v>
      </c>
      <c r="D27" s="19" cm="1">
        <f t="array" ref="D27">IF(B27,E27/'presupuesto - Ingreso líquido'!$B$32,0)</f>
        <v>0.0316390215442753</v>
      </c>
      <c r="E27" s="26">
        <v>100000</v>
      </c>
      <c r="F27" s="32"/>
      <c r="G27" s="32"/>
      <c r="H27" s="32"/>
      <c r="I27" s="32"/>
    </row>
    <row r="28" ht="20.35" customHeight="1">
      <c r="A28" t="s" s="17">
        <v>41</v>
      </c>
      <c r="B28" t="b" s="18">
        <v>1</v>
      </c>
      <c r="C28" s="19" cm="1">
        <f t="array" ref="C28">IF(B28,E28/'presupuesto - Ingreso líquido'!$B$31,0)</f>
        <v>0.0313230051055173</v>
      </c>
      <c r="D28" s="19" cm="1">
        <f t="array" ref="D28">IF(B28,E28/'presupuesto - Ingreso líquido'!$B$32,0)</f>
        <v>0.0379668258531304</v>
      </c>
      <c r="E28" s="26">
        <v>120000</v>
      </c>
      <c r="F28" s="32"/>
      <c r="G28" s="32"/>
      <c r="H28" s="32"/>
      <c r="I28" s="32"/>
    </row>
    <row r="29" ht="20.35" customHeight="1">
      <c r="A29" t="s" s="17">
        <v>42</v>
      </c>
      <c r="B29" t="b" s="18">
        <v>1</v>
      </c>
      <c r="C29" s="19" cm="1">
        <f t="array" ref="C29">IF(B29,E29/'presupuesto - Ingreso líquido'!$B$31,0)</f>
        <v>0.0522050085091956</v>
      </c>
      <c r="D29" s="19" cm="1">
        <f t="array" ref="D29">IF(B29,E29/'presupuesto - Ingreso líquido'!$B$32,0)</f>
        <v>0.0632780430885507</v>
      </c>
      <c r="E29" s="30">
        <v>200000</v>
      </c>
      <c r="F29" s="26"/>
      <c r="G29" s="26"/>
      <c r="H29" s="32"/>
      <c r="I29" s="32"/>
    </row>
    <row r="30" ht="20.35" customHeight="1">
      <c r="A30" s="40"/>
      <c r="B30" t="b" s="18">
        <v>0</v>
      </c>
      <c r="C30" s="19" cm="1">
        <f t="array" ref="C30">IF(B30,E30/'presupuesto - Ingreso líquido'!$B$31,0)</f>
        <v>0</v>
      </c>
      <c r="D30" s="19" cm="1">
        <f t="array" ref="D30">IF(B30,E30/'presupuesto - Ingreso líquido'!$B$32,0)</f>
        <v>0</v>
      </c>
      <c r="E30" s="26"/>
      <c r="F30" s="26"/>
      <c r="G30" s="26"/>
      <c r="H30" s="32"/>
      <c r="I30" s="32"/>
    </row>
    <row r="31" ht="20.35" customHeight="1">
      <c r="A31" t="s" s="17">
        <v>43</v>
      </c>
      <c r="B31" t="b" s="18">
        <v>0</v>
      </c>
      <c r="C31" s="19" cm="1">
        <f t="array" ref="C31">IF(B31,E31/'presupuesto - Ingreso líquido'!$B$31,0)</f>
        <v>0</v>
      </c>
      <c r="D31" s="19" cm="1">
        <f t="array" ref="D31">IF(B31,E31/'presupuesto - Ingreso líquido'!$B$32,0)</f>
        <v>0</v>
      </c>
      <c r="E31" s="26"/>
      <c r="F31" s="26"/>
      <c r="G31" s="26"/>
      <c r="H31" s="32"/>
      <c r="I31" s="32"/>
    </row>
    <row r="32" ht="20.35" customHeight="1">
      <c r="A32" t="s" s="17">
        <v>44</v>
      </c>
      <c r="B32" t="b" s="18">
        <v>0</v>
      </c>
      <c r="C32" s="19" cm="1">
        <f t="array" ref="C32">IF(B32,E32/'presupuesto - Ingreso líquido'!$B$31,0)</f>
        <v>0</v>
      </c>
      <c r="D32" s="19" cm="1">
        <f t="array" ref="D32">IF(B32,E32/'presupuesto - Ingreso líquido'!$B$32,0)</f>
        <v>0</v>
      </c>
      <c r="E32" s="26"/>
      <c r="F32" s="26"/>
      <c r="G32" s="26"/>
      <c r="H32" s="26"/>
      <c r="I32" s="26"/>
    </row>
    <row r="33" ht="20.55" customHeight="1">
      <c r="A33" t="s" s="41">
        <v>45</v>
      </c>
      <c r="B33" t="b" s="42">
        <v>1</v>
      </c>
      <c r="C33" s="43" cm="1">
        <f t="array" ref="C33">IF(B33,E33/'presupuesto - Ingreso líquido'!$B$31,0)</f>
        <v>0.0313230051055173</v>
      </c>
      <c r="D33" s="43" cm="1">
        <f t="array" ref="D33">IF(B33,E33/'presupuesto - Ingreso líquido'!$B$32,0)</f>
        <v>0.0379668258531304</v>
      </c>
      <c r="E33" s="44">
        <v>120000</v>
      </c>
      <c r="F33" s="44"/>
      <c r="G33" s="44"/>
      <c r="H33" s="44"/>
      <c r="I33" s="44"/>
    </row>
    <row r="34" ht="20.55" customHeight="1">
      <c r="A34" t="s" s="45">
        <v>46</v>
      </c>
      <c r="B34" s="46"/>
      <c r="C34" s="47" cm="1">
        <f t="array" ref="C34">$E34/'presupuesto - Ingreso líquido'!$B$35</f>
        <v>1.0631121755181</v>
      </c>
      <c r="D34" s="47"/>
      <c r="E34" s="48" cm="1">
        <f t="array" ref="E34">SUMIF(B2:B33,"=TRUE",E2:E33)</f>
        <v>3360129.75</v>
      </c>
      <c r="F34" s="49" cm="1">
        <f t="array" ref="F34">E$34/'variables - Table 1'!$B$5</f>
        <v>3481.999740932640</v>
      </c>
      <c r="G34" s="46"/>
      <c r="H34" t="s" s="45">
        <v>47</v>
      </c>
      <c r="I34" t="s" s="45">
        <v>48</v>
      </c>
    </row>
    <row r="35" ht="20.35" customHeight="1">
      <c r="A35" t="s" s="50">
        <v>49</v>
      </c>
      <c r="B35" s="51"/>
      <c r="C35" s="52" cm="1">
        <f t="array" ref="C35">$E35/'presupuesto - Ingreso líquido'!$B$35</f>
        <v>0.148994572389132</v>
      </c>
      <c r="D35" s="52"/>
      <c r="E35" s="53" cm="1">
        <f t="array" ref="E35">'presupuesto - Ingreso líquido'!B31-E$34</f>
        <v>470920.2912</v>
      </c>
      <c r="F35" s="54" cm="1">
        <f t="array" ref="F35">E$35/'variables - Table 1'!$B$5</f>
        <v>488.000301761658</v>
      </c>
      <c r="G35" s="51"/>
      <c r="H35" s="26" cm="1">
        <f t="array" ref="H35">E$34*12</f>
        <v>40321557</v>
      </c>
      <c r="I35" s="26" cm="1">
        <f t="array" ref="I35">E$35*12</f>
        <v>5651043.4944</v>
      </c>
    </row>
    <row r="36" ht="20.35" customHeight="1">
      <c r="A36" t="s" s="50">
        <v>50</v>
      </c>
      <c r="B36" s="51"/>
      <c r="C36" s="52" cm="1">
        <f t="array" ref="C36">$E36/'presupuesto - Ingreso líquido'!$B$35</f>
        <v>-0.0631121755181048</v>
      </c>
      <c r="D36" s="52"/>
      <c r="E36" s="55" cm="1">
        <f t="array" ref="E36">'presupuesto - Ingreso líquido'!B32-E$34</f>
        <v>-199475.75</v>
      </c>
      <c r="F36" s="51"/>
      <c r="G36" s="51"/>
      <c r="H36" s="54" cm="1">
        <f t="array" ref="H36">H$35/'variables - Table 1'!$B$5</f>
        <v>41783.9968911917</v>
      </c>
      <c r="I36" s="54" cm="1">
        <f t="array" ref="I36">I$35/'variables - Table 1'!$B$5</f>
        <v>5856.0036211399</v>
      </c>
    </row>
    <row r="37" ht="20.35" customHeight="1">
      <c r="A37" s="51"/>
      <c r="B37" s="51"/>
      <c r="C37" s="30"/>
      <c r="D37" s="30"/>
      <c r="E37" s="30"/>
      <c r="F37" s="51"/>
      <c r="G37" s="51"/>
      <c r="H37" t="s" s="56">
        <v>51</v>
      </c>
      <c r="I37" s="57" cm="1">
        <f t="array" ref="I37">E$35/'presupuesto - Ingreso líquido'!B31</f>
        <v>0.122921989046244</v>
      </c>
    </row>
  </sheetData>
  <mergeCells count="1">
    <mergeCell ref="F23:G23"/>
  </mergeCells>
  <conditionalFormatting sqref="C2:D33 G2:G3">
    <cfRule type="cellIs" dxfId="0" priority="1" operator="equal" stopIfTrue="1">
      <formula>0</formula>
    </cfRule>
  </conditionalFormatting>
  <conditionalFormatting sqref="G24">
    <cfRule type="cellIs" dxfId="1" priority="1" operator="equal" stopIfTrue="1">
      <formula>0</formula>
    </cfRule>
  </conditionalFormatting>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D13"/>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3516" style="58" customWidth="1"/>
    <col min="2" max="2" width="3.71094" style="58" customWidth="1"/>
    <col min="3" max="4" width="16.3516" style="58" customWidth="1"/>
    <col min="5" max="16384" width="16.3516" style="58" customWidth="1"/>
  </cols>
  <sheetData>
    <row r="1" ht="20.55" customHeight="1">
      <c r="A1" t="s" s="8">
        <v>23</v>
      </c>
      <c r="B1" s="7"/>
      <c r="C1" s="7"/>
      <c r="D1" s="7"/>
    </row>
    <row r="2" ht="20.55" customHeight="1">
      <c r="A2" t="s" s="10">
        <v>54</v>
      </c>
      <c r="B2" t="b" s="11">
        <v>0</v>
      </c>
      <c r="C2" s="59">
        <v>7390</v>
      </c>
      <c r="D2" s="59"/>
    </row>
    <row r="3" ht="20.35" customHeight="1">
      <c r="A3" t="s" s="17">
        <v>55</v>
      </c>
      <c r="B3" t="b" s="18">
        <v>1</v>
      </c>
      <c r="C3" s="30">
        <v>3500</v>
      </c>
      <c r="D3" s="30"/>
    </row>
    <row r="4" ht="20.35" customHeight="1">
      <c r="A4" t="s" s="17">
        <v>56</v>
      </c>
      <c r="B4" t="b" s="18">
        <v>1</v>
      </c>
      <c r="C4" s="26">
        <v>650</v>
      </c>
      <c r="D4" s="26"/>
    </row>
    <row r="5" ht="20.35" customHeight="1">
      <c r="A5" t="s" s="17">
        <v>57</v>
      </c>
      <c r="B5" t="b" s="18">
        <v>1</v>
      </c>
      <c r="C5" s="26"/>
      <c r="D5" s="26"/>
    </row>
    <row r="6" ht="20.35" customHeight="1">
      <c r="A6" t="s" s="17">
        <v>58</v>
      </c>
      <c r="B6" t="b" s="18">
        <v>1</v>
      </c>
      <c r="C6" s="26"/>
      <c r="D6" s="26"/>
    </row>
    <row r="7" ht="20.35" customHeight="1">
      <c r="A7" s="28"/>
      <c r="B7" t="b" s="18">
        <v>0</v>
      </c>
      <c r="C7" s="26"/>
      <c r="D7" s="26"/>
    </row>
    <row r="8" ht="20.35" customHeight="1">
      <c r="A8" t="s" s="17">
        <v>59</v>
      </c>
      <c r="B8" t="b" s="18">
        <v>0</v>
      </c>
      <c r="C8" s="26">
        <v>5000</v>
      </c>
      <c r="D8" s="26"/>
    </row>
    <row r="9" ht="20.35" customHeight="1">
      <c r="A9" t="s" s="17">
        <v>60</v>
      </c>
      <c r="B9" t="b" s="18">
        <v>1</v>
      </c>
      <c r="C9" s="26" cm="1">
        <f t="array" ref="C9">'variables - Table 1'!B5*D9</f>
        <v>3618.75</v>
      </c>
      <c r="D9" s="60" cm="1">
        <f t="array" ref="D9">45/12</f>
        <v>3.75</v>
      </c>
    </row>
    <row r="10" ht="20.35" customHeight="1">
      <c r="A10" s="28"/>
      <c r="B10" t="b" s="18">
        <v>0</v>
      </c>
      <c r="C10" s="32"/>
      <c r="D10" s="60"/>
    </row>
    <row r="11" ht="20.35" customHeight="1">
      <c r="A11" s="28"/>
      <c r="B11" t="b" s="18">
        <v>0</v>
      </c>
      <c r="C11" s="32"/>
      <c r="D11" s="60"/>
    </row>
    <row r="12" ht="20.35" customHeight="1">
      <c r="A12" s="28"/>
      <c r="B12" t="b" s="18">
        <v>0</v>
      </c>
      <c r="C12" s="32"/>
      <c r="D12" s="60"/>
    </row>
    <row r="13" ht="20.35" customHeight="1">
      <c r="A13" s="28"/>
      <c r="B13" t="b" s="18">
        <v>0</v>
      </c>
      <c r="C13" s="32"/>
      <c r="D13" s="60"/>
    </row>
  </sheetData>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sheetPr>
    <pageSetUpPr fitToPage="1"/>
  </sheetPr>
  <dimension ref="A1:F22"/>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1" width="23.3516" style="61" customWidth="1"/>
    <col min="2" max="2" width="6.57812" style="61" customWidth="1"/>
    <col min="3" max="6" width="16.3516" style="61" customWidth="1"/>
    <col min="7" max="16384" width="16.3516" style="61" customWidth="1"/>
  </cols>
  <sheetData>
    <row r="1" ht="20.55" customHeight="1">
      <c r="A1" t="s" s="8">
        <v>63</v>
      </c>
      <c r="B1" t="s" s="8">
        <v>64</v>
      </c>
      <c r="C1" s="9"/>
      <c r="D1" s="62" cm="1">
        <f t="array" ref="D1">SUM(D2:D21)</f>
        <v>3179.99</v>
      </c>
      <c r="E1" s="63" cm="1">
        <f t="array" ref="E1">SUM(E2:E21)</f>
        <v>3360215.93325</v>
      </c>
      <c r="F1" t="s" s="8">
        <v>65</v>
      </c>
    </row>
    <row r="2" ht="20.55" customHeight="1">
      <c r="A2" t="s" s="15">
        <v>66</v>
      </c>
      <c r="B2" t="b" s="64">
        <v>0</v>
      </c>
      <c r="C2" s="59">
        <v>450000</v>
      </c>
      <c r="D2" s="65">
        <v>449</v>
      </c>
      <c r="E2" s="66" cm="1">
        <f t="array" ref="E2">D2*1.095*'variables - Table 1'!$B$5</f>
        <v>474447.075</v>
      </c>
      <c r="F2" s="67" cm="1">
        <f t="array" ref="F2">C2-E2</f>
        <v>-24447.075</v>
      </c>
    </row>
    <row r="3" ht="20.35" customHeight="1">
      <c r="A3" t="s" s="23">
        <v>67</v>
      </c>
      <c r="B3" t="b" s="68">
        <v>0</v>
      </c>
      <c r="C3" s="26">
        <v>999990</v>
      </c>
      <c r="D3" s="69">
        <v>999</v>
      </c>
      <c r="E3" s="70" cm="1">
        <f t="array" ref="E3">D3*1.095*'variables - Table 1'!$B$5</f>
        <v>1055618.325</v>
      </c>
      <c r="F3" s="71" cm="1">
        <f t="array" ref="F3">C3-E3</f>
        <v>-55628.325</v>
      </c>
    </row>
    <row r="4" ht="20.35" customHeight="1">
      <c r="A4" t="s" s="23">
        <v>68</v>
      </c>
      <c r="B4" t="b" s="68">
        <v>1</v>
      </c>
      <c r="C4" s="26">
        <v>379000</v>
      </c>
      <c r="D4" s="60">
        <v>599</v>
      </c>
      <c r="E4" s="70" cm="1">
        <f t="array" ref="E4">D4*1.095*'variables - Table 1'!$B$5</f>
        <v>632948.325</v>
      </c>
      <c r="F4" s="71" cm="1">
        <f t="array" ref="F4">C4-E4</f>
        <v>-253948.325</v>
      </c>
    </row>
    <row r="5" ht="20.35" customHeight="1">
      <c r="A5" t="s" s="23">
        <v>69</v>
      </c>
      <c r="B5" t="b" s="68">
        <v>0</v>
      </c>
      <c r="C5" s="26">
        <v>299990</v>
      </c>
      <c r="D5" s="60">
        <v>274.99</v>
      </c>
      <c r="E5" s="70" cm="1">
        <f t="array" ref="E5">D5*1.095*'variables - Table 1'!$B$5</f>
        <v>290575.05825</v>
      </c>
      <c r="F5" s="71" cm="1">
        <f t="array" ref="F5">C5-E5</f>
        <v>9414.94175</v>
      </c>
    </row>
    <row r="6" ht="20.35" customHeight="1">
      <c r="A6" t="s" s="23">
        <v>70</v>
      </c>
      <c r="B6" t="b" s="68">
        <v>1</v>
      </c>
      <c r="C6" s="26">
        <v>95000</v>
      </c>
      <c r="D6" s="60">
        <v>129</v>
      </c>
      <c r="E6" s="70" cm="1">
        <f t="array" ref="E6">D6*1.095*'variables - Table 1'!$B$5</f>
        <v>136311.075</v>
      </c>
      <c r="F6" s="71" cm="1">
        <f t="array" ref="F6">C6-E6</f>
        <v>-41311.075</v>
      </c>
    </row>
    <row r="7" ht="20.35" customHeight="1">
      <c r="A7" t="s" s="23">
        <v>71</v>
      </c>
      <c r="B7" t="b" s="68">
        <v>0</v>
      </c>
      <c r="C7" s="26"/>
      <c r="D7" s="60"/>
      <c r="E7" s="72"/>
      <c r="F7" s="71"/>
    </row>
    <row r="8" ht="20.35" customHeight="1">
      <c r="A8" t="s" s="23">
        <v>72</v>
      </c>
      <c r="B8" t="b" s="68">
        <v>1</v>
      </c>
      <c r="C8" s="30">
        <v>210000</v>
      </c>
      <c r="D8" s="60">
        <v>200</v>
      </c>
      <c r="E8" s="70" cm="1">
        <f t="array" ref="E8">D8*1.095*'variables - Table 1'!$B$5</f>
        <v>211335</v>
      </c>
      <c r="F8" s="71" cm="1">
        <f t="array" ref="F8">C8-E8</f>
        <v>-1335</v>
      </c>
    </row>
    <row r="9" ht="20.35" customHeight="1">
      <c r="A9" s="32"/>
      <c r="B9" t="b" s="68">
        <v>0</v>
      </c>
      <c r="C9" s="32"/>
      <c r="D9" s="32"/>
      <c r="E9" s="32"/>
      <c r="F9" s="32"/>
    </row>
    <row r="10" ht="20.35" customHeight="1">
      <c r="A10" t="s" s="23">
        <v>73</v>
      </c>
      <c r="B10" t="b" s="68">
        <v>0</v>
      </c>
      <c r="C10" s="32"/>
      <c r="D10" s="32"/>
      <c r="E10" s="32"/>
      <c r="F10" s="32"/>
    </row>
    <row r="11" ht="20.35" customHeight="1">
      <c r="A11" s="32"/>
      <c r="B11" t="b" s="68">
        <v>0</v>
      </c>
      <c r="C11" s="30"/>
      <c r="D11" s="60"/>
      <c r="E11" s="70"/>
      <c r="F11" s="71"/>
    </row>
    <row r="12" ht="20.35" customHeight="1">
      <c r="A12" t="s" s="23">
        <v>74</v>
      </c>
      <c r="B12" t="b" s="68">
        <v>1</v>
      </c>
      <c r="C12" s="30">
        <v>100000</v>
      </c>
      <c r="D12" s="60"/>
      <c r="E12" s="70"/>
      <c r="F12" s="71"/>
    </row>
    <row r="13" ht="20.35" customHeight="1">
      <c r="A13" t="s" s="23">
        <v>75</v>
      </c>
      <c r="B13" t="b" s="68">
        <v>1</v>
      </c>
      <c r="C13" s="30">
        <v>50000</v>
      </c>
      <c r="D13" s="60"/>
      <c r="E13" s="70"/>
      <c r="F13" s="71"/>
    </row>
    <row r="14" ht="20.35" customHeight="1">
      <c r="A14" t="s" s="23">
        <v>76</v>
      </c>
      <c r="B14" t="b" s="68">
        <v>1</v>
      </c>
      <c r="C14" s="30">
        <v>160000</v>
      </c>
      <c r="D14" s="60"/>
      <c r="E14" s="70"/>
      <c r="F14" s="71"/>
    </row>
    <row r="15" ht="20.35" customHeight="1">
      <c r="A15" t="s" s="23">
        <v>77</v>
      </c>
      <c r="B15" t="b" s="68">
        <v>1</v>
      </c>
      <c r="C15" s="30">
        <v>160000</v>
      </c>
      <c r="D15" s="60"/>
      <c r="E15" s="70"/>
      <c r="F15" s="71"/>
    </row>
    <row r="16" ht="20.35" customHeight="1">
      <c r="A16" t="s" s="23">
        <v>78</v>
      </c>
      <c r="B16" t="b" s="68">
        <v>0</v>
      </c>
      <c r="C16" s="26">
        <v>179990</v>
      </c>
      <c r="D16" s="69">
        <v>179</v>
      </c>
      <c r="E16" s="70" cm="1">
        <f t="array" ref="E16">D16*1.095*'variables - Table 1'!$B$5</f>
        <v>189144.825</v>
      </c>
      <c r="F16" s="71" cm="1">
        <f t="array" ref="F16">C16-E16</f>
        <v>-9154.825000000001</v>
      </c>
    </row>
    <row r="17" ht="20.35" customHeight="1">
      <c r="A17" s="32"/>
      <c r="B17" t="b" s="68">
        <v>0</v>
      </c>
      <c r="C17" s="30"/>
      <c r="D17" s="60"/>
      <c r="E17" s="70"/>
      <c r="F17" s="71"/>
    </row>
    <row r="18" ht="20.35" customHeight="1">
      <c r="A18" s="32"/>
      <c r="B18" t="b" s="68">
        <v>0</v>
      </c>
      <c r="C18" s="30"/>
      <c r="D18" s="60"/>
      <c r="E18" s="70"/>
      <c r="F18" s="71"/>
    </row>
    <row r="19" ht="20.35" customHeight="1">
      <c r="A19" s="32"/>
      <c r="B19" t="b" s="68">
        <v>0</v>
      </c>
      <c r="C19" s="30"/>
      <c r="D19" s="60"/>
      <c r="E19" s="70"/>
      <c r="F19" s="71"/>
    </row>
    <row r="20" ht="20.35" customHeight="1">
      <c r="A20" t="s" s="23">
        <v>79</v>
      </c>
      <c r="B20" t="b" s="68">
        <v>0</v>
      </c>
      <c r="C20" s="30">
        <v>250000</v>
      </c>
      <c r="D20" s="60">
        <v>350</v>
      </c>
      <c r="E20" s="70" cm="1">
        <f t="array" ref="E20">D20*1.095*'variables - Table 1'!$B$5</f>
        <v>369836.25</v>
      </c>
      <c r="F20" s="71" cm="1">
        <f t="array" ref="F20">C20-E20</f>
        <v>-119836.25</v>
      </c>
    </row>
    <row r="21" ht="20.55" customHeight="1">
      <c r="A21" s="73"/>
      <c r="B21" t="b" s="74">
        <v>0</v>
      </c>
      <c r="C21" s="75"/>
      <c r="D21" s="76"/>
      <c r="E21" s="77"/>
      <c r="F21" s="78"/>
    </row>
    <row r="22" ht="20.55" customHeight="1">
      <c r="A22" s="79" cm="1">
        <f t="array" ref="A22">SUM(C$22:E$22)</f>
        <v>3533621.53325</v>
      </c>
      <c r="B22" s="46"/>
      <c r="C22" s="48" cm="1">
        <f t="array" ref="C22">SUMIF(B2:B21,"=TRUE",C2:C21)</f>
        <v>1154000</v>
      </c>
      <c r="D22" s="46"/>
      <c r="E22" s="48" cm="1">
        <f t="array" ref="E22">SUMIF(B2:B21,"=FALSE",E2:E21)</f>
        <v>2379621.53325</v>
      </c>
      <c r="F22" s="46"/>
    </row>
  </sheetData>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5.xml><?xml version="1.0" encoding="utf-8"?>
<worksheet xmlns:r="http://schemas.openxmlformats.org/officeDocument/2006/relationships" xmlns="http://schemas.openxmlformats.org/spreadsheetml/2006/main">
  <sheetPr>
    <pageSetUpPr fitToPage="1"/>
  </sheetPr>
  <dimension ref="A1:D10"/>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4" width="16.3516" style="80" customWidth="1"/>
    <col min="5" max="16384" width="16.3516" style="80" customWidth="1"/>
  </cols>
  <sheetData>
    <row r="1" ht="20.55" customHeight="1">
      <c r="A1" t="s" s="8">
        <v>82</v>
      </c>
      <c r="B1" t="s" s="8">
        <v>83</v>
      </c>
      <c r="C1" t="s" s="8">
        <v>84</v>
      </c>
      <c r="D1" s="7"/>
    </row>
    <row r="2" ht="20.55" customHeight="1">
      <c r="A2" t="s" s="10">
        <v>85</v>
      </c>
      <c r="B2" s="81">
        <v>400000</v>
      </c>
      <c r="C2" s="48" cm="1">
        <f t="array" ref="C2">B2*12</f>
        <v>4800000</v>
      </c>
      <c r="D2" s="82"/>
    </row>
    <row r="3" ht="20.35" customHeight="1">
      <c r="A3" t="s" s="17">
        <v>86</v>
      </c>
      <c r="B3" s="83" cm="1">
        <f t="array" ref="B3">'presupuesto - Ingreso líquido'!B17</f>
        <v>365496</v>
      </c>
      <c r="C3" s="26" cm="1">
        <f t="array" ref="C3">B3*12</f>
        <v>4385952</v>
      </c>
      <c r="D3" s="32"/>
    </row>
    <row r="4" ht="20.35" customHeight="1">
      <c r="A4" t="s" s="17">
        <v>87</v>
      </c>
      <c r="B4" s="83" cm="1">
        <f t="array" ref="B4">'presupuesto - APV - simulación '!B$14</f>
        <v>240627</v>
      </c>
      <c r="C4" s="26" cm="1">
        <f t="array" ref="C4">B4*12</f>
        <v>2887524</v>
      </c>
      <c r="D4" s="32"/>
    </row>
    <row r="5" ht="20.35" customHeight="1">
      <c r="A5" t="s" s="17">
        <v>88</v>
      </c>
      <c r="B5" s="83" cm="1">
        <f t="array" ref="B5">200000*0</f>
        <v>0</v>
      </c>
      <c r="C5" s="26" cm="1">
        <f t="array" ref="C5">B5*12</f>
        <v>0</v>
      </c>
      <c r="D5" s="32"/>
    </row>
    <row r="6" ht="20.35" customHeight="1">
      <c r="A6" t="s" s="17">
        <v>89</v>
      </c>
      <c r="B6" s="83">
        <v>250000</v>
      </c>
      <c r="C6" s="26" cm="1">
        <f t="array" ref="C6">B6*12</f>
        <v>3000000</v>
      </c>
      <c r="D6" s="32"/>
    </row>
    <row r="7" ht="20.35" customHeight="1">
      <c r="A7" s="28"/>
      <c r="B7" s="29"/>
      <c r="C7" s="32"/>
      <c r="D7" s="32"/>
    </row>
    <row r="8" ht="20.55" customHeight="1">
      <c r="A8" s="84"/>
      <c r="B8" s="85"/>
      <c r="C8" s="73"/>
      <c r="D8" s="73"/>
    </row>
    <row r="9" ht="20.55" customHeight="1">
      <c r="A9" t="s" s="86">
        <v>82</v>
      </c>
      <c r="B9" s="79" cm="1">
        <f t="array" ref="B9">SUM(B2:B8)</f>
        <v>1256123</v>
      </c>
      <c r="C9" s="87"/>
      <c r="D9" s="46"/>
    </row>
    <row r="10" ht="20.35" customHeight="1">
      <c r="A10" t="s" s="56">
        <v>90</v>
      </c>
      <c r="B10" s="88" cm="1">
        <f t="array" ref="B10">'presupuesto - Gastos'!E$35-B$9</f>
        <v>-785202.7088</v>
      </c>
      <c r="C10" s="51"/>
      <c r="D10" s="51"/>
    </row>
  </sheetData>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D40"/>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1" width="18.1719" style="89" customWidth="1"/>
    <col min="2" max="4" width="16.3516" style="89" customWidth="1"/>
    <col min="5" max="16384" width="16.3516" style="89" customWidth="1"/>
  </cols>
  <sheetData>
    <row r="1" ht="28" customHeight="1">
      <c r="A1" t="s" s="90">
        <v>91</v>
      </c>
      <c r="B1" s="90"/>
      <c r="C1" s="90"/>
      <c r="D1" s="90"/>
    </row>
    <row r="2" ht="20.55" customHeight="1">
      <c r="A2" s="7"/>
      <c r="B2" s="7"/>
      <c r="C2" s="7"/>
      <c r="D2" s="7"/>
    </row>
    <row r="3" ht="20.55" customHeight="1">
      <c r="A3" t="s" s="10">
        <v>93</v>
      </c>
      <c r="B3" s="91" cm="1">
        <f t="array" ref="B3">3640000+14668+37770</f>
        <v>3692438</v>
      </c>
      <c r="C3" s="82"/>
      <c r="D3" s="82"/>
    </row>
    <row r="4" ht="20.35" customHeight="1">
      <c r="A4" s="28"/>
      <c r="B4" s="92" cm="1">
        <f t="array" ref="B4">B3/4</f>
        <v>923109.5</v>
      </c>
      <c r="C4" s="93"/>
      <c r="D4" s="21"/>
    </row>
    <row r="5" ht="20.35" customHeight="1">
      <c r="A5" t="s" s="17">
        <v>94</v>
      </c>
      <c r="B5" s="92" cm="1">
        <f t="array" ref="B5">MIN('variables - Table 1'!B8*4.75/12)</f>
        <v>213354.166666667</v>
      </c>
      <c r="C5" s="93"/>
      <c r="D5" t="s" s="56">
        <v>95</v>
      </c>
    </row>
    <row r="6" ht="20.35" customHeight="1">
      <c r="A6" t="s" s="17">
        <v>96</v>
      </c>
      <c r="B6" s="92" cm="1">
        <f t="array" ref="B6">ROUND(MIN('variables - Table 1'!B8*4.75/12,B3/4),0)</f>
        <v>213354</v>
      </c>
      <c r="C6" t="s" s="56">
        <v>97</v>
      </c>
      <c r="D6" s="21">
        <v>90</v>
      </c>
    </row>
    <row r="7" ht="20.35" customHeight="1">
      <c r="A7" s="28"/>
      <c r="B7" s="94"/>
      <c r="C7" s="32"/>
      <c r="D7" s="26" cm="1">
        <f t="array" ref="D7">ROUND(D6*'variables - Table 1'!$B$2,0)</f>
        <v>3654962</v>
      </c>
    </row>
    <row r="8" ht="20.35" customHeight="1">
      <c r="A8" t="s" s="17">
        <v>98</v>
      </c>
      <c r="B8" s="83" cm="1">
        <f t="array" ref="B8">19000*1</f>
        <v>19000</v>
      </c>
      <c r="C8" t="s" s="56">
        <v>99</v>
      </c>
      <c r="D8" s="21">
        <v>135.2</v>
      </c>
    </row>
    <row r="9" ht="20.35" customHeight="1">
      <c r="A9" t="s" s="17">
        <v>100</v>
      </c>
      <c r="B9" s="83" cm="1">
        <f t="array" ref="B9">57000*1</f>
        <v>57000</v>
      </c>
      <c r="C9" s="32"/>
      <c r="D9" s="26" cm="1">
        <f t="array" ref="D9">ROUND(D8*'variables - Table 1'!$B$2,0)</f>
        <v>5490565</v>
      </c>
    </row>
    <row r="10" ht="20.35" customHeight="1">
      <c r="A10" s="28"/>
      <c r="B10" s="94"/>
      <c r="C10" s="32"/>
      <c r="D10" s="32"/>
    </row>
    <row r="11" ht="20.35" customHeight="1">
      <c r="A11" t="s" s="17">
        <v>101</v>
      </c>
      <c r="B11" s="83" cm="1">
        <f t="array" ref="B11">B3+B6+B8+B9</f>
        <v>3981792</v>
      </c>
      <c r="C11" s="54" cm="1">
        <f t="array" ref="C11">B11/'variables - Table 1'!B$13</f>
        <v>4489.358919430850</v>
      </c>
      <c r="D11" s="32"/>
    </row>
    <row r="12" ht="20.35" customHeight="1">
      <c r="A12" t="s" s="17">
        <v>102</v>
      </c>
      <c r="B12" s="83" cm="1">
        <f t="array" ref="B12">SUM(B3,B6)</f>
        <v>3905792</v>
      </c>
      <c r="C12" s="32"/>
      <c r="D12" s="32"/>
    </row>
    <row r="13" ht="20.35" customHeight="1">
      <c r="A13" t="s" s="17">
        <v>103</v>
      </c>
      <c r="B13" s="83" cm="1">
        <f t="array" ref="B13">ROUND(MIN(B12,D6*'variables - Table 1'!B2),0)</f>
        <v>3654962</v>
      </c>
      <c r="C13" s="32"/>
      <c r="D13" s="32"/>
    </row>
    <row r="14" ht="20.35" customHeight="1">
      <c r="A14" s="28"/>
      <c r="B14" s="94"/>
      <c r="C14" s="32"/>
      <c r="D14" s="95" cm="1">
        <f t="array" ref="D14">D15/'variables - Table 1'!B13</f>
        <v>4945.0379958058</v>
      </c>
    </row>
    <row r="15" ht="20.35" customHeight="1">
      <c r="A15" t="s" s="17">
        <v>86</v>
      </c>
      <c r="B15" s="83" cm="1">
        <f t="array" ref="B15">SUM(B16:B17)</f>
        <v>382309</v>
      </c>
      <c r="C15" t="s" s="96">
        <v>104</v>
      </c>
      <c r="D15" s="97" cm="1">
        <f t="array" ref="D15">B17*12</f>
        <v>4385952</v>
      </c>
    </row>
    <row r="16" ht="20.35" customHeight="1">
      <c r="A16" t="s" s="17">
        <v>105</v>
      </c>
      <c r="B16" s="83" cm="1">
        <f t="array" ref="B16">ROUND(B13*D16%,0)</f>
        <v>16813</v>
      </c>
      <c r="C16" t="s" s="56">
        <v>106</v>
      </c>
      <c r="D16" s="98">
        <v>0.46</v>
      </c>
    </row>
    <row r="17" ht="20.35" customHeight="1">
      <c r="A17" t="s" s="17">
        <v>107</v>
      </c>
      <c r="B17" s="92" cm="1">
        <f t="array" ref="B17">ROUND(B13*10%,0)</f>
        <v>365496</v>
      </c>
      <c r="C17" s="99"/>
      <c r="D17" s="100"/>
    </row>
    <row r="18" ht="20.35" customHeight="1">
      <c r="A18" t="s" s="101">
        <v>108</v>
      </c>
      <c r="B18" s="92" cm="1">
        <f t="array" ref="B18">ROUND(B13*7%,0)</f>
        <v>255847</v>
      </c>
      <c r="C18" s="21" cm="1">
        <f t="array" ref="C18">B18/'variables - Table 1'!B2</f>
        <v>6.29999145545175</v>
      </c>
      <c r="D18" s="21">
        <v>4.91</v>
      </c>
    </row>
    <row r="19" ht="20.35" customHeight="1">
      <c r="A19" s="28"/>
      <c r="B19" s="29"/>
      <c r="C19" t="s" s="56">
        <v>27</v>
      </c>
      <c r="D19" s="26" cm="1">
        <f t="array" ref="D19">ROUND(D18*'variables - Table 1'!B2,0)</f>
        <v>199398</v>
      </c>
    </row>
    <row r="20" ht="20.35" customHeight="1">
      <c r="A20" t="s" s="17">
        <v>109</v>
      </c>
      <c r="B20" s="83" cm="1">
        <f t="array" ref="B20">ROUND(MIN(B12,D9)*0.6%,0)</f>
        <v>23435</v>
      </c>
      <c r="C20" t="s" s="56">
        <v>110</v>
      </c>
      <c r="D20" s="26" cm="1">
        <f t="array" ref="D20">B18-D19</f>
        <v>56449</v>
      </c>
    </row>
    <row r="21" ht="20.35" customHeight="1">
      <c r="A21" t="s" s="102">
        <v>111</v>
      </c>
      <c r="B21" s="83" cm="1">
        <f t="array" ref="B21">ROUND(MIN(B12,D9)*1.6%,0)</f>
        <v>62493</v>
      </c>
      <c r="C21" t="s" s="56">
        <v>112</v>
      </c>
      <c r="D21" s="26" cm="1">
        <f t="array" ref="D21">D20*12</f>
        <v>677388</v>
      </c>
    </row>
    <row r="22" ht="20.35" customHeight="1">
      <c r="A22" s="28"/>
      <c r="B22" s="29"/>
      <c r="C22" s="51"/>
      <c r="D22" s="103" cm="1">
        <f t="array" ref="D22">D21/D19</f>
        <v>3.39716546805886</v>
      </c>
    </row>
    <row r="23" ht="20.35" customHeight="1">
      <c r="A23" s="28"/>
      <c r="B23" s="83"/>
      <c r="C23" s="51"/>
      <c r="D23" s="32"/>
    </row>
    <row r="24" ht="20.35" customHeight="1">
      <c r="A24" t="s" s="17">
        <v>113</v>
      </c>
      <c r="B24" s="83" cm="1">
        <f t="array" ref="B24">B12-(B15+B18+B20)</f>
        <v>3244201</v>
      </c>
      <c r="C24" s="51"/>
      <c r="D24" s="32"/>
    </row>
    <row r="25" ht="20.35" customHeight="1">
      <c r="A25" s="28"/>
      <c r="B25" s="83"/>
      <c r="C25" s="51"/>
      <c r="D25" s="32"/>
    </row>
    <row r="26" ht="20.35" customHeight="1">
      <c r="A26" t="s" s="17">
        <v>114</v>
      </c>
      <c r="B26" s="104" cm="1">
        <f t="array" ref="B26">'presupuesto - APV - simulación '!H$11</f>
        <v>133928.9588</v>
      </c>
      <c r="C26" s="105" cm="1">
        <f t="array" ref="C26">ROUND(B26/B11*100,0)%</f>
        <v>0.03</v>
      </c>
      <c r="D26" s="32"/>
    </row>
    <row r="27" ht="20.35" customHeight="1">
      <c r="A27" s="28"/>
      <c r="B27" s="83"/>
      <c r="C27" t="s" s="96">
        <v>115</v>
      </c>
      <c r="D27" s="97" cm="1">
        <f t="array" ref="D27">B26*12</f>
        <v>1607147.5056</v>
      </c>
    </row>
    <row r="28" ht="20.35" customHeight="1">
      <c r="A28" t="s" s="17">
        <v>116</v>
      </c>
      <c r="B28" s="83">
        <v>25618</v>
      </c>
      <c r="C28" s="100"/>
      <c r="D28" s="32"/>
    </row>
    <row r="29" ht="20.35" customHeight="1">
      <c r="A29" t="s" s="17">
        <v>117</v>
      </c>
      <c r="B29" s="83" cm="1">
        <f t="array" ref="B29">ROUND(B26+B20+B15+B18+B28,0)</f>
        <v>821138</v>
      </c>
      <c r="C29" s="105" cm="1">
        <f t="array" ref="C29">ROUND(B29/B11*100,0)%</f>
        <v>0.21</v>
      </c>
      <c r="D29" s="32"/>
    </row>
    <row r="30" ht="20.35" customHeight="1">
      <c r="A30" s="28"/>
      <c r="B30" s="29"/>
      <c r="C30" s="32"/>
      <c r="D30" s="32"/>
    </row>
    <row r="31" ht="20.35" customHeight="1">
      <c r="A31" t="s" s="17">
        <v>118</v>
      </c>
      <c r="B31" s="106" cm="1">
        <f t="array" ref="B31">B11-B26-B16</f>
        <v>3831050.0412</v>
      </c>
      <c r="C31" s="54" cm="1">
        <f t="array" ref="C31">B31/'variables - Table 1'!B$13</f>
        <v>4319.401584323630</v>
      </c>
      <c r="D31" s="107" cm="1">
        <f t="array" ref="D31">B31/'variables - Table 1'!$B$14</f>
        <v>3685.154764089690</v>
      </c>
    </row>
    <row r="32" ht="20.35" customHeight="1">
      <c r="A32" t="s" s="17">
        <v>119</v>
      </c>
      <c r="B32" s="108" cm="1">
        <f t="array" ref="B32">B11-B29</f>
        <v>3160654</v>
      </c>
      <c r="C32" s="54" cm="1">
        <f t="array" ref="C32">B32/'variables - Table 1'!B$13</f>
        <v>3563.548830811550</v>
      </c>
      <c r="D32" s="107" cm="1">
        <f t="array" ref="D32">B32/'variables - Table 1'!$B$14</f>
        <v>3040.2889600708</v>
      </c>
    </row>
    <row r="33" ht="20.35" customHeight="1">
      <c r="A33" t="s" s="17">
        <v>120</v>
      </c>
      <c r="B33" s="92">
        <v>0</v>
      </c>
      <c r="C33" s="32"/>
      <c r="D33" s="32"/>
    </row>
    <row r="34" ht="20.35" customHeight="1">
      <c r="A34" s="28"/>
      <c r="B34" s="29"/>
      <c r="C34" s="32"/>
      <c r="D34" s="32"/>
    </row>
    <row r="35" ht="20.35" customHeight="1">
      <c r="A35" t="s" s="17">
        <v>91</v>
      </c>
      <c r="B35" s="109" cm="1">
        <f t="array" ref="B35">SUM(B32:B33)</f>
        <v>3160654</v>
      </c>
      <c r="C35" s="32"/>
      <c r="D35" s="32"/>
    </row>
    <row r="36" ht="20.35" customHeight="1">
      <c r="A36" s="28"/>
      <c r="B36" s="83"/>
      <c r="C36" s="32"/>
      <c r="D36" s="32"/>
    </row>
    <row r="37" ht="20.35" customHeight="1">
      <c r="A37" t="s" s="17">
        <v>121</v>
      </c>
      <c r="B37" s="83" cm="1">
        <f t="array" ref="B37">B24*12</f>
        <v>38930412</v>
      </c>
      <c r="C37" s="32"/>
      <c r="D37" s="32"/>
    </row>
    <row r="38" ht="20.35" customHeight="1">
      <c r="A38" t="s" s="17">
        <v>122</v>
      </c>
      <c r="B38" s="83" cm="1">
        <f t="array" ref="B38">B35*12</f>
        <v>37927848</v>
      </c>
      <c r="C38" s="54" cm="1">
        <f t="array" ref="C38">B38/'variables - Table 1'!B$13</f>
        <v>42762.5859697387</v>
      </c>
      <c r="D38" s="107" cm="1">
        <f t="array" ref="D38">B38/'variables - Table 1'!$B$14</f>
        <v>36483.4675208496</v>
      </c>
    </row>
    <row r="39" ht="20.35" customHeight="1">
      <c r="A39" s="28"/>
      <c r="B39" s="83" cm="1">
        <f t="array" ref="B39">(B31)*12</f>
        <v>45972600.4944</v>
      </c>
      <c r="C39" s="54" cm="1">
        <f t="array" ref="C39">B39/'variables - Table 1'!B$13</f>
        <v>51832.8190118836</v>
      </c>
      <c r="D39" s="107" cm="1">
        <f t="array" ref="D39">B39/'variables - Table 1'!$B$14</f>
        <v>44221.8571690763</v>
      </c>
    </row>
    <row r="40" ht="20.35" customHeight="1">
      <c r="A40" t="s" s="17">
        <v>123</v>
      </c>
      <c r="B40" s="83" cm="1">
        <f t="array" ref="B40">B11*12</f>
        <v>47781504</v>
      </c>
      <c r="C40" s="54" cm="1">
        <f t="array" ref="C40">B40/'variables - Table 1'!B$13</f>
        <v>53872.3070331702</v>
      </c>
      <c r="D40" s="107" cm="1">
        <f t="array" ref="D40">B40/'variables - Table 1'!$B$14</f>
        <v>45961.8734308718</v>
      </c>
    </row>
  </sheetData>
  <mergeCells count="1">
    <mergeCell ref="A1:D1"/>
  </mergeCells>
  <conditionalFormatting sqref="B13">
    <cfRule type="cellIs" dxfId="2" priority="1" operator="lessThan" stopIfTrue="1">
      <formula>B12</formula>
    </cfRule>
  </conditionalFormatting>
  <conditionalFormatting sqref="D19">
    <cfRule type="cellIs" dxfId="3" priority="1" operator="lessThan" stopIfTrue="1">
      <formula>B$18</formula>
    </cfRule>
    <cfRule type="cellIs" dxfId="4" priority="2" operator="greaterThanOrEqual" stopIfTrue="1">
      <formula>B$18</formula>
    </cfRule>
  </conditionalFormatting>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7.xml><?xml version="1.0" encoding="utf-8"?>
<worksheet xmlns:r="http://schemas.openxmlformats.org/officeDocument/2006/relationships" xmlns="http://schemas.openxmlformats.org/spreadsheetml/2006/main">
  <sheetPr>
    <pageSetUpPr fitToPage="1"/>
  </sheetPr>
  <dimension ref="A2:G19"/>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7" width="16.3516" style="110" customWidth="1"/>
    <col min="8" max="16384" width="16.3516" style="110" customWidth="1"/>
  </cols>
  <sheetData>
    <row r="1" ht="28" customHeight="1">
      <c r="A1" t="s" s="90">
        <v>124</v>
      </c>
      <c r="B1" s="90"/>
      <c r="C1" s="90"/>
      <c r="D1" s="90"/>
      <c r="E1" s="90"/>
      <c r="F1" s="90"/>
      <c r="G1" s="90"/>
    </row>
    <row r="2" ht="20.55" customHeight="1">
      <c r="A2" t="s" s="111">
        <v>126</v>
      </c>
      <c r="B2" s="112">
        <v>1</v>
      </c>
      <c r="C2" s="112">
        <v>3</v>
      </c>
      <c r="D2" s="112">
        <v>6</v>
      </c>
      <c r="E2" s="112">
        <v>12</v>
      </c>
      <c r="F2" s="112">
        <v>18</v>
      </c>
      <c r="G2" s="112">
        <v>24</v>
      </c>
    </row>
    <row r="3" ht="20.55" customHeight="1">
      <c r="A3" s="113">
        <v>0.1</v>
      </c>
      <c r="B3" s="81" cm="1">
        <f t="array" ref="B3">'presupuesto - Ingreso líquido'!$B$31*$A3*B$2</f>
        <v>383105.00412</v>
      </c>
      <c r="C3" s="48" cm="1">
        <f t="array" ref="C3">$B3*C$2</f>
        <v>1149315.01236</v>
      </c>
      <c r="D3" s="48" cm="1">
        <f t="array" ref="D3">$B3*D$2</f>
        <v>2298630.02472</v>
      </c>
      <c r="E3" s="48" cm="1">
        <f t="array" ref="E3">$B3*E$2</f>
        <v>4597260.04944</v>
      </c>
      <c r="F3" s="48" cm="1">
        <f t="array" ref="F3">$B3*F$2</f>
        <v>6895890.07416</v>
      </c>
      <c r="G3" s="48" cm="1">
        <f t="array" ref="G3">$B3*G$2</f>
        <v>9194520.09888</v>
      </c>
    </row>
    <row r="4" ht="20.35" customHeight="1">
      <c r="A4" s="114">
        <v>0.2</v>
      </c>
      <c r="B4" s="83" cm="1">
        <f t="array" ref="B4">'presupuesto - Ingreso líquido'!$B$31*$A4*B$2</f>
        <v>766210.00824</v>
      </c>
      <c r="C4" s="26" cm="1">
        <f t="array" ref="C4">$B4*C$2</f>
        <v>2298630.02472</v>
      </c>
      <c r="D4" s="26" cm="1">
        <f t="array" ref="D4">$B4*D$2</f>
        <v>4597260.04944</v>
      </c>
      <c r="E4" s="26" cm="1">
        <f t="array" ref="E4">$B4*E$2</f>
        <v>9194520.09888</v>
      </c>
      <c r="F4" s="26" cm="1">
        <f t="array" ref="F4">$B4*F$2</f>
        <v>13791780.14832</v>
      </c>
      <c r="G4" s="26" cm="1">
        <f t="array" ref="G4">$B4*G$2</f>
        <v>18389040.19776</v>
      </c>
    </row>
    <row r="5" ht="20.35" customHeight="1">
      <c r="A5" s="114">
        <v>0.5</v>
      </c>
      <c r="B5" s="83" cm="1">
        <f t="array" ref="B5">'presupuesto - Ingreso líquido'!$B$31*$A5*B$2</f>
        <v>1915525.0206</v>
      </c>
      <c r="C5" s="26" cm="1">
        <f t="array" ref="C5">$B5*C$2</f>
        <v>5746575.0618</v>
      </c>
      <c r="D5" s="26" cm="1">
        <f t="array" ref="D5">$B5*D$2</f>
        <v>11493150.1236</v>
      </c>
      <c r="E5" s="26" cm="1">
        <f t="array" ref="E5">$B5*E$2</f>
        <v>22986300.2472</v>
      </c>
      <c r="F5" s="26" cm="1">
        <f t="array" ref="F5">$B5*F$2</f>
        <v>34479450.3708</v>
      </c>
      <c r="G5" s="26" cm="1">
        <f t="array" ref="G5">$B5*G$2</f>
        <v>45972600.4944</v>
      </c>
    </row>
    <row r="6" ht="20.35" customHeight="1">
      <c r="A6" s="114">
        <v>0.6</v>
      </c>
      <c r="B6" s="83" cm="1">
        <f t="array" ref="B6">'presupuesto - Ingreso líquido'!$B$31*$A6*B$2</f>
        <v>2298630.02472</v>
      </c>
      <c r="C6" s="26" cm="1">
        <f t="array" ref="C6">$B6*C$2</f>
        <v>6895890.07416</v>
      </c>
      <c r="D6" s="26" cm="1">
        <f t="array" ref="D6">$B6*D$2</f>
        <v>13791780.14832</v>
      </c>
      <c r="E6" s="26" cm="1">
        <f t="array" ref="E6">$B6*E$2</f>
        <v>27583560.29664</v>
      </c>
      <c r="F6" s="26" cm="1">
        <f t="array" ref="F6">$B6*F$2</f>
        <v>41375340.44496</v>
      </c>
      <c r="G6" s="26" cm="1">
        <f t="array" ref="G6">$B6*G$2</f>
        <v>55167120.59328</v>
      </c>
    </row>
    <row r="7" ht="20.35" customHeight="1">
      <c r="A7" s="114">
        <v>0.7</v>
      </c>
      <c r="B7" s="83" cm="1">
        <f t="array" ref="B7">'presupuesto - Ingreso líquido'!$B$31*$A7*B$2</f>
        <v>2681735.02884</v>
      </c>
      <c r="C7" s="26" cm="1">
        <f t="array" ref="C7">$B7*C$2</f>
        <v>8045205.08652</v>
      </c>
      <c r="D7" s="26" cm="1">
        <f t="array" ref="D7">$B7*D$2</f>
        <v>16090410.17304</v>
      </c>
      <c r="E7" s="26" cm="1">
        <f t="array" ref="E7">$B7*E$2</f>
        <v>32180820.34608</v>
      </c>
      <c r="F7" s="26" cm="1">
        <f t="array" ref="F7">$B7*F$2</f>
        <v>48271230.51912</v>
      </c>
      <c r="G7" s="26" cm="1">
        <f t="array" ref="G7">$B7*G$2</f>
        <v>64361640.69216</v>
      </c>
    </row>
    <row r="8" ht="20.35" customHeight="1">
      <c r="A8" s="28"/>
      <c r="B8" s="83"/>
      <c r="C8" s="26"/>
      <c r="D8" s="26"/>
      <c r="E8" s="26"/>
      <c r="F8" s="26"/>
      <c r="G8" s="26"/>
    </row>
    <row r="9" ht="20.35" customHeight="1">
      <c r="A9" s="115" cm="1">
        <f t="array" ref="A9">'presupuesto - Gastos'!E$35</f>
        <v>470920.2912</v>
      </c>
      <c r="B9" s="83" cm="1">
        <f t="array" ref="B9">$A9*B$2</f>
        <v>470920.2912</v>
      </c>
      <c r="C9" s="26" cm="1">
        <f t="array" ref="C9">$A9*C$2</f>
        <v>1412760.8736</v>
      </c>
      <c r="D9" s="116" cm="1">
        <f t="array" ref="D9">$A9*D$2</f>
        <v>2825521.7472</v>
      </c>
      <c r="E9" s="117" cm="1">
        <f t="array" ref="E9">$A9*E$2</f>
        <v>5651043.4944</v>
      </c>
      <c r="F9" s="26" cm="1">
        <f t="array" ref="F9">$A9*F$2</f>
        <v>8476565.241599999</v>
      </c>
      <c r="G9" s="26" cm="1">
        <f t="array" ref="G9">$A9*G$2</f>
        <v>11302086.9888</v>
      </c>
    </row>
    <row r="10" ht="20.35" customHeight="1">
      <c r="A10" s="40" cm="1">
        <f t="array" ref="A10">AVERAGE('net worth - resumen | depósitos'!R44:R46)</f>
        <v>525158.666666667</v>
      </c>
      <c r="B10" s="83" cm="1">
        <f t="array" ref="B10">$A10*B$2</f>
        <v>525158.666666667</v>
      </c>
      <c r="C10" s="26" cm="1">
        <f t="array" ref="C10">$A10*C$2</f>
        <v>1575476</v>
      </c>
      <c r="D10" s="118" cm="1">
        <f t="array" ref="D10">$A10*D$2</f>
        <v>3150952</v>
      </c>
      <c r="E10" s="119" cm="1">
        <f t="array" ref="E10">$A10*E$2</f>
        <v>6301904</v>
      </c>
      <c r="F10" s="26" cm="1">
        <f t="array" ref="F10">$A10*F$2</f>
        <v>9452856.000000009</v>
      </c>
      <c r="G10" s="26" cm="1">
        <f t="array" ref="G10">$A10*G$2</f>
        <v>12603808</v>
      </c>
    </row>
    <row r="11" ht="20.35" customHeight="1">
      <c r="A11" s="40" cm="1">
        <f t="array" ref="A11">AVERAGE('net worth - resumen | depósitos'!R56:R67)</f>
        <v>-833717.833333333</v>
      </c>
      <c r="B11" s="83" cm="1">
        <f t="array" ref="B11">$A11*B$2</f>
        <v>-833717.833333333</v>
      </c>
      <c r="C11" s="26" cm="1">
        <f t="array" ref="C11">$A11*C$2</f>
        <v>-2501153.5</v>
      </c>
      <c r="D11" s="118" cm="1">
        <f t="array" ref="D11">$A11*D$2</f>
        <v>-5002307</v>
      </c>
      <c r="E11" s="119" cm="1">
        <f t="array" ref="E11">$A11*E$2</f>
        <v>-10004614</v>
      </c>
      <c r="F11" s="26" cm="1">
        <f t="array" ref="F11">$A11*F$2</f>
        <v>-15006921</v>
      </c>
      <c r="G11" s="26" cm="1">
        <f t="array" ref="G11">$A11*G$2</f>
        <v>-20009228</v>
      </c>
    </row>
    <row r="12" ht="20.35" customHeight="1">
      <c r="A12" s="40"/>
      <c r="B12" s="83"/>
      <c r="C12" s="26"/>
      <c r="D12" s="26"/>
      <c r="E12" s="26"/>
      <c r="F12" s="26"/>
      <c r="G12" s="26"/>
    </row>
    <row r="13" ht="20.35" customHeight="1">
      <c r="A13" s="40">
        <v>300000</v>
      </c>
      <c r="B13" s="83" cm="1">
        <f t="array" ref="B13">$A13*B$2</f>
        <v>300000</v>
      </c>
      <c r="C13" s="26" cm="1">
        <f t="array" ref="C13">$A13*C$2</f>
        <v>900000</v>
      </c>
      <c r="D13" s="26" cm="1">
        <f t="array" ref="D13">$A13*D$2</f>
        <v>1800000</v>
      </c>
      <c r="E13" s="26" cm="1">
        <f t="array" ref="E13">$A13*E$2</f>
        <v>3600000</v>
      </c>
      <c r="F13" s="26" cm="1">
        <f t="array" ref="F13">$A13*F$2</f>
        <v>5400000</v>
      </c>
      <c r="G13" s="26" cm="1">
        <f t="array" ref="G13">$A13*G$2</f>
        <v>7200000</v>
      </c>
    </row>
    <row r="14" ht="20.35" customHeight="1">
      <c r="A14" s="40">
        <v>400000</v>
      </c>
      <c r="B14" s="83" cm="1">
        <f t="array" ref="B14">$A14*B$2</f>
        <v>400000</v>
      </c>
      <c r="C14" s="26" cm="1">
        <f t="array" ref="C14">$A14*C$2</f>
        <v>1200000</v>
      </c>
      <c r="D14" s="26" cm="1">
        <f t="array" ref="D14">$A14*D$2</f>
        <v>2400000</v>
      </c>
      <c r="E14" s="26" cm="1">
        <f t="array" ref="E14">$A14*E$2</f>
        <v>4800000</v>
      </c>
      <c r="F14" s="26" cm="1">
        <f t="array" ref="F14">$A14*F$2</f>
        <v>7200000</v>
      </c>
      <c r="G14" s="26" cm="1">
        <f t="array" ref="G14">$A14*G$2</f>
        <v>9600000</v>
      </c>
    </row>
    <row r="15" ht="20.35" customHeight="1">
      <c r="A15" s="40">
        <v>500000</v>
      </c>
      <c r="B15" s="83" cm="1">
        <f t="array" ref="B15">$A15*B$2</f>
        <v>500000</v>
      </c>
      <c r="C15" s="26" cm="1">
        <f t="array" ref="C15">$A15*C$2</f>
        <v>1500000</v>
      </c>
      <c r="D15" s="26" cm="1">
        <f t="array" ref="D15">$A15*D$2</f>
        <v>3000000</v>
      </c>
      <c r="E15" s="26" cm="1">
        <f t="array" ref="E15">$A15*E$2</f>
        <v>6000000</v>
      </c>
      <c r="F15" s="26" cm="1">
        <f t="array" ref="F15">$A15*F$2</f>
        <v>9000000</v>
      </c>
      <c r="G15" s="26" cm="1">
        <f t="array" ref="G15">$A15*G$2</f>
        <v>12000000</v>
      </c>
    </row>
    <row r="16" ht="20.35" customHeight="1">
      <c r="A16" s="40">
        <v>600000</v>
      </c>
      <c r="B16" s="83" cm="1">
        <f t="array" ref="B16">$A16*B$2</f>
        <v>600000</v>
      </c>
      <c r="C16" s="26" cm="1">
        <f t="array" ref="C16">$A16*C$2</f>
        <v>1800000</v>
      </c>
      <c r="D16" s="26" cm="1">
        <f t="array" ref="D16">$A16*D$2</f>
        <v>3600000</v>
      </c>
      <c r="E16" s="26" cm="1">
        <f t="array" ref="E16">$A16*E$2</f>
        <v>7200000</v>
      </c>
      <c r="F16" s="26" cm="1">
        <f t="array" ref="F16">$A16*F$2</f>
        <v>10800000</v>
      </c>
      <c r="G16" s="26" cm="1">
        <f t="array" ref="G16">$A16*G$2</f>
        <v>14400000</v>
      </c>
    </row>
    <row r="17" ht="20.35" customHeight="1">
      <c r="A17" s="40">
        <v>700000</v>
      </c>
      <c r="B17" s="83" cm="1">
        <f t="array" ref="B17">$A17*B$2</f>
        <v>700000</v>
      </c>
      <c r="C17" s="26" cm="1">
        <f t="array" ref="C17">$A17*C$2</f>
        <v>2100000</v>
      </c>
      <c r="D17" s="26" cm="1">
        <f t="array" ref="D17">$A17*D$2</f>
        <v>4200000</v>
      </c>
      <c r="E17" s="26" cm="1">
        <f t="array" ref="E17">$A17*E$2</f>
        <v>8400000</v>
      </c>
      <c r="F17" s="26" cm="1">
        <f t="array" ref="F17">$A17*F$2</f>
        <v>12600000</v>
      </c>
      <c r="G17" s="26" cm="1">
        <f t="array" ref="G17">$A17*G$2</f>
        <v>16800000</v>
      </c>
    </row>
    <row r="18" ht="20.35" customHeight="1">
      <c r="A18" s="40">
        <v>800000</v>
      </c>
      <c r="B18" s="83" cm="1">
        <f t="array" ref="B18">$A18*B$2</f>
        <v>800000</v>
      </c>
      <c r="C18" s="26" cm="1">
        <f t="array" ref="C18">$A18*C$2</f>
        <v>2400000</v>
      </c>
      <c r="D18" s="26" cm="1">
        <f t="array" ref="D18">$A18*D$2</f>
        <v>4800000</v>
      </c>
      <c r="E18" s="26" cm="1">
        <f t="array" ref="E18">$A18*E$2</f>
        <v>9600000</v>
      </c>
      <c r="F18" s="26" cm="1">
        <f t="array" ref="F18">$A18*F$2</f>
        <v>14400000</v>
      </c>
      <c r="G18" s="26" cm="1">
        <f t="array" ref="G18">$A18*G$2</f>
        <v>19200000</v>
      </c>
    </row>
    <row r="19" ht="20.35" customHeight="1">
      <c r="A19" s="40">
        <v>900000</v>
      </c>
      <c r="B19" s="83" cm="1">
        <f t="array" ref="B19">$A19*B$2</f>
        <v>900000</v>
      </c>
      <c r="C19" s="26" cm="1">
        <f t="array" ref="C19">$A19*C$2</f>
        <v>2700000</v>
      </c>
      <c r="D19" s="26" cm="1">
        <f t="array" ref="D19">$A19*D$2</f>
        <v>5400000</v>
      </c>
      <c r="E19" s="26" cm="1">
        <f t="array" ref="E19">$A19*E$2</f>
        <v>10800000</v>
      </c>
      <c r="F19" s="26" cm="1">
        <f t="array" ref="F19">$A19*F$2</f>
        <v>16200000</v>
      </c>
      <c r="G19" s="26" cm="1">
        <f t="array" ref="G19">$A19*G$2</f>
        <v>21600000</v>
      </c>
    </row>
  </sheetData>
  <mergeCells count="1">
    <mergeCell ref="A1:G1"/>
  </mergeCells>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2:K14"/>
  <sheetViews>
    <sheetView workbookViewId="0" showGridLines="0" defaultGridColor="1">
      <pane topLeftCell="A3" xSplit="0" ySplit="2" activePane="bottomLeft" state="frozen"/>
    </sheetView>
  </sheetViews>
  <sheetFormatPr defaultColWidth="16.3333" defaultRowHeight="18" customHeight="1" outlineLevelRow="0" outlineLevelCol="0"/>
  <cols>
    <col min="1" max="1" width="17.1719" style="120" customWidth="1"/>
    <col min="2" max="3" width="16.3516" style="120" customWidth="1"/>
    <col min="4" max="4" width="3.10156" style="120" customWidth="1"/>
    <col min="5" max="6" width="16.3516" style="120" customWidth="1"/>
    <col min="7" max="7" width="3.10156" style="120" customWidth="1"/>
    <col min="8" max="9" width="16.3516" style="120" customWidth="1"/>
    <col min="10" max="10" width="3.10156" style="120" customWidth="1"/>
    <col min="11" max="11" width="16.3516" style="120" customWidth="1"/>
    <col min="12" max="16384" width="16.3516" style="120" customWidth="1"/>
  </cols>
  <sheetData>
    <row r="1" ht="28" customHeight="1">
      <c r="A1" t="s" s="90">
        <v>127</v>
      </c>
      <c r="B1" s="90"/>
      <c r="C1" s="90"/>
      <c r="D1" s="90"/>
      <c r="E1" s="90"/>
      <c r="F1" s="90"/>
      <c r="G1" s="90"/>
      <c r="H1" s="90"/>
      <c r="I1" s="90"/>
      <c r="J1" s="90"/>
      <c r="K1" s="90"/>
    </row>
    <row r="2" ht="20.55" customHeight="1">
      <c r="A2" t="s" s="8">
        <v>129</v>
      </c>
      <c r="B2" s="7"/>
      <c r="C2" t="s" s="8">
        <v>130</v>
      </c>
      <c r="D2" s="7"/>
      <c r="E2" t="s" s="8">
        <v>131</v>
      </c>
      <c r="F2" t="s" s="8">
        <v>132</v>
      </c>
      <c r="G2" s="7"/>
      <c r="H2" t="s" s="8">
        <v>133</v>
      </c>
      <c r="I2" t="s" s="8">
        <v>134</v>
      </c>
      <c r="J2" s="7"/>
      <c r="K2" t="s" s="8">
        <v>135</v>
      </c>
    </row>
    <row r="3" ht="20.55" customHeight="1">
      <c r="A3" s="64">
        <v>0.01</v>
      </c>
      <c r="B3" s="121" cm="1">
        <f t="array" ref="B3">13.5*'variables - Table 1'!$B$3</f>
        <v>974538</v>
      </c>
      <c r="C3" s="122">
        <v>0</v>
      </c>
      <c r="D3" s="82"/>
      <c r="E3" s="48" cm="1">
        <f t="array" ref="E3">IF('presupuesto - Ingreso líquido'!$B$24&gt;$A3,IF('presupuesto - Ingreso líquido'!$B$24&gt;$B3,$B3-$A3,'presupuesto - Ingreso líquido'!$B$24-$A3),0)</f>
        <v>974537.99</v>
      </c>
      <c r="F3" s="48" cm="1">
        <f t="array" ref="F3">IF('presupuesto - Ingreso líquido'!$B$24-B$11&gt;$A3,IF('presupuesto - Ingreso líquido'!$B$24-B$11&gt;$B3,$B3-$A3,'presupuesto - Ingreso líquido'!$B$24-B$11-$A3),0)</f>
        <v>974537.99</v>
      </c>
      <c r="G3" s="82"/>
      <c r="H3" s="48" cm="1">
        <f t="array" ref="H3">E3*$C3</f>
        <v>0</v>
      </c>
      <c r="I3" s="48" cm="1">
        <f t="array" ref="I3">F3*$C3</f>
        <v>0</v>
      </c>
      <c r="J3" s="82"/>
      <c r="K3" s="48" cm="1">
        <f t="array" ref="K3">H3-I3</f>
        <v>0</v>
      </c>
    </row>
    <row r="4" ht="20.35" customHeight="1">
      <c r="A4" s="123" cm="1">
        <f t="array" ref="A4">13.5*'variables - Table 1'!$B$3+0.01</f>
        <v>974538.01</v>
      </c>
      <c r="B4" s="123" cm="1">
        <f t="array" ref="B4">30*'variables - Table 1'!$B$3</f>
        <v>2165640</v>
      </c>
      <c r="C4" s="124">
        <v>0.04</v>
      </c>
      <c r="D4" s="32"/>
      <c r="E4" s="26" cm="1">
        <f t="array" ref="E4">IF('presupuesto - Ingreso líquido'!$B$24&gt;$A4,IF('presupuesto - Ingreso líquido'!$B$24&gt;$B4,$B4-$A4,'presupuesto - Ingreso líquido'!$B$24-$A4),0)</f>
        <v>1191101.99</v>
      </c>
      <c r="F4" s="26" cm="1">
        <f t="array" ref="F4">IF('presupuesto - Ingreso líquido'!$B$24-B$11&gt;$A4,IF('presupuesto - Ingreso líquido'!$B$24-B$11&gt;$B4,$B4-$A4,'presupuesto - Ingreso líquido'!$B$24-B$11-$A4),0)</f>
        <v>1191101.99</v>
      </c>
      <c r="G4" s="32"/>
      <c r="H4" s="26" cm="1">
        <f t="array" ref="H4">E4*$C4</f>
        <v>47644.0796</v>
      </c>
      <c r="I4" s="26" cm="1">
        <f t="array" ref="I4">F4*$C4</f>
        <v>47644.0796</v>
      </c>
      <c r="J4" s="32"/>
      <c r="K4" s="26" cm="1">
        <f t="array" ref="K4">H4-I4</f>
        <v>0</v>
      </c>
    </row>
    <row r="5" ht="20.35" customHeight="1">
      <c r="A5" s="123" cm="1">
        <f t="array" ref="A5">30*'variables - Table 1'!$B$3+0.01</f>
        <v>2165640.01</v>
      </c>
      <c r="B5" s="123" cm="1">
        <f t="array" ref="B5">50*'variables - Table 1'!$B$3</f>
        <v>3609400</v>
      </c>
      <c r="C5" s="124">
        <v>0.08</v>
      </c>
      <c r="D5" s="32"/>
      <c r="E5" s="26" cm="1">
        <f t="array" ref="E5">IF('presupuesto - Ingreso líquido'!$B$24&gt;$A5,IF('presupuesto - Ingreso líquido'!$B$24&gt;$B5,$B5-$A5,'presupuesto - Ingreso líquido'!$B$24-$A5),0)</f>
        <v>1078560.99</v>
      </c>
      <c r="F5" s="26" cm="1">
        <f t="array" ref="F5">IF('presupuesto - Ingreso líquido'!$B$24-B$11&gt;$A5,IF('presupuesto - Ingreso líquido'!$B$24-B$11&gt;$B5,$B5-$A5,'presupuesto - Ingreso líquido'!$B$24-B$11-$A5),0)</f>
        <v>685900.99</v>
      </c>
      <c r="G5" s="32"/>
      <c r="H5" s="26" cm="1">
        <f t="array" ref="H5">E5*C5</f>
        <v>86284.8792</v>
      </c>
      <c r="I5" s="26" cm="1">
        <f t="array" ref="I5">F5*C5</f>
        <v>54872.0792</v>
      </c>
      <c r="J5" s="32"/>
      <c r="K5" s="26" cm="1">
        <f t="array" ref="K5">H5-I5</f>
        <v>31412.8</v>
      </c>
    </row>
    <row r="6" ht="20.35" customHeight="1">
      <c r="A6" s="123" cm="1">
        <f t="array" ref="A6">50*'variables - Table 1'!$B$3</f>
        <v>3609400</v>
      </c>
      <c r="B6" s="123" cm="1">
        <f t="array" ref="B6">70*'variables - Table 1'!$B$3</f>
        <v>5053160</v>
      </c>
      <c r="C6" s="125">
        <v>0.135</v>
      </c>
      <c r="D6" s="32"/>
      <c r="E6" s="26" cm="1">
        <f t="array" ref="E6">IF('presupuesto - Ingreso líquido'!$B$24&gt;$A6,IF('presupuesto - Ingreso líquido'!$B$24&gt;$B6,$B6-$A6,'presupuesto - Ingreso líquido'!$B$24-$A6),0)</f>
        <v>0</v>
      </c>
      <c r="F6" s="26" cm="1">
        <f t="array" ref="F6">IF('presupuesto - Ingreso líquido'!$B$24-B$11&gt;$A6,IF('presupuesto - Ingreso líquido'!$B$24-B$11&gt;$B6,$B6-$A6,'presupuesto - Ingreso líquido'!$B$24-B$11-$A6),0)</f>
        <v>0</v>
      </c>
      <c r="G6" s="32"/>
      <c r="H6" s="26" cm="1">
        <f t="array" ref="H6">E6*C6</f>
        <v>0</v>
      </c>
      <c r="I6" s="26" cm="1">
        <f t="array" ref="I6">F6*C6</f>
        <v>0</v>
      </c>
      <c r="J6" s="32"/>
      <c r="K6" s="26" cm="1">
        <f t="array" ref="K6">H6-I6</f>
        <v>0</v>
      </c>
    </row>
    <row r="7" ht="20.35" customHeight="1">
      <c r="A7" s="126">
        <v>4710580.01</v>
      </c>
      <c r="B7" s="126">
        <v>6056460</v>
      </c>
      <c r="C7" s="124">
        <v>0.23</v>
      </c>
      <c r="D7" s="32"/>
      <c r="E7" s="124"/>
      <c r="F7" s="124"/>
      <c r="G7" s="32"/>
      <c r="H7" s="26"/>
      <c r="I7" s="26"/>
      <c r="J7" s="32"/>
      <c r="K7" s="26"/>
    </row>
    <row r="8" ht="20.35" customHeight="1">
      <c r="A8" s="32"/>
      <c r="B8" s="32"/>
      <c r="C8" s="124"/>
      <c r="D8" s="32"/>
      <c r="E8" s="124"/>
      <c r="F8" s="124"/>
      <c r="G8" s="32"/>
      <c r="H8" s="26"/>
      <c r="I8" s="26"/>
      <c r="J8" s="32"/>
      <c r="K8" s="26"/>
    </row>
    <row r="9" ht="20.35" customHeight="1">
      <c r="A9" s="32"/>
      <c r="B9" s="32"/>
      <c r="C9" s="124"/>
      <c r="D9" s="32"/>
      <c r="E9" s="26"/>
      <c r="F9" s="124"/>
      <c r="G9" s="32"/>
      <c r="H9" s="26"/>
      <c r="I9" s="26"/>
      <c r="J9" s="32"/>
      <c r="K9" s="26"/>
    </row>
    <row r="10" ht="20.55" customHeight="1">
      <c r="A10" s="73"/>
      <c r="B10" s="73"/>
      <c r="C10" s="127"/>
      <c r="D10" s="73"/>
      <c r="E10" s="127"/>
      <c r="F10" s="127"/>
      <c r="G10" s="73"/>
      <c r="H10" s="44"/>
      <c r="I10" s="44"/>
      <c r="J10" s="73"/>
      <c r="K10" s="44"/>
    </row>
    <row r="11" ht="20.55" customHeight="1">
      <c r="A11" t="s" s="86">
        <v>136</v>
      </c>
      <c r="B11" s="79">
        <v>392660</v>
      </c>
      <c r="C11" s="79" cm="1">
        <f t="array" ref="C11">B$11*12</f>
        <v>4711920</v>
      </c>
      <c r="D11" s="46"/>
      <c r="E11" s="46"/>
      <c r="F11" s="46"/>
      <c r="G11" s="46"/>
      <c r="H11" s="79" cm="1">
        <f t="array" ref="H11">SUM(H3:H10)</f>
        <v>133928.9588</v>
      </c>
      <c r="I11" s="79" cm="1">
        <f t="array" ref="I11">SUM(I3:I10)</f>
        <v>102516.1588</v>
      </c>
      <c r="J11" s="46"/>
      <c r="K11" s="79" cm="1">
        <f t="array" ref="K11">SUM(K3:K10)</f>
        <v>31412.8</v>
      </c>
    </row>
    <row r="12" ht="20.35" customHeight="1">
      <c r="A12" s="51"/>
      <c r="B12" s="51"/>
      <c r="C12" s="51"/>
      <c r="D12" s="51"/>
      <c r="E12" s="51"/>
      <c r="F12" s="51"/>
      <c r="G12" s="51"/>
      <c r="H12" s="51"/>
      <c r="I12" t="s" s="56">
        <v>84</v>
      </c>
      <c r="J12" s="51"/>
      <c r="K12" s="88" cm="1">
        <f t="array" ref="K12">K$11*12</f>
        <v>376953.6</v>
      </c>
    </row>
    <row r="13" ht="20.35" customHeight="1">
      <c r="A13" s="93"/>
      <c r="B13" s="88"/>
      <c r="C13" s="88"/>
      <c r="D13" s="51"/>
      <c r="E13" s="51"/>
      <c r="F13" s="51"/>
      <c r="G13" s="51"/>
      <c r="H13" s="51"/>
      <c r="I13" s="93"/>
      <c r="J13" s="51"/>
      <c r="K13" s="51"/>
    </row>
    <row r="14" ht="20.35" customHeight="1">
      <c r="A14" t="s" s="56">
        <v>137</v>
      </c>
      <c r="B14" s="88" cm="1">
        <f t="array" ref="B14">'net worth - Aporte APV'!B10</f>
        <v>240627</v>
      </c>
      <c r="C14" s="88" cm="1">
        <f t="array" ref="C14">'net worth - Aporte APV'!B10*15%</f>
        <v>36094.05</v>
      </c>
      <c r="D14" s="51"/>
      <c r="E14" s="51"/>
      <c r="F14" s="51"/>
      <c r="G14" s="51"/>
      <c r="H14" s="51"/>
      <c r="I14" s="93"/>
      <c r="J14" s="51"/>
      <c r="K14" s="51"/>
    </row>
  </sheetData>
  <mergeCells count="4">
    <mergeCell ref="A1:K1"/>
    <mergeCell ref="I12:J12"/>
    <mergeCell ref="I13:J13"/>
    <mergeCell ref="I14:J14"/>
  </mergeCells>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2:K14"/>
  <sheetViews>
    <sheetView workbookViewId="0" showGridLines="0" defaultGridColor="1">
      <pane topLeftCell="A3" xSplit="0" ySplit="2" activePane="bottomLeft" state="frozen"/>
    </sheetView>
  </sheetViews>
  <sheetFormatPr defaultColWidth="16.3333" defaultRowHeight="18" customHeight="1" outlineLevelRow="0" outlineLevelCol="0"/>
  <cols>
    <col min="1" max="1" width="17.1719" style="128" customWidth="1"/>
    <col min="2" max="3" width="16.3516" style="128" customWidth="1"/>
    <col min="4" max="4" width="3.10156" style="128" customWidth="1"/>
    <col min="5" max="6" width="16.3516" style="128" customWidth="1"/>
    <col min="7" max="7" width="3.10156" style="128" customWidth="1"/>
    <col min="8" max="9" width="16.3516" style="128" customWidth="1"/>
    <col min="10" max="10" width="3.10156" style="128" customWidth="1"/>
    <col min="11" max="11" width="16.3516" style="128" customWidth="1"/>
    <col min="12" max="16384" width="16.3516" style="128" customWidth="1"/>
  </cols>
  <sheetData>
    <row r="1" ht="28" customHeight="1">
      <c r="A1" t="s" s="90">
        <v>138</v>
      </c>
      <c r="B1" s="90"/>
      <c r="C1" s="90"/>
      <c r="D1" s="90"/>
      <c r="E1" s="90"/>
      <c r="F1" s="90"/>
      <c r="G1" s="90"/>
      <c r="H1" s="90"/>
      <c r="I1" s="90"/>
      <c r="J1" s="90"/>
      <c r="K1" s="90"/>
    </row>
    <row r="2" ht="20.55" customHeight="1">
      <c r="A2" t="s" s="8">
        <v>140</v>
      </c>
      <c r="B2" s="7"/>
      <c r="C2" t="s" s="8">
        <v>141</v>
      </c>
      <c r="D2" s="7"/>
      <c r="E2" t="s" s="8">
        <v>142</v>
      </c>
      <c r="F2" t="s" s="8">
        <v>143</v>
      </c>
      <c r="G2" s="7"/>
      <c r="H2" t="s" s="8">
        <v>133</v>
      </c>
      <c r="I2" t="s" s="8">
        <v>143</v>
      </c>
      <c r="J2" s="7"/>
      <c r="K2" t="s" s="8">
        <v>135</v>
      </c>
    </row>
    <row r="3" ht="20.55" customHeight="1">
      <c r="A3" s="64">
        <v>0.01</v>
      </c>
      <c r="B3" s="121">
        <v>8038926</v>
      </c>
      <c r="C3" s="122">
        <v>0</v>
      </c>
      <c r="D3" s="82"/>
      <c r="E3" s="48" cm="1">
        <f t="array" ref="E3">IF('presupuesto - Ingreso líquido'!$B$37&gt;$A3,IF('presupuesto - Ingreso líquido'!$B$37&gt;$B3,$B3-$A3,'presupuesto - Ingreso líquido'!$B$37-$A3),0)</f>
        <v>8038925.99</v>
      </c>
      <c r="F3" s="48" cm="1">
        <f t="array" ref="F3">IF('presupuesto - Ingreso líquido'!$B$37-C$11&gt;$A3,IF('presupuesto - Ingreso líquido'!$B$37-C$11&gt;$B3,$B3-$A3,'presupuesto - Ingreso líquido'!$B$37-C$11-$A3),0)</f>
        <v>8038925.99</v>
      </c>
      <c r="G3" s="82"/>
      <c r="H3" s="48" cm="1">
        <f t="array" ref="H3">E3*$C3</f>
        <v>0</v>
      </c>
      <c r="I3" s="48" cm="1">
        <f t="array" ref="I3">F3*$C3</f>
        <v>0</v>
      </c>
      <c r="J3" s="82"/>
      <c r="K3" s="48" cm="1">
        <f t="array" ref="K3">H3-I3</f>
        <v>0</v>
      </c>
    </row>
    <row r="4" ht="20.35" customHeight="1">
      <c r="A4" s="123">
        <v>8038926.01</v>
      </c>
      <c r="B4" s="123">
        <v>17864280</v>
      </c>
      <c r="C4" s="124">
        <v>0.04</v>
      </c>
      <c r="D4" s="32"/>
      <c r="E4" s="26" cm="1">
        <f t="array" ref="E4">IF('presupuesto - Ingreso líquido'!$B$37&gt;$A4,IF('presupuesto - Ingreso líquido'!$B$37&gt;$B4,$B4-$A4,'presupuesto - Ingreso líquido'!$B$37-$A4),0)</f>
        <v>9825353.99</v>
      </c>
      <c r="F4" s="26" cm="1">
        <f t="array" ref="F4">IF('presupuesto - Ingreso líquido'!$B$37-C$11&gt;$A4,IF('presupuesto - Ingreso líquido'!$B$37-C$11&gt;$B4,$B4-$A4,'presupuesto - Ingreso líquido'!$B$37-C$11-$A4),0)</f>
        <v>9825353.99</v>
      </c>
      <c r="G4" s="32"/>
      <c r="H4" s="26" cm="1">
        <f t="array" ref="H4">E4*$C4</f>
        <v>393014.1596</v>
      </c>
      <c r="I4" s="26" cm="1">
        <f t="array" ref="I4">F4*$C4</f>
        <v>393014.1596</v>
      </c>
      <c r="J4" s="32"/>
      <c r="K4" s="26" cm="1">
        <f t="array" ref="K4">H4-I4</f>
        <v>0</v>
      </c>
    </row>
    <row r="5" ht="20.35" customHeight="1">
      <c r="A5" s="123" cm="1">
        <f t="array" ref="A5">17864280.01</f>
        <v>17864280.01</v>
      </c>
      <c r="B5" s="123">
        <v>29773800</v>
      </c>
      <c r="C5" s="124">
        <v>0.08</v>
      </c>
      <c r="D5" s="32"/>
      <c r="E5" s="26" cm="1">
        <f t="array" ref="E5">IF('presupuesto - Ingreso líquido'!$B$37&gt;$A5,IF('presupuesto - Ingreso líquido'!$B$37&gt;$B5,$B5-$A5,'presupuesto - Ingreso líquido'!$B$37-$A5),0)</f>
        <v>11909519.99</v>
      </c>
      <c r="F5" s="26" cm="1">
        <f t="array" ref="F5">IF('presupuesto - Ingreso líquido'!$B$37-C$11&gt;$A5,IF('presupuesto - Ingreso líquido'!$B$37-C$11&gt;$B5,$B5-$A5,'presupuesto - Ingreso líquido'!$B$37-C$11-$A5),0)</f>
        <v>11909519.99</v>
      </c>
      <c r="G5" s="32"/>
      <c r="H5" s="26" cm="1">
        <f t="array" ref="H5">E5*C5</f>
        <v>952761.5992000001</v>
      </c>
      <c r="I5" s="26" cm="1">
        <f t="array" ref="I5">F5*C5</f>
        <v>952761.5992000001</v>
      </c>
      <c r="J5" s="32"/>
      <c r="K5" s="26" cm="1">
        <f t="array" ref="K5">H5-I5</f>
        <v>0</v>
      </c>
    </row>
    <row r="6" ht="20.35" customHeight="1">
      <c r="A6" s="123">
        <v>29773800.01</v>
      </c>
      <c r="B6" s="123">
        <v>41683320</v>
      </c>
      <c r="C6" s="125">
        <v>0.135</v>
      </c>
      <c r="D6" s="32"/>
      <c r="E6" s="26" cm="1">
        <f t="array" ref="E6">IF('presupuesto - Ingreso líquido'!$B$37&gt;$A6,IF('presupuesto - Ingreso líquido'!$B$37&gt;$B6,$B6-$A6,'presupuesto - Ingreso líquido'!$B$37-$A6),0)</f>
        <v>9156611.99</v>
      </c>
      <c r="F6" s="26" cm="1">
        <f t="array" ref="F6">IF('presupuesto - Ingreso líquido'!$B$37-C$11&gt;$A6,IF('presupuesto - Ingreso líquido'!$B$37-C$11&gt;$B6,$B6-$A6,'presupuesto - Ingreso líquido'!$B$37-C$11-$A6),0)</f>
        <v>4444778.99</v>
      </c>
      <c r="G6" s="32"/>
      <c r="H6" s="26" cm="1">
        <f t="array" ref="H6">E6*C6</f>
        <v>1236142.61865</v>
      </c>
      <c r="I6" s="26" cm="1">
        <f t="array" ref="I6">F6*C6</f>
        <v>600045.16365</v>
      </c>
      <c r="J6" s="32"/>
      <c r="K6" s="26" cm="1">
        <f t="array" ref="K6">H6-I6</f>
        <v>636097.455</v>
      </c>
    </row>
    <row r="7" ht="20.35" customHeight="1">
      <c r="A7" s="129">
        <v>41683320.01</v>
      </c>
      <c r="B7" s="123">
        <v>53592840</v>
      </c>
      <c r="C7" s="124">
        <v>0.23</v>
      </c>
      <c r="D7" s="32"/>
      <c r="E7" s="26" cm="1">
        <f t="array" ref="E7">IF('presupuesto - Ingreso líquido'!$B$37&gt;$A7,IF('presupuesto - Ingreso líquido'!$B$37&gt;$B7,$B7-$A7,'presupuesto - Ingreso líquido'!$B$37-$A7),0)</f>
        <v>0</v>
      </c>
      <c r="F7" s="26" cm="1">
        <f t="array" ref="F7">IF('presupuesto - Ingreso líquido'!$B$37-C$11&gt;$A7,IF('presupuesto - Ingreso líquido'!$B$37-C$11&gt;$B7,$B7-$A7,'presupuesto - Ingreso líquido'!$B$37-C$11-$A7),0)</f>
        <v>0</v>
      </c>
      <c r="G7" s="32"/>
      <c r="H7" s="26"/>
      <c r="I7" s="26"/>
      <c r="J7" s="32"/>
      <c r="K7" s="26"/>
    </row>
    <row r="8" ht="20.35" customHeight="1">
      <c r="A8" s="32"/>
      <c r="B8" s="32"/>
      <c r="C8" s="124"/>
      <c r="D8" s="32"/>
      <c r="E8" s="124"/>
      <c r="F8" s="124"/>
      <c r="G8" s="32"/>
      <c r="H8" s="26"/>
      <c r="I8" s="26"/>
      <c r="J8" s="32"/>
      <c r="K8" s="26"/>
    </row>
    <row r="9" ht="20.35" customHeight="1">
      <c r="A9" s="32"/>
      <c r="B9" s="32"/>
      <c r="C9" s="124"/>
      <c r="D9" s="32"/>
      <c r="E9" s="124"/>
      <c r="F9" s="124"/>
      <c r="G9" s="32"/>
      <c r="H9" s="26"/>
      <c r="I9" s="26"/>
      <c r="J9" s="32"/>
      <c r="K9" s="26"/>
    </row>
    <row r="10" ht="20.55" customHeight="1">
      <c r="A10" s="73"/>
      <c r="B10" s="73"/>
      <c r="C10" s="127"/>
      <c r="D10" s="73"/>
      <c r="E10" s="127"/>
      <c r="F10" s="127"/>
      <c r="G10" s="73"/>
      <c r="H10" s="44"/>
      <c r="I10" s="44"/>
      <c r="J10" s="73"/>
      <c r="K10" s="44"/>
    </row>
    <row r="11" ht="20.55" customHeight="1">
      <c r="A11" t="s" s="86">
        <v>136</v>
      </c>
      <c r="B11" s="79" cm="1">
        <f t="array" ref="B11">ROUND(C$11/12,0)</f>
        <v>392653</v>
      </c>
      <c r="C11" s="79" cm="1">
        <f t="array" ref="C11">SUM('depto - dividendos'!BG17:BG27,'depto - dividendos'!BG15)</f>
        <v>4711833</v>
      </c>
      <c r="D11" s="46"/>
      <c r="E11" s="46"/>
      <c r="F11" s="46"/>
      <c r="G11" s="46"/>
      <c r="H11" s="79" cm="1">
        <f t="array" ref="H11">SUM(H3:H10)</f>
        <v>2581918.37745</v>
      </c>
      <c r="I11" s="79" cm="1">
        <f t="array" ref="I11">SUM(I3:I10)</f>
        <v>1945820.92245</v>
      </c>
      <c r="J11" s="46"/>
      <c r="K11" s="79" cm="1">
        <f t="array" ref="K11">SUM(K3:K10)</f>
        <v>636097.455</v>
      </c>
    </row>
    <row r="12" ht="20.35" customHeight="1">
      <c r="A12" t="s" s="50">
        <v>144</v>
      </c>
      <c r="B12" s="51"/>
      <c r="C12" s="51"/>
      <c r="D12" s="51"/>
      <c r="E12" s="51"/>
      <c r="F12" s="51"/>
      <c r="G12" s="51"/>
      <c r="H12" s="51"/>
      <c r="I12" s="93"/>
      <c r="J12" s="51"/>
      <c r="K12" s="51"/>
    </row>
    <row r="13" ht="20.35" customHeight="1">
      <c r="A13" s="93"/>
      <c r="B13" s="88"/>
      <c r="C13" s="88"/>
      <c r="D13" s="51"/>
      <c r="E13" s="51"/>
      <c r="F13" s="51"/>
      <c r="G13" s="51"/>
      <c r="H13" s="51"/>
      <c r="I13" s="93"/>
      <c r="J13" s="51"/>
      <c r="K13" s="51"/>
    </row>
    <row r="14" ht="20.35" customHeight="1">
      <c r="A14" t="s" s="56">
        <v>137</v>
      </c>
      <c r="B14" s="88" cm="1">
        <f t="array" ref="B14">'net worth - Aporte APV'!B10</f>
        <v>240627</v>
      </c>
      <c r="C14" s="88" cm="1">
        <f t="array" ref="C14">'net worth - Aporte APV'!B10*15%</f>
        <v>36094.05</v>
      </c>
      <c r="D14" s="51"/>
      <c r="E14" s="51"/>
      <c r="F14" s="51"/>
      <c r="G14" s="51"/>
      <c r="H14" s="51"/>
      <c r="I14" s="93"/>
      <c r="J14" s="51"/>
      <c r="K14" s="51"/>
    </row>
  </sheetData>
  <mergeCells count="1">
    <mergeCell ref="A1:K1"/>
  </mergeCells>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2:AO37"/>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4" width="16.3516" style="130" customWidth="1"/>
    <col min="5" max="6" width="2.86719" style="130" customWidth="1"/>
    <col min="7" max="8" width="16.3516" style="130" customWidth="1"/>
    <col min="9" max="10" width="2.86719" style="130" customWidth="1"/>
    <col min="11" max="12" width="16.3516" style="130" customWidth="1"/>
    <col min="13" max="14" width="2.86719" style="130" customWidth="1"/>
    <col min="15" max="16" width="16.3516" style="130" customWidth="1"/>
    <col min="17" max="18" width="2.86719" style="130" customWidth="1"/>
    <col min="19" max="20" width="16.3516" style="130" customWidth="1"/>
    <col min="21" max="22" width="2.86719" style="130" customWidth="1"/>
    <col min="23" max="24" width="16.3516" style="130" customWidth="1"/>
    <col min="25" max="25" width="2.86719" style="130" customWidth="1"/>
    <col min="26" max="27" width="16.3516" style="130" customWidth="1"/>
    <col min="28" max="29" width="2.82031" style="130" customWidth="1"/>
    <col min="30" max="31" width="16.3516" style="130" customWidth="1"/>
    <col min="32" max="33" width="2.86719" style="130" customWidth="1"/>
    <col min="34" max="35" width="16.3516" style="130" customWidth="1"/>
    <col min="36" max="37" width="2.86719" style="130" customWidth="1"/>
    <col min="38" max="40" width="16.3516" style="130" customWidth="1"/>
    <col min="41" max="41" width="2.86719" style="130" customWidth="1"/>
    <col min="42" max="16384" width="16.3516" style="130" customWidth="1"/>
  </cols>
  <sheetData>
    <row r="1" ht="28" customHeight="1">
      <c r="A1" t="s" s="90">
        <v>146</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row>
    <row r="2" ht="32.55" customHeight="1">
      <c r="A2" t="s" s="8">
        <v>148</v>
      </c>
      <c r="B2" t="s" s="8">
        <v>149</v>
      </c>
      <c r="C2" t="s" s="8">
        <v>16</v>
      </c>
      <c r="D2" s="9"/>
      <c r="E2" s="7"/>
      <c r="F2" s="7"/>
      <c r="G2" t="s" s="8">
        <v>40</v>
      </c>
      <c r="H2" s="9"/>
      <c r="I2" s="7"/>
      <c r="J2" s="7"/>
      <c r="K2" t="s" s="8">
        <v>150</v>
      </c>
      <c r="L2" s="9"/>
      <c r="M2" s="7"/>
      <c r="N2" s="7"/>
      <c r="O2" t="s" s="8">
        <v>151</v>
      </c>
      <c r="P2" s="9"/>
      <c r="Q2" s="7"/>
      <c r="R2" s="7"/>
      <c r="S2" t="s" s="8">
        <v>152</v>
      </c>
      <c r="T2" s="7"/>
      <c r="U2" s="7"/>
      <c r="V2" s="7"/>
      <c r="W2" t="s" s="8">
        <v>42</v>
      </c>
      <c r="X2" s="9"/>
      <c r="Y2" s="7"/>
      <c r="Z2" t="s" s="8">
        <v>13</v>
      </c>
      <c r="AA2" s="7"/>
      <c r="AB2" s="7"/>
      <c r="AC2" s="7"/>
      <c r="AD2" t="s" s="8">
        <v>26</v>
      </c>
      <c r="AE2" s="7"/>
      <c r="AF2" s="7"/>
      <c r="AG2" s="7"/>
      <c r="AH2" t="s" s="8">
        <v>153</v>
      </c>
      <c r="AI2" s="7"/>
      <c r="AJ2" s="7"/>
      <c r="AK2" s="7"/>
      <c r="AL2" t="s" s="8">
        <v>154</v>
      </c>
      <c r="AM2" s="62"/>
      <c r="AN2" t="s" s="8">
        <v>155</v>
      </c>
      <c r="AO2" s="7"/>
    </row>
    <row r="3" ht="20.55" customHeight="1">
      <c r="A3" s="131">
        <v>44409</v>
      </c>
      <c r="B3" s="132" cm="1">
        <f t="array" ref="B3">SUM(C3:AI3)</f>
        <v>800000</v>
      </c>
      <c r="C3" s="82"/>
      <c r="D3" s="82"/>
      <c r="E3" t="b" s="64">
        <v>0</v>
      </c>
      <c r="F3" s="82"/>
      <c r="G3" s="82"/>
      <c r="H3" s="48"/>
      <c r="I3" t="b" s="64">
        <v>0</v>
      </c>
      <c r="J3" s="82"/>
      <c r="K3" s="82"/>
      <c r="L3" s="48"/>
      <c r="M3" t="b" s="64">
        <v>0</v>
      </c>
      <c r="N3" s="82"/>
      <c r="O3" s="82"/>
      <c r="P3" s="48"/>
      <c r="Q3" t="b" s="64">
        <v>0</v>
      </c>
      <c r="R3" s="82"/>
      <c r="S3" s="82"/>
      <c r="T3" s="48"/>
      <c r="U3" t="b" s="64">
        <v>0</v>
      </c>
      <c r="V3" s="82"/>
      <c r="W3" s="82"/>
      <c r="X3" s="48"/>
      <c r="Y3" s="82"/>
      <c r="Z3" t="s" s="15">
        <v>156</v>
      </c>
      <c r="AA3" s="48" cm="1">
        <f t="array" ref="AA3">'depto - dividendos'!J22</f>
        <v>800000</v>
      </c>
      <c r="AB3" t="b" s="64">
        <v>0</v>
      </c>
      <c r="AC3" s="82"/>
      <c r="AD3" s="82"/>
      <c r="AE3" s="48"/>
      <c r="AF3" t="b" s="64">
        <v>0</v>
      </c>
      <c r="AG3" s="82"/>
      <c r="AH3" t="s" s="15">
        <v>157</v>
      </c>
      <c r="AI3" s="48" cm="1">
        <f t="array" ref="AI3">ROUND(AM3*'variables - Table 1'!$B$5,0)</f>
        <v>0</v>
      </c>
      <c r="AJ3" t="b" s="64">
        <v>0</v>
      </c>
      <c r="AK3" s="82"/>
      <c r="AL3" t="s" s="15">
        <v>157</v>
      </c>
      <c r="AM3" s="133">
        <v>0</v>
      </c>
      <c r="AN3" s="48" cm="1">
        <f t="array" ref="AN3">ROUND(AM3*'variables - Table 1'!$B$5,0)</f>
        <v>0</v>
      </c>
      <c r="AO3" t="b" s="64">
        <v>0</v>
      </c>
    </row>
    <row r="4" ht="20.35" customHeight="1">
      <c r="A4" s="134">
        <v>44410</v>
      </c>
      <c r="B4" s="135" cm="1">
        <f t="array" ref="B4">SUM(C4:AI4)</f>
        <v>80000</v>
      </c>
      <c r="C4" s="32"/>
      <c r="D4" s="32"/>
      <c r="E4" t="b" s="68">
        <v>0</v>
      </c>
      <c r="F4" s="32"/>
      <c r="G4" s="32"/>
      <c r="H4" s="26"/>
      <c r="I4" t="b" s="68">
        <v>0</v>
      </c>
      <c r="J4" s="32"/>
      <c r="K4" s="32"/>
      <c r="L4" s="26"/>
      <c r="M4" t="b" s="68">
        <v>0</v>
      </c>
      <c r="N4" s="32"/>
      <c r="O4" s="32"/>
      <c r="P4" s="26"/>
      <c r="Q4" t="b" s="68">
        <v>0</v>
      </c>
      <c r="R4" s="32"/>
      <c r="S4" s="32"/>
      <c r="T4" s="26"/>
      <c r="U4" t="b" s="68">
        <v>0</v>
      </c>
      <c r="V4" s="32"/>
      <c r="W4" s="32"/>
      <c r="X4" s="26"/>
      <c r="Y4" s="32"/>
      <c r="Z4" t="s" s="23">
        <v>158</v>
      </c>
      <c r="AA4" s="26">
        <v>80000</v>
      </c>
      <c r="AB4" t="b" s="68">
        <v>0</v>
      </c>
      <c r="AC4" s="32"/>
      <c r="AD4" s="32"/>
      <c r="AE4" s="26"/>
      <c r="AF4" t="b" s="68">
        <v>0</v>
      </c>
      <c r="AG4" s="32"/>
      <c r="AH4" t="s" s="23">
        <v>159</v>
      </c>
      <c r="AI4" s="136" cm="1">
        <f t="array" ref="AI4">AN4</f>
        <v>0</v>
      </c>
      <c r="AJ4" t="b" s="68">
        <v>0</v>
      </c>
      <c r="AK4" s="32"/>
      <c r="AL4" t="s" s="23">
        <v>159</v>
      </c>
      <c r="AM4" s="137"/>
      <c r="AN4" s="26" cm="1">
        <f t="array" ref="AN4">ROUND(AM4*'variables - Table 1'!$B$5,0)</f>
        <v>0</v>
      </c>
      <c r="AO4" t="b" s="68">
        <v>0</v>
      </c>
    </row>
    <row r="5" ht="20.35" customHeight="1">
      <c r="A5" s="134">
        <v>44411</v>
      </c>
      <c r="B5" s="135" cm="1">
        <f t="array" ref="B5">SUM(C5:AI5)</f>
        <v>21000</v>
      </c>
      <c r="C5" s="32"/>
      <c r="D5" s="32"/>
      <c r="E5" t="b" s="68">
        <v>0</v>
      </c>
      <c r="F5" s="32"/>
      <c r="G5" s="32"/>
      <c r="H5" s="32"/>
      <c r="I5" t="b" s="68">
        <v>0</v>
      </c>
      <c r="J5" s="32"/>
      <c r="K5" s="32"/>
      <c r="L5" s="26"/>
      <c r="M5" t="b" s="68">
        <v>0</v>
      </c>
      <c r="N5" s="32"/>
      <c r="O5" s="32"/>
      <c r="P5" s="26"/>
      <c r="Q5" t="b" s="68">
        <v>0</v>
      </c>
      <c r="R5" s="32"/>
      <c r="S5" s="32"/>
      <c r="T5" s="26"/>
      <c r="U5" t="b" s="68">
        <v>0</v>
      </c>
      <c r="V5" s="32"/>
      <c r="W5" s="32"/>
      <c r="X5" s="26"/>
      <c r="Y5" s="32"/>
      <c r="Z5" t="s" s="23">
        <v>160</v>
      </c>
      <c r="AA5" s="26">
        <v>21000</v>
      </c>
      <c r="AB5" t="b" s="68">
        <v>0</v>
      </c>
      <c r="AC5" s="32"/>
      <c r="AD5" s="32"/>
      <c r="AE5" s="26"/>
      <c r="AF5" t="b" s="68">
        <v>0</v>
      </c>
      <c r="AG5" s="32"/>
      <c r="AH5" t="s" s="23">
        <v>161</v>
      </c>
      <c r="AI5" s="26"/>
      <c r="AJ5" t="b" s="68">
        <v>0</v>
      </c>
      <c r="AK5" s="32"/>
      <c r="AL5" s="32"/>
      <c r="AM5" s="137"/>
      <c r="AN5" s="26" cm="1">
        <f t="array" ref="AN5">ROUND(AM5*'variables - Table 1'!$B$5,0)</f>
        <v>0</v>
      </c>
      <c r="AO5" t="b" s="68">
        <v>0</v>
      </c>
    </row>
    <row r="6" ht="20.35" customHeight="1">
      <c r="A6" s="134">
        <v>44412</v>
      </c>
      <c r="B6" s="135" cm="1">
        <f t="array" ref="B6">SUM(C6:AI6)</f>
        <v>7465</v>
      </c>
      <c r="C6" s="32"/>
      <c r="D6" s="32"/>
      <c r="E6" t="b" s="68">
        <v>0</v>
      </c>
      <c r="F6" s="32"/>
      <c r="G6" s="32"/>
      <c r="H6" s="32"/>
      <c r="I6" t="b" s="68">
        <v>0</v>
      </c>
      <c r="J6" s="32"/>
      <c r="K6" s="32"/>
      <c r="L6" s="26"/>
      <c r="M6" t="b" s="68">
        <v>0</v>
      </c>
      <c r="N6" s="32"/>
      <c r="O6" s="32"/>
      <c r="P6" s="26"/>
      <c r="Q6" t="b" s="68">
        <v>0</v>
      </c>
      <c r="R6" s="32"/>
      <c r="S6" s="32"/>
      <c r="T6" s="26"/>
      <c r="U6" t="b" s="68">
        <v>0</v>
      </c>
      <c r="V6" s="32"/>
      <c r="W6" s="32"/>
      <c r="X6" s="26"/>
      <c r="Y6" s="32"/>
      <c r="Z6" t="s" s="23">
        <v>162</v>
      </c>
      <c r="AA6" s="26" cm="1">
        <f t="array" ref="AA6">'flujos - Table 3-1-1'!D17</f>
        <v>7465</v>
      </c>
      <c r="AB6" t="b" s="68">
        <v>0</v>
      </c>
      <c r="AC6" s="32"/>
      <c r="AD6" s="32"/>
      <c r="AE6" s="26"/>
      <c r="AF6" t="b" s="68">
        <v>0</v>
      </c>
      <c r="AG6" s="32"/>
      <c r="AH6" t="s" s="23">
        <v>163</v>
      </c>
      <c r="AI6" s="26"/>
      <c r="AJ6" t="b" s="68">
        <v>0</v>
      </c>
      <c r="AK6" s="32"/>
      <c r="AL6" t="s" s="23">
        <v>164</v>
      </c>
      <c r="AM6" s="69" cm="1">
        <f t="array" ref="AM6">0</f>
        <v>0</v>
      </c>
      <c r="AN6" s="26" cm="1">
        <f t="array" ref="AN6">ROUND(AM6*'variables - Table 1'!$B$5,0)</f>
        <v>0</v>
      </c>
      <c r="AO6" t="b" s="68">
        <v>0</v>
      </c>
    </row>
    <row r="7" ht="20.35" customHeight="1">
      <c r="A7" s="134">
        <v>44413</v>
      </c>
      <c r="B7" s="135" cm="1">
        <f t="array" ref="B7">SUM(C7:AI7)</f>
        <v>22352</v>
      </c>
      <c r="C7" s="32"/>
      <c r="D7" s="32"/>
      <c r="E7" t="b" s="68">
        <v>0</v>
      </c>
      <c r="F7" s="32"/>
      <c r="G7" s="32"/>
      <c r="H7" s="26"/>
      <c r="I7" t="b" s="68">
        <v>0</v>
      </c>
      <c r="J7" s="32"/>
      <c r="K7" s="32"/>
      <c r="L7" s="26"/>
      <c r="M7" t="b" s="68">
        <v>0</v>
      </c>
      <c r="N7" s="32"/>
      <c r="O7" s="32"/>
      <c r="P7" s="26"/>
      <c r="Q7" t="b" s="68">
        <v>0</v>
      </c>
      <c r="R7" s="32"/>
      <c r="S7" s="32"/>
      <c r="T7" s="26"/>
      <c r="U7" t="b" s="68">
        <v>0</v>
      </c>
      <c r="V7" s="32"/>
      <c r="W7" s="32"/>
      <c r="X7" s="26"/>
      <c r="Y7" s="32"/>
      <c r="Z7" t="s" s="23">
        <v>165</v>
      </c>
      <c r="AA7" s="26" cm="1">
        <f t="array" ref="AA7">'flujos - Table 3-1-1'!D62</f>
        <v>22352</v>
      </c>
      <c r="AB7" t="b" s="68">
        <v>0</v>
      </c>
      <c r="AC7" s="32"/>
      <c r="AD7" s="32"/>
      <c r="AE7" s="26"/>
      <c r="AF7" t="b" s="68">
        <v>0</v>
      </c>
      <c r="AG7" s="32"/>
      <c r="AH7" t="s" s="23">
        <v>166</v>
      </c>
      <c r="AI7" s="26"/>
      <c r="AJ7" t="b" s="68">
        <v>0</v>
      </c>
      <c r="AK7" s="32"/>
      <c r="AL7" t="s" s="23">
        <v>167</v>
      </c>
      <c r="AM7" s="137" cm="1">
        <f t="array" ref="AM7">(4.34+2.43)*0</f>
        <v>0</v>
      </c>
      <c r="AN7" s="26" cm="1">
        <f t="array" ref="AN7">ROUND(AM7*'variables - Table 1'!$B$5,0)</f>
        <v>0</v>
      </c>
      <c r="AO7" t="b" s="68">
        <v>0</v>
      </c>
    </row>
    <row r="8" ht="20.35" customHeight="1">
      <c r="A8" s="134">
        <v>44414</v>
      </c>
      <c r="B8" s="135" cm="1">
        <f t="array" ref="B8">SUM(C8:AI8)</f>
        <v>0</v>
      </c>
      <c r="C8" s="32"/>
      <c r="D8" s="32"/>
      <c r="E8" t="b" s="68">
        <v>0</v>
      </c>
      <c r="F8" s="32"/>
      <c r="G8" s="32"/>
      <c r="H8" s="26"/>
      <c r="I8" t="b" s="68">
        <v>0</v>
      </c>
      <c r="J8" s="32"/>
      <c r="K8" s="32"/>
      <c r="L8" s="26"/>
      <c r="M8" t="b" s="68">
        <v>0</v>
      </c>
      <c r="N8" s="32"/>
      <c r="O8" s="32"/>
      <c r="P8" s="26"/>
      <c r="Q8" t="b" s="68">
        <v>0</v>
      </c>
      <c r="R8" s="32"/>
      <c r="S8" s="32"/>
      <c r="T8" s="26"/>
      <c r="U8" t="b" s="68">
        <v>0</v>
      </c>
      <c r="V8" s="32"/>
      <c r="W8" s="32"/>
      <c r="X8" s="26"/>
      <c r="Y8" s="32"/>
      <c r="Z8" t="s" s="23">
        <v>167</v>
      </c>
      <c r="AA8" s="26" cm="1">
        <f t="array" ref="AA8">AN7</f>
        <v>0</v>
      </c>
      <c r="AB8" t="b" s="68">
        <v>0</v>
      </c>
      <c r="AC8" s="32"/>
      <c r="AD8" s="26"/>
      <c r="AE8" s="26"/>
      <c r="AF8" t="b" s="68">
        <v>0</v>
      </c>
      <c r="AG8" s="32"/>
      <c r="AH8" t="s" s="23">
        <v>168</v>
      </c>
      <c r="AI8" s="26"/>
      <c r="AJ8" t="b" s="68">
        <v>0</v>
      </c>
      <c r="AK8" s="32"/>
      <c r="AL8" t="s" s="23">
        <v>169</v>
      </c>
      <c r="AM8" s="60"/>
      <c r="AN8" s="26" cm="1">
        <f t="array" ref="AN8">ROUND(AM8*'variables - Table 1'!$B$5,0)</f>
        <v>0</v>
      </c>
      <c r="AO8" t="b" s="68">
        <v>0</v>
      </c>
    </row>
    <row r="9" ht="20.35" customHeight="1">
      <c r="A9" s="134">
        <v>44415</v>
      </c>
      <c r="B9" s="135" cm="1">
        <f t="array" ref="B9">SUM(C9:AI9)</f>
        <v>0</v>
      </c>
      <c r="C9" s="32"/>
      <c r="D9" s="26"/>
      <c r="E9" t="b" s="68">
        <v>0</v>
      </c>
      <c r="F9" s="32"/>
      <c r="G9" s="32"/>
      <c r="H9" s="26"/>
      <c r="I9" t="b" s="68">
        <v>0</v>
      </c>
      <c r="J9" s="32"/>
      <c r="K9" s="32"/>
      <c r="L9" s="26"/>
      <c r="M9" t="b" s="68">
        <v>0</v>
      </c>
      <c r="N9" s="32"/>
      <c r="O9" s="32"/>
      <c r="P9" s="26"/>
      <c r="Q9" t="b" s="68">
        <v>0</v>
      </c>
      <c r="R9" s="32"/>
      <c r="S9" s="32"/>
      <c r="T9" s="26"/>
      <c r="U9" t="b" s="68">
        <v>0</v>
      </c>
      <c r="V9" s="32"/>
      <c r="W9" s="32"/>
      <c r="X9" s="26"/>
      <c r="Y9" s="32"/>
      <c r="Z9" s="32"/>
      <c r="AA9" s="26"/>
      <c r="AB9" t="b" s="68">
        <v>0</v>
      </c>
      <c r="AC9" s="32"/>
      <c r="AD9" s="32"/>
      <c r="AE9" s="26"/>
      <c r="AF9" t="b" s="68">
        <v>0</v>
      </c>
      <c r="AG9" s="32"/>
      <c r="AH9" t="s" s="23">
        <v>170</v>
      </c>
      <c r="AI9" s="26"/>
      <c r="AJ9" t="b" s="68">
        <v>0</v>
      </c>
      <c r="AK9" s="32"/>
      <c r="AL9" s="32"/>
      <c r="AM9" s="69"/>
      <c r="AN9" s="26" cm="1">
        <f t="array" ref="AN9">ROUND(AM9*'variables - Table 1'!$B$5,0)</f>
        <v>0</v>
      </c>
      <c r="AO9" t="b" s="68">
        <v>0</v>
      </c>
    </row>
    <row r="10" ht="20.35" customHeight="1">
      <c r="A10" s="134">
        <v>44416</v>
      </c>
      <c r="B10" s="135" cm="1">
        <f t="array" ref="B10">SUM(C10:AI10)</f>
        <v>0</v>
      </c>
      <c r="C10" s="32"/>
      <c r="D10" s="26"/>
      <c r="E10" t="b" s="68">
        <v>0</v>
      </c>
      <c r="F10" s="32"/>
      <c r="G10" s="32"/>
      <c r="H10" s="26"/>
      <c r="I10" t="b" s="68">
        <v>0</v>
      </c>
      <c r="J10" s="32"/>
      <c r="K10" s="32"/>
      <c r="L10" s="26"/>
      <c r="M10" t="b" s="68">
        <v>0</v>
      </c>
      <c r="N10" s="32"/>
      <c r="O10" s="32"/>
      <c r="P10" s="26"/>
      <c r="Q10" t="b" s="68">
        <v>0</v>
      </c>
      <c r="R10" s="32"/>
      <c r="S10" s="32"/>
      <c r="T10" s="26"/>
      <c r="U10" t="b" s="68">
        <v>0</v>
      </c>
      <c r="V10" s="32"/>
      <c r="W10" s="32"/>
      <c r="X10" s="26"/>
      <c r="Y10" s="32"/>
      <c r="Z10" s="32"/>
      <c r="AA10" s="26"/>
      <c r="AB10" t="b" s="68">
        <v>0</v>
      </c>
      <c r="AC10" s="32"/>
      <c r="AD10" s="32"/>
      <c r="AE10" s="26"/>
      <c r="AF10" t="b" s="68">
        <v>0</v>
      </c>
      <c r="AG10" s="32"/>
      <c r="AH10" s="32"/>
      <c r="AI10" s="32"/>
      <c r="AJ10" t="b" s="68">
        <v>0</v>
      </c>
      <c r="AK10" s="32"/>
      <c r="AL10" s="32"/>
      <c r="AM10" s="60"/>
      <c r="AN10" s="26" cm="1">
        <f t="array" ref="AN10">ROUND(AM10*'variables - Table 1'!$B$5,0)</f>
        <v>0</v>
      </c>
      <c r="AO10" t="b" s="68">
        <v>0</v>
      </c>
    </row>
    <row r="11" ht="20.35" customHeight="1">
      <c r="A11" s="134">
        <v>44417</v>
      </c>
      <c r="B11" s="135" cm="1">
        <f t="array" ref="B11">SUM(C11:AI11)</f>
        <v>0</v>
      </c>
      <c r="C11" s="32"/>
      <c r="D11" s="26"/>
      <c r="E11" t="b" s="68">
        <v>0</v>
      </c>
      <c r="F11" s="32"/>
      <c r="G11" s="32"/>
      <c r="H11" s="26"/>
      <c r="I11" t="b" s="68">
        <v>0</v>
      </c>
      <c r="J11" s="32"/>
      <c r="K11" s="32"/>
      <c r="L11" s="26"/>
      <c r="M11" t="b" s="68">
        <v>0</v>
      </c>
      <c r="N11" s="32"/>
      <c r="O11" s="32"/>
      <c r="P11" s="26"/>
      <c r="Q11" t="b" s="68">
        <v>0</v>
      </c>
      <c r="R11" s="32"/>
      <c r="S11" s="32"/>
      <c r="T11" s="26"/>
      <c r="U11" t="b" s="68">
        <v>0</v>
      </c>
      <c r="V11" s="32"/>
      <c r="W11" s="32"/>
      <c r="X11" s="26"/>
      <c r="Y11" s="32"/>
      <c r="Z11" s="32"/>
      <c r="AA11" s="26"/>
      <c r="AB11" t="b" s="68">
        <v>0</v>
      </c>
      <c r="AC11" s="32"/>
      <c r="AD11" s="32"/>
      <c r="AE11" s="26"/>
      <c r="AF11" t="b" s="68">
        <v>0</v>
      </c>
      <c r="AG11" s="32"/>
      <c r="AH11" s="138"/>
      <c r="AI11" s="26"/>
      <c r="AJ11" t="b" s="68">
        <v>0</v>
      </c>
      <c r="AK11" s="32"/>
      <c r="AL11" s="32"/>
      <c r="AM11" s="60"/>
      <c r="AN11" s="26" cm="1">
        <f t="array" ref="AN11">ROUND(AM11*'variables - Table 1'!$B$5,0)</f>
        <v>0</v>
      </c>
      <c r="AO11" t="b" s="68">
        <v>0</v>
      </c>
    </row>
    <row r="12" ht="20.35" customHeight="1">
      <c r="A12" s="134">
        <v>44418</v>
      </c>
      <c r="B12" s="135" cm="1">
        <f t="array" ref="B12">SUM(C12:AI12)</f>
        <v>0</v>
      </c>
      <c r="C12" s="32"/>
      <c r="D12" s="26"/>
      <c r="E12" t="b" s="68">
        <v>0</v>
      </c>
      <c r="F12" s="32"/>
      <c r="G12" s="32"/>
      <c r="H12" s="32"/>
      <c r="I12" t="b" s="68">
        <v>0</v>
      </c>
      <c r="J12" s="32"/>
      <c r="K12" s="32"/>
      <c r="L12" s="26"/>
      <c r="M12" t="b" s="68">
        <v>0</v>
      </c>
      <c r="N12" s="32"/>
      <c r="O12" s="32"/>
      <c r="P12" s="26"/>
      <c r="Q12" t="b" s="68">
        <v>0</v>
      </c>
      <c r="R12" s="32"/>
      <c r="S12" s="32"/>
      <c r="T12" s="26"/>
      <c r="U12" t="b" s="68">
        <v>0</v>
      </c>
      <c r="V12" s="32"/>
      <c r="W12" s="32"/>
      <c r="X12" s="26"/>
      <c r="Y12" s="32"/>
      <c r="Z12" s="32"/>
      <c r="AA12" s="26"/>
      <c r="AB12" t="b" s="68">
        <v>0</v>
      </c>
      <c r="AC12" s="32"/>
      <c r="AD12" s="138"/>
      <c r="AE12" s="26"/>
      <c r="AF12" t="b" s="68">
        <v>0</v>
      </c>
      <c r="AG12" s="32"/>
      <c r="AH12" s="32"/>
      <c r="AI12" s="26"/>
      <c r="AJ12" t="b" s="68">
        <v>0</v>
      </c>
      <c r="AK12" s="32"/>
      <c r="AL12" s="32"/>
      <c r="AM12" s="69"/>
      <c r="AN12" s="26"/>
      <c r="AO12" t="b" s="68">
        <v>0</v>
      </c>
    </row>
    <row r="13" ht="20.35" customHeight="1">
      <c r="A13" s="134">
        <v>44419</v>
      </c>
      <c r="B13" s="135" cm="1">
        <f t="array" ref="B13">SUM(C13:AI13)</f>
        <v>0</v>
      </c>
      <c r="C13" s="32"/>
      <c r="D13" s="26"/>
      <c r="E13" t="b" s="68">
        <v>0</v>
      </c>
      <c r="F13" s="32"/>
      <c r="G13" s="32"/>
      <c r="H13" s="26"/>
      <c r="I13" t="b" s="68">
        <v>0</v>
      </c>
      <c r="J13" s="32"/>
      <c r="K13" s="32"/>
      <c r="L13" s="26"/>
      <c r="M13" t="b" s="68">
        <v>0</v>
      </c>
      <c r="N13" s="32"/>
      <c r="O13" s="32"/>
      <c r="P13" s="26"/>
      <c r="Q13" t="b" s="68">
        <v>0</v>
      </c>
      <c r="R13" s="32"/>
      <c r="S13" s="32"/>
      <c r="T13" s="26"/>
      <c r="U13" t="b" s="68">
        <v>0</v>
      </c>
      <c r="V13" s="32"/>
      <c r="W13" s="32"/>
      <c r="X13" s="26"/>
      <c r="Y13" s="32"/>
      <c r="Z13" s="32"/>
      <c r="AA13" s="26"/>
      <c r="AB13" t="b" s="68">
        <v>0</v>
      </c>
      <c r="AC13" s="32"/>
      <c r="AD13" s="32"/>
      <c r="AE13" s="26"/>
      <c r="AF13" t="b" s="68">
        <v>0</v>
      </c>
      <c r="AG13" s="32"/>
      <c r="AH13" s="32"/>
      <c r="AI13" s="26"/>
      <c r="AJ13" t="b" s="68">
        <v>0</v>
      </c>
      <c r="AK13" s="32"/>
      <c r="AL13" s="32"/>
      <c r="AM13" s="60"/>
      <c r="AN13" s="26" cm="1">
        <f t="array" ref="AN13">ROUND(AM13*'variables - Table 1'!$B$5,0)</f>
        <v>0</v>
      </c>
      <c r="AO13" t="b" s="68">
        <v>0</v>
      </c>
    </row>
    <row r="14" ht="20.35" customHeight="1">
      <c r="A14" s="134">
        <v>44420</v>
      </c>
      <c r="B14" s="135" cm="1">
        <f t="array" ref="B14">SUM(C14:AI14)</f>
        <v>0</v>
      </c>
      <c r="C14" s="32"/>
      <c r="D14" s="26"/>
      <c r="E14" t="b" s="68">
        <v>0</v>
      </c>
      <c r="F14" s="32"/>
      <c r="G14" s="32"/>
      <c r="H14" s="26"/>
      <c r="I14" t="b" s="68">
        <v>0</v>
      </c>
      <c r="J14" s="32"/>
      <c r="K14" s="32"/>
      <c r="L14" s="26"/>
      <c r="M14" t="b" s="68">
        <v>0</v>
      </c>
      <c r="N14" s="32"/>
      <c r="O14" s="32"/>
      <c r="P14" s="26"/>
      <c r="Q14" t="b" s="68">
        <v>0</v>
      </c>
      <c r="R14" s="32"/>
      <c r="S14" s="32"/>
      <c r="T14" s="26"/>
      <c r="U14" t="b" s="68">
        <v>0</v>
      </c>
      <c r="V14" s="32"/>
      <c r="W14" s="32"/>
      <c r="X14" s="26"/>
      <c r="Y14" s="32"/>
      <c r="Z14" s="32"/>
      <c r="AA14" s="26"/>
      <c r="AB14" t="b" s="68">
        <v>0</v>
      </c>
      <c r="AC14" s="32"/>
      <c r="AD14" s="32"/>
      <c r="AE14" s="26"/>
      <c r="AF14" t="b" s="68">
        <v>0</v>
      </c>
      <c r="AG14" s="32"/>
      <c r="AH14" s="32"/>
      <c r="AI14" s="26"/>
      <c r="AJ14" t="b" s="68">
        <v>0</v>
      </c>
      <c r="AK14" s="32"/>
      <c r="AL14" s="32"/>
      <c r="AM14" s="69"/>
      <c r="AN14" s="26" cm="1">
        <f t="array" ref="AN14">ROUND(AM14*'variables - Table 1'!$B$5,0)</f>
        <v>0</v>
      </c>
      <c r="AO14" t="b" s="68">
        <v>0</v>
      </c>
    </row>
    <row r="15" ht="20.35" customHeight="1">
      <c r="A15" s="134">
        <v>44421</v>
      </c>
      <c r="B15" s="135" cm="1">
        <f t="array" ref="B15">SUM(C15:AI15)</f>
        <v>0</v>
      </c>
      <c r="C15" s="32"/>
      <c r="D15" s="32"/>
      <c r="E15" t="b" s="68">
        <v>0</v>
      </c>
      <c r="F15" s="32"/>
      <c r="G15" s="32"/>
      <c r="H15" s="26"/>
      <c r="I15" t="b" s="68">
        <v>0</v>
      </c>
      <c r="J15" s="32"/>
      <c r="K15" s="32"/>
      <c r="L15" s="26"/>
      <c r="M15" t="b" s="68">
        <v>0</v>
      </c>
      <c r="N15" s="32"/>
      <c r="O15" s="32"/>
      <c r="P15" s="26"/>
      <c r="Q15" t="b" s="68">
        <v>0</v>
      </c>
      <c r="R15" s="32"/>
      <c r="S15" s="32"/>
      <c r="T15" s="26"/>
      <c r="U15" t="b" s="68">
        <v>0</v>
      </c>
      <c r="V15" s="32"/>
      <c r="W15" s="32"/>
      <c r="X15" s="26"/>
      <c r="Y15" s="32"/>
      <c r="Z15" s="32"/>
      <c r="AA15" s="26"/>
      <c r="AB15" t="b" s="68">
        <v>0</v>
      </c>
      <c r="AC15" s="32"/>
      <c r="AD15" s="26"/>
      <c r="AE15" s="26"/>
      <c r="AF15" t="b" s="68">
        <v>0</v>
      </c>
      <c r="AG15" s="32"/>
      <c r="AH15" s="138"/>
      <c r="AI15" s="26"/>
      <c r="AJ15" t="b" s="68">
        <v>0</v>
      </c>
      <c r="AK15" s="32"/>
      <c r="AL15" s="138"/>
      <c r="AM15" s="60"/>
      <c r="AN15" s="26" cm="1">
        <f t="array" ref="AN15">ROUND(AM15*'variables - Table 1'!$B$5,0)</f>
        <v>0</v>
      </c>
      <c r="AO15" t="b" s="68">
        <v>0</v>
      </c>
    </row>
    <row r="16" ht="20.35" customHeight="1">
      <c r="A16" s="134">
        <v>44422</v>
      </c>
      <c r="B16" s="135" cm="1">
        <f t="array" ref="B16">SUM(C16:AI16)</f>
        <v>0</v>
      </c>
      <c r="C16" s="32"/>
      <c r="D16" s="26"/>
      <c r="E16" t="b" s="68">
        <v>0</v>
      </c>
      <c r="F16" s="32"/>
      <c r="G16" s="32"/>
      <c r="H16" s="26"/>
      <c r="I16" t="b" s="68">
        <v>0</v>
      </c>
      <c r="J16" s="26"/>
      <c r="K16" s="32"/>
      <c r="L16" s="32"/>
      <c r="M16" t="b" s="68">
        <v>0</v>
      </c>
      <c r="N16" s="32"/>
      <c r="O16" s="32"/>
      <c r="P16" s="26"/>
      <c r="Q16" t="b" s="68">
        <v>0</v>
      </c>
      <c r="R16" s="32"/>
      <c r="S16" s="32"/>
      <c r="T16" s="26"/>
      <c r="U16" t="b" s="68">
        <v>0</v>
      </c>
      <c r="V16" s="32"/>
      <c r="W16" s="32"/>
      <c r="X16" s="26"/>
      <c r="Y16" s="32"/>
      <c r="Z16" s="32"/>
      <c r="AA16" s="26"/>
      <c r="AB16" t="b" s="68">
        <v>0</v>
      </c>
      <c r="AC16" s="32"/>
      <c r="AD16" s="26"/>
      <c r="AE16" s="26"/>
      <c r="AF16" t="b" s="68">
        <v>0</v>
      </c>
      <c r="AG16" s="32"/>
      <c r="AH16" s="138"/>
      <c r="AI16" s="26"/>
      <c r="AJ16" t="b" s="68">
        <v>0</v>
      </c>
      <c r="AK16" s="32"/>
      <c r="AL16" s="32"/>
      <c r="AM16" s="60"/>
      <c r="AN16" s="26" cm="1">
        <f t="array" ref="AN16">ROUND(AM16*'variables - Table 1'!$B$5,0)</f>
        <v>0</v>
      </c>
      <c r="AO16" t="b" s="68">
        <v>0</v>
      </c>
    </row>
    <row r="17" ht="20.35" customHeight="1">
      <c r="A17" s="134">
        <v>44423</v>
      </c>
      <c r="B17" s="135" cm="1">
        <f t="array" ref="B17">SUM(C17:AI17)</f>
        <v>0</v>
      </c>
      <c r="C17" s="32"/>
      <c r="D17" s="26"/>
      <c r="E17" t="b" s="68">
        <v>0</v>
      </c>
      <c r="F17" s="32"/>
      <c r="G17" s="32"/>
      <c r="H17" s="26"/>
      <c r="I17" t="b" s="68">
        <v>0</v>
      </c>
      <c r="J17" s="32"/>
      <c r="K17" s="32"/>
      <c r="L17" s="26"/>
      <c r="M17" t="b" s="68">
        <v>0</v>
      </c>
      <c r="N17" s="32"/>
      <c r="O17" s="32"/>
      <c r="P17" s="26"/>
      <c r="Q17" t="b" s="68">
        <v>0</v>
      </c>
      <c r="R17" s="32"/>
      <c r="S17" s="32"/>
      <c r="T17" s="26"/>
      <c r="U17" t="b" s="68">
        <v>0</v>
      </c>
      <c r="V17" s="32"/>
      <c r="W17" s="32"/>
      <c r="X17" s="26"/>
      <c r="Y17" s="32"/>
      <c r="Z17" s="32"/>
      <c r="AA17" s="26"/>
      <c r="AB17" t="b" s="68">
        <v>0</v>
      </c>
      <c r="AC17" s="32"/>
      <c r="AD17" s="26"/>
      <c r="AE17" s="26"/>
      <c r="AF17" t="b" s="68">
        <v>0</v>
      </c>
      <c r="AG17" s="32"/>
      <c r="AH17" s="138"/>
      <c r="AI17" s="26"/>
      <c r="AJ17" t="b" s="68">
        <v>0</v>
      </c>
      <c r="AK17" s="32"/>
      <c r="AL17" s="32"/>
      <c r="AM17" s="60"/>
      <c r="AN17" s="26" cm="1">
        <f t="array" ref="AN17">ROUND(AM17*'variables - Table 1'!$B$5,0)</f>
        <v>0</v>
      </c>
      <c r="AO17" t="b" s="68">
        <v>0</v>
      </c>
    </row>
    <row r="18" ht="20.35" customHeight="1">
      <c r="A18" s="134">
        <v>44424</v>
      </c>
      <c r="B18" s="135" cm="1">
        <f t="array" ref="B18">SUM(C18:AI18)</f>
        <v>0</v>
      </c>
      <c r="C18" s="32"/>
      <c r="D18" s="26"/>
      <c r="E18" t="b" s="68">
        <v>0</v>
      </c>
      <c r="F18" s="32"/>
      <c r="G18" s="32"/>
      <c r="H18" s="26"/>
      <c r="I18" t="b" s="68">
        <v>0</v>
      </c>
      <c r="J18" s="32"/>
      <c r="K18" s="32"/>
      <c r="L18" s="26"/>
      <c r="M18" t="b" s="68">
        <v>0</v>
      </c>
      <c r="N18" s="32"/>
      <c r="O18" s="32"/>
      <c r="P18" s="26"/>
      <c r="Q18" t="b" s="68">
        <v>0</v>
      </c>
      <c r="R18" s="32"/>
      <c r="S18" s="32"/>
      <c r="T18" s="26"/>
      <c r="U18" t="b" s="68">
        <v>0</v>
      </c>
      <c r="V18" s="32"/>
      <c r="W18" s="32"/>
      <c r="X18" s="26"/>
      <c r="Y18" s="32"/>
      <c r="Z18" s="32"/>
      <c r="AA18" s="26"/>
      <c r="AB18" t="b" s="68">
        <v>0</v>
      </c>
      <c r="AC18" s="32"/>
      <c r="AD18" s="32"/>
      <c r="AE18" s="26"/>
      <c r="AF18" t="b" s="68">
        <v>0</v>
      </c>
      <c r="AG18" s="32"/>
      <c r="AH18" s="138"/>
      <c r="AI18" s="26"/>
      <c r="AJ18" t="b" s="68">
        <v>0</v>
      </c>
      <c r="AK18" s="32"/>
      <c r="AL18" s="138"/>
      <c r="AM18" s="60"/>
      <c r="AN18" s="26" cm="1">
        <f t="array" ref="AN18">ROUND(AM18*'variables - Table 1'!$B$5,0)</f>
        <v>0</v>
      </c>
      <c r="AO18" t="b" s="68">
        <v>0</v>
      </c>
    </row>
    <row r="19" ht="20.35" customHeight="1">
      <c r="A19" s="134">
        <v>44425</v>
      </c>
      <c r="B19" s="135" cm="1">
        <f t="array" ref="B19">SUM(C19:AI19)</f>
        <v>0</v>
      </c>
      <c r="C19" s="32"/>
      <c r="D19" s="26"/>
      <c r="E19" t="b" s="68">
        <v>0</v>
      </c>
      <c r="F19" s="32"/>
      <c r="G19" s="32"/>
      <c r="H19" s="26"/>
      <c r="I19" t="b" s="68">
        <v>0</v>
      </c>
      <c r="J19" s="32"/>
      <c r="K19" s="32"/>
      <c r="L19" s="26"/>
      <c r="M19" t="b" s="68">
        <v>0</v>
      </c>
      <c r="N19" s="32"/>
      <c r="O19" s="32"/>
      <c r="P19" s="26"/>
      <c r="Q19" t="b" s="68">
        <v>0</v>
      </c>
      <c r="R19" s="32"/>
      <c r="S19" s="32"/>
      <c r="T19" s="26"/>
      <c r="U19" t="b" s="68">
        <v>0</v>
      </c>
      <c r="V19" s="32"/>
      <c r="W19" s="32"/>
      <c r="X19" s="30"/>
      <c r="Y19" s="32"/>
      <c r="Z19" s="32"/>
      <c r="AA19" s="26"/>
      <c r="AB19" t="b" s="68">
        <v>0</v>
      </c>
      <c r="AC19" s="32"/>
      <c r="AD19" s="26"/>
      <c r="AE19" s="26"/>
      <c r="AF19" t="b" s="68">
        <v>0</v>
      </c>
      <c r="AG19" s="32"/>
      <c r="AH19" s="32"/>
      <c r="AI19" s="26"/>
      <c r="AJ19" t="b" s="68">
        <v>0</v>
      </c>
      <c r="AK19" s="32"/>
      <c r="AL19" s="32"/>
      <c r="AM19" s="60"/>
      <c r="AN19" s="26" cm="1">
        <f t="array" ref="AN19">ROUND(AM19*'variables - Table 1'!$B$5,0)</f>
        <v>0</v>
      </c>
      <c r="AO19" t="b" s="68">
        <v>0</v>
      </c>
    </row>
    <row r="20" ht="20.35" customHeight="1">
      <c r="A20" s="134">
        <v>44426</v>
      </c>
      <c r="B20" s="135" cm="1">
        <f t="array" ref="B20">SUM(C20:AI20)</f>
        <v>0</v>
      </c>
      <c r="C20" s="32"/>
      <c r="D20" s="26"/>
      <c r="E20" t="b" s="68">
        <v>0</v>
      </c>
      <c r="F20" s="32"/>
      <c r="G20" s="32"/>
      <c r="H20" s="26"/>
      <c r="I20" t="b" s="68">
        <v>0</v>
      </c>
      <c r="J20" s="32"/>
      <c r="K20" s="32"/>
      <c r="L20" s="26"/>
      <c r="M20" t="b" s="68">
        <v>0</v>
      </c>
      <c r="N20" s="32"/>
      <c r="O20" s="32"/>
      <c r="P20" s="26"/>
      <c r="Q20" t="b" s="68">
        <v>0</v>
      </c>
      <c r="R20" s="32"/>
      <c r="S20" s="32"/>
      <c r="T20" s="26"/>
      <c r="U20" t="b" s="68">
        <v>0</v>
      </c>
      <c r="V20" s="32"/>
      <c r="W20" s="32"/>
      <c r="X20" s="30"/>
      <c r="Y20" s="32"/>
      <c r="Z20" s="32"/>
      <c r="AA20" s="26"/>
      <c r="AB20" t="b" s="68">
        <v>0</v>
      </c>
      <c r="AC20" s="32"/>
      <c r="AD20" s="32"/>
      <c r="AE20" s="26"/>
      <c r="AF20" t="b" s="68">
        <v>0</v>
      </c>
      <c r="AG20" s="32"/>
      <c r="AH20" s="32"/>
      <c r="AI20" s="26"/>
      <c r="AJ20" t="b" s="68">
        <v>0</v>
      </c>
      <c r="AK20" s="32"/>
      <c r="AL20" s="32"/>
      <c r="AM20" s="60"/>
      <c r="AN20" s="26" cm="1">
        <f t="array" ref="AN20">ROUND(AM20*'variables - Table 1'!$B$5,0)</f>
        <v>0</v>
      </c>
      <c r="AO20" t="b" s="68">
        <v>0</v>
      </c>
    </row>
    <row r="21" ht="20.35" customHeight="1">
      <c r="A21" s="134">
        <v>44427</v>
      </c>
      <c r="B21" s="135" cm="1">
        <f t="array" ref="B21">SUM(C21:AI21)</f>
        <v>0</v>
      </c>
      <c r="C21" s="32"/>
      <c r="D21" s="26"/>
      <c r="E21" t="b" s="68">
        <v>0</v>
      </c>
      <c r="F21" s="32"/>
      <c r="G21" s="32"/>
      <c r="H21" s="26"/>
      <c r="I21" t="b" s="68">
        <v>0</v>
      </c>
      <c r="J21" s="32"/>
      <c r="K21" s="32"/>
      <c r="L21" s="30"/>
      <c r="M21" t="b" s="68">
        <v>0</v>
      </c>
      <c r="N21" s="32"/>
      <c r="O21" s="32"/>
      <c r="P21" s="26"/>
      <c r="Q21" t="b" s="68">
        <v>0</v>
      </c>
      <c r="R21" s="32"/>
      <c r="S21" s="32"/>
      <c r="T21" s="26"/>
      <c r="U21" t="b" s="68">
        <v>0</v>
      </c>
      <c r="V21" s="32"/>
      <c r="W21" s="32"/>
      <c r="X21" s="26"/>
      <c r="Y21" s="32"/>
      <c r="Z21" s="32"/>
      <c r="AA21" s="26"/>
      <c r="AB21" t="b" s="68">
        <v>0</v>
      </c>
      <c r="AC21" s="32"/>
      <c r="AD21" s="32"/>
      <c r="AE21" s="26"/>
      <c r="AF21" t="b" s="68">
        <v>0</v>
      </c>
      <c r="AG21" s="32"/>
      <c r="AH21" s="32"/>
      <c r="AI21" s="26"/>
      <c r="AJ21" t="b" s="68">
        <v>0</v>
      </c>
      <c r="AK21" s="32"/>
      <c r="AL21" s="32"/>
      <c r="AM21" s="60"/>
      <c r="AN21" s="26" cm="1">
        <f t="array" ref="AN21">ROUND(AM21*'variables - Table 1'!$B$5,0)</f>
        <v>0</v>
      </c>
      <c r="AO21" t="b" s="68">
        <v>0</v>
      </c>
    </row>
    <row r="22" ht="20.35" customHeight="1">
      <c r="A22" s="134">
        <v>44428</v>
      </c>
      <c r="B22" s="135" cm="1">
        <f t="array" ref="B22">SUM(C22:AI22)</f>
        <v>0</v>
      </c>
      <c r="C22" s="32"/>
      <c r="D22" s="26"/>
      <c r="E22" t="b" s="68">
        <v>0</v>
      </c>
      <c r="F22" s="32"/>
      <c r="G22" s="32"/>
      <c r="H22" s="26"/>
      <c r="I22" t="b" s="68">
        <v>0</v>
      </c>
      <c r="J22" s="32"/>
      <c r="K22" s="32"/>
      <c r="L22" s="26"/>
      <c r="M22" t="b" s="68">
        <v>0</v>
      </c>
      <c r="N22" s="32"/>
      <c r="O22" s="32"/>
      <c r="P22" s="32"/>
      <c r="Q22" t="b" s="68">
        <v>0</v>
      </c>
      <c r="R22" s="32"/>
      <c r="S22" s="32"/>
      <c r="T22" s="32"/>
      <c r="U22" t="b" s="68">
        <v>0</v>
      </c>
      <c r="V22" s="32"/>
      <c r="W22" s="32"/>
      <c r="X22" s="26"/>
      <c r="Y22" s="32"/>
      <c r="Z22" s="32"/>
      <c r="AA22" s="26"/>
      <c r="AB22" t="b" s="68">
        <v>0</v>
      </c>
      <c r="AC22" s="32"/>
      <c r="AD22" s="32"/>
      <c r="AE22" s="26"/>
      <c r="AF22" t="b" s="68">
        <v>0</v>
      </c>
      <c r="AG22" s="32"/>
      <c r="AH22" s="32"/>
      <c r="AI22" s="26"/>
      <c r="AJ22" t="b" s="68">
        <v>0</v>
      </c>
      <c r="AK22" s="32"/>
      <c r="AL22" s="32"/>
      <c r="AM22" s="60"/>
      <c r="AN22" s="26" cm="1">
        <f t="array" ref="AN22">ROUND(AM22*'variables - Table 1'!$B$5,0)</f>
        <v>0</v>
      </c>
      <c r="AO22" t="b" s="68">
        <v>0</v>
      </c>
    </row>
    <row r="23" ht="20.35" customHeight="1">
      <c r="A23" s="134">
        <v>44429</v>
      </c>
      <c r="B23" s="135" cm="1">
        <f t="array" ref="B23">SUM(C23:AI23)</f>
        <v>0</v>
      </c>
      <c r="C23" s="32"/>
      <c r="D23" s="26"/>
      <c r="E23" t="b" s="68">
        <v>0</v>
      </c>
      <c r="F23" s="32"/>
      <c r="G23" s="32"/>
      <c r="H23" s="26"/>
      <c r="I23" t="b" s="68">
        <v>0</v>
      </c>
      <c r="J23" s="32"/>
      <c r="K23" s="32"/>
      <c r="L23" s="26"/>
      <c r="M23" t="b" s="68">
        <v>0</v>
      </c>
      <c r="N23" s="32"/>
      <c r="O23" s="32"/>
      <c r="P23" s="32"/>
      <c r="Q23" t="b" s="68">
        <v>0</v>
      </c>
      <c r="R23" s="32"/>
      <c r="S23" s="32"/>
      <c r="T23" s="26"/>
      <c r="U23" t="b" s="68">
        <v>0</v>
      </c>
      <c r="V23" s="32"/>
      <c r="W23" s="32"/>
      <c r="X23" s="26"/>
      <c r="Y23" s="32"/>
      <c r="Z23" s="32"/>
      <c r="AA23" s="26"/>
      <c r="AB23" t="b" s="68">
        <v>0</v>
      </c>
      <c r="AC23" s="32"/>
      <c r="AD23" s="32"/>
      <c r="AE23" s="26"/>
      <c r="AF23" t="b" s="68">
        <v>0</v>
      </c>
      <c r="AG23" s="32"/>
      <c r="AH23" s="32"/>
      <c r="AI23" s="26"/>
      <c r="AJ23" t="b" s="68">
        <v>0</v>
      </c>
      <c r="AK23" s="32"/>
      <c r="AL23" s="32"/>
      <c r="AM23" s="60"/>
      <c r="AN23" s="26" cm="1">
        <f t="array" ref="AN23">ROUND(AM23*'variables - Table 1'!$B$5,0)</f>
        <v>0</v>
      </c>
      <c r="AO23" t="b" s="68">
        <v>0</v>
      </c>
    </row>
    <row r="24" ht="20.35" customHeight="1">
      <c r="A24" s="134">
        <v>44430</v>
      </c>
      <c r="B24" s="135" cm="1">
        <f t="array" ref="B24">SUM(C24:AI24)</f>
        <v>0</v>
      </c>
      <c r="C24" s="32"/>
      <c r="D24" s="26"/>
      <c r="E24" t="b" s="68">
        <v>0</v>
      </c>
      <c r="F24" s="32"/>
      <c r="G24" s="32"/>
      <c r="H24" s="26"/>
      <c r="I24" t="b" s="68">
        <v>0</v>
      </c>
      <c r="J24" s="32"/>
      <c r="K24" s="32"/>
      <c r="L24" s="26"/>
      <c r="M24" t="b" s="68">
        <v>0</v>
      </c>
      <c r="N24" s="32"/>
      <c r="O24" s="32"/>
      <c r="P24" s="26"/>
      <c r="Q24" t="b" s="68">
        <v>0</v>
      </c>
      <c r="R24" s="32"/>
      <c r="S24" s="32"/>
      <c r="T24" s="32"/>
      <c r="U24" t="b" s="68">
        <v>0</v>
      </c>
      <c r="V24" s="32"/>
      <c r="W24" s="32"/>
      <c r="X24" s="26"/>
      <c r="Y24" s="32"/>
      <c r="Z24" s="32"/>
      <c r="AA24" s="26"/>
      <c r="AB24" t="b" s="68">
        <v>0</v>
      </c>
      <c r="AC24" s="32"/>
      <c r="AD24" s="26"/>
      <c r="AE24" s="26"/>
      <c r="AF24" t="b" s="68">
        <v>0</v>
      </c>
      <c r="AG24" s="32"/>
      <c r="AH24" s="32"/>
      <c r="AI24" s="26"/>
      <c r="AJ24" t="b" s="68">
        <v>0</v>
      </c>
      <c r="AK24" s="32"/>
      <c r="AL24" s="32"/>
      <c r="AM24" s="60"/>
      <c r="AN24" s="26" cm="1">
        <f t="array" ref="AN24">ROUND(AM24*'variables - Table 1'!$B$5,0)</f>
        <v>0</v>
      </c>
      <c r="AO24" t="b" s="68">
        <v>0</v>
      </c>
    </row>
    <row r="25" ht="20.35" customHeight="1">
      <c r="A25" s="134">
        <v>44431</v>
      </c>
      <c r="B25" s="135" cm="1">
        <f t="array" ref="B25">SUM(C25:AI25)</f>
        <v>0</v>
      </c>
      <c r="C25" s="32"/>
      <c r="D25" s="32"/>
      <c r="E25" t="b" s="68">
        <v>0</v>
      </c>
      <c r="F25" s="32"/>
      <c r="G25" s="32"/>
      <c r="H25" s="26"/>
      <c r="I25" t="b" s="68">
        <v>0</v>
      </c>
      <c r="J25" s="32"/>
      <c r="K25" s="32"/>
      <c r="L25" s="26"/>
      <c r="M25" t="b" s="68">
        <v>0</v>
      </c>
      <c r="N25" s="32"/>
      <c r="O25" s="32"/>
      <c r="P25" s="26"/>
      <c r="Q25" t="b" s="68">
        <v>0</v>
      </c>
      <c r="R25" s="32"/>
      <c r="S25" s="32"/>
      <c r="T25" s="26"/>
      <c r="U25" t="b" s="68">
        <v>0</v>
      </c>
      <c r="V25" s="32"/>
      <c r="W25" s="32"/>
      <c r="X25" s="26"/>
      <c r="Y25" s="32"/>
      <c r="Z25" s="32"/>
      <c r="AA25" s="26"/>
      <c r="AB25" t="b" s="68">
        <v>0</v>
      </c>
      <c r="AC25" s="32"/>
      <c r="AD25" s="32"/>
      <c r="AE25" s="26"/>
      <c r="AF25" t="b" s="68">
        <v>0</v>
      </c>
      <c r="AG25" s="32"/>
      <c r="AH25" s="32"/>
      <c r="AI25" s="26"/>
      <c r="AJ25" t="b" s="68">
        <v>0</v>
      </c>
      <c r="AK25" s="32"/>
      <c r="AL25" s="32"/>
      <c r="AM25" s="60"/>
      <c r="AN25" s="26" cm="1">
        <f t="array" ref="AN25">ROUND(AM25*'variables - Table 1'!$B$5,0)</f>
        <v>0</v>
      </c>
      <c r="AO25" t="b" s="68">
        <v>0</v>
      </c>
    </row>
    <row r="26" ht="20.35" customHeight="1">
      <c r="A26" s="134">
        <v>44432</v>
      </c>
      <c r="B26" s="135" cm="1">
        <f t="array" ref="B26">SUM(C26:AI26)</f>
        <v>0</v>
      </c>
      <c r="C26" s="32"/>
      <c r="D26" s="32"/>
      <c r="E26" t="b" s="68">
        <v>0</v>
      </c>
      <c r="F26" s="32"/>
      <c r="G26" s="32"/>
      <c r="H26" s="26"/>
      <c r="I26" t="b" s="68">
        <v>0</v>
      </c>
      <c r="J26" s="32"/>
      <c r="K26" s="32"/>
      <c r="L26" s="26"/>
      <c r="M26" t="b" s="68">
        <v>0</v>
      </c>
      <c r="N26" s="32"/>
      <c r="O26" s="32"/>
      <c r="P26" s="26"/>
      <c r="Q26" t="b" s="68">
        <v>0</v>
      </c>
      <c r="R26" s="32"/>
      <c r="S26" s="32"/>
      <c r="T26" s="26"/>
      <c r="U26" t="b" s="68">
        <v>0</v>
      </c>
      <c r="V26" s="32"/>
      <c r="W26" s="32"/>
      <c r="X26" s="30"/>
      <c r="Y26" s="32"/>
      <c r="Z26" s="32"/>
      <c r="AA26" s="32"/>
      <c r="AB26" t="b" s="68">
        <v>0</v>
      </c>
      <c r="AC26" s="32"/>
      <c r="AD26" s="32"/>
      <c r="AE26" s="26"/>
      <c r="AF26" t="b" s="68">
        <v>0</v>
      </c>
      <c r="AG26" s="32"/>
      <c r="AH26" s="32"/>
      <c r="AI26" s="26"/>
      <c r="AJ26" t="b" s="68">
        <v>0</v>
      </c>
      <c r="AK26" s="32"/>
      <c r="AL26" s="32"/>
      <c r="AM26" s="60"/>
      <c r="AN26" s="26" cm="1">
        <f t="array" ref="AN26">ROUND(AM26*'variables - Table 1'!$B$5,0)</f>
        <v>0</v>
      </c>
      <c r="AO26" t="b" s="68">
        <v>0</v>
      </c>
    </row>
    <row r="27" ht="20.35" customHeight="1">
      <c r="A27" s="134">
        <v>44433</v>
      </c>
      <c r="B27" s="135" cm="1">
        <f t="array" ref="B27">SUM(C27:AI27)</f>
        <v>0</v>
      </c>
      <c r="C27" s="32"/>
      <c r="D27" s="32"/>
      <c r="E27" t="b" s="68">
        <v>0</v>
      </c>
      <c r="F27" s="32"/>
      <c r="G27" s="32"/>
      <c r="H27" s="26"/>
      <c r="I27" t="b" s="68">
        <v>0</v>
      </c>
      <c r="J27" s="32"/>
      <c r="K27" s="32"/>
      <c r="L27" s="26"/>
      <c r="M27" t="b" s="68">
        <v>0</v>
      </c>
      <c r="N27" s="32"/>
      <c r="O27" s="32"/>
      <c r="P27" s="26"/>
      <c r="Q27" t="b" s="68">
        <v>0</v>
      </c>
      <c r="R27" s="32"/>
      <c r="S27" s="32"/>
      <c r="T27" s="32"/>
      <c r="U27" t="b" s="68">
        <v>0</v>
      </c>
      <c r="V27" s="32"/>
      <c r="W27" s="32"/>
      <c r="X27" s="30"/>
      <c r="Y27" s="32"/>
      <c r="Z27" s="32"/>
      <c r="AA27" s="26"/>
      <c r="AB27" t="b" s="68">
        <v>0</v>
      </c>
      <c r="AC27" s="32"/>
      <c r="AD27" s="32"/>
      <c r="AE27" s="26"/>
      <c r="AF27" t="b" s="68">
        <v>0</v>
      </c>
      <c r="AG27" s="32"/>
      <c r="AH27" s="32"/>
      <c r="AI27" s="26"/>
      <c r="AJ27" t="b" s="68">
        <v>0</v>
      </c>
      <c r="AK27" s="32"/>
      <c r="AL27" s="32"/>
      <c r="AM27" s="60"/>
      <c r="AN27" s="26" cm="1">
        <f t="array" ref="AN27">ROUND(AM27*'variables - Table 1'!$B$5,0)</f>
        <v>0</v>
      </c>
      <c r="AO27" t="b" s="68">
        <v>0</v>
      </c>
    </row>
    <row r="28" ht="20.35" customHeight="1">
      <c r="A28" s="134">
        <v>44434</v>
      </c>
      <c r="B28" s="135" cm="1">
        <f t="array" ref="B28">SUM(C28:AI28)</f>
        <v>0</v>
      </c>
      <c r="C28" s="32"/>
      <c r="D28" s="26"/>
      <c r="E28" t="b" s="68">
        <v>0</v>
      </c>
      <c r="F28" s="32"/>
      <c r="G28" s="32"/>
      <c r="H28" s="26"/>
      <c r="I28" t="b" s="68">
        <v>0</v>
      </c>
      <c r="J28" s="32"/>
      <c r="K28" s="32"/>
      <c r="L28" s="26"/>
      <c r="M28" t="b" s="68">
        <v>0</v>
      </c>
      <c r="N28" s="32"/>
      <c r="O28" s="32"/>
      <c r="P28" s="26"/>
      <c r="Q28" t="b" s="68">
        <v>0</v>
      </c>
      <c r="R28" s="32"/>
      <c r="S28" s="32"/>
      <c r="T28" s="32"/>
      <c r="U28" t="b" s="68">
        <v>0</v>
      </c>
      <c r="V28" s="32"/>
      <c r="W28" s="32"/>
      <c r="X28" s="30"/>
      <c r="Y28" s="32"/>
      <c r="Z28" s="32"/>
      <c r="AA28" s="26"/>
      <c r="AB28" t="b" s="68">
        <v>0</v>
      </c>
      <c r="AC28" s="32"/>
      <c r="AD28" s="26"/>
      <c r="AE28" s="26"/>
      <c r="AF28" t="b" s="68">
        <v>0</v>
      </c>
      <c r="AG28" s="32"/>
      <c r="AH28" s="32"/>
      <c r="AI28" s="26"/>
      <c r="AJ28" t="b" s="68">
        <v>0</v>
      </c>
      <c r="AK28" s="32"/>
      <c r="AL28" s="32"/>
      <c r="AM28" s="60"/>
      <c r="AN28" s="26" cm="1">
        <f t="array" ref="AN28">ROUND(AM28*'variables - Table 1'!$B$5,0)</f>
        <v>0</v>
      </c>
      <c r="AO28" t="b" s="68">
        <v>0</v>
      </c>
    </row>
    <row r="29" ht="20.35" customHeight="1">
      <c r="A29" s="134">
        <v>44435</v>
      </c>
      <c r="B29" s="135" cm="1">
        <f t="array" ref="B29">SUM(C29:AI29)</f>
        <v>0</v>
      </c>
      <c r="C29" s="32"/>
      <c r="D29" s="26"/>
      <c r="E29" t="b" s="68">
        <v>0</v>
      </c>
      <c r="F29" s="32"/>
      <c r="G29" s="32"/>
      <c r="H29" s="26"/>
      <c r="I29" t="b" s="68">
        <v>0</v>
      </c>
      <c r="J29" s="32"/>
      <c r="K29" s="32"/>
      <c r="L29" s="26"/>
      <c r="M29" t="b" s="68">
        <v>0</v>
      </c>
      <c r="N29" s="32"/>
      <c r="O29" s="32"/>
      <c r="P29" s="26"/>
      <c r="Q29" t="b" s="68">
        <v>0</v>
      </c>
      <c r="R29" s="32"/>
      <c r="S29" s="32"/>
      <c r="T29" s="32"/>
      <c r="U29" t="b" s="68">
        <v>0</v>
      </c>
      <c r="V29" s="32"/>
      <c r="W29" s="32"/>
      <c r="X29" s="26"/>
      <c r="Y29" s="32"/>
      <c r="Z29" s="32"/>
      <c r="AA29" s="26"/>
      <c r="AB29" t="b" s="68">
        <v>0</v>
      </c>
      <c r="AC29" s="32"/>
      <c r="AD29" s="26"/>
      <c r="AE29" s="26"/>
      <c r="AF29" t="b" s="68">
        <v>0</v>
      </c>
      <c r="AG29" s="32"/>
      <c r="AH29" s="32"/>
      <c r="AI29" s="26"/>
      <c r="AJ29" t="b" s="68">
        <v>0</v>
      </c>
      <c r="AK29" s="32"/>
      <c r="AL29" s="32"/>
      <c r="AM29" s="60"/>
      <c r="AN29" s="26" cm="1">
        <f t="array" ref="AN29">ROUND(AM29*'variables - Table 1'!$B$5,0)</f>
        <v>0</v>
      </c>
      <c r="AO29" t="b" s="68">
        <v>0</v>
      </c>
    </row>
    <row r="30" ht="20.35" customHeight="1">
      <c r="A30" s="134">
        <v>44436</v>
      </c>
      <c r="B30" s="135" cm="1">
        <f t="array" ref="B30">SUM(C30:AI30)</f>
        <v>0</v>
      </c>
      <c r="C30" s="32"/>
      <c r="D30" s="26"/>
      <c r="E30" t="b" s="68">
        <v>0</v>
      </c>
      <c r="F30" s="32"/>
      <c r="G30" s="32"/>
      <c r="H30" s="26"/>
      <c r="I30" t="b" s="68">
        <v>0</v>
      </c>
      <c r="J30" s="32"/>
      <c r="K30" s="32"/>
      <c r="L30" s="26"/>
      <c r="M30" t="b" s="68">
        <v>0</v>
      </c>
      <c r="N30" s="32"/>
      <c r="O30" s="32"/>
      <c r="P30" s="26"/>
      <c r="Q30" t="b" s="68">
        <v>0</v>
      </c>
      <c r="R30" s="32"/>
      <c r="S30" s="32"/>
      <c r="T30" s="26"/>
      <c r="U30" t="b" s="68">
        <v>0</v>
      </c>
      <c r="V30" s="32"/>
      <c r="W30" s="32"/>
      <c r="X30" s="26"/>
      <c r="Y30" s="32"/>
      <c r="Z30" s="32"/>
      <c r="AA30" s="26"/>
      <c r="AB30" t="b" s="68">
        <v>0</v>
      </c>
      <c r="AC30" s="32"/>
      <c r="AD30" s="32"/>
      <c r="AE30" s="26"/>
      <c r="AF30" t="b" s="68">
        <v>0</v>
      </c>
      <c r="AG30" s="32"/>
      <c r="AH30" s="26"/>
      <c r="AI30" s="26"/>
      <c r="AJ30" t="b" s="68">
        <v>0</v>
      </c>
      <c r="AK30" s="32"/>
      <c r="AL30" s="32"/>
      <c r="AM30" s="60"/>
      <c r="AN30" s="26" cm="1">
        <f t="array" ref="AN30">ROUND(AM30*'variables - Table 1'!$B$5,0)</f>
        <v>0</v>
      </c>
      <c r="AO30" t="b" s="68">
        <v>0</v>
      </c>
    </row>
    <row r="31" ht="20.35" customHeight="1">
      <c r="A31" s="134">
        <v>44437</v>
      </c>
      <c r="B31" s="135" cm="1">
        <f t="array" ref="B31">SUM(C31:AI31)</f>
        <v>0</v>
      </c>
      <c r="C31" s="32"/>
      <c r="D31" s="26"/>
      <c r="E31" t="b" s="68">
        <v>0</v>
      </c>
      <c r="F31" s="32"/>
      <c r="G31" s="32"/>
      <c r="H31" s="26"/>
      <c r="I31" t="b" s="68">
        <v>0</v>
      </c>
      <c r="J31" s="32"/>
      <c r="K31" s="32"/>
      <c r="L31" s="26"/>
      <c r="M31" t="b" s="68">
        <v>0</v>
      </c>
      <c r="N31" s="32"/>
      <c r="O31" s="32"/>
      <c r="P31" s="26"/>
      <c r="Q31" t="b" s="68">
        <v>0</v>
      </c>
      <c r="R31" s="32"/>
      <c r="S31" s="32"/>
      <c r="T31" s="26"/>
      <c r="U31" t="b" s="68">
        <v>0</v>
      </c>
      <c r="V31" s="32"/>
      <c r="W31" s="32"/>
      <c r="X31" s="26"/>
      <c r="Y31" s="32"/>
      <c r="Z31" s="32"/>
      <c r="AA31" s="26"/>
      <c r="AB31" t="b" s="68">
        <v>0</v>
      </c>
      <c r="AC31" s="32"/>
      <c r="AD31" s="32"/>
      <c r="AE31" s="26"/>
      <c r="AF31" t="b" s="68">
        <v>0</v>
      </c>
      <c r="AG31" s="32"/>
      <c r="AH31" s="32"/>
      <c r="AI31" s="26"/>
      <c r="AJ31" t="b" s="68">
        <v>0</v>
      </c>
      <c r="AK31" s="32"/>
      <c r="AL31" s="32"/>
      <c r="AM31" s="60"/>
      <c r="AN31" s="26" cm="1">
        <f t="array" ref="AN31">ROUND(AM31*'variables - Table 1'!$B$5,0)</f>
        <v>0</v>
      </c>
      <c r="AO31" t="b" s="68">
        <v>0</v>
      </c>
    </row>
    <row r="32" ht="20.35" customHeight="1">
      <c r="A32" s="134">
        <v>44438</v>
      </c>
      <c r="B32" s="135" cm="1">
        <f t="array" ref="B32">SUM(C32:AI32)</f>
        <v>0</v>
      </c>
      <c r="C32" s="32"/>
      <c r="D32" s="26"/>
      <c r="E32" t="b" s="68">
        <v>0</v>
      </c>
      <c r="F32" s="32"/>
      <c r="G32" s="32"/>
      <c r="H32" s="26"/>
      <c r="I32" t="b" s="68">
        <v>0</v>
      </c>
      <c r="J32" s="32"/>
      <c r="K32" s="32"/>
      <c r="L32" s="26"/>
      <c r="M32" t="b" s="68">
        <v>0</v>
      </c>
      <c r="N32" s="32"/>
      <c r="O32" s="32"/>
      <c r="P32" s="26"/>
      <c r="Q32" t="b" s="68">
        <v>0</v>
      </c>
      <c r="R32" s="32"/>
      <c r="S32" s="32"/>
      <c r="T32" s="30"/>
      <c r="U32" t="b" s="68">
        <v>0</v>
      </c>
      <c r="V32" s="32"/>
      <c r="W32" s="32"/>
      <c r="X32" s="26"/>
      <c r="Y32" s="32"/>
      <c r="Z32" s="32"/>
      <c r="AA32" s="26"/>
      <c r="AB32" t="b" s="68">
        <v>0</v>
      </c>
      <c r="AC32" s="32"/>
      <c r="AD32" s="32"/>
      <c r="AE32" s="26"/>
      <c r="AF32" t="b" s="68">
        <v>0</v>
      </c>
      <c r="AG32" s="32"/>
      <c r="AH32" s="32"/>
      <c r="AI32" s="26"/>
      <c r="AJ32" t="b" s="68">
        <v>0</v>
      </c>
      <c r="AK32" s="32"/>
      <c r="AL32" s="32"/>
      <c r="AM32" s="60"/>
      <c r="AN32" s="26" cm="1">
        <f t="array" ref="AN32">ROUND(AM32*'variables - Table 1'!$B$5,0)</f>
        <v>0</v>
      </c>
      <c r="AO32" t="b" s="68">
        <v>0</v>
      </c>
    </row>
    <row r="33" ht="20.35" customHeight="1">
      <c r="A33" s="134">
        <v>44439</v>
      </c>
      <c r="B33" s="135" cm="1">
        <f t="array" ref="B33">SUM(C33:AI33)</f>
        <v>0</v>
      </c>
      <c r="C33" s="32"/>
      <c r="D33" s="26"/>
      <c r="E33" t="b" s="68">
        <v>0</v>
      </c>
      <c r="F33" s="32"/>
      <c r="G33" s="32"/>
      <c r="H33" s="26"/>
      <c r="I33" t="b" s="68">
        <v>0</v>
      </c>
      <c r="J33" s="32"/>
      <c r="K33" s="32"/>
      <c r="L33" s="26"/>
      <c r="M33" t="b" s="68">
        <v>0</v>
      </c>
      <c r="N33" s="32"/>
      <c r="O33" s="32"/>
      <c r="P33" s="26"/>
      <c r="Q33" t="b" s="68">
        <v>0</v>
      </c>
      <c r="R33" s="32"/>
      <c r="S33" s="32"/>
      <c r="T33" s="26"/>
      <c r="U33" t="b" s="68">
        <v>0</v>
      </c>
      <c r="V33" s="32"/>
      <c r="W33" s="32"/>
      <c r="X33" s="30"/>
      <c r="Y33" s="32"/>
      <c r="Z33" s="32"/>
      <c r="AA33" s="26"/>
      <c r="AB33" t="b" s="68">
        <v>0</v>
      </c>
      <c r="AC33" s="32"/>
      <c r="AD33" s="26"/>
      <c r="AE33" s="26"/>
      <c r="AF33" t="b" s="68">
        <v>0</v>
      </c>
      <c r="AG33" s="32"/>
      <c r="AH33" s="26"/>
      <c r="AI33" s="26"/>
      <c r="AJ33" t="b" s="68">
        <v>0</v>
      </c>
      <c r="AK33" s="32"/>
      <c r="AL33" s="32"/>
      <c r="AM33" s="32"/>
      <c r="AN33" s="26" cm="1">
        <f t="array" ref="AN33">ROUND(AM33*'variables - Table 1'!$B$5,0)</f>
        <v>0</v>
      </c>
      <c r="AO33" t="b" s="68">
        <v>0</v>
      </c>
    </row>
    <row r="34" ht="20.35" customHeight="1">
      <c r="A34" s="134">
        <v>44440</v>
      </c>
      <c r="B34" s="135" cm="1">
        <f t="array" ref="B34">SUM(C34:AI34)</f>
        <v>0</v>
      </c>
      <c r="C34" s="32"/>
      <c r="D34" s="32"/>
      <c r="E34" t="b" s="68">
        <v>0</v>
      </c>
      <c r="F34" s="32"/>
      <c r="G34" s="32"/>
      <c r="H34" s="26"/>
      <c r="I34" t="b" s="68">
        <v>0</v>
      </c>
      <c r="J34" s="32"/>
      <c r="K34" s="32"/>
      <c r="L34" s="26"/>
      <c r="M34" t="b" s="68">
        <v>0</v>
      </c>
      <c r="N34" s="32"/>
      <c r="O34" s="32"/>
      <c r="P34" s="26"/>
      <c r="Q34" t="b" s="68">
        <v>0</v>
      </c>
      <c r="R34" s="32"/>
      <c r="S34" s="32"/>
      <c r="T34" s="26"/>
      <c r="U34" t="b" s="68">
        <v>0</v>
      </c>
      <c r="V34" s="32"/>
      <c r="W34" s="32"/>
      <c r="X34" s="26"/>
      <c r="Y34" s="32"/>
      <c r="Z34" s="32"/>
      <c r="AA34" s="26"/>
      <c r="AB34" t="b" s="68">
        <v>0</v>
      </c>
      <c r="AC34" s="32"/>
      <c r="AD34" s="26"/>
      <c r="AE34" s="26"/>
      <c r="AF34" t="b" s="68">
        <v>0</v>
      </c>
      <c r="AG34" s="32"/>
      <c r="AH34" s="26"/>
      <c r="AI34" s="26"/>
      <c r="AJ34" t="b" s="68">
        <v>0</v>
      </c>
      <c r="AK34" s="32"/>
      <c r="AL34" s="32"/>
      <c r="AM34" s="60"/>
      <c r="AN34" s="26" cm="1">
        <f t="array" ref="AN34">ROUND(AM34*'variables - Table 1'!$B$5,0)</f>
        <v>0</v>
      </c>
      <c r="AO34" t="b" s="68">
        <v>0</v>
      </c>
    </row>
    <row r="35" ht="20.35" customHeight="1">
      <c r="A35" s="28"/>
      <c r="B35" s="135"/>
      <c r="C35" s="32"/>
      <c r="D35" s="26"/>
      <c r="E35" t="b" s="68">
        <v>0</v>
      </c>
      <c r="F35" s="32"/>
      <c r="G35" s="32"/>
      <c r="H35" s="26"/>
      <c r="I35" t="b" s="68">
        <v>0</v>
      </c>
      <c r="J35" s="32"/>
      <c r="K35" s="32"/>
      <c r="L35" s="26"/>
      <c r="M35" t="b" s="68">
        <v>0</v>
      </c>
      <c r="N35" s="32"/>
      <c r="O35" s="32"/>
      <c r="P35" s="26"/>
      <c r="Q35" t="b" s="68">
        <v>0</v>
      </c>
      <c r="R35" s="32"/>
      <c r="S35" s="32"/>
      <c r="T35" s="32"/>
      <c r="U35" t="b" s="68">
        <v>0</v>
      </c>
      <c r="V35" s="32"/>
      <c r="W35" s="32"/>
      <c r="X35" s="26"/>
      <c r="Y35" s="32"/>
      <c r="Z35" s="32"/>
      <c r="AA35" s="26"/>
      <c r="AB35" t="b" s="68">
        <v>0</v>
      </c>
      <c r="AC35" s="32"/>
      <c r="AD35" t="s" s="23">
        <v>27</v>
      </c>
      <c r="AE35" s="30" cm="1">
        <f t="array" ref="AE35">'presupuesto - Ingreso líquido'!$D$19*0</f>
        <v>0</v>
      </c>
      <c r="AF35" s="32"/>
      <c r="AG35" s="32"/>
      <c r="AH35" s="26"/>
      <c r="AI35" s="26"/>
      <c r="AJ35" t="b" s="68">
        <v>0</v>
      </c>
      <c r="AK35" s="32"/>
      <c r="AL35" s="32"/>
      <c r="AM35" t="s" s="23">
        <v>65</v>
      </c>
      <c r="AN35" s="26" cm="1">
        <f t="array" ref="AN35">SUM(AN3:AN34,-AN$37)</f>
        <v>0</v>
      </c>
      <c r="AO35" t="b" s="68">
        <v>0</v>
      </c>
    </row>
    <row r="36" ht="20.55" customHeight="1">
      <c r="A36" s="84"/>
      <c r="B36" s="139"/>
      <c r="C36" s="73"/>
      <c r="D36" s="44"/>
      <c r="E36" t="b" s="74">
        <v>0</v>
      </c>
      <c r="F36" s="73"/>
      <c r="G36" s="73"/>
      <c r="H36" s="44"/>
      <c r="I36" t="b" s="74">
        <v>0</v>
      </c>
      <c r="J36" s="73"/>
      <c r="K36" s="73"/>
      <c r="L36" s="44"/>
      <c r="M36" t="b" s="74">
        <v>0</v>
      </c>
      <c r="N36" s="73"/>
      <c r="O36" s="73"/>
      <c r="P36" s="44"/>
      <c r="Q36" t="b" s="74">
        <v>0</v>
      </c>
      <c r="R36" s="73"/>
      <c r="S36" s="73"/>
      <c r="T36" s="73"/>
      <c r="U36" t="b" s="74">
        <v>0</v>
      </c>
      <c r="V36" s="73"/>
      <c r="W36" s="73"/>
      <c r="X36" s="44"/>
      <c r="Y36" s="73"/>
      <c r="Z36" s="73"/>
      <c r="AA36" s="44"/>
      <c r="AB36" t="b" s="74">
        <v>0</v>
      </c>
      <c r="AC36" s="73"/>
      <c r="AD36" s="73"/>
      <c r="AE36" s="75"/>
      <c r="AF36" s="73"/>
      <c r="AG36" s="73"/>
      <c r="AH36" s="44"/>
      <c r="AI36" s="44"/>
      <c r="AJ36" t="b" s="74">
        <v>0</v>
      </c>
      <c r="AK36" s="73"/>
      <c r="AL36" s="73"/>
      <c r="AM36" s="73"/>
      <c r="AN36" s="44"/>
      <c r="AO36" t="b" s="74">
        <v>0</v>
      </c>
    </row>
    <row r="37" ht="20.55" customHeight="1">
      <c r="A37" s="140"/>
      <c r="B37" s="79" cm="1">
        <f t="array" ref="B37">SUM(B3:B34)+AE35</f>
        <v>930817</v>
      </c>
      <c r="C37" t="s" s="45">
        <v>16</v>
      </c>
      <c r="D37" s="79" cm="1">
        <f t="array" ref="D37">SUM(D3:D36)</f>
        <v>0</v>
      </c>
      <c r="E37" s="46"/>
      <c r="F37" s="46"/>
      <c r="G37" t="s" s="45">
        <v>40</v>
      </c>
      <c r="H37" s="79" cm="1">
        <f t="array" ref="H37">SUM(H3:H36)</f>
        <v>0</v>
      </c>
      <c r="I37" s="46"/>
      <c r="J37" s="46"/>
      <c r="K37" t="s" s="45">
        <v>171</v>
      </c>
      <c r="L37" s="79" cm="1">
        <f t="array" ref="L37">SUM(L3:L36)</f>
        <v>0</v>
      </c>
      <c r="M37" s="46"/>
      <c r="N37" s="46"/>
      <c r="O37" t="s" s="45">
        <v>151</v>
      </c>
      <c r="P37" s="79" cm="1">
        <f t="array" ref="P37">SUM(P3:P36)</f>
        <v>0</v>
      </c>
      <c r="Q37" s="46"/>
      <c r="R37" s="46"/>
      <c r="S37" t="s" s="45">
        <v>152</v>
      </c>
      <c r="T37" s="79" cm="1">
        <f t="array" ref="T37">SUM(T3:T36)</f>
        <v>0</v>
      </c>
      <c r="U37" s="46"/>
      <c r="V37" s="46"/>
      <c r="W37" t="s" s="45">
        <v>172</v>
      </c>
      <c r="X37" s="79" cm="1">
        <f t="array" ref="X37">SUM(X3:X36)</f>
        <v>0</v>
      </c>
      <c r="Y37" s="46"/>
      <c r="Z37" t="s" s="45">
        <v>13</v>
      </c>
      <c r="AA37" s="79" cm="1">
        <f t="array" ref="AA37">SUM(AA3:AA36)</f>
        <v>930817</v>
      </c>
      <c r="AB37" s="46"/>
      <c r="AC37" s="46"/>
      <c r="AD37" t="s" s="45">
        <v>26</v>
      </c>
      <c r="AE37" s="79" cm="1">
        <f t="array" ref="AE37">SUM(AE3:AE36)</f>
        <v>0</v>
      </c>
      <c r="AF37" s="46"/>
      <c r="AG37" s="46"/>
      <c r="AH37" t="s" s="45">
        <v>153</v>
      </c>
      <c r="AI37" s="79" cm="1">
        <f t="array" ref="AI37">SUM(AI3:AI36)</f>
        <v>0</v>
      </c>
      <c r="AJ37" s="46"/>
      <c r="AK37" s="46"/>
      <c r="AL37" t="s" s="45">
        <v>154</v>
      </c>
      <c r="AM37" s="141" cm="1">
        <f t="array" ref="AM37">SUM(AM3:AM34)</f>
        <v>0</v>
      </c>
      <c r="AN37" s="79" cm="1">
        <f t="array" ref="AN37">ROUND(AM37*'variables - Table 1'!$B$5,0)</f>
        <v>0</v>
      </c>
      <c r="AO37" s="46"/>
    </row>
  </sheetData>
  <mergeCells count="1">
    <mergeCell ref="A1:AO1"/>
  </mergeCells>
  <conditionalFormatting sqref="AI3 AN3:AN6 AI5 P6 AA7 AI7:AI9 AN7:AN13 AA9 AI11:AI19 L14 AN14:AN24 T20:T21 AI21:AI25 H25:H26 T25 AN25:AN34 AI26:AI34">
    <cfRule type="cellIs" dxfId="5" priority="1" operator="equal" stopIfTrue="1">
      <formula>0</formula>
    </cfRule>
  </conditionalFormatting>
  <conditionalFormatting sqref="AN35:AN36">
    <cfRule type="cellIs" dxfId="6" priority="1" operator="notEqual"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E118"/>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2" width="16.3516" style="142" customWidth="1"/>
    <col min="3" max="3" width="38.25" style="142" customWidth="1"/>
    <col min="4" max="5" width="16.3516" style="142" customWidth="1"/>
    <col min="6" max="16384" width="16.3516" style="142" customWidth="1"/>
  </cols>
  <sheetData>
    <row r="1" ht="20.55" customHeight="1">
      <c r="A1" s="7"/>
      <c r="B1" s="7"/>
      <c r="C1" s="7"/>
      <c r="D1" t="s" s="8">
        <v>175</v>
      </c>
      <c r="E1" s="143" cm="1">
        <f t="array" ref="E1">SUM(D2:D118)</f>
        <v>8638334</v>
      </c>
    </row>
    <row r="2" ht="20.55" customHeight="1">
      <c r="A2" s="133"/>
      <c r="B2" s="133"/>
      <c r="C2" s="48"/>
      <c r="D2" s="82"/>
      <c r="E2" s="82"/>
    </row>
    <row r="3" ht="20.35" customHeight="1">
      <c r="A3" s="60"/>
      <c r="B3" s="60"/>
      <c r="C3" s="26"/>
      <c r="D3" s="32"/>
      <c r="E3" s="32"/>
    </row>
    <row r="4" ht="16.35" customHeight="1">
      <c r="A4" t="s" s="144">
        <v>176</v>
      </c>
      <c r="B4" s="145"/>
      <c r="C4" t="s" s="144">
        <v>177</v>
      </c>
      <c r="D4" s="146">
        <v>49990</v>
      </c>
      <c r="E4" s="145"/>
    </row>
    <row r="5" ht="16.35" customHeight="1">
      <c r="A5" t="s" s="144">
        <v>178</v>
      </c>
      <c r="B5" s="145"/>
      <c r="C5" t="s" s="144">
        <v>179</v>
      </c>
      <c r="D5" s="146">
        <v>23900</v>
      </c>
      <c r="E5" s="145"/>
    </row>
    <row r="6" ht="16.35" customHeight="1">
      <c r="A6" t="s" s="144">
        <v>180</v>
      </c>
      <c r="B6" s="145"/>
      <c r="C6" t="s" s="144">
        <v>181</v>
      </c>
      <c r="D6" s="146">
        <v>31534</v>
      </c>
      <c r="E6" s="145"/>
    </row>
    <row r="7" ht="16.35" customHeight="1">
      <c r="A7" s="145"/>
      <c r="B7" s="145"/>
      <c r="C7" t="s" s="144">
        <v>182</v>
      </c>
      <c r="D7" s="146">
        <v>24094</v>
      </c>
      <c r="E7" s="145"/>
    </row>
    <row r="8" ht="16.35" customHeight="1">
      <c r="A8" s="145"/>
      <c r="B8" s="145"/>
      <c r="C8" t="s" s="144">
        <v>183</v>
      </c>
      <c r="D8" s="146">
        <v>1500</v>
      </c>
      <c r="E8" s="145"/>
    </row>
    <row r="9" ht="16.35" customHeight="1">
      <c r="A9" s="145"/>
      <c r="B9" s="145"/>
      <c r="C9" t="s" s="144">
        <v>184</v>
      </c>
      <c r="D9" s="146">
        <v>4530</v>
      </c>
      <c r="E9" s="145"/>
    </row>
    <row r="10" ht="16.35" customHeight="1">
      <c r="A10" t="s" s="144">
        <v>185</v>
      </c>
      <c r="B10" s="145"/>
      <c r="C10" t="s" s="144">
        <v>184</v>
      </c>
      <c r="D10" s="146">
        <v>2010</v>
      </c>
      <c r="E10" s="145"/>
    </row>
    <row r="11" ht="16.35" customHeight="1">
      <c r="A11" t="s" s="144">
        <v>186</v>
      </c>
      <c r="B11" s="145"/>
      <c r="C11" t="s" s="144">
        <v>184</v>
      </c>
      <c r="D11" s="146">
        <v>2020</v>
      </c>
      <c r="E11" s="145"/>
    </row>
    <row r="12" ht="16.35" customHeight="1">
      <c r="A12" s="145"/>
      <c r="B12" s="145"/>
      <c r="C12" t="s" s="144">
        <v>184</v>
      </c>
      <c r="D12" s="146">
        <v>5200</v>
      </c>
      <c r="E12" s="145"/>
    </row>
    <row r="13" ht="16.35" customHeight="1">
      <c r="A13" t="s" s="144">
        <v>187</v>
      </c>
      <c r="B13" s="145"/>
      <c r="C13" t="s" s="144">
        <v>188</v>
      </c>
      <c r="D13" s="146">
        <v>30000</v>
      </c>
      <c r="E13" s="145"/>
    </row>
    <row r="14" ht="16.35" customHeight="1">
      <c r="A14" t="s" s="144">
        <v>189</v>
      </c>
      <c r="B14" s="145"/>
      <c r="C14" t="s" s="144">
        <v>190</v>
      </c>
      <c r="D14" s="146">
        <v>22664</v>
      </c>
      <c r="E14" s="145"/>
    </row>
    <row r="15" ht="16.35" customHeight="1">
      <c r="A15" t="s" s="144">
        <v>191</v>
      </c>
      <c r="B15" s="145"/>
      <c r="C15" t="s" s="144">
        <v>190</v>
      </c>
      <c r="D15" s="146">
        <v>9166</v>
      </c>
      <c r="E15" s="145"/>
    </row>
    <row r="16" ht="16.35" customHeight="1">
      <c r="A16" s="145"/>
      <c r="B16" s="145"/>
      <c r="C16" t="s" s="144">
        <v>190</v>
      </c>
      <c r="D16" s="146">
        <v>9166</v>
      </c>
      <c r="E16" s="145"/>
    </row>
    <row r="17" ht="16.35" customHeight="1">
      <c r="A17" s="145"/>
      <c r="B17" s="145"/>
      <c r="C17" t="s" s="144">
        <v>190</v>
      </c>
      <c r="D17" s="146">
        <v>9166</v>
      </c>
      <c r="E17" s="145"/>
    </row>
    <row r="18" ht="16.35" customHeight="1">
      <c r="A18" t="s" s="144">
        <v>192</v>
      </c>
      <c r="B18" s="145"/>
      <c r="C18" t="s" s="144">
        <v>193</v>
      </c>
      <c r="D18" s="146">
        <v>19400</v>
      </c>
      <c r="E18" s="145"/>
    </row>
    <row r="19" ht="16.35" customHeight="1">
      <c r="A19" t="s" s="144">
        <v>194</v>
      </c>
      <c r="B19" s="145"/>
      <c r="C19" t="s" s="144">
        <v>195</v>
      </c>
      <c r="D19" s="146">
        <v>3450</v>
      </c>
      <c r="E19" s="145"/>
    </row>
    <row r="20" ht="16.35" customHeight="1">
      <c r="A20" s="145"/>
      <c r="B20" s="145"/>
      <c r="C20" t="s" s="144">
        <v>196</v>
      </c>
      <c r="D20" s="146">
        <v>3300</v>
      </c>
      <c r="E20" s="145"/>
    </row>
    <row r="21" ht="16.35" customHeight="1">
      <c r="A21" t="s" s="144">
        <v>197</v>
      </c>
      <c r="B21" s="145"/>
      <c r="C21" t="s" s="144">
        <v>198</v>
      </c>
      <c r="D21" s="146">
        <v>4400</v>
      </c>
      <c r="E21" s="145"/>
    </row>
    <row r="22" ht="16.35" customHeight="1">
      <c r="A22" t="s" s="144">
        <v>199</v>
      </c>
      <c r="B22" s="145"/>
      <c r="C22" t="s" s="144">
        <v>200</v>
      </c>
      <c r="D22" s="146">
        <v>8796</v>
      </c>
      <c r="E22" s="145"/>
    </row>
    <row r="23" ht="16.35" customHeight="1">
      <c r="A23" t="s" s="144">
        <v>201</v>
      </c>
      <c r="B23" s="145"/>
      <c r="C23" t="s" s="144">
        <v>202</v>
      </c>
      <c r="D23" s="146">
        <v>30000</v>
      </c>
      <c r="E23" s="145"/>
    </row>
    <row r="24" ht="16.35" customHeight="1">
      <c r="A24" s="145"/>
      <c r="B24" s="145"/>
      <c r="C24" t="s" s="144">
        <v>203</v>
      </c>
      <c r="D24" s="146">
        <v>5000</v>
      </c>
      <c r="E24" s="145"/>
    </row>
    <row r="25" ht="16.35" customHeight="1">
      <c r="A25" s="145"/>
      <c r="B25" s="145"/>
      <c r="C25" t="s" s="144">
        <v>204</v>
      </c>
      <c r="D25" s="146">
        <v>13800</v>
      </c>
      <c r="E25" s="145"/>
    </row>
    <row r="26" ht="16.35" customHeight="1">
      <c r="A26" s="145"/>
      <c r="B26" s="145"/>
      <c r="C26" t="s" s="144">
        <v>205</v>
      </c>
      <c r="D26" s="146">
        <v>64832</v>
      </c>
      <c r="E26" s="145"/>
    </row>
    <row r="27" ht="16.35" customHeight="1">
      <c r="A27" s="145"/>
      <c r="B27" s="145"/>
      <c r="C27" t="s" s="144">
        <v>206</v>
      </c>
      <c r="D27" s="146">
        <v>21990</v>
      </c>
      <c r="E27" s="145"/>
    </row>
    <row r="28" ht="16.35" customHeight="1">
      <c r="A28" s="145"/>
      <c r="B28" s="145"/>
      <c r="C28" t="s" s="144">
        <v>207</v>
      </c>
      <c r="D28" s="146">
        <v>33203</v>
      </c>
      <c r="E28" s="145"/>
    </row>
    <row r="29" ht="16.35" customHeight="1">
      <c r="A29" s="145"/>
      <c r="B29" s="145"/>
      <c r="C29" t="s" s="144">
        <v>208</v>
      </c>
      <c r="D29" s="146">
        <v>3000</v>
      </c>
      <c r="E29" s="145"/>
    </row>
    <row r="30" ht="16.35" customHeight="1">
      <c r="A30" s="145"/>
      <c r="B30" s="145"/>
      <c r="C30" t="s" s="144">
        <v>209</v>
      </c>
      <c r="D30" s="146">
        <v>9200</v>
      </c>
      <c r="E30" s="145"/>
    </row>
    <row r="31" ht="16.35" customHeight="1">
      <c r="A31" t="s" s="144">
        <v>210</v>
      </c>
      <c r="B31" s="145"/>
      <c r="C31" t="s" s="144">
        <v>211</v>
      </c>
      <c r="D31" s="147">
        <v>735</v>
      </c>
      <c r="E31" s="145"/>
    </row>
    <row r="32" ht="16.35" customHeight="1">
      <c r="A32" s="145"/>
      <c r="B32" s="145"/>
      <c r="C32" t="s" s="144">
        <v>212</v>
      </c>
      <c r="D32" s="146">
        <v>9240</v>
      </c>
      <c r="E32" s="145"/>
    </row>
    <row r="33" ht="16.35" customHeight="1">
      <c r="A33" t="s" s="144">
        <v>213</v>
      </c>
      <c r="B33" s="145"/>
      <c r="C33" t="s" s="144">
        <v>214</v>
      </c>
      <c r="D33" s="146">
        <v>26876</v>
      </c>
      <c r="E33" s="145"/>
    </row>
    <row r="34" ht="16.35" customHeight="1">
      <c r="A34" t="s" s="144">
        <v>215</v>
      </c>
      <c r="B34" s="145"/>
      <c r="C34" t="s" s="144">
        <v>214</v>
      </c>
      <c r="D34" s="146">
        <v>9394</v>
      </c>
      <c r="E34" s="145"/>
    </row>
    <row r="35" ht="16.35" customHeight="1">
      <c r="A35" s="145"/>
      <c r="B35" s="145"/>
      <c r="C35" t="s" s="144">
        <v>216</v>
      </c>
      <c r="D35" s="146">
        <v>159950</v>
      </c>
      <c r="E35" s="145"/>
    </row>
    <row r="36" ht="16.35" customHeight="1">
      <c r="A36" t="s" s="144">
        <v>217</v>
      </c>
      <c r="B36" s="145"/>
      <c r="C36" t="s" s="144">
        <v>218</v>
      </c>
      <c r="D36" s="146">
        <v>618677</v>
      </c>
      <c r="E36" s="145"/>
    </row>
    <row r="37" ht="16.35" customHeight="1">
      <c r="A37" s="145"/>
      <c r="B37" s="145"/>
      <c r="C37" t="s" s="144">
        <v>219</v>
      </c>
      <c r="D37" s="146">
        <v>5460</v>
      </c>
      <c r="E37" s="145"/>
    </row>
    <row r="38" ht="16.35" customHeight="1">
      <c r="A38" s="145"/>
      <c r="B38" s="145"/>
      <c r="C38" t="s" s="144">
        <v>219</v>
      </c>
      <c r="D38" s="146">
        <v>5460</v>
      </c>
      <c r="E38" s="145"/>
    </row>
    <row r="39" ht="16.35" customHeight="1">
      <c r="A39" s="145"/>
      <c r="B39" s="145"/>
      <c r="C39" t="s" s="144">
        <v>219</v>
      </c>
      <c r="D39" s="146">
        <v>5460</v>
      </c>
      <c r="E39" s="145"/>
    </row>
    <row r="40" ht="16.35" customHeight="1">
      <c r="A40" s="145"/>
      <c r="B40" s="145"/>
      <c r="C40" t="s" s="144">
        <v>219</v>
      </c>
      <c r="D40" s="146">
        <v>5460</v>
      </c>
      <c r="E40" s="145"/>
    </row>
    <row r="41" ht="16.35" customHeight="1">
      <c r="A41" t="s" s="144">
        <v>220</v>
      </c>
      <c r="B41" s="145"/>
      <c r="C41" t="s" s="144">
        <v>219</v>
      </c>
      <c r="D41" s="146">
        <v>4680</v>
      </c>
      <c r="E41" s="145"/>
    </row>
    <row r="42" ht="16.35" customHeight="1">
      <c r="A42" t="s" s="144">
        <v>221</v>
      </c>
      <c r="B42" s="145"/>
      <c r="C42" t="s" s="144">
        <v>219</v>
      </c>
      <c r="D42" s="146">
        <v>5460</v>
      </c>
      <c r="E42" s="145"/>
    </row>
    <row r="43" ht="16.35" customHeight="1">
      <c r="A43" s="145"/>
      <c r="B43" s="145"/>
      <c r="C43" t="s" s="144">
        <v>219</v>
      </c>
      <c r="D43" s="146">
        <v>5460</v>
      </c>
      <c r="E43" s="145"/>
    </row>
    <row r="44" ht="16.35" customHeight="1">
      <c r="A44" s="145"/>
      <c r="B44" s="145"/>
      <c r="C44" t="s" s="144">
        <v>219</v>
      </c>
      <c r="D44" s="146">
        <v>5460</v>
      </c>
      <c r="E44" s="145"/>
    </row>
    <row r="45" ht="16.35" customHeight="1">
      <c r="A45" t="s" s="144">
        <v>222</v>
      </c>
      <c r="B45" s="145"/>
      <c r="C45" t="s" s="144">
        <v>219</v>
      </c>
      <c r="D45" s="146">
        <v>4680</v>
      </c>
      <c r="E45" s="145"/>
    </row>
    <row r="46" ht="16.35" customHeight="1">
      <c r="A46" s="145"/>
      <c r="B46" s="145"/>
      <c r="C46" t="s" s="144">
        <v>219</v>
      </c>
      <c r="D46" s="146">
        <v>3150</v>
      </c>
      <c r="E46" s="145"/>
    </row>
    <row r="47" ht="16.35" customHeight="1">
      <c r="A47" s="145"/>
      <c r="B47" s="145"/>
      <c r="C47" t="s" s="144">
        <v>219</v>
      </c>
      <c r="D47" s="146">
        <v>5460</v>
      </c>
      <c r="E47" s="145"/>
    </row>
    <row r="48" ht="16.35" customHeight="1">
      <c r="A48" s="145"/>
      <c r="B48" s="145"/>
      <c r="C48" t="s" s="144">
        <v>223</v>
      </c>
      <c r="D48" s="146">
        <v>5680</v>
      </c>
      <c r="E48" s="145"/>
    </row>
    <row r="49" ht="16.35" customHeight="1">
      <c r="A49" s="145"/>
      <c r="B49" s="145"/>
      <c r="C49" t="s" s="144">
        <v>223</v>
      </c>
      <c r="D49" s="146">
        <v>2100</v>
      </c>
      <c r="E49" s="145"/>
    </row>
    <row r="50" ht="16.35" customHeight="1">
      <c r="A50" s="145"/>
      <c r="B50" s="145"/>
      <c r="C50" t="s" s="144">
        <v>223</v>
      </c>
      <c r="D50" s="146">
        <v>5090</v>
      </c>
      <c r="E50" s="145"/>
    </row>
    <row r="51" ht="16.35" customHeight="1">
      <c r="A51" s="145"/>
      <c r="B51" s="145"/>
      <c r="C51" t="s" s="144">
        <v>223</v>
      </c>
      <c r="D51" s="146">
        <v>1990</v>
      </c>
      <c r="E51" s="145"/>
    </row>
    <row r="52" ht="16.35" customHeight="1">
      <c r="A52" t="s" s="144">
        <v>224</v>
      </c>
      <c r="B52" s="145"/>
      <c r="C52" t="s" s="144">
        <v>223</v>
      </c>
      <c r="D52" s="146">
        <v>2100</v>
      </c>
      <c r="E52" s="145"/>
    </row>
    <row r="53" ht="16.35" customHeight="1">
      <c r="A53" s="145"/>
      <c r="B53" s="145"/>
      <c r="C53" t="s" s="144">
        <v>225</v>
      </c>
      <c r="D53" s="146">
        <v>35833</v>
      </c>
      <c r="E53" s="145"/>
    </row>
    <row r="54" ht="16.35" customHeight="1">
      <c r="A54" t="s" s="144">
        <v>226</v>
      </c>
      <c r="B54" s="145"/>
      <c r="C54" t="s" s="144">
        <v>225</v>
      </c>
      <c r="D54" s="146">
        <v>8495</v>
      </c>
      <c r="E54" s="145"/>
    </row>
    <row r="55" ht="16.35" customHeight="1">
      <c r="A55" s="145"/>
      <c r="B55" s="145"/>
      <c r="C55" t="s" s="144">
        <v>227</v>
      </c>
      <c r="D55" s="146">
        <v>23740</v>
      </c>
      <c r="E55" s="145"/>
    </row>
    <row r="56" ht="16.35" customHeight="1">
      <c r="A56" s="145"/>
      <c r="B56" s="145"/>
      <c r="C56" t="s" s="144">
        <v>228</v>
      </c>
      <c r="D56" s="146">
        <v>29000</v>
      </c>
      <c r="E56" s="145"/>
    </row>
    <row r="57" ht="16.35" customHeight="1">
      <c r="A57" s="145"/>
      <c r="B57" s="145"/>
      <c r="C57" t="s" s="144">
        <v>229</v>
      </c>
      <c r="D57" s="146">
        <v>6000</v>
      </c>
      <c r="E57" s="145"/>
    </row>
    <row r="58" ht="16.35" customHeight="1">
      <c r="A58" s="145"/>
      <c r="B58" s="145"/>
      <c r="C58" t="s" s="144">
        <v>230</v>
      </c>
      <c r="D58" s="146">
        <v>15000</v>
      </c>
      <c r="E58" s="145"/>
    </row>
    <row r="59" ht="16.35" customHeight="1">
      <c r="A59" s="145"/>
      <c r="B59" s="145"/>
      <c r="C59" t="s" s="144">
        <v>231</v>
      </c>
      <c r="D59" s="146">
        <v>21670</v>
      </c>
      <c r="E59" s="145"/>
    </row>
    <row r="60" ht="16.35" customHeight="1">
      <c r="A60" t="s" s="144">
        <v>232</v>
      </c>
      <c r="B60" s="145"/>
      <c r="C60" t="s" s="144">
        <v>231</v>
      </c>
      <c r="D60" s="146">
        <v>21681</v>
      </c>
      <c r="E60" s="145"/>
    </row>
    <row r="61" ht="16.35" customHeight="1">
      <c r="A61" s="145"/>
      <c r="B61" s="145"/>
      <c r="C61" t="s" s="144">
        <v>233</v>
      </c>
      <c r="D61" s="146">
        <v>5300</v>
      </c>
      <c r="E61" s="145"/>
    </row>
    <row r="62" ht="16.35" customHeight="1">
      <c r="A62" s="145"/>
      <c r="B62" s="145"/>
      <c r="C62" t="s" s="144">
        <v>234</v>
      </c>
      <c r="D62" s="146">
        <v>14980</v>
      </c>
      <c r="E62" s="145"/>
    </row>
    <row r="63" ht="16.35" customHeight="1">
      <c r="A63" s="145"/>
      <c r="B63" s="145"/>
      <c r="C63" t="s" s="144">
        <v>235</v>
      </c>
      <c r="D63" s="146">
        <v>24950</v>
      </c>
      <c r="E63" s="145"/>
    </row>
    <row r="64" ht="16.35" customHeight="1">
      <c r="A64" t="s" s="144">
        <v>236</v>
      </c>
      <c r="B64" s="145"/>
      <c r="C64" t="s" s="144">
        <v>235</v>
      </c>
      <c r="D64" s="146">
        <v>24500</v>
      </c>
      <c r="E64" s="145"/>
    </row>
    <row r="65" ht="16.35" customHeight="1">
      <c r="A65" s="145"/>
      <c r="B65" s="145"/>
      <c r="C65" t="s" s="144">
        <v>237</v>
      </c>
      <c r="D65" s="146">
        <v>32670</v>
      </c>
      <c r="E65" s="145"/>
    </row>
    <row r="66" ht="16.35" customHeight="1">
      <c r="A66" s="145"/>
      <c r="B66" s="145"/>
      <c r="C66" t="s" s="144">
        <v>238</v>
      </c>
      <c r="D66" s="146">
        <v>11190</v>
      </c>
      <c r="E66" s="145"/>
    </row>
    <row r="67" ht="20.35" customHeight="1">
      <c r="A67" s="145"/>
      <c r="B67" s="145"/>
      <c r="C67" t="s" s="144">
        <v>239</v>
      </c>
      <c r="D67" s="32"/>
      <c r="E67" s="146">
        <v>3021683</v>
      </c>
    </row>
    <row r="68" ht="16.35" customHeight="1">
      <c r="A68" s="145"/>
      <c r="B68" s="145"/>
      <c r="C68" t="s" s="144">
        <v>240</v>
      </c>
      <c r="D68" s="146">
        <v>64050</v>
      </c>
      <c r="E68" s="145"/>
    </row>
    <row r="69" ht="16.35" customHeight="1">
      <c r="A69" s="145"/>
      <c r="B69" s="145"/>
      <c r="C69" t="s" s="144">
        <v>241</v>
      </c>
      <c r="D69" s="146">
        <v>9165</v>
      </c>
      <c r="E69" s="145"/>
    </row>
    <row r="70" ht="16.35" customHeight="1">
      <c r="A70" t="s" s="144">
        <v>242</v>
      </c>
      <c r="B70" s="145"/>
      <c r="C70" t="s" s="144">
        <v>241</v>
      </c>
      <c r="D70" s="146">
        <v>16260</v>
      </c>
      <c r="E70" s="145"/>
    </row>
    <row r="71" ht="16.35" customHeight="1">
      <c r="A71" t="s" s="144">
        <v>243</v>
      </c>
      <c r="B71" s="145"/>
      <c r="C71" t="s" s="144">
        <v>244</v>
      </c>
      <c r="D71" s="146">
        <v>2889</v>
      </c>
      <c r="E71" s="145"/>
    </row>
    <row r="72" ht="16.35" customHeight="1">
      <c r="A72" s="145"/>
      <c r="B72" s="145"/>
      <c r="C72" t="s" s="144">
        <v>245</v>
      </c>
      <c r="D72" s="146">
        <v>3072815</v>
      </c>
      <c r="E72" s="145"/>
    </row>
    <row r="73" ht="16.35" customHeight="1">
      <c r="A73" s="145"/>
      <c r="B73" s="145"/>
      <c r="C73" t="s" s="144">
        <v>245</v>
      </c>
      <c r="D73" s="146">
        <v>3071622</v>
      </c>
      <c r="E73" s="145"/>
    </row>
    <row r="74" ht="16.35" customHeight="1">
      <c r="A74" s="145"/>
      <c r="B74" s="145"/>
      <c r="C74" t="s" s="144">
        <v>246</v>
      </c>
      <c r="D74" s="146">
        <v>8000</v>
      </c>
      <c r="E74" s="145"/>
    </row>
    <row r="75" ht="16.35" customHeight="1">
      <c r="A75" s="145"/>
      <c r="B75" s="145"/>
      <c r="C75" t="s" s="144">
        <v>247</v>
      </c>
      <c r="D75" s="146">
        <v>1990</v>
      </c>
      <c r="E75" s="145"/>
    </row>
    <row r="76" ht="16.35" customHeight="1">
      <c r="A76" s="145"/>
      <c r="B76" s="145"/>
      <c r="C76" t="s" s="144">
        <v>248</v>
      </c>
      <c r="D76" s="146">
        <v>6990</v>
      </c>
      <c r="E76" s="145"/>
    </row>
    <row r="77" ht="16.35" customHeight="1">
      <c r="A77" s="145"/>
      <c r="B77" s="145"/>
      <c r="C77" t="s" s="144">
        <v>249</v>
      </c>
      <c r="D77" s="146">
        <v>29900</v>
      </c>
      <c r="E77" s="145"/>
    </row>
    <row r="78" ht="16.35" customHeight="1">
      <c r="A78" t="s" s="144">
        <v>250</v>
      </c>
      <c r="B78" s="145"/>
      <c r="C78" t="s" s="144">
        <v>251</v>
      </c>
      <c r="D78" s="146">
        <v>17484</v>
      </c>
      <c r="E78" s="145"/>
    </row>
    <row r="79" ht="20.35" customHeight="1">
      <c r="A79" t="s" s="144">
        <v>252</v>
      </c>
      <c r="B79" s="145"/>
      <c r="C79" t="s" s="144">
        <v>251</v>
      </c>
      <c r="D79" s="32"/>
      <c r="E79" s="146">
        <v>1473</v>
      </c>
    </row>
    <row r="80" ht="20.35" customHeight="1">
      <c r="A80" s="145"/>
      <c r="B80" s="145"/>
      <c r="C80" t="s" s="144">
        <v>251</v>
      </c>
      <c r="D80" s="32"/>
      <c r="E80" s="146">
        <v>36448</v>
      </c>
    </row>
    <row r="81" ht="16.35" customHeight="1">
      <c r="A81" t="s" s="144">
        <v>253</v>
      </c>
      <c r="B81" s="145"/>
      <c r="C81" t="s" s="144">
        <v>251</v>
      </c>
      <c r="D81" s="146">
        <v>9629</v>
      </c>
      <c r="E81" s="145"/>
    </row>
    <row r="82" ht="20.35" customHeight="1">
      <c r="A82" s="145"/>
      <c r="B82" s="145"/>
      <c r="C82" t="s" s="144">
        <v>251</v>
      </c>
      <c r="D82" s="32"/>
      <c r="E82" s="146">
        <v>1998</v>
      </c>
    </row>
    <row r="83" ht="20.35" customHeight="1">
      <c r="A83" s="145"/>
      <c r="B83" s="145"/>
      <c r="C83" t="s" s="144">
        <v>251</v>
      </c>
      <c r="D83" s="32"/>
      <c r="E83" s="146">
        <v>57266</v>
      </c>
    </row>
    <row r="84" ht="16.35" customHeight="1">
      <c r="A84" t="s" s="144">
        <v>254</v>
      </c>
      <c r="B84" s="145"/>
      <c r="C84" t="s" s="144">
        <v>251</v>
      </c>
      <c r="D84" s="146">
        <v>9629</v>
      </c>
      <c r="E84" s="145"/>
    </row>
    <row r="85" ht="16.35" customHeight="1">
      <c r="A85" s="145"/>
      <c r="B85" s="145"/>
      <c r="C85" t="s" s="144">
        <v>251</v>
      </c>
      <c r="D85" s="146">
        <v>9629</v>
      </c>
      <c r="E85" s="145"/>
    </row>
    <row r="86" ht="16.35" customHeight="1">
      <c r="A86" t="s" s="144">
        <v>255</v>
      </c>
      <c r="B86" s="145"/>
      <c r="C86" t="s" s="144">
        <v>251</v>
      </c>
      <c r="D86" s="146">
        <v>8223</v>
      </c>
      <c r="E86" s="145"/>
    </row>
    <row r="87" ht="20.35" customHeight="1">
      <c r="A87" t="s" s="144">
        <v>256</v>
      </c>
      <c r="B87" s="145"/>
      <c r="C87" t="s" s="144">
        <v>251</v>
      </c>
      <c r="D87" s="32"/>
      <c r="E87" s="146">
        <v>1735</v>
      </c>
    </row>
    <row r="88" ht="20.35" customHeight="1">
      <c r="A88" s="145"/>
      <c r="B88" s="145"/>
      <c r="C88" t="s" s="144">
        <v>251</v>
      </c>
      <c r="D88" s="32"/>
      <c r="E88" s="146">
        <v>47697</v>
      </c>
    </row>
    <row r="89" ht="16.35" customHeight="1">
      <c r="A89" s="145"/>
      <c r="B89" s="145"/>
      <c r="C89" t="s" s="144">
        <v>257</v>
      </c>
      <c r="D89" s="146">
        <v>5763</v>
      </c>
      <c r="E89" s="145"/>
    </row>
    <row r="90" ht="16.35" customHeight="1">
      <c r="A90" t="s" s="144">
        <v>258</v>
      </c>
      <c r="B90" s="145"/>
      <c r="C90" t="s" s="144">
        <v>259</v>
      </c>
      <c r="D90" s="146">
        <v>57500</v>
      </c>
      <c r="E90" s="145"/>
    </row>
    <row r="91" ht="16.35" customHeight="1">
      <c r="A91" s="145"/>
      <c r="B91" s="145"/>
      <c r="C91" t="s" s="144">
        <v>260</v>
      </c>
      <c r="D91" s="146">
        <v>69660</v>
      </c>
      <c r="E91" s="145"/>
    </row>
    <row r="92" ht="16.35" customHeight="1">
      <c r="A92" s="145"/>
      <c r="B92" s="145"/>
      <c r="C92" t="s" s="144">
        <v>261</v>
      </c>
      <c r="D92" s="146">
        <v>103740</v>
      </c>
      <c r="E92" s="145"/>
    </row>
    <row r="93" ht="16.35" customHeight="1">
      <c r="A93" s="145"/>
      <c r="B93" s="145"/>
      <c r="C93" t="s" s="144">
        <v>262</v>
      </c>
      <c r="D93" s="146">
        <v>4221</v>
      </c>
      <c r="E93" s="145"/>
    </row>
    <row r="94" ht="16.35" customHeight="1">
      <c r="A94" t="s" s="144">
        <v>263</v>
      </c>
      <c r="B94" s="145"/>
      <c r="C94" t="s" s="144">
        <v>264</v>
      </c>
      <c r="D94" s="146">
        <v>2450</v>
      </c>
      <c r="E94" s="145"/>
    </row>
    <row r="95" ht="16.35" customHeight="1">
      <c r="A95" s="145"/>
      <c r="B95" s="145"/>
      <c r="C95" t="s" s="144">
        <v>265</v>
      </c>
      <c r="D95" s="146">
        <v>15846</v>
      </c>
      <c r="E95" s="145"/>
    </row>
    <row r="96" ht="16.35" customHeight="1">
      <c r="A96" t="s" s="144">
        <v>266</v>
      </c>
      <c r="B96" s="145"/>
      <c r="C96" t="s" s="144">
        <v>265</v>
      </c>
      <c r="D96" s="146">
        <v>30487</v>
      </c>
      <c r="E96" s="145"/>
    </row>
    <row r="97" ht="16.35" customHeight="1">
      <c r="A97" s="145"/>
      <c r="B97" s="145"/>
      <c r="C97" t="s" s="144">
        <v>267</v>
      </c>
      <c r="D97" s="146">
        <v>19500</v>
      </c>
      <c r="E97" s="145"/>
    </row>
    <row r="98" ht="16.35" customHeight="1">
      <c r="A98" t="s" s="144">
        <v>268</v>
      </c>
      <c r="B98" s="145"/>
      <c r="C98" t="s" s="144">
        <v>269</v>
      </c>
      <c r="D98" s="146">
        <v>4990</v>
      </c>
      <c r="E98" s="145"/>
    </row>
    <row r="99" ht="16.35" customHeight="1">
      <c r="A99" t="s" s="144">
        <v>270</v>
      </c>
      <c r="B99" s="145"/>
      <c r="C99" t="s" s="144">
        <v>271</v>
      </c>
      <c r="D99" s="146">
        <v>12500</v>
      </c>
      <c r="E99" s="145"/>
    </row>
    <row r="100" ht="16.35" customHeight="1">
      <c r="A100" t="s" s="144">
        <v>272</v>
      </c>
      <c r="B100" s="145"/>
      <c r="C100" t="s" s="144">
        <v>273</v>
      </c>
      <c r="D100" s="146">
        <v>17253</v>
      </c>
      <c r="E100" s="145"/>
    </row>
    <row r="101" ht="16.35" customHeight="1">
      <c r="A101" s="145"/>
      <c r="B101" s="145"/>
      <c r="C101" t="s" s="144">
        <v>274</v>
      </c>
      <c r="D101" s="146">
        <v>28220</v>
      </c>
      <c r="E101" s="145"/>
    </row>
    <row r="102" ht="16.35" customHeight="1">
      <c r="A102" t="s" s="144">
        <v>275</v>
      </c>
      <c r="B102" s="145"/>
      <c r="C102" t="s" s="144">
        <v>276</v>
      </c>
      <c r="D102" s="146">
        <v>5900</v>
      </c>
      <c r="E102" s="145"/>
    </row>
    <row r="103" ht="16.35" customHeight="1">
      <c r="A103" t="s" s="144">
        <v>277</v>
      </c>
      <c r="B103" s="145"/>
      <c r="C103" t="s" s="144">
        <v>276</v>
      </c>
      <c r="D103" s="146">
        <v>2990</v>
      </c>
      <c r="E103" s="145"/>
    </row>
    <row r="104" ht="16.35" customHeight="1">
      <c r="A104" s="145"/>
      <c r="B104" s="145"/>
      <c r="C104" t="s" s="144">
        <v>278</v>
      </c>
      <c r="D104" s="146">
        <v>3000</v>
      </c>
      <c r="E104" s="145"/>
    </row>
    <row r="105" ht="16.35" customHeight="1">
      <c r="A105" t="s" s="144">
        <v>279</v>
      </c>
      <c r="B105" s="145"/>
      <c r="C105" t="s" s="144">
        <v>280</v>
      </c>
      <c r="D105" s="146">
        <v>12000</v>
      </c>
      <c r="E105" s="145"/>
    </row>
    <row r="106" ht="16.35" customHeight="1">
      <c r="A106" s="145"/>
      <c r="B106" s="145"/>
      <c r="C106" t="s" s="144">
        <v>281</v>
      </c>
      <c r="D106" s="146">
        <v>10000</v>
      </c>
      <c r="E106" s="145"/>
    </row>
    <row r="107" ht="16.35" customHeight="1">
      <c r="A107" t="s" s="144">
        <v>282</v>
      </c>
      <c r="B107" s="145"/>
      <c r="C107" t="s" s="144">
        <v>283</v>
      </c>
      <c r="D107" s="146">
        <v>275697</v>
      </c>
      <c r="E107" s="145"/>
    </row>
    <row r="108" ht="20.35" customHeight="1">
      <c r="A108" s="26"/>
      <c r="B108" s="26"/>
      <c r="C108" s="26"/>
      <c r="D108" s="32"/>
      <c r="E108" s="32"/>
    </row>
    <row r="109" ht="20.35" customHeight="1">
      <c r="A109" s="26"/>
      <c r="B109" s="26"/>
      <c r="C109" s="26"/>
      <c r="D109" s="32"/>
      <c r="E109" s="32"/>
    </row>
    <row r="110" ht="20.35" customHeight="1">
      <c r="A110" s="26"/>
      <c r="B110" s="26"/>
      <c r="C110" s="26"/>
      <c r="D110" s="32"/>
      <c r="E110" s="32"/>
    </row>
    <row r="111" ht="20.35" customHeight="1">
      <c r="A111" s="26"/>
      <c r="B111" s="26"/>
      <c r="C111" s="26"/>
      <c r="D111" s="32"/>
      <c r="E111" s="32"/>
    </row>
    <row r="112" ht="20.35" customHeight="1">
      <c r="A112" s="26"/>
      <c r="B112" s="26"/>
      <c r="C112" s="26"/>
      <c r="D112" s="32"/>
      <c r="E112" s="32"/>
    </row>
    <row r="113" ht="20.35" customHeight="1">
      <c r="A113" s="26"/>
      <c r="B113" s="26"/>
      <c r="C113" s="26"/>
      <c r="D113" s="32"/>
      <c r="E113" s="32"/>
    </row>
    <row r="114" ht="20.35" customHeight="1">
      <c r="A114" s="26"/>
      <c r="B114" s="26"/>
      <c r="C114" s="26"/>
      <c r="D114" s="32"/>
      <c r="E114" s="32"/>
    </row>
    <row r="115" ht="20.35" customHeight="1">
      <c r="A115" s="26"/>
      <c r="B115" s="26"/>
      <c r="C115" s="26"/>
      <c r="D115" s="32"/>
      <c r="E115" s="32"/>
    </row>
    <row r="116" ht="20.35" customHeight="1">
      <c r="A116" s="26"/>
      <c r="B116" s="26"/>
      <c r="C116" s="26"/>
      <c r="D116" s="32"/>
      <c r="E116" s="32"/>
    </row>
    <row r="117" ht="20.35" customHeight="1">
      <c r="A117" s="26"/>
      <c r="B117" s="26"/>
      <c r="C117" s="26"/>
      <c r="D117" s="32"/>
      <c r="E117" s="32"/>
    </row>
    <row r="118" ht="20.35" customHeight="1">
      <c r="A118" s="26"/>
      <c r="B118" s="26"/>
      <c r="C118" s="26"/>
      <c r="D118" s="32"/>
      <c r="E118" s="32"/>
    </row>
  </sheetData>
  <hyperlinks>
    <hyperlink ref="C14" r:id="rId1" location="" tooltip="" display="APPLE.COM"/>
    <hyperlink ref="C15" r:id="rId2" location="" tooltip="" display="APPLE.COM"/>
    <hyperlink ref="C16" r:id="rId3" location="" tooltip="" display="APPLE.COM"/>
    <hyperlink ref="C17" r:id="rId4" location="" tooltip="" display="APPLE.COM"/>
    <hyperlink ref="C36" r:id="rId5" location="" tooltip="" display="LATAM.COM"/>
  </hyperlink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E118"/>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2" width="16.3516" style="148" customWidth="1"/>
    <col min="3" max="3" width="37.9922" style="148" customWidth="1"/>
    <col min="4" max="5" width="16.3516" style="148" customWidth="1"/>
    <col min="6" max="16384" width="16.3516" style="148" customWidth="1"/>
  </cols>
  <sheetData>
    <row r="1" ht="20.55" customHeight="1">
      <c r="A1" s="7"/>
      <c r="B1" s="7"/>
      <c r="C1" s="7"/>
      <c r="D1" t="s" s="8">
        <v>286</v>
      </c>
      <c r="E1" s="143" cm="1">
        <f t="array" ref="E1">SUM(D2:D118)</f>
        <v>3021683</v>
      </c>
    </row>
    <row r="2" ht="20.55" customHeight="1">
      <c r="A2" s="82"/>
      <c r="B2" s="82"/>
      <c r="C2" s="82"/>
      <c r="D2" s="82"/>
      <c r="E2" s="82"/>
    </row>
    <row r="3" ht="20.35" customHeight="1">
      <c r="A3" s="32"/>
      <c r="B3" s="32"/>
      <c r="C3" s="32"/>
      <c r="D3" s="32"/>
      <c r="E3" s="32"/>
    </row>
    <row r="4" ht="16.35" customHeight="1">
      <c r="A4" t="s" s="144">
        <v>176</v>
      </c>
      <c r="B4" s="145"/>
      <c r="C4" t="s" s="144">
        <v>177</v>
      </c>
      <c r="D4" s="146">
        <v>49990</v>
      </c>
      <c r="E4" s="145"/>
    </row>
    <row r="5" ht="16.35" customHeight="1">
      <c r="A5" s="145"/>
      <c r="B5" s="145"/>
      <c r="C5" t="s" s="144">
        <v>179</v>
      </c>
      <c r="D5" s="146">
        <v>23900</v>
      </c>
      <c r="E5" s="145"/>
    </row>
    <row r="6" ht="16.35" customHeight="1">
      <c r="A6" s="145"/>
      <c r="B6" s="145"/>
      <c r="C6" t="s" s="144">
        <v>181</v>
      </c>
      <c r="D6" s="146">
        <v>42710</v>
      </c>
      <c r="E6" s="145"/>
    </row>
    <row r="7" ht="16.35" customHeight="1">
      <c r="A7" s="145"/>
      <c r="B7" s="145"/>
      <c r="C7" t="s" s="144">
        <v>184</v>
      </c>
      <c r="D7" s="146">
        <v>2720</v>
      </c>
      <c r="E7" s="145"/>
    </row>
    <row r="8" ht="16.35" customHeight="1">
      <c r="A8" s="145"/>
      <c r="B8" s="145"/>
      <c r="C8" t="s" s="144">
        <v>184</v>
      </c>
      <c r="D8" s="146">
        <v>3130</v>
      </c>
      <c r="E8" s="145"/>
    </row>
    <row r="9" ht="16.35" customHeight="1">
      <c r="A9" t="s" s="144">
        <v>287</v>
      </c>
      <c r="B9" s="145"/>
      <c r="C9" t="s" s="144">
        <v>184</v>
      </c>
      <c r="D9" s="146">
        <v>1650</v>
      </c>
      <c r="E9" s="145"/>
    </row>
    <row r="10" ht="16.35" customHeight="1">
      <c r="A10" s="145"/>
      <c r="B10" s="145"/>
      <c r="C10" t="s" s="144">
        <v>184</v>
      </c>
      <c r="D10" s="146">
        <v>3510</v>
      </c>
      <c r="E10" s="145"/>
    </row>
    <row r="11" ht="16.35" customHeight="1">
      <c r="A11" t="s" s="144">
        <v>288</v>
      </c>
      <c r="B11" s="145"/>
      <c r="C11" t="s" s="144">
        <v>184</v>
      </c>
      <c r="D11" s="146">
        <v>2230</v>
      </c>
      <c r="E11" s="145"/>
    </row>
    <row r="12" ht="16.35" customHeight="1">
      <c r="A12" s="145"/>
      <c r="B12" s="145"/>
      <c r="C12" t="s" s="144">
        <v>184</v>
      </c>
      <c r="D12" s="146">
        <v>3380</v>
      </c>
      <c r="E12" s="145"/>
    </row>
    <row r="13" ht="16.35" customHeight="1">
      <c r="A13" t="s" s="144">
        <v>289</v>
      </c>
      <c r="B13" s="145"/>
      <c r="C13" t="s" s="144">
        <v>184</v>
      </c>
      <c r="D13" s="146">
        <v>4050</v>
      </c>
      <c r="E13" s="145"/>
    </row>
    <row r="14" ht="16.35" customHeight="1">
      <c r="A14" t="s" s="144">
        <v>282</v>
      </c>
      <c r="B14" s="145"/>
      <c r="C14" t="s" s="144">
        <v>184</v>
      </c>
      <c r="D14" s="146">
        <v>3500</v>
      </c>
      <c r="E14" s="145"/>
    </row>
    <row r="15" ht="16.35" customHeight="1">
      <c r="A15" s="145"/>
      <c r="B15" s="145"/>
      <c r="C15" t="s" s="144">
        <v>184</v>
      </c>
      <c r="D15" s="146">
        <v>2930</v>
      </c>
      <c r="E15" s="145"/>
    </row>
    <row r="16" ht="16.35" customHeight="1">
      <c r="A16" t="s" s="144">
        <v>290</v>
      </c>
      <c r="B16" s="145"/>
      <c r="C16" t="s" s="144">
        <v>184</v>
      </c>
      <c r="D16" s="146">
        <v>2400</v>
      </c>
      <c r="E16" s="145"/>
    </row>
    <row r="17" ht="16.35" customHeight="1">
      <c r="A17" t="s" s="144">
        <v>291</v>
      </c>
      <c r="B17" s="145"/>
      <c r="C17" t="s" s="144">
        <v>184</v>
      </c>
      <c r="D17" s="146">
        <v>1860</v>
      </c>
      <c r="E17" s="145"/>
    </row>
    <row r="18" ht="16.35" customHeight="1">
      <c r="A18" t="s" s="144">
        <v>292</v>
      </c>
      <c r="B18" s="145"/>
      <c r="C18" t="s" s="144">
        <v>184</v>
      </c>
      <c r="D18" s="146">
        <v>1330</v>
      </c>
      <c r="E18" s="145"/>
    </row>
    <row r="19" ht="16.35" customHeight="1">
      <c r="A19" t="s" s="144">
        <v>293</v>
      </c>
      <c r="B19" s="145"/>
      <c r="C19" t="s" s="144">
        <v>184</v>
      </c>
      <c r="D19" s="146">
        <v>3120</v>
      </c>
      <c r="E19" s="145"/>
    </row>
    <row r="20" ht="16.35" customHeight="1">
      <c r="A20" s="145"/>
      <c r="B20" s="145"/>
      <c r="C20" t="s" s="144">
        <v>184</v>
      </c>
      <c r="D20" s="146">
        <v>1250</v>
      </c>
      <c r="E20" s="145"/>
    </row>
    <row r="21" ht="16.35" customHeight="1">
      <c r="A21" s="145"/>
      <c r="B21" s="145"/>
      <c r="C21" t="s" s="144">
        <v>184</v>
      </c>
      <c r="D21" s="146">
        <v>1800</v>
      </c>
      <c r="E21" s="145"/>
    </row>
    <row r="22" ht="16.35" customHeight="1">
      <c r="A22" t="s" s="144">
        <v>294</v>
      </c>
      <c r="B22" s="145"/>
      <c r="C22" t="s" s="144">
        <v>184</v>
      </c>
      <c r="D22" s="146">
        <v>7250</v>
      </c>
      <c r="E22" s="145"/>
    </row>
    <row r="23" ht="16.35" customHeight="1">
      <c r="A23" t="s" s="144">
        <v>272</v>
      </c>
      <c r="B23" s="145"/>
      <c r="C23" t="s" s="144">
        <v>184</v>
      </c>
      <c r="D23" s="146">
        <v>3260</v>
      </c>
      <c r="E23" s="145"/>
    </row>
    <row r="24" ht="16.35" customHeight="1">
      <c r="A24" s="145"/>
      <c r="B24" s="145"/>
      <c r="C24" t="s" s="144">
        <v>295</v>
      </c>
      <c r="D24" s="146">
        <v>14500</v>
      </c>
      <c r="E24" s="145"/>
    </row>
    <row r="25" ht="16.35" customHeight="1">
      <c r="A25" s="145"/>
      <c r="B25" s="145"/>
      <c r="C25" t="s" s="144">
        <v>296</v>
      </c>
      <c r="D25" s="146">
        <v>11090</v>
      </c>
      <c r="E25" s="145"/>
    </row>
    <row r="26" ht="16.35" customHeight="1">
      <c r="A26" t="s" s="144">
        <v>189</v>
      </c>
      <c r="B26" s="145"/>
      <c r="C26" t="s" s="144">
        <v>190</v>
      </c>
      <c r="D26" s="146">
        <v>22663</v>
      </c>
      <c r="E26" s="145"/>
    </row>
    <row r="27" ht="16.35" customHeight="1">
      <c r="A27" t="s" s="144">
        <v>191</v>
      </c>
      <c r="B27" s="145"/>
      <c r="C27" t="s" s="144">
        <v>190</v>
      </c>
      <c r="D27" s="146">
        <v>9166</v>
      </c>
      <c r="E27" s="145"/>
    </row>
    <row r="28" ht="16.35" customHeight="1">
      <c r="A28" s="145"/>
      <c r="B28" s="145"/>
      <c r="C28" t="s" s="144">
        <v>190</v>
      </c>
      <c r="D28" s="146">
        <v>9166</v>
      </c>
      <c r="E28" s="145"/>
    </row>
    <row r="29" ht="16.35" customHeight="1">
      <c r="A29" s="145"/>
      <c r="B29" s="145"/>
      <c r="C29" t="s" s="144">
        <v>190</v>
      </c>
      <c r="D29" s="146">
        <v>9166</v>
      </c>
      <c r="E29" s="145"/>
    </row>
    <row r="30" ht="16.35" customHeight="1">
      <c r="A30" s="145"/>
      <c r="B30" s="145"/>
      <c r="C30" t="s" s="144">
        <v>297</v>
      </c>
      <c r="D30" s="146">
        <v>3890</v>
      </c>
      <c r="E30" s="145"/>
    </row>
    <row r="31" ht="16.35" customHeight="1">
      <c r="A31" s="145"/>
      <c r="B31" s="145"/>
      <c r="C31" t="s" s="144">
        <v>200</v>
      </c>
      <c r="D31" s="146">
        <v>10667</v>
      </c>
      <c r="E31" s="145"/>
    </row>
    <row r="32" ht="16.35" customHeight="1">
      <c r="A32" t="s" s="144">
        <v>298</v>
      </c>
      <c r="B32" s="145"/>
      <c r="C32" t="s" s="144">
        <v>299</v>
      </c>
      <c r="D32" s="146">
        <v>20000</v>
      </c>
      <c r="E32" s="145"/>
    </row>
    <row r="33" ht="16.35" customHeight="1">
      <c r="A33" s="145"/>
      <c r="B33" s="145"/>
      <c r="C33" t="s" s="144">
        <v>202</v>
      </c>
      <c r="D33" s="146">
        <v>53580</v>
      </c>
      <c r="E33" s="145"/>
    </row>
    <row r="34" ht="16.35" customHeight="1">
      <c r="A34" s="145"/>
      <c r="B34" s="145"/>
      <c r="C34" t="s" s="144">
        <v>300</v>
      </c>
      <c r="D34" s="146">
        <v>4400</v>
      </c>
      <c r="E34" s="145"/>
    </row>
    <row r="35" ht="16.35" customHeight="1">
      <c r="A35" s="145"/>
      <c r="B35" s="145"/>
      <c r="C35" t="s" s="144">
        <v>301</v>
      </c>
      <c r="D35" s="146">
        <v>10651</v>
      </c>
      <c r="E35" s="145"/>
    </row>
    <row r="36" ht="16.35" customHeight="1">
      <c r="A36" s="145"/>
      <c r="B36" s="145"/>
      <c r="C36" t="s" s="144">
        <v>205</v>
      </c>
      <c r="D36" s="146">
        <v>42263</v>
      </c>
      <c r="E36" s="145"/>
    </row>
    <row r="37" ht="16.35" customHeight="1">
      <c r="A37" t="s" s="144">
        <v>302</v>
      </c>
      <c r="B37" s="145"/>
      <c r="C37" t="s" s="144">
        <v>205</v>
      </c>
      <c r="D37" s="146">
        <v>32998</v>
      </c>
      <c r="E37" s="145"/>
    </row>
    <row r="38" ht="16.35" customHeight="1">
      <c r="A38" s="145"/>
      <c r="B38" s="145"/>
      <c r="C38" t="s" s="144">
        <v>206</v>
      </c>
      <c r="D38" s="146">
        <v>12990</v>
      </c>
      <c r="E38" s="145"/>
    </row>
    <row r="39" ht="16.35" customHeight="1">
      <c r="A39" t="s" s="144">
        <v>303</v>
      </c>
      <c r="B39" s="145"/>
      <c r="C39" t="s" s="144">
        <v>207</v>
      </c>
      <c r="D39" s="146">
        <v>16131</v>
      </c>
      <c r="E39" s="145"/>
    </row>
    <row r="40" ht="16.35" customHeight="1">
      <c r="A40" s="145"/>
      <c r="B40" s="145"/>
      <c r="C40" t="s" s="144">
        <v>207</v>
      </c>
      <c r="D40" s="146">
        <v>29270</v>
      </c>
      <c r="E40" s="145"/>
    </row>
    <row r="41" ht="16.35" customHeight="1">
      <c r="A41" t="s" s="144">
        <v>304</v>
      </c>
      <c r="B41" s="145"/>
      <c r="C41" t="s" s="144">
        <v>207</v>
      </c>
      <c r="D41" s="146">
        <v>39660</v>
      </c>
      <c r="E41" s="145"/>
    </row>
    <row r="42" ht="16.35" customHeight="1">
      <c r="A42" t="s" s="144">
        <v>305</v>
      </c>
      <c r="B42" s="145"/>
      <c r="C42" t="s" s="144">
        <v>306</v>
      </c>
      <c r="D42" s="146">
        <v>4000</v>
      </c>
      <c r="E42" s="145"/>
    </row>
    <row r="43" ht="16.35" customHeight="1">
      <c r="A43" s="145"/>
      <c r="B43" s="145"/>
      <c r="C43" t="s" s="144">
        <v>306</v>
      </c>
      <c r="D43" s="146">
        <v>3480</v>
      </c>
      <c r="E43" s="145"/>
    </row>
    <row r="44" ht="16.35" customHeight="1">
      <c r="A44" s="145"/>
      <c r="B44" s="145"/>
      <c r="C44" t="s" s="144">
        <v>307</v>
      </c>
      <c r="D44" s="146">
        <v>12297</v>
      </c>
      <c r="E44" s="145"/>
    </row>
    <row r="45" ht="16.35" customHeight="1">
      <c r="A45" t="s" s="144">
        <v>308</v>
      </c>
      <c r="B45" s="145"/>
      <c r="C45" t="s" s="144">
        <v>309</v>
      </c>
      <c r="D45" s="146">
        <v>5428</v>
      </c>
      <c r="E45" s="145"/>
    </row>
    <row r="46" ht="16.35" customHeight="1">
      <c r="A46" s="145"/>
      <c r="B46" s="145"/>
      <c r="C46" t="s" s="144">
        <v>310</v>
      </c>
      <c r="D46" s="146">
        <v>23200</v>
      </c>
      <c r="E46" s="145"/>
    </row>
    <row r="47" ht="16.35" customHeight="1">
      <c r="A47" t="s" s="144">
        <v>311</v>
      </c>
      <c r="B47" s="145"/>
      <c r="C47" t="s" s="144">
        <v>209</v>
      </c>
      <c r="D47" s="146">
        <v>9200</v>
      </c>
      <c r="E47" s="145"/>
    </row>
    <row r="48" ht="16.35" customHeight="1">
      <c r="A48" t="s" s="144">
        <v>312</v>
      </c>
      <c r="B48" s="145"/>
      <c r="C48" t="s" s="144">
        <v>313</v>
      </c>
      <c r="D48" s="146">
        <v>5000</v>
      </c>
      <c r="E48" s="145"/>
    </row>
    <row r="49" ht="16.35" customHeight="1">
      <c r="A49" s="145"/>
      <c r="B49" s="145"/>
      <c r="C49" t="s" s="144">
        <v>313</v>
      </c>
      <c r="D49" s="146">
        <v>5000</v>
      </c>
      <c r="E49" s="145"/>
    </row>
    <row r="50" ht="16.35" customHeight="1">
      <c r="A50" s="145"/>
      <c r="B50" s="145"/>
      <c r="C50" t="s" s="144">
        <v>214</v>
      </c>
      <c r="D50" s="146">
        <v>73977</v>
      </c>
      <c r="E50" s="145"/>
    </row>
    <row r="51" ht="16.35" customHeight="1">
      <c r="A51" s="145"/>
      <c r="B51" s="145"/>
      <c r="C51" t="s" s="144">
        <v>214</v>
      </c>
      <c r="D51" s="146">
        <v>31447</v>
      </c>
      <c r="E51" s="145"/>
    </row>
    <row r="52" ht="16.35" customHeight="1">
      <c r="A52" s="145"/>
      <c r="B52" s="145"/>
      <c r="C52" t="s" s="144">
        <v>214</v>
      </c>
      <c r="D52" s="146">
        <v>92906</v>
      </c>
      <c r="E52" s="145"/>
    </row>
    <row r="53" ht="16.35" customHeight="1">
      <c r="A53" t="s" s="144">
        <v>314</v>
      </c>
      <c r="B53" s="145"/>
      <c r="C53" t="s" s="144">
        <v>214</v>
      </c>
      <c r="D53" s="146">
        <v>57177</v>
      </c>
      <c r="E53" s="145"/>
    </row>
    <row r="54" ht="16.35" customHeight="1">
      <c r="A54" s="145"/>
      <c r="B54" s="145"/>
      <c r="C54" t="s" s="144">
        <v>315</v>
      </c>
      <c r="D54" s="146">
        <v>55440</v>
      </c>
      <c r="E54" s="145"/>
    </row>
    <row r="55" ht="16.35" customHeight="1">
      <c r="A55" s="145"/>
      <c r="B55" s="145"/>
      <c r="C55" t="s" s="144">
        <v>218</v>
      </c>
      <c r="D55" s="146">
        <v>618677</v>
      </c>
      <c r="E55" s="145"/>
    </row>
    <row r="56" ht="16.35" customHeight="1">
      <c r="A56" s="145"/>
      <c r="B56" s="145"/>
      <c r="C56" t="s" s="144">
        <v>219</v>
      </c>
      <c r="D56" s="146">
        <v>5460</v>
      </c>
      <c r="E56" s="145"/>
    </row>
    <row r="57" ht="16.35" customHeight="1">
      <c r="A57" s="145"/>
      <c r="B57" s="145"/>
      <c r="C57" t="s" s="144">
        <v>219</v>
      </c>
      <c r="D57" s="146">
        <v>4680</v>
      </c>
      <c r="E57" s="145"/>
    </row>
    <row r="58" ht="16.35" customHeight="1">
      <c r="A58" s="145"/>
      <c r="B58" s="145"/>
      <c r="C58" t="s" s="144">
        <v>219</v>
      </c>
      <c r="D58" s="146">
        <v>5460</v>
      </c>
      <c r="E58" s="145"/>
    </row>
    <row r="59" ht="16.35" customHeight="1">
      <c r="A59" s="145"/>
      <c r="B59" s="145"/>
      <c r="C59" t="s" s="144">
        <v>219</v>
      </c>
      <c r="D59" s="146">
        <v>5460</v>
      </c>
      <c r="E59" s="145"/>
    </row>
    <row r="60" ht="16.35" customHeight="1">
      <c r="A60" s="145"/>
      <c r="B60" s="145"/>
      <c r="C60" t="s" s="144">
        <v>219</v>
      </c>
      <c r="D60" s="146">
        <v>5866</v>
      </c>
      <c r="E60" s="145"/>
    </row>
    <row r="61" ht="16.35" customHeight="1">
      <c r="A61" s="145"/>
      <c r="B61" s="145"/>
      <c r="C61" t="s" s="144">
        <v>219</v>
      </c>
      <c r="D61" s="146">
        <v>8190</v>
      </c>
      <c r="E61" s="145"/>
    </row>
    <row r="62" ht="16.35" customHeight="1">
      <c r="A62" s="145"/>
      <c r="B62" s="145"/>
      <c r="C62" t="s" s="144">
        <v>219</v>
      </c>
      <c r="D62" s="146">
        <v>4680</v>
      </c>
      <c r="E62" s="145"/>
    </row>
    <row r="63" ht="16.35" customHeight="1">
      <c r="A63" s="145"/>
      <c r="B63" s="145"/>
      <c r="C63" t="s" s="144">
        <v>219</v>
      </c>
      <c r="D63" s="146">
        <v>5460</v>
      </c>
      <c r="E63" s="145"/>
    </row>
    <row r="64" ht="16.35" customHeight="1">
      <c r="A64" s="145"/>
      <c r="B64" s="145"/>
      <c r="C64" t="s" s="144">
        <v>219</v>
      </c>
      <c r="D64" s="146">
        <v>4550</v>
      </c>
      <c r="E64" s="145"/>
    </row>
    <row r="65" ht="16.35" customHeight="1">
      <c r="A65" s="145"/>
      <c r="B65" s="145"/>
      <c r="C65" t="s" s="144">
        <v>219</v>
      </c>
      <c r="D65" s="146">
        <v>5460</v>
      </c>
      <c r="E65" s="145"/>
    </row>
    <row r="66" ht="16.35" customHeight="1">
      <c r="A66" s="145"/>
      <c r="B66" s="145"/>
      <c r="C66" t="s" s="144">
        <v>219</v>
      </c>
      <c r="D66" s="146">
        <v>8190</v>
      </c>
      <c r="E66" s="145"/>
    </row>
    <row r="67" ht="16.35" customHeight="1">
      <c r="A67" s="145"/>
      <c r="B67" s="145"/>
      <c r="C67" t="s" s="144">
        <v>219</v>
      </c>
      <c r="D67" s="146">
        <v>4680</v>
      </c>
      <c r="E67" s="145"/>
    </row>
    <row r="68" ht="16.35" customHeight="1">
      <c r="A68" s="145"/>
      <c r="B68" s="145"/>
      <c r="C68" t="s" s="144">
        <v>219</v>
      </c>
      <c r="D68" s="146">
        <v>4680</v>
      </c>
      <c r="E68" s="145"/>
    </row>
    <row r="69" ht="16.35" customHeight="1">
      <c r="A69" s="145"/>
      <c r="B69" s="145"/>
      <c r="C69" t="s" s="144">
        <v>219</v>
      </c>
      <c r="D69" s="146">
        <v>4200</v>
      </c>
      <c r="E69" s="145"/>
    </row>
    <row r="70" ht="16.35" customHeight="1">
      <c r="A70" s="145"/>
      <c r="B70" s="145"/>
      <c r="C70" t="s" s="144">
        <v>219</v>
      </c>
      <c r="D70" s="146">
        <v>5460</v>
      </c>
      <c r="E70" s="145"/>
    </row>
    <row r="71" ht="16.35" customHeight="1">
      <c r="A71" s="145"/>
      <c r="B71" s="145"/>
      <c r="C71" t="s" s="144">
        <v>219</v>
      </c>
      <c r="D71" s="146">
        <v>4680</v>
      </c>
      <c r="E71" s="145"/>
    </row>
    <row r="72" ht="16.35" customHeight="1">
      <c r="A72" s="145"/>
      <c r="B72" s="145"/>
      <c r="C72" t="s" s="144">
        <v>219</v>
      </c>
      <c r="D72" s="146">
        <v>3600</v>
      </c>
      <c r="E72" s="145"/>
    </row>
    <row r="73" ht="16.35" customHeight="1">
      <c r="A73" t="s" s="144">
        <v>316</v>
      </c>
      <c r="B73" s="145"/>
      <c r="C73" t="s" s="144">
        <v>223</v>
      </c>
      <c r="D73" s="146">
        <v>1990</v>
      </c>
      <c r="E73" s="145"/>
    </row>
    <row r="74" ht="16.35" customHeight="1">
      <c r="A74" s="145"/>
      <c r="B74" s="145"/>
      <c r="C74" t="s" s="144">
        <v>223</v>
      </c>
      <c r="D74" s="146">
        <v>2980</v>
      </c>
      <c r="E74" s="145"/>
    </row>
    <row r="75" ht="16.35" customHeight="1">
      <c r="A75" s="145"/>
      <c r="B75" s="145"/>
      <c r="C75" t="s" s="144">
        <v>223</v>
      </c>
      <c r="D75" s="146">
        <v>8890</v>
      </c>
      <c r="E75" s="145"/>
    </row>
    <row r="76" ht="16.35" customHeight="1">
      <c r="A76" s="145"/>
      <c r="B76" s="145"/>
      <c r="C76" t="s" s="144">
        <v>225</v>
      </c>
      <c r="D76" s="146">
        <v>8495</v>
      </c>
      <c r="E76" s="145"/>
    </row>
    <row r="77" ht="16.35" customHeight="1">
      <c r="A77" t="s" s="144">
        <v>226</v>
      </c>
      <c r="B77" s="145"/>
      <c r="C77" t="s" s="144">
        <v>228</v>
      </c>
      <c r="D77" s="146">
        <v>29000</v>
      </c>
      <c r="E77" s="145"/>
    </row>
    <row r="78" ht="16.35" customHeight="1">
      <c r="A78" t="s" s="144">
        <v>317</v>
      </c>
      <c r="B78" s="145"/>
      <c r="C78" t="s" s="144">
        <v>318</v>
      </c>
      <c r="D78" s="146">
        <v>18830</v>
      </c>
      <c r="E78" s="145"/>
    </row>
    <row r="79" ht="16.35" customHeight="1">
      <c r="A79" t="s" s="144">
        <v>217</v>
      </c>
      <c r="B79" s="145"/>
      <c r="C79" t="s" s="144">
        <v>231</v>
      </c>
      <c r="D79" s="146">
        <v>31836</v>
      </c>
      <c r="E79" s="145"/>
    </row>
    <row r="80" ht="16.35" customHeight="1">
      <c r="A80" t="s" s="144">
        <v>319</v>
      </c>
      <c r="B80" s="145"/>
      <c r="C80" t="s" s="144">
        <v>231</v>
      </c>
      <c r="D80" s="146">
        <v>38540</v>
      </c>
      <c r="E80" s="145"/>
    </row>
    <row r="81" ht="16.35" customHeight="1">
      <c r="A81" s="145"/>
      <c r="B81" s="145"/>
      <c r="C81" t="s" s="144">
        <v>320</v>
      </c>
      <c r="D81" s="146">
        <v>13000</v>
      </c>
      <c r="E81" s="145"/>
    </row>
    <row r="82" ht="16.35" customHeight="1">
      <c r="A82" s="145"/>
      <c r="B82" s="145"/>
      <c r="C82" t="s" s="144">
        <v>321</v>
      </c>
      <c r="D82" s="146">
        <v>13762</v>
      </c>
      <c r="E82" s="145"/>
    </row>
    <row r="83" ht="20.35" customHeight="1">
      <c r="A83" t="s" s="144">
        <v>322</v>
      </c>
      <c r="B83" s="145"/>
      <c r="C83" t="s" s="144">
        <v>239</v>
      </c>
      <c r="D83" s="32"/>
      <c r="E83" s="146">
        <v>5240425</v>
      </c>
    </row>
    <row r="84" ht="16.35" customHeight="1">
      <c r="A84" s="145"/>
      <c r="B84" s="145"/>
      <c r="C84" t="s" s="144">
        <v>240</v>
      </c>
      <c r="D84" s="146">
        <v>105070</v>
      </c>
      <c r="E84" s="145"/>
    </row>
    <row r="85" ht="16.35" customHeight="1">
      <c r="A85" t="s" s="144">
        <v>242</v>
      </c>
      <c r="B85" s="145"/>
      <c r="C85" t="s" s="144">
        <v>241</v>
      </c>
      <c r="D85" s="146">
        <v>16260</v>
      </c>
      <c r="E85" s="145"/>
    </row>
    <row r="86" ht="16.35" customHeight="1">
      <c r="A86" t="s" s="144">
        <v>243</v>
      </c>
      <c r="B86" s="145"/>
      <c r="C86" t="s" s="144">
        <v>244</v>
      </c>
      <c r="D86" s="146">
        <v>2889</v>
      </c>
      <c r="E86" s="145"/>
    </row>
    <row r="87" ht="16.35" customHeight="1">
      <c r="A87" t="s" s="144">
        <v>323</v>
      </c>
      <c r="B87" s="145"/>
      <c r="C87" t="s" s="144">
        <v>247</v>
      </c>
      <c r="D87" s="146">
        <v>6140</v>
      </c>
      <c r="E87" s="145"/>
    </row>
    <row r="88" ht="16.35" customHeight="1">
      <c r="A88" s="145"/>
      <c r="B88" s="145"/>
      <c r="C88" t="s" s="144">
        <v>324</v>
      </c>
      <c r="D88" s="146">
        <v>7990</v>
      </c>
      <c r="E88" s="145"/>
    </row>
    <row r="89" ht="16.35" customHeight="1">
      <c r="A89" s="145"/>
      <c r="B89" s="145"/>
      <c r="C89" t="s" s="144">
        <v>325</v>
      </c>
      <c r="D89" s="147">
        <v>950</v>
      </c>
      <c r="E89" s="145"/>
    </row>
    <row r="90" ht="16.35" customHeight="1">
      <c r="A90" s="145"/>
      <c r="B90" s="145"/>
      <c r="C90" t="s" s="144">
        <v>326</v>
      </c>
      <c r="D90" s="146">
        <v>2700</v>
      </c>
      <c r="E90" s="145"/>
    </row>
    <row r="91" ht="16.35" customHeight="1">
      <c r="A91" s="145"/>
      <c r="B91" s="145"/>
      <c r="C91" t="s" s="144">
        <v>249</v>
      </c>
      <c r="D91" s="146">
        <v>29900</v>
      </c>
      <c r="E91" s="145"/>
    </row>
    <row r="92" ht="16.35" customHeight="1">
      <c r="A92" s="145"/>
      <c r="B92" s="145"/>
      <c r="C92" t="s" s="144">
        <v>251</v>
      </c>
      <c r="D92" s="146">
        <v>8223</v>
      </c>
      <c r="E92" s="145"/>
    </row>
    <row r="93" ht="16.35" customHeight="1">
      <c r="A93" t="s" s="144">
        <v>327</v>
      </c>
      <c r="B93" s="145"/>
      <c r="C93" t="s" s="144">
        <v>251</v>
      </c>
      <c r="D93" s="146">
        <v>38732</v>
      </c>
      <c r="E93" s="145"/>
    </row>
    <row r="94" ht="16.35" customHeight="1">
      <c r="A94" s="145"/>
      <c r="B94" s="145"/>
      <c r="C94" t="s" s="144">
        <v>251</v>
      </c>
      <c r="D94" s="146">
        <v>1314</v>
      </c>
      <c r="E94" s="145"/>
    </row>
    <row r="95" ht="16.35" customHeight="1">
      <c r="A95" s="145"/>
      <c r="B95" s="145"/>
      <c r="C95" t="s" s="144">
        <v>251</v>
      </c>
      <c r="D95" s="146">
        <v>29537</v>
      </c>
      <c r="E95" s="145"/>
    </row>
    <row r="96" ht="16.35" customHeight="1">
      <c r="A96" t="s" s="144">
        <v>328</v>
      </c>
      <c r="B96" s="145"/>
      <c r="C96" t="s" s="144">
        <v>251</v>
      </c>
      <c r="D96" s="146">
        <v>37888</v>
      </c>
      <c r="E96" s="145"/>
    </row>
    <row r="97" ht="16.35" customHeight="1">
      <c r="A97" s="145"/>
      <c r="B97" s="145"/>
      <c r="C97" t="s" s="144">
        <v>251</v>
      </c>
      <c r="D97" s="146">
        <v>1388</v>
      </c>
      <c r="E97" s="145"/>
    </row>
    <row r="98" ht="16.35" customHeight="1">
      <c r="A98" s="145"/>
      <c r="B98" s="145"/>
      <c r="C98" t="s" s="144">
        <v>251</v>
      </c>
      <c r="D98" s="146">
        <v>12078</v>
      </c>
      <c r="E98" s="145"/>
    </row>
    <row r="99" ht="16.35" customHeight="1">
      <c r="A99" s="145"/>
      <c r="B99" s="145"/>
      <c r="C99" t="s" s="144">
        <v>251</v>
      </c>
      <c r="D99" s="146">
        <v>3841</v>
      </c>
      <c r="E99" s="145"/>
    </row>
    <row r="100" ht="16.35" customHeight="1">
      <c r="A100" s="145"/>
      <c r="B100" s="145"/>
      <c r="C100" t="s" s="144">
        <v>251</v>
      </c>
      <c r="D100" s="146">
        <v>1591</v>
      </c>
      <c r="E100" s="145"/>
    </row>
    <row r="101" ht="16.35" customHeight="1">
      <c r="A101" t="s" s="144">
        <v>329</v>
      </c>
      <c r="B101" s="145"/>
      <c r="C101" t="s" s="144">
        <v>251</v>
      </c>
      <c r="D101" s="146">
        <v>5401</v>
      </c>
      <c r="E101" s="145"/>
    </row>
    <row r="102" ht="16.35" customHeight="1">
      <c r="A102" s="145"/>
      <c r="B102" s="145"/>
      <c r="C102" t="s" s="144">
        <v>251</v>
      </c>
      <c r="D102" s="146">
        <v>1129</v>
      </c>
      <c r="E102" s="145"/>
    </row>
    <row r="103" ht="16.35" customHeight="1">
      <c r="A103" s="145"/>
      <c r="B103" s="145"/>
      <c r="C103" t="s" s="144">
        <v>251</v>
      </c>
      <c r="D103" s="146">
        <v>49178</v>
      </c>
      <c r="E103" s="145"/>
    </row>
    <row r="104" ht="16.35" customHeight="1">
      <c r="A104" s="145"/>
      <c r="B104" s="145"/>
      <c r="C104" t="s" s="144">
        <v>251</v>
      </c>
      <c r="D104" s="146">
        <v>1660</v>
      </c>
      <c r="E104" s="145"/>
    </row>
    <row r="105" ht="16.35" customHeight="1">
      <c r="A105" s="145"/>
      <c r="B105" s="145"/>
      <c r="C105" t="s" s="144">
        <v>257</v>
      </c>
      <c r="D105" s="146">
        <v>16786</v>
      </c>
      <c r="E105" s="145"/>
    </row>
    <row r="106" ht="16.35" customHeight="1">
      <c r="A106" s="145"/>
      <c r="B106" s="145"/>
      <c r="C106" t="s" s="144">
        <v>330</v>
      </c>
      <c r="D106" s="146">
        <v>88340</v>
      </c>
      <c r="E106" s="145"/>
    </row>
    <row r="107" ht="16.35" customHeight="1">
      <c r="A107" s="145"/>
      <c r="B107" s="145"/>
      <c r="C107" t="s" s="144">
        <v>330</v>
      </c>
      <c r="D107" s="146">
        <v>79240</v>
      </c>
      <c r="E107" s="145"/>
    </row>
    <row r="108" ht="16.35" customHeight="1">
      <c r="A108" s="145"/>
      <c r="B108" s="145"/>
      <c r="C108" t="s" s="144">
        <v>331</v>
      </c>
      <c r="D108" s="146">
        <v>4440</v>
      </c>
      <c r="E108" s="145"/>
    </row>
    <row r="109" ht="16.35" customHeight="1">
      <c r="A109" s="145"/>
      <c r="B109" s="145"/>
      <c r="C109" t="s" s="144">
        <v>332</v>
      </c>
      <c r="D109" s="146">
        <v>3800</v>
      </c>
      <c r="E109" s="145"/>
    </row>
    <row r="110" ht="16.35" customHeight="1">
      <c r="A110" s="145"/>
      <c r="B110" s="145"/>
      <c r="C110" t="s" s="144">
        <v>332</v>
      </c>
      <c r="D110" s="146">
        <v>12000</v>
      </c>
      <c r="E110" s="145"/>
    </row>
    <row r="111" ht="16.35" customHeight="1">
      <c r="A111" s="145"/>
      <c r="B111" s="145"/>
      <c r="C111" t="s" s="144">
        <v>261</v>
      </c>
      <c r="D111" s="146">
        <v>75460</v>
      </c>
      <c r="E111" s="145"/>
    </row>
    <row r="112" ht="16.35" customHeight="1">
      <c r="A112" s="145"/>
      <c r="B112" s="145"/>
      <c r="C112" t="s" s="144">
        <v>261</v>
      </c>
      <c r="D112" s="146">
        <v>156590</v>
      </c>
      <c r="E112" s="145"/>
    </row>
    <row r="113" ht="16.35" customHeight="1">
      <c r="A113" s="145"/>
      <c r="B113" s="145"/>
      <c r="C113" t="s" s="144">
        <v>261</v>
      </c>
      <c r="D113" s="146">
        <v>97440</v>
      </c>
      <c r="E113" s="145"/>
    </row>
    <row r="114" ht="16.35" customHeight="1">
      <c r="A114" s="145"/>
      <c r="B114" s="145"/>
      <c r="C114" t="s" s="144">
        <v>333</v>
      </c>
      <c r="D114" s="146">
        <v>31949</v>
      </c>
      <c r="E114" s="145"/>
    </row>
    <row r="115" ht="16.35" customHeight="1">
      <c r="A115" s="145"/>
      <c r="B115" s="145"/>
      <c r="C115" t="s" s="144">
        <v>334</v>
      </c>
      <c r="D115" s="146">
        <v>1300</v>
      </c>
      <c r="E115" s="145"/>
    </row>
    <row r="116" ht="16.35" customHeight="1">
      <c r="A116" s="145"/>
      <c r="B116" s="145"/>
      <c r="C116" t="s" s="144">
        <v>273</v>
      </c>
      <c r="D116" s="146">
        <v>17253</v>
      </c>
      <c r="E116" s="145"/>
    </row>
    <row r="117" ht="16.35" customHeight="1">
      <c r="A117" t="s" s="144">
        <v>335</v>
      </c>
      <c r="B117" s="145"/>
      <c r="C117" t="s" s="144">
        <v>336</v>
      </c>
      <c r="D117" s="146">
        <v>24000</v>
      </c>
      <c r="E117" s="145"/>
    </row>
    <row r="118" ht="16.35" customHeight="1">
      <c r="A118" s="145"/>
      <c r="B118" s="145"/>
      <c r="C118" t="s" s="144">
        <v>283</v>
      </c>
      <c r="D118" s="146">
        <v>275697</v>
      </c>
      <c r="E118" s="145"/>
    </row>
  </sheetData>
  <hyperlinks>
    <hyperlink ref="C26" r:id="rId1" location="" tooltip="" display="APPLE.COM"/>
    <hyperlink ref="C27" r:id="rId2" location="" tooltip="" display="APPLE.COM"/>
    <hyperlink ref="C28" r:id="rId3" location="" tooltip="" display="APPLE.COM"/>
    <hyperlink ref="C29" r:id="rId4" location="" tooltip="" display="APPLE.COM"/>
    <hyperlink ref="C55" r:id="rId5" location="" tooltip="" display="LATAM.COM"/>
  </hyperlink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E118"/>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2" width="16.3516" style="149" customWidth="1"/>
    <col min="3" max="3" width="34.7969" style="149" customWidth="1"/>
    <col min="4" max="5" width="16.3516" style="149" customWidth="1"/>
    <col min="6" max="16384" width="16.3516" style="149" customWidth="1"/>
  </cols>
  <sheetData>
    <row r="1" ht="20.55" customHeight="1">
      <c r="A1" s="7"/>
      <c r="B1" s="7"/>
      <c r="C1" s="7"/>
      <c r="D1" t="s" s="8">
        <v>339</v>
      </c>
      <c r="E1" s="9" cm="1">
        <f t="array" ref="E1">SUM(D2:D118)</f>
        <v>5445661</v>
      </c>
    </row>
    <row r="2" ht="20.55" customHeight="1">
      <c r="A2" s="82"/>
      <c r="B2" s="48"/>
      <c r="C2" s="82"/>
      <c r="D2" s="48"/>
      <c r="E2" s="82"/>
    </row>
    <row r="3" ht="16.35" customHeight="1">
      <c r="A3" s="145"/>
      <c r="B3" s="145"/>
      <c r="C3" t="s" s="144">
        <v>181</v>
      </c>
      <c r="D3" s="146">
        <v>15799</v>
      </c>
      <c r="E3" s="145"/>
    </row>
    <row r="4" ht="16.35" customHeight="1">
      <c r="A4" s="145"/>
      <c r="B4" s="145"/>
      <c r="C4" t="s" s="144">
        <v>181</v>
      </c>
      <c r="D4" s="146">
        <v>8499</v>
      </c>
      <c r="E4" s="145"/>
    </row>
    <row r="5" ht="16.35" customHeight="1">
      <c r="A5" s="145"/>
      <c r="B5" s="145"/>
      <c r="C5" t="s" s="144">
        <v>188</v>
      </c>
      <c r="D5" s="146">
        <v>23000</v>
      </c>
      <c r="E5" s="145"/>
    </row>
    <row r="6" ht="16.35" customHeight="1">
      <c r="A6" t="s" s="144">
        <v>191</v>
      </c>
      <c r="B6" s="145"/>
      <c r="C6" t="s" s="144">
        <v>190</v>
      </c>
      <c r="D6" s="146">
        <v>9166</v>
      </c>
      <c r="E6" s="145"/>
    </row>
    <row r="7" ht="16.35" customHeight="1">
      <c r="A7" s="145"/>
      <c r="B7" s="145"/>
      <c r="C7" t="s" s="144">
        <v>190</v>
      </c>
      <c r="D7" s="146">
        <v>9166</v>
      </c>
      <c r="E7" s="145"/>
    </row>
    <row r="8" ht="16.35" customHeight="1">
      <c r="A8" s="145"/>
      <c r="B8" s="145"/>
      <c r="C8" t="s" s="144">
        <v>190</v>
      </c>
      <c r="D8" s="146">
        <v>9166</v>
      </c>
      <c r="E8" s="145"/>
    </row>
    <row r="9" ht="16.35" customHeight="1">
      <c r="A9" t="s" s="144">
        <v>340</v>
      </c>
      <c r="B9" s="145"/>
      <c r="C9" t="s" s="144">
        <v>341</v>
      </c>
      <c r="D9" s="146">
        <v>10281</v>
      </c>
      <c r="E9" s="145"/>
    </row>
    <row r="10" ht="16.35" customHeight="1">
      <c r="A10" s="145"/>
      <c r="B10" s="145"/>
      <c r="C10" t="s" s="144">
        <v>342</v>
      </c>
      <c r="D10" s="146">
        <v>1300</v>
      </c>
      <c r="E10" s="145"/>
    </row>
    <row r="11" ht="16.35" customHeight="1">
      <c r="A11" s="145"/>
      <c r="B11" s="145"/>
      <c r="C11" t="s" s="144">
        <v>342</v>
      </c>
      <c r="D11" s="146">
        <v>2870</v>
      </c>
      <c r="E11" s="145"/>
    </row>
    <row r="12" ht="16.35" customHeight="1">
      <c r="A12" t="s" s="144">
        <v>343</v>
      </c>
      <c r="B12" s="145"/>
      <c r="C12" t="s" s="144">
        <v>344</v>
      </c>
      <c r="D12" s="146">
        <v>49980</v>
      </c>
      <c r="E12" s="145"/>
    </row>
    <row r="13" ht="16.35" customHeight="1">
      <c r="A13" s="145"/>
      <c r="B13" s="145"/>
      <c r="C13" t="s" s="144">
        <v>345</v>
      </c>
      <c r="D13" s="146">
        <v>19980</v>
      </c>
      <c r="E13" s="145"/>
    </row>
    <row r="14" ht="16.35" customHeight="1">
      <c r="A14" t="s" s="144">
        <v>346</v>
      </c>
      <c r="B14" s="145"/>
      <c r="C14" t="s" s="144">
        <v>202</v>
      </c>
      <c r="D14" s="146">
        <v>20000</v>
      </c>
      <c r="E14" s="145"/>
    </row>
    <row r="15" ht="16.35" customHeight="1">
      <c r="A15" s="145"/>
      <c r="B15" s="145"/>
      <c r="C15" t="s" s="144">
        <v>202</v>
      </c>
      <c r="D15" s="146">
        <v>49077</v>
      </c>
      <c r="E15" s="145"/>
    </row>
    <row r="16" ht="16.35" customHeight="1">
      <c r="A16" s="145"/>
      <c r="B16" s="145"/>
      <c r="C16" t="s" s="144">
        <v>202</v>
      </c>
      <c r="D16" s="146">
        <v>4580</v>
      </c>
      <c r="E16" s="145"/>
    </row>
    <row r="17" ht="16.35" customHeight="1">
      <c r="A17" t="s" s="144">
        <v>347</v>
      </c>
      <c r="B17" s="145"/>
      <c r="C17" t="s" s="144">
        <v>202</v>
      </c>
      <c r="D17" s="146">
        <v>52154</v>
      </c>
      <c r="E17" s="145"/>
    </row>
    <row r="18" ht="16.35" customHeight="1">
      <c r="A18" s="145"/>
      <c r="B18" s="145"/>
      <c r="C18" t="s" s="144">
        <v>348</v>
      </c>
      <c r="D18" s="146">
        <v>98304</v>
      </c>
      <c r="E18" s="145"/>
    </row>
    <row r="19" ht="16.35" customHeight="1">
      <c r="A19" s="145"/>
      <c r="B19" s="145"/>
      <c r="C19" t="s" s="144">
        <v>205</v>
      </c>
      <c r="D19" s="146">
        <v>60849</v>
      </c>
      <c r="E19" s="145"/>
    </row>
    <row r="20" ht="16.35" customHeight="1">
      <c r="A20" t="s" s="144">
        <v>349</v>
      </c>
      <c r="B20" s="145"/>
      <c r="C20" t="s" s="144">
        <v>206</v>
      </c>
      <c r="D20" s="146">
        <v>21990</v>
      </c>
      <c r="E20" s="145"/>
    </row>
    <row r="21" ht="16.35" customHeight="1">
      <c r="A21" t="s" s="144">
        <v>350</v>
      </c>
      <c r="B21" s="145"/>
      <c r="C21" t="s" s="144">
        <v>351</v>
      </c>
      <c r="D21" s="146">
        <v>32110</v>
      </c>
      <c r="E21" s="145"/>
    </row>
    <row r="22" ht="16.35" customHeight="1">
      <c r="A22" s="145"/>
      <c r="B22" s="145"/>
      <c r="C22" t="s" s="144">
        <v>351</v>
      </c>
      <c r="D22" s="146">
        <v>10820</v>
      </c>
      <c r="E22" s="145"/>
    </row>
    <row r="23" ht="16.35" customHeight="1">
      <c r="A23" t="s" s="144">
        <v>352</v>
      </c>
      <c r="B23" s="145"/>
      <c r="C23" t="s" s="144">
        <v>353</v>
      </c>
      <c r="D23" s="146">
        <v>200000</v>
      </c>
      <c r="E23" s="145"/>
    </row>
    <row r="24" ht="16.35" customHeight="1">
      <c r="A24" s="145"/>
      <c r="B24" s="145"/>
      <c r="C24" t="s" s="144">
        <v>354</v>
      </c>
      <c r="D24" s="146">
        <v>9200</v>
      </c>
      <c r="E24" s="145"/>
    </row>
    <row r="25" ht="16.35" customHeight="1">
      <c r="A25" s="145"/>
      <c r="B25" s="145"/>
      <c r="C25" t="s" s="144">
        <v>355</v>
      </c>
      <c r="D25" s="147">
        <v>800</v>
      </c>
      <c r="E25" s="145"/>
    </row>
    <row r="26" ht="16.35" customHeight="1">
      <c r="A26" t="s" s="144">
        <v>356</v>
      </c>
      <c r="B26" s="145"/>
      <c r="C26" t="s" s="144">
        <v>211</v>
      </c>
      <c r="D26" s="147">
        <v>105</v>
      </c>
      <c r="E26" s="145"/>
    </row>
    <row r="27" ht="16.35" customHeight="1">
      <c r="A27" s="145"/>
      <c r="B27" s="145"/>
      <c r="C27" t="s" s="144">
        <v>357</v>
      </c>
      <c r="D27" s="146">
        <v>42627</v>
      </c>
      <c r="E27" s="145"/>
    </row>
    <row r="28" ht="16.35" customHeight="1">
      <c r="A28" s="145"/>
      <c r="B28" s="145"/>
      <c r="C28" t="s" s="144">
        <v>357</v>
      </c>
      <c r="D28" s="146">
        <v>36561</v>
      </c>
      <c r="E28" s="145"/>
    </row>
    <row r="29" ht="16.35" customHeight="1">
      <c r="A29" s="145"/>
      <c r="B29" s="145"/>
      <c r="C29" t="s" s="144">
        <v>357</v>
      </c>
      <c r="D29" s="146">
        <v>20900</v>
      </c>
      <c r="E29" s="145"/>
    </row>
    <row r="30" ht="16.35" customHeight="1">
      <c r="A30" s="145"/>
      <c r="B30" s="145"/>
      <c r="C30" t="s" s="144">
        <v>357</v>
      </c>
      <c r="D30" s="146">
        <v>35552</v>
      </c>
      <c r="E30" s="145"/>
    </row>
    <row r="31" ht="16.35" customHeight="1">
      <c r="A31" s="145"/>
      <c r="B31" s="145"/>
      <c r="C31" t="s" s="144">
        <v>214</v>
      </c>
      <c r="D31" s="146">
        <v>32142</v>
      </c>
      <c r="E31" s="145"/>
    </row>
    <row r="32" ht="16.35" customHeight="1">
      <c r="A32" s="145"/>
      <c r="B32" s="145"/>
      <c r="C32" t="s" s="144">
        <v>214</v>
      </c>
      <c r="D32" s="146">
        <v>46162</v>
      </c>
      <c r="E32" s="145"/>
    </row>
    <row r="33" ht="16.35" customHeight="1">
      <c r="A33" s="145"/>
      <c r="B33" s="145"/>
      <c r="C33" t="s" s="144">
        <v>216</v>
      </c>
      <c r="D33" s="146">
        <v>143940</v>
      </c>
      <c r="E33" s="145"/>
    </row>
    <row r="34" ht="16.35" customHeight="1">
      <c r="A34" t="s" s="144">
        <v>217</v>
      </c>
      <c r="B34" s="145"/>
      <c r="C34" t="s" s="144">
        <v>218</v>
      </c>
      <c r="D34" s="146">
        <v>618676</v>
      </c>
      <c r="E34" s="145"/>
    </row>
    <row r="35" ht="16.35" customHeight="1">
      <c r="A35" t="s" s="144">
        <v>358</v>
      </c>
      <c r="B35" s="145"/>
      <c r="C35" t="s" s="144">
        <v>219</v>
      </c>
      <c r="D35" s="146">
        <v>4680</v>
      </c>
      <c r="E35" s="145"/>
    </row>
    <row r="36" ht="16.35" customHeight="1">
      <c r="A36" s="145"/>
      <c r="B36" s="145"/>
      <c r="C36" t="s" s="144">
        <v>219</v>
      </c>
      <c r="D36" s="146">
        <v>5460</v>
      </c>
      <c r="E36" s="145"/>
    </row>
    <row r="37" ht="16.35" customHeight="1">
      <c r="A37" t="s" s="144">
        <v>359</v>
      </c>
      <c r="B37" s="145"/>
      <c r="C37" t="s" s="144">
        <v>219</v>
      </c>
      <c r="D37" s="146">
        <v>8603</v>
      </c>
      <c r="E37" s="145"/>
    </row>
    <row r="38" ht="16.35" customHeight="1">
      <c r="A38" t="s" s="144">
        <v>360</v>
      </c>
      <c r="B38" s="145"/>
      <c r="C38" t="s" s="144">
        <v>219</v>
      </c>
      <c r="D38" s="146">
        <v>5460</v>
      </c>
      <c r="E38" s="145"/>
    </row>
    <row r="39" ht="16.35" customHeight="1">
      <c r="A39" s="145"/>
      <c r="B39" s="145"/>
      <c r="C39" t="s" s="144">
        <v>219</v>
      </c>
      <c r="D39" s="146">
        <v>5460</v>
      </c>
      <c r="E39" s="145"/>
    </row>
    <row r="40" ht="16.35" customHeight="1">
      <c r="A40" s="145"/>
      <c r="B40" s="145"/>
      <c r="C40" t="s" s="144">
        <v>219</v>
      </c>
      <c r="D40" s="146">
        <v>4680</v>
      </c>
      <c r="E40" s="145"/>
    </row>
    <row r="41" ht="16.35" customHeight="1">
      <c r="A41" s="145"/>
      <c r="B41" s="145"/>
      <c r="C41" t="s" s="144">
        <v>219</v>
      </c>
      <c r="D41" s="146">
        <v>5460</v>
      </c>
      <c r="E41" s="145"/>
    </row>
    <row r="42" ht="16.35" customHeight="1">
      <c r="A42" s="145"/>
      <c r="B42" s="145"/>
      <c r="C42" t="s" s="144">
        <v>219</v>
      </c>
      <c r="D42" s="146">
        <v>5460</v>
      </c>
      <c r="E42" s="145"/>
    </row>
    <row r="43" ht="16.35" customHeight="1">
      <c r="A43" s="145"/>
      <c r="B43" s="145"/>
      <c r="C43" t="s" s="144">
        <v>219</v>
      </c>
      <c r="D43" s="146">
        <v>4193</v>
      </c>
      <c r="E43" s="145"/>
    </row>
    <row r="44" ht="16.35" customHeight="1">
      <c r="A44" t="s" s="144">
        <v>361</v>
      </c>
      <c r="B44" s="145"/>
      <c r="C44" t="s" s="144">
        <v>219</v>
      </c>
      <c r="D44" s="146">
        <v>5460</v>
      </c>
      <c r="E44" s="145"/>
    </row>
    <row r="45" ht="16.35" customHeight="1">
      <c r="A45" s="145"/>
      <c r="B45" s="145"/>
      <c r="C45" t="s" s="144">
        <v>219</v>
      </c>
      <c r="D45" s="146">
        <v>5460</v>
      </c>
      <c r="E45" s="145"/>
    </row>
    <row r="46" ht="16.35" customHeight="1">
      <c r="A46" s="145"/>
      <c r="B46" s="145"/>
      <c r="C46" t="s" s="144">
        <v>219</v>
      </c>
      <c r="D46" s="146">
        <v>4680</v>
      </c>
      <c r="E46" s="145"/>
    </row>
    <row r="47" ht="16.35" customHeight="1">
      <c r="A47" s="145"/>
      <c r="B47" s="145"/>
      <c r="C47" t="s" s="144">
        <v>219</v>
      </c>
      <c r="D47" s="146">
        <v>5460</v>
      </c>
      <c r="E47" s="145"/>
    </row>
    <row r="48" ht="16.35" customHeight="1">
      <c r="A48" s="145"/>
      <c r="B48" s="145"/>
      <c r="C48" t="s" s="144">
        <v>219</v>
      </c>
      <c r="D48" s="146">
        <v>5460</v>
      </c>
      <c r="E48" s="145"/>
    </row>
    <row r="49" ht="16.35" customHeight="1">
      <c r="A49" s="145"/>
      <c r="B49" s="145"/>
      <c r="C49" t="s" s="144">
        <v>219</v>
      </c>
      <c r="D49" s="146">
        <v>5460</v>
      </c>
      <c r="E49" s="145"/>
    </row>
    <row r="50" ht="16.35" customHeight="1">
      <c r="A50" t="s" s="144">
        <v>362</v>
      </c>
      <c r="B50" s="145"/>
      <c r="C50" t="s" s="144">
        <v>219</v>
      </c>
      <c r="D50" s="146">
        <v>5460</v>
      </c>
      <c r="E50" s="145"/>
    </row>
    <row r="51" ht="16.35" customHeight="1">
      <c r="A51" t="s" s="144">
        <v>363</v>
      </c>
      <c r="B51" s="145"/>
      <c r="C51" t="s" s="144">
        <v>219</v>
      </c>
      <c r="D51" s="146">
        <v>4680</v>
      </c>
      <c r="E51" s="145"/>
    </row>
    <row r="52" ht="16.35" customHeight="1">
      <c r="A52" s="145"/>
      <c r="B52" s="145"/>
      <c r="C52" t="s" s="144">
        <v>219</v>
      </c>
      <c r="D52" s="146">
        <v>5866</v>
      </c>
      <c r="E52" s="145"/>
    </row>
    <row r="53" ht="16.35" customHeight="1">
      <c r="A53" s="145"/>
      <c r="B53" s="145"/>
      <c r="C53" t="s" s="144">
        <v>219</v>
      </c>
      <c r="D53" s="146">
        <v>5460</v>
      </c>
      <c r="E53" s="145"/>
    </row>
    <row r="54" ht="16.35" customHeight="1">
      <c r="A54" t="s" s="144">
        <v>364</v>
      </c>
      <c r="B54" s="145"/>
      <c r="C54" t="s" s="144">
        <v>219</v>
      </c>
      <c r="D54" s="146">
        <v>5460</v>
      </c>
      <c r="E54" s="145"/>
    </row>
    <row r="55" ht="16.35" customHeight="1">
      <c r="A55" s="145"/>
      <c r="B55" s="145"/>
      <c r="C55" t="s" s="144">
        <v>219</v>
      </c>
      <c r="D55" s="146">
        <v>4680</v>
      </c>
      <c r="E55" s="145"/>
    </row>
    <row r="56" ht="16.35" customHeight="1">
      <c r="A56" t="s" s="144">
        <v>365</v>
      </c>
      <c r="B56" s="145"/>
      <c r="C56" t="s" s="144">
        <v>223</v>
      </c>
      <c r="D56" s="146">
        <v>4480</v>
      </c>
      <c r="E56" s="145"/>
    </row>
    <row r="57" ht="16.35" customHeight="1">
      <c r="A57" s="145"/>
      <c r="B57" s="145"/>
      <c r="C57" t="s" s="144">
        <v>223</v>
      </c>
      <c r="D57" s="146">
        <v>3200</v>
      </c>
      <c r="E57" s="145"/>
    </row>
    <row r="58" ht="16.35" customHeight="1">
      <c r="A58" s="145"/>
      <c r="B58" s="145"/>
      <c r="C58" t="s" s="144">
        <v>225</v>
      </c>
      <c r="D58" s="146">
        <v>22498</v>
      </c>
      <c r="E58" s="145"/>
    </row>
    <row r="59" ht="16.35" customHeight="1">
      <c r="A59" s="145"/>
      <c r="B59" s="145"/>
      <c r="C59" t="s" s="144">
        <v>225</v>
      </c>
      <c r="D59" s="146">
        <v>63665</v>
      </c>
      <c r="E59" s="145"/>
    </row>
    <row r="60" ht="16.35" customHeight="1">
      <c r="A60" t="s" s="144">
        <v>222</v>
      </c>
      <c r="B60" s="145"/>
      <c r="C60" t="s" s="144">
        <v>225</v>
      </c>
      <c r="D60" s="146">
        <v>35833</v>
      </c>
      <c r="E60" s="145"/>
    </row>
    <row r="61" ht="16.35" customHeight="1">
      <c r="A61" s="145"/>
      <c r="B61" s="145"/>
      <c r="C61" t="s" s="144">
        <v>225</v>
      </c>
      <c r="D61" s="146">
        <v>8495</v>
      </c>
      <c r="E61" s="145"/>
    </row>
    <row r="62" ht="16.35" customHeight="1">
      <c r="A62" s="145"/>
      <c r="B62" s="145"/>
      <c r="C62" t="s" s="144">
        <v>366</v>
      </c>
      <c r="D62" s="146">
        <v>8865</v>
      </c>
      <c r="E62" s="145"/>
    </row>
    <row r="63" ht="16.35" customHeight="1">
      <c r="A63" s="145"/>
      <c r="B63" s="145"/>
      <c r="C63" t="s" s="144">
        <v>366</v>
      </c>
      <c r="D63" s="146">
        <v>6860</v>
      </c>
      <c r="E63" s="145"/>
    </row>
    <row r="64" ht="16.35" customHeight="1">
      <c r="A64" s="145"/>
      <c r="B64" s="145"/>
      <c r="C64" t="s" s="144">
        <v>367</v>
      </c>
      <c r="D64" s="146">
        <v>14080</v>
      </c>
      <c r="E64" s="145"/>
    </row>
    <row r="65" ht="16.35" customHeight="1">
      <c r="A65" s="145"/>
      <c r="B65" s="145"/>
      <c r="C65" t="s" s="144">
        <v>368</v>
      </c>
      <c r="D65" s="146">
        <v>5990</v>
      </c>
      <c r="E65" s="145"/>
    </row>
    <row r="66" ht="16.35" customHeight="1">
      <c r="A66" t="s" s="144">
        <v>226</v>
      </c>
      <c r="B66" s="145"/>
      <c r="C66" t="s" s="144">
        <v>228</v>
      </c>
      <c r="D66" s="146">
        <v>29000</v>
      </c>
      <c r="E66" s="145"/>
    </row>
    <row r="67" ht="16.35" customHeight="1">
      <c r="A67" t="s" s="144">
        <v>369</v>
      </c>
      <c r="B67" s="145"/>
      <c r="C67" t="s" s="144">
        <v>370</v>
      </c>
      <c r="D67" s="146">
        <v>6690</v>
      </c>
      <c r="E67" s="145"/>
    </row>
    <row r="68" ht="16.35" customHeight="1">
      <c r="A68" t="s" s="144">
        <v>371</v>
      </c>
      <c r="B68" s="145"/>
      <c r="C68" t="s" s="144">
        <v>370</v>
      </c>
      <c r="D68" s="146">
        <v>6690</v>
      </c>
      <c r="E68" s="145"/>
    </row>
    <row r="69" ht="16.35" customHeight="1">
      <c r="A69" t="s" s="144">
        <v>372</v>
      </c>
      <c r="B69" s="145"/>
      <c r="C69" t="s" s="144">
        <v>373</v>
      </c>
      <c r="D69" s="146">
        <v>120000</v>
      </c>
      <c r="E69" s="145"/>
    </row>
    <row r="70" ht="16.35" customHeight="1">
      <c r="A70" s="145"/>
      <c r="B70" s="145"/>
      <c r="C70" t="s" s="144">
        <v>235</v>
      </c>
      <c r="D70" s="146">
        <v>28950</v>
      </c>
      <c r="E70" s="145"/>
    </row>
    <row r="71" ht="16.35" customHeight="1">
      <c r="A71" t="s" s="144">
        <v>374</v>
      </c>
      <c r="B71" s="145"/>
      <c r="C71" t="s" s="144">
        <v>375</v>
      </c>
      <c r="D71" s="146">
        <v>31260</v>
      </c>
      <c r="E71" s="145"/>
    </row>
    <row r="72" ht="16.35" customHeight="1">
      <c r="A72" s="145"/>
      <c r="B72" s="145"/>
      <c r="C72" t="s" s="144">
        <v>321</v>
      </c>
      <c r="D72" s="146">
        <v>18051</v>
      </c>
      <c r="E72" s="145"/>
    </row>
    <row r="73" ht="16.35" customHeight="1">
      <c r="A73" s="145"/>
      <c r="B73" s="145"/>
      <c r="C73" t="s" s="144">
        <v>376</v>
      </c>
      <c r="D73" s="146">
        <v>125853</v>
      </c>
      <c r="E73" s="145"/>
    </row>
    <row r="74" ht="20.35" customHeight="1">
      <c r="A74" s="145"/>
      <c r="B74" s="145"/>
      <c r="C74" t="s" s="144">
        <v>239</v>
      </c>
      <c r="D74" s="32"/>
      <c r="E74" s="146">
        <v>2784951</v>
      </c>
    </row>
    <row r="75" ht="20.35" customHeight="1">
      <c r="A75" s="145"/>
      <c r="B75" s="145"/>
      <c r="C75" t="s" s="144">
        <v>239</v>
      </c>
      <c r="D75" s="32"/>
      <c r="E75" s="146">
        <v>3000000</v>
      </c>
    </row>
    <row r="76" ht="20.35" customHeight="1">
      <c r="A76" s="145"/>
      <c r="B76" s="145"/>
      <c r="C76" t="s" s="144">
        <v>239</v>
      </c>
      <c r="D76" s="32"/>
      <c r="E76" s="146">
        <v>3000000</v>
      </c>
    </row>
    <row r="77" ht="16.35" customHeight="1">
      <c r="A77" s="145"/>
      <c r="B77" s="145"/>
      <c r="C77" t="s" s="144">
        <v>241</v>
      </c>
      <c r="D77" s="146">
        <v>52163</v>
      </c>
      <c r="E77" s="145"/>
    </row>
    <row r="78" ht="16.35" customHeight="1">
      <c r="A78" t="s" s="144">
        <v>243</v>
      </c>
      <c r="B78" s="145"/>
      <c r="C78" t="s" s="144">
        <v>244</v>
      </c>
      <c r="D78" s="146">
        <v>2889</v>
      </c>
      <c r="E78" s="145"/>
    </row>
    <row r="79" ht="16.35" customHeight="1">
      <c r="A79" s="145"/>
      <c r="B79" s="145"/>
      <c r="C79" t="s" s="144">
        <v>377</v>
      </c>
      <c r="D79" s="146">
        <v>13050</v>
      </c>
      <c r="E79" s="145"/>
    </row>
    <row r="80" ht="16.35" customHeight="1">
      <c r="A80" t="s" s="144">
        <v>378</v>
      </c>
      <c r="B80" s="145"/>
      <c r="C80" t="s" s="144">
        <v>245</v>
      </c>
      <c r="D80" s="146">
        <v>2133674</v>
      </c>
      <c r="E80" s="145"/>
    </row>
    <row r="81" ht="16.35" customHeight="1">
      <c r="A81" s="145"/>
      <c r="B81" s="145"/>
      <c r="C81" t="s" s="144">
        <v>379</v>
      </c>
      <c r="D81" s="146">
        <v>40990</v>
      </c>
      <c r="E81" s="145"/>
    </row>
    <row r="82" ht="16.35" customHeight="1">
      <c r="A82" s="145"/>
      <c r="B82" s="145"/>
      <c r="C82" t="s" s="144">
        <v>380</v>
      </c>
      <c r="D82" s="146">
        <v>5431</v>
      </c>
      <c r="E82" s="145"/>
    </row>
    <row r="83" ht="16.35" customHeight="1">
      <c r="A83" t="s" s="144">
        <v>178</v>
      </c>
      <c r="B83" s="145"/>
      <c r="C83" t="s" s="144">
        <v>380</v>
      </c>
      <c r="D83" s="146">
        <v>54990</v>
      </c>
      <c r="E83" s="145"/>
    </row>
    <row r="84" ht="16.35" customHeight="1">
      <c r="A84" s="145"/>
      <c r="B84" s="145"/>
      <c r="C84" t="s" s="144">
        <v>247</v>
      </c>
      <c r="D84" s="146">
        <v>2500</v>
      </c>
      <c r="E84" s="145"/>
    </row>
    <row r="85" ht="16.35" customHeight="1">
      <c r="A85" s="145"/>
      <c r="B85" s="145"/>
      <c r="C85" t="s" s="144">
        <v>381</v>
      </c>
      <c r="D85" s="146">
        <v>2400</v>
      </c>
      <c r="E85" s="145"/>
    </row>
    <row r="86" ht="16.35" customHeight="1">
      <c r="A86" s="145"/>
      <c r="B86" s="145"/>
      <c r="C86" t="s" s="144">
        <v>325</v>
      </c>
      <c r="D86" s="147">
        <v>350</v>
      </c>
      <c r="E86" s="145"/>
    </row>
    <row r="87" ht="16.35" customHeight="1">
      <c r="A87" s="145"/>
      <c r="B87" s="145"/>
      <c r="C87" t="s" s="144">
        <v>325</v>
      </c>
      <c r="D87" s="147">
        <v>350</v>
      </c>
      <c r="E87" s="145"/>
    </row>
    <row r="88" ht="16.35" customHeight="1">
      <c r="A88" s="145"/>
      <c r="B88" s="145"/>
      <c r="C88" t="s" s="144">
        <v>325</v>
      </c>
      <c r="D88" s="147">
        <v>350</v>
      </c>
      <c r="E88" s="145"/>
    </row>
    <row r="89" ht="16.35" customHeight="1">
      <c r="A89" s="145"/>
      <c r="B89" s="145"/>
      <c r="C89" t="s" s="144">
        <v>325</v>
      </c>
      <c r="D89" s="147">
        <v>350</v>
      </c>
      <c r="E89" s="145"/>
    </row>
    <row r="90" ht="16.35" customHeight="1">
      <c r="A90" s="145"/>
      <c r="B90" s="145"/>
      <c r="C90" t="s" s="144">
        <v>249</v>
      </c>
      <c r="D90" s="146">
        <v>29900</v>
      </c>
      <c r="E90" s="145"/>
    </row>
    <row r="91" ht="16.35" customHeight="1">
      <c r="A91" s="145"/>
      <c r="B91" s="145"/>
      <c r="C91" t="s" s="144">
        <v>251</v>
      </c>
      <c r="D91" s="146">
        <v>1289</v>
      </c>
      <c r="E91" s="145"/>
    </row>
    <row r="92" ht="16.35" customHeight="1">
      <c r="A92" s="145"/>
      <c r="B92" s="145"/>
      <c r="C92" t="s" s="144">
        <v>251</v>
      </c>
      <c r="D92" s="146">
        <v>12890</v>
      </c>
      <c r="E92" s="145"/>
    </row>
    <row r="93" ht="16.35" customHeight="1">
      <c r="A93" t="s" s="144">
        <v>382</v>
      </c>
      <c r="B93" s="145"/>
      <c r="C93" t="s" s="144">
        <v>251</v>
      </c>
      <c r="D93" s="146">
        <v>13214</v>
      </c>
      <c r="E93" s="145"/>
    </row>
    <row r="94" ht="20.35" customHeight="1">
      <c r="A94" s="145"/>
      <c r="B94" s="145"/>
      <c r="C94" t="s" s="144">
        <v>251</v>
      </c>
      <c r="D94" s="32"/>
      <c r="E94" s="146">
        <v>3216</v>
      </c>
    </row>
    <row r="95" ht="20.35" customHeight="1">
      <c r="A95" s="145"/>
      <c r="B95" s="145"/>
      <c r="C95" t="s" s="144">
        <v>251</v>
      </c>
      <c r="D95" s="32"/>
      <c r="E95" s="146">
        <v>25117</v>
      </c>
    </row>
    <row r="96" ht="20.35" customHeight="1">
      <c r="A96" t="s" s="144">
        <v>383</v>
      </c>
      <c r="B96" s="145"/>
      <c r="C96" t="s" s="144">
        <v>251</v>
      </c>
      <c r="D96" s="32"/>
      <c r="E96" s="146">
        <v>2026</v>
      </c>
    </row>
    <row r="97" ht="20.35" customHeight="1">
      <c r="A97" s="145"/>
      <c r="B97" s="145"/>
      <c r="C97" t="s" s="144">
        <v>251</v>
      </c>
      <c r="D97" s="32"/>
      <c r="E97" s="146">
        <v>60112</v>
      </c>
    </row>
    <row r="98" ht="16.35" customHeight="1">
      <c r="A98" s="145"/>
      <c r="B98" s="145"/>
      <c r="C98" t="s" s="144">
        <v>384</v>
      </c>
      <c r="D98" s="146">
        <v>165970</v>
      </c>
      <c r="E98" s="145"/>
    </row>
    <row r="99" ht="16.35" customHeight="1">
      <c r="A99" s="145"/>
      <c r="B99" s="145"/>
      <c r="C99" t="s" s="144">
        <v>385</v>
      </c>
      <c r="D99" s="146">
        <v>45825</v>
      </c>
      <c r="E99" s="145"/>
    </row>
    <row r="100" ht="16.35" customHeight="1">
      <c r="A100" s="145"/>
      <c r="B100" s="145"/>
      <c r="C100" t="s" s="144">
        <v>386</v>
      </c>
      <c r="D100" s="146">
        <v>73428</v>
      </c>
      <c r="E100" s="145"/>
    </row>
    <row r="101" ht="16.35" customHeight="1">
      <c r="A101" t="s" s="144">
        <v>387</v>
      </c>
      <c r="B101" s="145"/>
      <c r="C101" t="s" s="144">
        <v>388</v>
      </c>
      <c r="D101" s="146">
        <v>52598</v>
      </c>
      <c r="E101" s="145"/>
    </row>
    <row r="102" ht="16.35" customHeight="1">
      <c r="A102" t="s" s="144">
        <v>389</v>
      </c>
      <c r="B102" s="145"/>
      <c r="C102" t="s" s="144">
        <v>390</v>
      </c>
      <c r="D102" s="146">
        <v>3960</v>
      </c>
      <c r="E102" s="145"/>
    </row>
    <row r="103" ht="16.35" customHeight="1">
      <c r="A103" t="s" s="144">
        <v>391</v>
      </c>
      <c r="B103" s="145"/>
      <c r="C103" t="s" s="144">
        <v>392</v>
      </c>
      <c r="D103" s="146">
        <v>20000</v>
      </c>
      <c r="E103" s="145"/>
    </row>
    <row r="104" ht="16.35" customHeight="1">
      <c r="A104" t="s" s="144">
        <v>393</v>
      </c>
      <c r="B104" s="145"/>
      <c r="C104" t="s" s="144">
        <v>394</v>
      </c>
      <c r="D104" s="146">
        <v>3750</v>
      </c>
      <c r="E104" s="145"/>
    </row>
    <row r="105" ht="16.35" customHeight="1">
      <c r="A105" t="s" s="144">
        <v>272</v>
      </c>
      <c r="B105" s="145"/>
      <c r="C105" t="s" s="144">
        <v>273</v>
      </c>
      <c r="D105" s="146">
        <v>17252</v>
      </c>
      <c r="E105" s="145"/>
    </row>
    <row r="106" ht="16.35" customHeight="1">
      <c r="A106" s="145"/>
      <c r="B106" s="145"/>
      <c r="C106" t="s" s="144">
        <v>395</v>
      </c>
      <c r="D106" s="146">
        <v>62153</v>
      </c>
      <c r="E106" s="145"/>
    </row>
    <row r="107" ht="16.35" customHeight="1">
      <c r="A107" t="s" s="144">
        <v>396</v>
      </c>
      <c r="B107" s="145"/>
      <c r="C107" t="s" s="144">
        <v>397</v>
      </c>
      <c r="D107" s="146">
        <v>3600</v>
      </c>
      <c r="E107" s="145"/>
    </row>
    <row r="108" ht="16.35" customHeight="1">
      <c r="A108" t="s" s="144">
        <v>398</v>
      </c>
      <c r="B108" s="145"/>
      <c r="C108" t="s" s="144">
        <v>397</v>
      </c>
      <c r="D108" s="146">
        <v>1400</v>
      </c>
      <c r="E108" s="145"/>
    </row>
    <row r="109" ht="16.35" customHeight="1">
      <c r="A109" s="145"/>
      <c r="B109" s="145"/>
      <c r="C109" t="s" s="144">
        <v>399</v>
      </c>
      <c r="D109" s="146">
        <v>3990</v>
      </c>
      <c r="E109" s="145"/>
    </row>
    <row r="110" ht="16.35" customHeight="1">
      <c r="A110" t="s" s="144">
        <v>282</v>
      </c>
      <c r="B110" s="145"/>
      <c r="C110" t="s" s="144">
        <v>283</v>
      </c>
      <c r="D110" s="146">
        <v>275697</v>
      </c>
      <c r="E110" s="145"/>
    </row>
    <row r="111" ht="20.35" customHeight="1">
      <c r="A111" s="32"/>
      <c r="B111" s="26"/>
      <c r="C111" s="32"/>
      <c r="D111" s="26"/>
      <c r="E111" s="32"/>
    </row>
    <row r="112" ht="16.35" customHeight="1">
      <c r="A112" s="145"/>
      <c r="B112" s="145"/>
      <c r="C112" s="150"/>
      <c r="D112" s="150"/>
      <c r="E112" s="145"/>
    </row>
    <row r="113" ht="16.35" customHeight="1">
      <c r="A113" s="145"/>
      <c r="B113" s="145"/>
      <c r="C113" s="150"/>
      <c r="D113" s="150"/>
      <c r="E113" s="145"/>
    </row>
    <row r="114" ht="16.35" customHeight="1">
      <c r="A114" s="145"/>
      <c r="B114" s="145"/>
      <c r="C114" s="150"/>
      <c r="D114" s="150"/>
      <c r="E114" s="145"/>
    </row>
    <row r="115" ht="16.35" customHeight="1">
      <c r="A115" s="145"/>
      <c r="B115" s="145"/>
      <c r="C115" s="150"/>
      <c r="D115" s="150"/>
      <c r="E115" s="145"/>
    </row>
    <row r="116" ht="16.35" customHeight="1">
      <c r="A116" s="145"/>
      <c r="B116" s="145"/>
      <c r="C116" s="150"/>
      <c r="D116" s="150"/>
      <c r="E116" s="145"/>
    </row>
    <row r="117" ht="16.35" customHeight="1">
      <c r="A117" s="145"/>
      <c r="B117" s="145"/>
      <c r="C117" s="150"/>
      <c r="D117" s="150"/>
      <c r="E117" s="145"/>
    </row>
    <row r="118" ht="16.35" customHeight="1">
      <c r="A118" s="145"/>
      <c r="B118" s="145"/>
      <c r="C118" s="150"/>
      <c r="D118" s="150"/>
      <c r="E118" s="145"/>
    </row>
  </sheetData>
  <hyperlinks>
    <hyperlink ref="C6" r:id="rId1" location="" tooltip="" display="APPLE.COM"/>
    <hyperlink ref="C7" r:id="rId2" location="" tooltip="" display="APPLE.COM"/>
    <hyperlink ref="C8" r:id="rId3" location="" tooltip="" display="APPLE.COM"/>
    <hyperlink ref="C34" r:id="rId4" location="" tooltip="" display="LATAM.COM"/>
  </hyperlink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F118"/>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2" width="16.3516" style="151" customWidth="1"/>
    <col min="3" max="3" width="25.6719" style="151" customWidth="1"/>
    <col min="4" max="6" width="16.3516" style="151" customWidth="1"/>
    <col min="7" max="16384" width="16.3516" style="151" customWidth="1"/>
  </cols>
  <sheetData>
    <row r="1" ht="20.55" customHeight="1">
      <c r="A1" s="7"/>
      <c r="B1" s="7"/>
      <c r="C1" s="7"/>
      <c r="D1" t="s" s="8">
        <v>402</v>
      </c>
      <c r="E1" s="143" cm="1">
        <f t="array" ref="E1">SUM(D2:D118)</f>
        <v>4395731</v>
      </c>
      <c r="F1" s="7"/>
    </row>
    <row r="2" ht="16.55" customHeight="1">
      <c r="A2" s="152"/>
      <c r="B2" s="153"/>
      <c r="C2" s="152"/>
      <c r="D2" s="154"/>
      <c r="E2" s="153"/>
      <c r="F2" s="153"/>
    </row>
    <row r="3" ht="16.35" customHeight="1">
      <c r="A3" s="145"/>
      <c r="B3" s="145"/>
      <c r="C3" t="s" s="144">
        <v>184</v>
      </c>
      <c r="D3" s="146">
        <v>2200</v>
      </c>
      <c r="E3" s="145"/>
      <c r="F3" s="145"/>
    </row>
    <row r="4" ht="16.35" customHeight="1">
      <c r="A4" s="145"/>
      <c r="B4" s="145"/>
      <c r="C4" t="s" s="144">
        <v>184</v>
      </c>
      <c r="D4" s="146">
        <v>2700</v>
      </c>
      <c r="E4" s="145"/>
      <c r="F4" s="145"/>
    </row>
    <row r="5" ht="16.35" customHeight="1">
      <c r="A5" t="s" s="144">
        <v>191</v>
      </c>
      <c r="B5" s="145"/>
      <c r="C5" t="s" s="144">
        <v>190</v>
      </c>
      <c r="D5" s="146">
        <v>9166</v>
      </c>
      <c r="E5" s="145"/>
      <c r="F5" s="145"/>
    </row>
    <row r="6" ht="20.35" customHeight="1">
      <c r="A6" s="145"/>
      <c r="B6" s="145"/>
      <c r="C6" t="s" s="144">
        <v>190</v>
      </c>
      <c r="D6" s="146">
        <v>9166</v>
      </c>
      <c r="E6" s="145"/>
      <c r="F6" s="26"/>
    </row>
    <row r="7" ht="20.35" customHeight="1">
      <c r="A7" s="145"/>
      <c r="B7" s="145"/>
      <c r="C7" t="s" s="144">
        <v>190</v>
      </c>
      <c r="D7" s="146">
        <v>9166</v>
      </c>
      <c r="E7" s="32"/>
      <c r="F7" s="145"/>
    </row>
    <row r="8" ht="30.35" customHeight="1">
      <c r="A8" s="145"/>
      <c r="B8" s="145"/>
      <c r="C8" t="s" s="144">
        <v>341</v>
      </c>
      <c r="D8" s="146">
        <v>5512</v>
      </c>
      <c r="E8" s="145"/>
      <c r="F8" s="145"/>
    </row>
    <row r="9" ht="16.35" customHeight="1">
      <c r="A9" s="145"/>
      <c r="B9" s="145"/>
      <c r="C9" t="s" s="144">
        <v>403</v>
      </c>
      <c r="D9" s="146">
        <v>79980</v>
      </c>
      <c r="E9" s="145"/>
      <c r="F9" s="145"/>
    </row>
    <row r="10" ht="16.35" customHeight="1">
      <c r="A10" t="s" s="144">
        <v>404</v>
      </c>
      <c r="B10" s="145"/>
      <c r="C10" t="s" s="144">
        <v>403</v>
      </c>
      <c r="D10" s="146">
        <v>39990</v>
      </c>
      <c r="E10" s="145"/>
      <c r="F10" s="145"/>
    </row>
    <row r="11" ht="20.35" customHeight="1">
      <c r="A11" t="s" s="144">
        <v>405</v>
      </c>
      <c r="B11" s="145"/>
      <c r="C11" t="s" s="144">
        <v>202</v>
      </c>
      <c r="D11" s="146">
        <v>53571</v>
      </c>
      <c r="E11" s="145"/>
      <c r="F11" s="26"/>
    </row>
    <row r="12" ht="30.35" customHeight="1">
      <c r="A12" s="145"/>
      <c r="B12" s="145"/>
      <c r="C12" t="s" s="144">
        <v>204</v>
      </c>
      <c r="D12" s="146">
        <v>13800</v>
      </c>
      <c r="E12" s="145"/>
      <c r="F12" s="32"/>
    </row>
    <row r="13" ht="30.35" customHeight="1">
      <c r="A13" t="s" s="144">
        <v>406</v>
      </c>
      <c r="B13" s="145"/>
      <c r="C13" t="s" s="144">
        <v>407</v>
      </c>
      <c r="D13" s="147">
        <v>150</v>
      </c>
      <c r="E13" s="145"/>
      <c r="F13" s="26"/>
    </row>
    <row r="14" ht="30.35" customHeight="1">
      <c r="A14" s="145"/>
      <c r="B14" s="145"/>
      <c r="C14" t="s" s="144">
        <v>407</v>
      </c>
      <c r="D14" s="146">
        <v>1900</v>
      </c>
      <c r="E14" s="145"/>
      <c r="F14" s="26"/>
    </row>
    <row r="15" ht="30.35" customHeight="1">
      <c r="A15" s="145"/>
      <c r="B15" s="145"/>
      <c r="C15" t="s" s="144">
        <v>407</v>
      </c>
      <c r="D15" s="146">
        <v>18170</v>
      </c>
      <c r="E15" s="145"/>
      <c r="F15" s="145"/>
    </row>
    <row r="16" ht="16.35" customHeight="1">
      <c r="A16" s="145"/>
      <c r="B16" s="145"/>
      <c r="C16" t="s" s="144">
        <v>408</v>
      </c>
      <c r="D16" s="146">
        <v>33481</v>
      </c>
      <c r="E16" s="145"/>
      <c r="F16" s="145"/>
    </row>
    <row r="17" ht="16.35" customHeight="1">
      <c r="A17" t="s" s="144">
        <v>409</v>
      </c>
      <c r="B17" s="145"/>
      <c r="C17" t="s" s="144">
        <v>205</v>
      </c>
      <c r="D17" s="146">
        <v>7465</v>
      </c>
      <c r="E17" s="145"/>
      <c r="F17" s="145"/>
    </row>
    <row r="18" ht="20.35" customHeight="1">
      <c r="A18" s="145"/>
      <c r="B18" s="145"/>
      <c r="C18" t="s" s="144">
        <v>206</v>
      </c>
      <c r="D18" s="146">
        <v>21990</v>
      </c>
      <c r="E18" s="145"/>
      <c r="F18" s="26"/>
    </row>
    <row r="19" ht="20.35" customHeight="1">
      <c r="A19" s="145"/>
      <c r="B19" s="145"/>
      <c r="C19" t="s" s="144">
        <v>207</v>
      </c>
      <c r="D19" s="146">
        <v>4980</v>
      </c>
      <c r="E19" s="145"/>
      <c r="F19" s="26"/>
    </row>
    <row r="20" ht="16.35" customHeight="1">
      <c r="A20" t="s" s="144">
        <v>410</v>
      </c>
      <c r="B20" s="145"/>
      <c r="C20" t="s" s="144">
        <v>207</v>
      </c>
      <c r="D20" s="146">
        <v>17100</v>
      </c>
      <c r="E20" s="145"/>
      <c r="F20" s="145"/>
    </row>
    <row r="21" ht="20.35" customHeight="1">
      <c r="A21" s="145"/>
      <c r="B21" s="145"/>
      <c r="C21" t="s" s="144">
        <v>207</v>
      </c>
      <c r="D21" s="146">
        <v>24460</v>
      </c>
      <c r="E21" s="145"/>
      <c r="F21" s="26"/>
    </row>
    <row r="22" ht="16.35" customHeight="1">
      <c r="A22" s="145"/>
      <c r="B22" s="145"/>
      <c r="C22" t="s" s="144">
        <v>411</v>
      </c>
      <c r="D22" s="146">
        <v>8000</v>
      </c>
      <c r="E22" s="145"/>
      <c r="F22" s="145"/>
    </row>
    <row r="23" ht="20.35" customHeight="1">
      <c r="A23" s="145"/>
      <c r="B23" s="145"/>
      <c r="C23" t="s" s="144">
        <v>353</v>
      </c>
      <c r="D23" s="146">
        <v>200000</v>
      </c>
      <c r="E23" s="145"/>
      <c r="F23" s="26"/>
    </row>
    <row r="24" ht="30.35" customHeight="1">
      <c r="A24" t="s" s="144">
        <v>412</v>
      </c>
      <c r="B24" s="145"/>
      <c r="C24" t="s" s="144">
        <v>354</v>
      </c>
      <c r="D24" s="146">
        <v>11000</v>
      </c>
      <c r="E24" s="145"/>
      <c r="F24" s="26"/>
    </row>
    <row r="25" ht="20.35" customHeight="1">
      <c r="A25" s="145"/>
      <c r="B25" s="145"/>
      <c r="C25" t="s" s="144">
        <v>413</v>
      </c>
      <c r="D25" s="146">
        <v>9970</v>
      </c>
      <c r="E25" s="145"/>
      <c r="F25" s="26"/>
    </row>
    <row r="26" ht="16.35" customHeight="1">
      <c r="A26" t="s" s="144">
        <v>414</v>
      </c>
      <c r="B26" s="145"/>
      <c r="C26" t="s" s="144">
        <v>211</v>
      </c>
      <c r="D26" s="146">
        <v>1896</v>
      </c>
      <c r="E26" s="145"/>
      <c r="F26" s="145"/>
    </row>
    <row r="27" ht="30.35" customHeight="1">
      <c r="A27" s="145"/>
      <c r="B27" s="145"/>
      <c r="C27" t="s" s="144">
        <v>415</v>
      </c>
      <c r="D27" s="146">
        <v>97650</v>
      </c>
      <c r="E27" s="145"/>
      <c r="F27" s="145"/>
    </row>
    <row r="28" ht="30.35" customHeight="1">
      <c r="A28" t="s" s="144">
        <v>416</v>
      </c>
      <c r="B28" s="145"/>
      <c r="C28" t="s" s="144">
        <v>214</v>
      </c>
      <c r="D28" s="146">
        <v>27401</v>
      </c>
      <c r="E28" s="145"/>
      <c r="F28" s="145"/>
    </row>
    <row r="29" ht="30.35" customHeight="1">
      <c r="A29" t="s" s="144">
        <v>417</v>
      </c>
      <c r="B29" s="145"/>
      <c r="C29" t="s" s="144">
        <v>214</v>
      </c>
      <c r="D29" s="146">
        <v>9724</v>
      </c>
      <c r="E29" s="145"/>
      <c r="F29" s="26"/>
    </row>
    <row r="30" ht="30.35" customHeight="1">
      <c r="A30" s="145"/>
      <c r="B30" s="145"/>
      <c r="C30" t="s" s="144">
        <v>214</v>
      </c>
      <c r="D30" s="146">
        <v>21695</v>
      </c>
      <c r="E30" s="145"/>
      <c r="F30" s="26"/>
    </row>
    <row r="31" ht="30.35" customHeight="1">
      <c r="A31" s="145"/>
      <c r="B31" s="145"/>
      <c r="C31" t="s" s="144">
        <v>214</v>
      </c>
      <c r="D31" s="146">
        <v>46128</v>
      </c>
      <c r="E31" s="145"/>
      <c r="F31" s="26"/>
    </row>
    <row r="32" ht="30.35" customHeight="1">
      <c r="A32" s="145"/>
      <c r="B32" s="145"/>
      <c r="C32" t="s" s="144">
        <v>214</v>
      </c>
      <c r="D32" s="146">
        <v>65514</v>
      </c>
      <c r="E32" s="145"/>
      <c r="F32" s="145"/>
    </row>
    <row r="33" ht="30.35" customHeight="1">
      <c r="A33" t="s" s="144">
        <v>418</v>
      </c>
      <c r="B33" s="145"/>
      <c r="C33" t="s" s="144">
        <v>214</v>
      </c>
      <c r="D33" s="146">
        <v>52400</v>
      </c>
      <c r="E33" s="145"/>
      <c r="F33" s="26"/>
    </row>
    <row r="34" ht="30.35" customHeight="1">
      <c r="A34" s="145"/>
      <c r="B34" s="145"/>
      <c r="C34" t="s" s="144">
        <v>214</v>
      </c>
      <c r="D34" s="146">
        <v>44885</v>
      </c>
      <c r="E34" s="145"/>
      <c r="F34" s="26"/>
    </row>
    <row r="35" ht="30.35" customHeight="1">
      <c r="A35" t="s" s="144">
        <v>419</v>
      </c>
      <c r="B35" s="145"/>
      <c r="C35" t="s" s="144">
        <v>214</v>
      </c>
      <c r="D35" s="146">
        <v>44055</v>
      </c>
      <c r="E35" s="145"/>
      <c r="F35" s="145"/>
    </row>
    <row r="36" ht="30.35" customHeight="1">
      <c r="A36" s="145"/>
      <c r="B36" s="145"/>
      <c r="C36" t="s" s="144">
        <v>214</v>
      </c>
      <c r="D36" s="146">
        <v>34246</v>
      </c>
      <c r="E36" s="145"/>
      <c r="F36" s="145"/>
    </row>
    <row r="37" ht="30.35" customHeight="1">
      <c r="A37" s="145"/>
      <c r="B37" s="145"/>
      <c r="C37" t="s" s="144">
        <v>219</v>
      </c>
      <c r="D37" s="146">
        <v>5460</v>
      </c>
      <c r="E37" s="145"/>
      <c r="F37" s="26"/>
    </row>
    <row r="38" ht="30.35" customHeight="1">
      <c r="A38" s="145"/>
      <c r="B38" s="145"/>
      <c r="C38" t="s" s="144">
        <v>219</v>
      </c>
      <c r="D38" s="146">
        <v>5460</v>
      </c>
      <c r="E38" s="145"/>
      <c r="F38" s="145"/>
    </row>
    <row r="39" ht="30.35" customHeight="1">
      <c r="A39" s="145"/>
      <c r="B39" s="145"/>
      <c r="C39" t="s" s="144">
        <v>219</v>
      </c>
      <c r="D39" s="146">
        <v>5460</v>
      </c>
      <c r="E39" s="145"/>
      <c r="F39" s="145"/>
    </row>
    <row r="40" ht="30.35" customHeight="1">
      <c r="A40" s="145"/>
      <c r="B40" s="145"/>
      <c r="C40" t="s" s="144">
        <v>219</v>
      </c>
      <c r="D40" s="146">
        <v>6300</v>
      </c>
      <c r="E40" s="145"/>
      <c r="F40" s="145"/>
    </row>
    <row r="41" ht="30.35" customHeight="1">
      <c r="A41" s="145"/>
      <c r="B41" s="145"/>
      <c r="C41" t="s" s="144">
        <v>219</v>
      </c>
      <c r="D41" s="146">
        <v>5460</v>
      </c>
      <c r="E41" s="145"/>
      <c r="F41" s="145"/>
    </row>
    <row r="42" ht="30.35" customHeight="1">
      <c r="A42" t="s" s="144">
        <v>420</v>
      </c>
      <c r="B42" s="145"/>
      <c r="C42" t="s" s="144">
        <v>219</v>
      </c>
      <c r="D42" s="146">
        <v>5460</v>
      </c>
      <c r="E42" s="145"/>
      <c r="F42" s="26"/>
    </row>
    <row r="43" ht="30.35" customHeight="1">
      <c r="A43" t="s" s="144">
        <v>421</v>
      </c>
      <c r="B43" s="145"/>
      <c r="C43" t="s" s="144">
        <v>219</v>
      </c>
      <c r="D43" s="146">
        <v>4680</v>
      </c>
      <c r="E43" s="145"/>
      <c r="F43" s="145"/>
    </row>
    <row r="44" ht="30.35" customHeight="1">
      <c r="A44" t="s" s="144">
        <v>422</v>
      </c>
      <c r="B44" s="145"/>
      <c r="C44" t="s" s="144">
        <v>219</v>
      </c>
      <c r="D44" s="146">
        <v>5460</v>
      </c>
      <c r="E44" s="145"/>
      <c r="F44" s="145"/>
    </row>
    <row r="45" ht="30.35" customHeight="1">
      <c r="A45" s="145"/>
      <c r="B45" s="145"/>
      <c r="C45" t="s" s="144">
        <v>219</v>
      </c>
      <c r="D45" s="146">
        <v>5460</v>
      </c>
      <c r="E45" s="145"/>
      <c r="F45" s="26"/>
    </row>
    <row r="46" ht="30.35" customHeight="1">
      <c r="A46" s="145"/>
      <c r="B46" s="145"/>
      <c r="C46" t="s" s="144">
        <v>219</v>
      </c>
      <c r="D46" s="146">
        <v>5460</v>
      </c>
      <c r="E46" s="145"/>
      <c r="F46" s="26"/>
    </row>
    <row r="47" ht="30.35" customHeight="1">
      <c r="A47" s="145"/>
      <c r="B47" s="145"/>
      <c r="C47" t="s" s="144">
        <v>219</v>
      </c>
      <c r="D47" s="146">
        <v>9660</v>
      </c>
      <c r="E47" s="145"/>
      <c r="F47" s="145"/>
    </row>
    <row r="48" ht="20.35" customHeight="1">
      <c r="A48" s="145"/>
      <c r="B48" s="145"/>
      <c r="C48" t="s" s="144">
        <v>223</v>
      </c>
      <c r="D48" s="146">
        <v>1990</v>
      </c>
      <c r="E48" s="145"/>
      <c r="F48" s="26"/>
    </row>
    <row r="49" ht="20.35" customHeight="1">
      <c r="A49" s="145"/>
      <c r="B49" s="145"/>
      <c r="C49" t="s" s="144">
        <v>223</v>
      </c>
      <c r="D49" s="146">
        <v>3980</v>
      </c>
      <c r="E49" s="145"/>
      <c r="F49" s="26"/>
    </row>
    <row r="50" ht="16.35" customHeight="1">
      <c r="A50" t="s" s="144">
        <v>423</v>
      </c>
      <c r="B50" s="145"/>
      <c r="C50" t="s" s="144">
        <v>223</v>
      </c>
      <c r="D50" s="146">
        <v>1990</v>
      </c>
      <c r="E50" s="145"/>
      <c r="F50" s="145"/>
    </row>
    <row r="51" ht="30.35" customHeight="1">
      <c r="A51" s="145"/>
      <c r="B51" s="145"/>
      <c r="C51" t="s" s="144">
        <v>424</v>
      </c>
      <c r="D51" s="146">
        <v>6290</v>
      </c>
      <c r="E51" s="145"/>
      <c r="F51" s="145"/>
    </row>
    <row r="52" ht="20.35" customHeight="1">
      <c r="A52" t="s" s="144">
        <v>382</v>
      </c>
      <c r="B52" s="145"/>
      <c r="C52" t="s" s="144">
        <v>225</v>
      </c>
      <c r="D52" s="146">
        <v>22498</v>
      </c>
      <c r="E52" s="145"/>
      <c r="F52" s="26"/>
    </row>
    <row r="53" ht="16.35" customHeight="1">
      <c r="A53" s="145"/>
      <c r="B53" s="145"/>
      <c r="C53" t="s" s="144">
        <v>225</v>
      </c>
      <c r="D53" s="146">
        <v>63665</v>
      </c>
      <c r="E53" s="145"/>
      <c r="F53" s="145"/>
    </row>
    <row r="54" ht="16.35" customHeight="1">
      <c r="A54" t="s" s="144">
        <v>222</v>
      </c>
      <c r="B54" s="145"/>
      <c r="C54" t="s" s="144">
        <v>225</v>
      </c>
      <c r="D54" s="146">
        <v>35833</v>
      </c>
      <c r="E54" s="145"/>
      <c r="F54" s="145"/>
    </row>
    <row r="55" ht="20.35" customHeight="1">
      <c r="A55" t="s" s="144">
        <v>226</v>
      </c>
      <c r="B55" s="145"/>
      <c r="C55" t="s" s="144">
        <v>225</v>
      </c>
      <c r="D55" s="146">
        <v>8495</v>
      </c>
      <c r="E55" s="145"/>
      <c r="F55" s="26"/>
    </row>
    <row r="56" ht="30.35" customHeight="1">
      <c r="A56" t="s" s="144">
        <v>425</v>
      </c>
      <c r="B56" s="145"/>
      <c r="C56" t="s" s="144">
        <v>426</v>
      </c>
      <c r="D56" s="146">
        <v>2500</v>
      </c>
      <c r="E56" s="145"/>
      <c r="F56" s="145"/>
    </row>
    <row r="57" ht="16.35" customHeight="1">
      <c r="A57" t="s" s="144">
        <v>427</v>
      </c>
      <c r="B57" s="145"/>
      <c r="C57" t="s" s="144">
        <v>231</v>
      </c>
      <c r="D57" s="146">
        <v>22870</v>
      </c>
      <c r="E57" s="145"/>
      <c r="F57" s="145"/>
    </row>
    <row r="58" ht="16.35" customHeight="1">
      <c r="A58" t="s" s="144">
        <v>428</v>
      </c>
      <c r="B58" s="145"/>
      <c r="C58" t="s" s="144">
        <v>231</v>
      </c>
      <c r="D58" s="146">
        <v>21670</v>
      </c>
      <c r="E58" s="145"/>
      <c r="F58" s="145"/>
    </row>
    <row r="59" ht="30.35" customHeight="1">
      <c r="A59" s="145"/>
      <c r="B59" s="145"/>
      <c r="C59" t="s" s="144">
        <v>375</v>
      </c>
      <c r="D59" s="146">
        <v>8290</v>
      </c>
      <c r="E59" s="145"/>
      <c r="F59" s="26"/>
    </row>
    <row r="60" ht="30.35" customHeight="1">
      <c r="A60" s="145"/>
      <c r="B60" s="145"/>
      <c r="C60" t="s" s="144">
        <v>429</v>
      </c>
      <c r="D60" s="146">
        <v>14500</v>
      </c>
      <c r="E60" s="145"/>
      <c r="F60" s="145"/>
    </row>
    <row r="61" ht="30.35" customHeight="1">
      <c r="A61" s="145"/>
      <c r="B61" s="145"/>
      <c r="C61" t="s" s="144">
        <v>430</v>
      </c>
      <c r="D61" s="146">
        <v>1565558</v>
      </c>
      <c r="E61" s="145"/>
      <c r="F61" s="145"/>
    </row>
    <row r="62" ht="16.35" customHeight="1">
      <c r="A62" s="145"/>
      <c r="B62" s="145"/>
      <c r="C62" t="s" s="144">
        <v>321</v>
      </c>
      <c r="D62" s="146">
        <v>22352</v>
      </c>
      <c r="E62" s="145"/>
      <c r="F62" s="145"/>
    </row>
    <row r="63" ht="16.35" customHeight="1">
      <c r="A63" s="145"/>
      <c r="B63" s="145"/>
      <c r="C63" t="s" s="144">
        <v>376</v>
      </c>
      <c r="D63" s="146">
        <v>125853</v>
      </c>
      <c r="E63" s="145"/>
      <c r="F63" s="145"/>
    </row>
    <row r="64" ht="20.35" customHeight="1">
      <c r="A64" t="s" s="144">
        <v>431</v>
      </c>
      <c r="B64" s="145"/>
      <c r="C64" t="s" s="144">
        <v>239</v>
      </c>
      <c r="D64" s="32"/>
      <c r="E64" s="146">
        <v>3746116</v>
      </c>
      <c r="F64" s="145"/>
    </row>
    <row r="65" ht="16.35" customHeight="1">
      <c r="A65" t="s" s="144">
        <v>352</v>
      </c>
      <c r="B65" s="145"/>
      <c r="C65" t="s" s="144">
        <v>241</v>
      </c>
      <c r="D65" s="146">
        <v>52163</v>
      </c>
      <c r="E65" s="145"/>
      <c r="F65" s="145"/>
    </row>
    <row r="66" ht="16.35" customHeight="1">
      <c r="A66" t="s" s="144">
        <v>243</v>
      </c>
      <c r="B66" s="145"/>
      <c r="C66" t="s" s="144">
        <v>244</v>
      </c>
      <c r="D66" s="146">
        <v>2891</v>
      </c>
      <c r="E66" s="145"/>
      <c r="F66" s="145"/>
    </row>
    <row r="67" ht="16.35" customHeight="1">
      <c r="A67" t="s" s="144">
        <v>432</v>
      </c>
      <c r="B67" s="145"/>
      <c r="C67" t="s" s="144">
        <v>433</v>
      </c>
      <c r="D67" s="146">
        <v>125000</v>
      </c>
      <c r="E67" s="145"/>
      <c r="F67" s="145"/>
    </row>
    <row r="68" ht="30.35" customHeight="1">
      <c r="A68" s="145"/>
      <c r="B68" s="145"/>
      <c r="C68" t="s" s="144">
        <v>434</v>
      </c>
      <c r="D68" s="146">
        <v>193600</v>
      </c>
      <c r="E68" s="145"/>
      <c r="F68" s="26"/>
    </row>
    <row r="69" ht="20.35" customHeight="1">
      <c r="A69" t="s" s="144">
        <v>435</v>
      </c>
      <c r="B69" s="145"/>
      <c r="C69" t="s" s="144">
        <v>249</v>
      </c>
      <c r="D69" s="146">
        <v>39100</v>
      </c>
      <c r="E69" s="145"/>
      <c r="F69" s="26"/>
    </row>
    <row r="70" ht="20.35" customHeight="1">
      <c r="A70" s="145"/>
      <c r="B70" s="145"/>
      <c r="C70" t="s" s="144">
        <v>251</v>
      </c>
      <c r="D70" s="146">
        <v>6785</v>
      </c>
      <c r="E70" s="145"/>
      <c r="F70" s="26"/>
    </row>
    <row r="71" ht="20.35" customHeight="1">
      <c r="A71" t="s" s="144">
        <v>436</v>
      </c>
      <c r="B71" s="145"/>
      <c r="C71" t="s" s="144">
        <v>251</v>
      </c>
      <c r="D71" s="146">
        <v>12863</v>
      </c>
      <c r="E71" s="145"/>
      <c r="F71" s="26"/>
    </row>
    <row r="72" ht="16.35" customHeight="1">
      <c r="A72" s="145"/>
      <c r="B72" s="145"/>
      <c r="C72" t="s" s="144">
        <v>257</v>
      </c>
      <c r="D72" s="146">
        <v>10943</v>
      </c>
      <c r="E72" s="145"/>
      <c r="F72" s="145"/>
    </row>
    <row r="73" ht="16.35" customHeight="1">
      <c r="A73" s="145"/>
      <c r="B73" s="145"/>
      <c r="C73" t="s" s="144">
        <v>259</v>
      </c>
      <c r="D73" s="146">
        <v>59750</v>
      </c>
      <c r="E73" s="145"/>
      <c r="F73" s="145"/>
    </row>
    <row r="74" ht="30.35" customHeight="1">
      <c r="A74" s="145"/>
      <c r="B74" s="145"/>
      <c r="C74" t="s" s="144">
        <v>261</v>
      </c>
      <c r="D74" s="146">
        <v>137130</v>
      </c>
      <c r="E74" s="145"/>
      <c r="F74" s="26"/>
    </row>
    <row r="75" ht="30.35" customHeight="1">
      <c r="A75" s="145"/>
      <c r="B75" s="145"/>
      <c r="C75" t="s" s="144">
        <v>261</v>
      </c>
      <c r="D75" s="146">
        <v>145950</v>
      </c>
      <c r="E75" s="145"/>
      <c r="F75" s="145"/>
    </row>
    <row r="76" ht="20.35" customHeight="1">
      <c r="A76" t="s" s="144">
        <v>347</v>
      </c>
      <c r="B76" s="145"/>
      <c r="C76" t="s" s="144">
        <v>386</v>
      </c>
      <c r="D76" s="146">
        <v>73428</v>
      </c>
      <c r="E76" s="145"/>
      <c r="F76" s="26"/>
    </row>
    <row r="77" ht="30.35" customHeight="1">
      <c r="A77" t="s" s="144">
        <v>437</v>
      </c>
      <c r="B77" s="145"/>
      <c r="C77" t="s" s="144">
        <v>262</v>
      </c>
      <c r="D77" s="146">
        <v>6199</v>
      </c>
      <c r="E77" s="145"/>
      <c r="F77" s="26"/>
    </row>
    <row r="78" ht="30.35" customHeight="1">
      <c r="A78" t="s" s="144">
        <v>438</v>
      </c>
      <c r="B78" s="145"/>
      <c r="C78" t="s" s="144">
        <v>262</v>
      </c>
      <c r="D78" s="146">
        <v>52896</v>
      </c>
      <c r="E78" s="145"/>
      <c r="F78" s="145"/>
    </row>
    <row r="79" ht="30.35" customHeight="1">
      <c r="A79" t="s" s="144">
        <v>439</v>
      </c>
      <c r="B79" s="145"/>
      <c r="C79" t="s" s="144">
        <v>440</v>
      </c>
      <c r="D79" s="146">
        <v>5380</v>
      </c>
      <c r="E79" s="145"/>
      <c r="F79" s="26"/>
    </row>
    <row r="80" ht="20.35" customHeight="1">
      <c r="A80" s="145"/>
      <c r="B80" s="145"/>
      <c r="C80" t="s" s="144">
        <v>441</v>
      </c>
      <c r="D80" s="146">
        <v>15000</v>
      </c>
      <c r="E80" s="145"/>
      <c r="F80" s="26"/>
    </row>
    <row r="81" ht="16.35" customHeight="1">
      <c r="A81" t="s" s="144">
        <v>442</v>
      </c>
      <c r="B81" s="145"/>
      <c r="C81" t="s" s="144">
        <v>443</v>
      </c>
      <c r="D81" s="146">
        <v>43525</v>
      </c>
      <c r="E81" s="145"/>
      <c r="F81" s="145"/>
    </row>
    <row r="82" ht="16.35" customHeight="1">
      <c r="A82" s="145"/>
      <c r="B82" s="145"/>
      <c r="C82" t="s" s="144">
        <v>443</v>
      </c>
      <c r="D82" s="146">
        <v>90033</v>
      </c>
      <c r="E82" s="145"/>
      <c r="F82" s="145"/>
    </row>
    <row r="83" ht="16.35" customHeight="1">
      <c r="A83" t="s" s="144">
        <v>444</v>
      </c>
      <c r="B83" s="145"/>
      <c r="C83" t="s" s="144">
        <v>445</v>
      </c>
      <c r="D83" s="146">
        <v>20553</v>
      </c>
      <c r="E83" s="145"/>
      <c r="F83" s="145"/>
    </row>
    <row r="84" ht="16.35" customHeight="1">
      <c r="A84" t="s" s="144">
        <v>282</v>
      </c>
      <c r="B84" s="145"/>
      <c r="C84" t="s" s="144">
        <v>283</v>
      </c>
      <c r="D84" s="146">
        <v>275697</v>
      </c>
      <c r="E84" s="145"/>
      <c r="F84" s="145"/>
    </row>
    <row r="85" ht="30.35" customHeight="1">
      <c r="A85" s="145"/>
      <c r="B85" s="145"/>
      <c r="C85" t="s" s="144">
        <v>446</v>
      </c>
      <c r="D85" s="146">
        <v>4680</v>
      </c>
      <c r="E85" s="145"/>
      <c r="F85" s="145"/>
    </row>
    <row r="86" ht="20.35" customHeight="1">
      <c r="A86" s="145"/>
      <c r="B86" s="145"/>
      <c r="C86" s="150"/>
      <c r="D86" s="150"/>
      <c r="E86" s="145"/>
      <c r="F86" s="26"/>
    </row>
    <row r="87" ht="20.35" customHeight="1">
      <c r="A87" s="145"/>
      <c r="B87" s="145"/>
      <c r="C87" s="150"/>
      <c r="D87" s="150"/>
      <c r="E87" s="145"/>
      <c r="F87" s="26"/>
    </row>
    <row r="88" ht="20.35" customHeight="1">
      <c r="A88" s="145"/>
      <c r="B88" s="145"/>
      <c r="C88" s="150"/>
      <c r="D88" s="150"/>
      <c r="E88" s="145"/>
      <c r="F88" s="26"/>
    </row>
    <row r="89" ht="16.35" customHeight="1">
      <c r="A89" s="145"/>
      <c r="B89" s="145"/>
      <c r="C89" s="150"/>
      <c r="D89" s="150"/>
      <c r="E89" s="145"/>
      <c r="F89" s="145"/>
    </row>
    <row r="90" ht="16.35" customHeight="1">
      <c r="A90" s="145"/>
      <c r="B90" s="145"/>
      <c r="C90" s="150"/>
      <c r="D90" s="150"/>
      <c r="E90" s="145"/>
      <c r="F90" s="145"/>
    </row>
    <row r="91" ht="16.35" customHeight="1">
      <c r="A91" s="145"/>
      <c r="B91" s="145"/>
      <c r="C91" s="150"/>
      <c r="D91" s="150"/>
      <c r="E91" s="145"/>
      <c r="F91" s="145"/>
    </row>
    <row r="92" ht="16.35" customHeight="1">
      <c r="A92" s="150"/>
      <c r="B92" s="145"/>
      <c r="C92" s="150"/>
      <c r="D92" s="150"/>
      <c r="E92" s="145"/>
      <c r="F92" s="145"/>
    </row>
    <row r="93" ht="20.35" customHeight="1">
      <c r="A93" s="150"/>
      <c r="B93" s="145"/>
      <c r="C93" s="150"/>
      <c r="D93" s="150"/>
      <c r="E93" s="145"/>
      <c r="F93" s="26"/>
    </row>
    <row r="94" ht="20.35" customHeight="1">
      <c r="A94" s="150"/>
      <c r="B94" s="145"/>
      <c r="C94" s="150"/>
      <c r="D94" s="150"/>
      <c r="E94" s="145"/>
      <c r="F94" s="26"/>
    </row>
    <row r="95" ht="16.35" customHeight="1">
      <c r="A95" s="150"/>
      <c r="B95" s="145"/>
      <c r="C95" s="150"/>
      <c r="D95" s="150"/>
      <c r="E95" s="145"/>
      <c r="F95" s="145"/>
    </row>
    <row r="96" ht="16.35" customHeight="1">
      <c r="A96" s="145"/>
      <c r="B96" s="145"/>
      <c r="C96" s="150"/>
      <c r="D96" s="150"/>
      <c r="E96" s="145"/>
      <c r="F96" s="145"/>
    </row>
    <row r="97" ht="20.35" customHeight="1">
      <c r="A97" s="145"/>
      <c r="B97" s="145"/>
      <c r="C97" s="150"/>
      <c r="D97" s="150"/>
      <c r="E97" s="145"/>
      <c r="F97" s="26"/>
    </row>
    <row r="98" ht="20.35" customHeight="1">
      <c r="A98" s="150"/>
      <c r="B98" s="145"/>
      <c r="C98" s="150"/>
      <c r="D98" s="150"/>
      <c r="E98" s="145"/>
      <c r="F98" s="26"/>
    </row>
    <row r="99" ht="20.35" customHeight="1">
      <c r="A99" s="150"/>
      <c r="B99" s="145"/>
      <c r="C99" s="150"/>
      <c r="D99" s="150"/>
      <c r="E99" s="32"/>
      <c r="F99" s="26"/>
    </row>
    <row r="100" ht="20.35" customHeight="1">
      <c r="A100" s="150"/>
      <c r="B100" s="145"/>
      <c r="C100" s="150"/>
      <c r="D100" s="150"/>
      <c r="E100" s="32"/>
      <c r="F100" s="26"/>
    </row>
    <row r="101" ht="20.35" customHeight="1">
      <c r="A101" s="150"/>
      <c r="B101" s="145"/>
      <c r="C101" s="150"/>
      <c r="D101" s="150"/>
      <c r="E101" s="32"/>
      <c r="F101" s="26"/>
    </row>
    <row r="102" ht="20.35" customHeight="1">
      <c r="A102" s="150"/>
      <c r="B102" s="145"/>
      <c r="C102" s="150"/>
      <c r="D102" s="150"/>
      <c r="E102" s="32"/>
      <c r="F102" s="26"/>
    </row>
    <row r="103" ht="20.35" customHeight="1">
      <c r="A103" s="150"/>
      <c r="B103" s="145"/>
      <c r="C103" s="150"/>
      <c r="D103" s="150"/>
      <c r="E103" s="32"/>
      <c r="F103" s="26"/>
    </row>
    <row r="104" ht="20.35" customHeight="1">
      <c r="A104" s="150"/>
      <c r="B104" s="145"/>
      <c r="C104" s="150"/>
      <c r="D104" s="150"/>
      <c r="E104" s="32"/>
      <c r="F104" s="26"/>
    </row>
    <row r="105" ht="20.35" customHeight="1">
      <c r="A105" s="150"/>
      <c r="B105" s="145"/>
      <c r="C105" s="150"/>
      <c r="D105" s="150"/>
      <c r="E105" s="32"/>
      <c r="F105" s="26"/>
    </row>
    <row r="106" ht="20.35" customHeight="1">
      <c r="A106" s="150"/>
      <c r="B106" s="145"/>
      <c r="C106" s="150"/>
      <c r="D106" s="150"/>
      <c r="E106" s="32"/>
      <c r="F106" s="26"/>
    </row>
    <row r="107" ht="20.35" customHeight="1">
      <c r="A107" s="150"/>
      <c r="B107" s="145"/>
      <c r="C107" s="150"/>
      <c r="D107" s="150"/>
      <c r="E107" s="32"/>
      <c r="F107" s="26"/>
    </row>
    <row r="108" ht="20.35" customHeight="1">
      <c r="A108" s="150"/>
      <c r="B108" s="145"/>
      <c r="C108" s="150"/>
      <c r="D108" s="150"/>
      <c r="E108" s="32"/>
      <c r="F108" s="26"/>
    </row>
    <row r="109" ht="20.35" customHeight="1">
      <c r="A109" s="150"/>
      <c r="B109" s="145"/>
      <c r="C109" s="150"/>
      <c r="D109" s="150"/>
      <c r="E109" s="32"/>
      <c r="F109" s="26"/>
    </row>
    <row r="110" ht="20.35" customHeight="1">
      <c r="A110" s="150"/>
      <c r="B110" s="145"/>
      <c r="C110" s="150"/>
      <c r="D110" s="150"/>
      <c r="E110" s="32"/>
      <c r="F110" s="26"/>
    </row>
    <row r="111" ht="20.35" customHeight="1">
      <c r="A111" s="150"/>
      <c r="B111" s="145"/>
      <c r="C111" s="150"/>
      <c r="D111" s="150"/>
      <c r="E111" s="32"/>
      <c r="F111" s="26"/>
    </row>
    <row r="112" ht="20.35" customHeight="1">
      <c r="A112" s="150"/>
      <c r="B112" s="145"/>
      <c r="C112" s="150"/>
      <c r="D112" s="150"/>
      <c r="E112" s="32"/>
      <c r="F112" s="26"/>
    </row>
    <row r="113" ht="20.35" customHeight="1">
      <c r="A113" s="150"/>
      <c r="B113" s="145"/>
      <c r="C113" s="150"/>
      <c r="D113" s="150"/>
      <c r="E113" s="32"/>
      <c r="F113" s="26"/>
    </row>
    <row r="114" ht="20.35" customHeight="1">
      <c r="A114" s="150"/>
      <c r="B114" s="145"/>
      <c r="C114" s="150"/>
      <c r="D114" s="150"/>
      <c r="E114" s="32"/>
      <c r="F114" s="26"/>
    </row>
    <row r="115" ht="20.35" customHeight="1">
      <c r="A115" s="150"/>
      <c r="B115" s="145"/>
      <c r="C115" s="150"/>
      <c r="D115" s="150"/>
      <c r="E115" s="32"/>
      <c r="F115" s="26"/>
    </row>
    <row r="116" ht="20.35" customHeight="1">
      <c r="A116" s="150"/>
      <c r="B116" s="145"/>
      <c r="C116" s="150"/>
      <c r="D116" s="150"/>
      <c r="E116" s="32"/>
      <c r="F116" s="26"/>
    </row>
    <row r="117" ht="20.35" customHeight="1">
      <c r="A117" s="150"/>
      <c r="B117" s="145"/>
      <c r="C117" s="150"/>
      <c r="D117" s="150"/>
      <c r="E117" s="32"/>
      <c r="F117" s="26"/>
    </row>
    <row r="118" ht="20.35" customHeight="1">
      <c r="A118" s="150"/>
      <c r="B118" s="145"/>
      <c r="C118" s="150"/>
      <c r="D118" s="150"/>
      <c r="E118" s="32"/>
      <c r="F118" s="26"/>
    </row>
  </sheetData>
  <hyperlinks>
    <hyperlink ref="C5" r:id="rId1" location="" tooltip="" display="APPLE.COM"/>
    <hyperlink ref="C6" r:id="rId2" location="" tooltip="" display="APPLE.COM"/>
    <hyperlink ref="C7" r:id="rId3" location="" tooltip="" display="APPLE.COM"/>
  </hyperlink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F118"/>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2" width="16.3516" style="155" customWidth="1"/>
    <col min="3" max="3" width="25.6719" style="155" customWidth="1"/>
    <col min="4" max="6" width="16.3516" style="155" customWidth="1"/>
    <col min="7" max="16384" width="16.3516" style="155" customWidth="1"/>
  </cols>
  <sheetData>
    <row r="1" ht="20.55" customHeight="1">
      <c r="A1" s="7"/>
      <c r="B1" s="7"/>
      <c r="C1" s="7"/>
      <c r="D1" s="143" cm="1">
        <f t="array" ref="D1">SUM(D2:D118)</f>
        <v>4490361</v>
      </c>
      <c r="E1" s="7"/>
      <c r="F1" s="7"/>
    </row>
    <row r="2" ht="16.55" customHeight="1">
      <c r="A2" t="s" s="156">
        <v>449</v>
      </c>
      <c r="B2" s="153"/>
      <c r="C2" t="s" s="156">
        <v>184</v>
      </c>
      <c r="D2" s="157">
        <v>2680</v>
      </c>
      <c r="E2" s="153"/>
      <c r="F2" s="153"/>
    </row>
    <row r="3" ht="16.35" customHeight="1">
      <c r="A3" s="145"/>
      <c r="B3" s="145"/>
      <c r="C3" t="s" s="144">
        <v>184</v>
      </c>
      <c r="D3" s="146">
        <v>5240</v>
      </c>
      <c r="E3" s="145"/>
      <c r="F3" s="145"/>
    </row>
    <row r="4" ht="16.35" customHeight="1">
      <c r="A4" t="s" s="144">
        <v>450</v>
      </c>
      <c r="B4" s="145"/>
      <c r="C4" t="s" s="144">
        <v>184</v>
      </c>
      <c r="D4" s="146">
        <v>1360</v>
      </c>
      <c r="E4" s="145"/>
      <c r="F4" s="145"/>
    </row>
    <row r="5" ht="20.35" customHeight="1">
      <c r="A5" t="s" s="144">
        <v>191</v>
      </c>
      <c r="B5" s="145"/>
      <c r="C5" t="s" s="144">
        <v>190</v>
      </c>
      <c r="D5" s="146">
        <v>9166</v>
      </c>
      <c r="E5" s="145"/>
      <c r="F5" s="26"/>
    </row>
    <row r="6" ht="16.35" customHeight="1">
      <c r="A6" s="145"/>
      <c r="B6" s="145"/>
      <c r="C6" t="s" s="144">
        <v>190</v>
      </c>
      <c r="D6" s="146">
        <v>9166</v>
      </c>
      <c r="E6" s="145"/>
      <c r="F6" s="145"/>
    </row>
    <row r="7" ht="20.35" customHeight="1">
      <c r="A7" s="145"/>
      <c r="B7" s="145"/>
      <c r="C7" t="s" s="144">
        <v>190</v>
      </c>
      <c r="D7" s="146">
        <v>9166</v>
      </c>
      <c r="E7" s="32"/>
      <c r="F7" s="26"/>
    </row>
    <row r="8" ht="16.35" customHeight="1">
      <c r="A8" t="s" s="144">
        <v>451</v>
      </c>
      <c r="B8" s="145"/>
      <c r="C8" t="s" s="144">
        <v>452</v>
      </c>
      <c r="D8" s="146">
        <v>210132</v>
      </c>
      <c r="E8" s="145"/>
      <c r="F8" s="145"/>
    </row>
    <row r="9" ht="30.35" customHeight="1">
      <c r="A9" s="145"/>
      <c r="B9" s="145"/>
      <c r="C9" t="s" s="144">
        <v>453</v>
      </c>
      <c r="D9" s="146">
        <v>44990</v>
      </c>
      <c r="E9" s="145"/>
      <c r="F9" s="145"/>
    </row>
    <row r="10" ht="16.35" customHeight="1">
      <c r="A10" t="s" s="144">
        <v>454</v>
      </c>
      <c r="B10" s="145"/>
      <c r="C10" t="s" s="144">
        <v>205</v>
      </c>
      <c r="D10" s="146">
        <v>42655</v>
      </c>
      <c r="E10" s="145"/>
      <c r="F10" s="145"/>
    </row>
    <row r="11" ht="16.35" customHeight="1">
      <c r="A11" s="145"/>
      <c r="B11" s="145"/>
      <c r="C11" t="s" s="144">
        <v>206</v>
      </c>
      <c r="D11" s="146">
        <v>21990</v>
      </c>
      <c r="E11" s="145"/>
      <c r="F11" s="145"/>
    </row>
    <row r="12" ht="16.35" customHeight="1">
      <c r="A12" s="145"/>
      <c r="B12" s="145"/>
      <c r="C12" t="s" s="144">
        <v>207</v>
      </c>
      <c r="D12" s="146">
        <v>8758</v>
      </c>
      <c r="E12" s="145"/>
      <c r="F12" s="145"/>
    </row>
    <row r="13" ht="16.35" customHeight="1">
      <c r="A13" t="s" s="144">
        <v>455</v>
      </c>
      <c r="B13" s="145"/>
      <c r="C13" t="s" s="144">
        <v>353</v>
      </c>
      <c r="D13" s="146">
        <v>200000</v>
      </c>
      <c r="E13" s="145"/>
      <c r="F13" s="145"/>
    </row>
    <row r="14" ht="16.35" customHeight="1">
      <c r="A14" t="s" s="144">
        <v>456</v>
      </c>
      <c r="B14" s="145"/>
      <c r="C14" t="s" s="144">
        <v>353</v>
      </c>
      <c r="D14" s="146">
        <v>200000</v>
      </c>
      <c r="E14" s="145"/>
      <c r="F14" s="145"/>
    </row>
    <row r="15" ht="30.35" customHeight="1">
      <c r="A15" s="145"/>
      <c r="B15" s="145"/>
      <c r="C15" t="s" s="144">
        <v>354</v>
      </c>
      <c r="D15" s="146">
        <v>11000</v>
      </c>
      <c r="E15" s="145"/>
      <c r="F15" s="145"/>
    </row>
    <row r="16" ht="30.35" customHeight="1">
      <c r="A16" s="145"/>
      <c r="B16" s="145"/>
      <c r="C16" t="s" s="144">
        <v>457</v>
      </c>
      <c r="D16" s="146">
        <v>30000</v>
      </c>
      <c r="E16" s="145"/>
      <c r="F16" s="145"/>
    </row>
    <row r="17" ht="30.35" customHeight="1">
      <c r="A17" s="145"/>
      <c r="B17" s="145"/>
      <c r="C17" t="s" s="144">
        <v>458</v>
      </c>
      <c r="D17" s="146">
        <v>1063</v>
      </c>
      <c r="E17" s="145"/>
      <c r="F17" s="145"/>
    </row>
    <row r="18" ht="16.35" customHeight="1">
      <c r="A18" t="s" s="144">
        <v>459</v>
      </c>
      <c r="B18" s="145"/>
      <c r="C18" t="s" s="144">
        <v>211</v>
      </c>
      <c r="D18" s="146">
        <v>1818</v>
      </c>
      <c r="E18" s="145"/>
      <c r="F18" s="145"/>
    </row>
    <row r="19" ht="30.35" customHeight="1">
      <c r="A19" s="145"/>
      <c r="B19" s="145"/>
      <c r="C19" t="s" s="144">
        <v>460</v>
      </c>
      <c r="D19" s="146">
        <v>4800</v>
      </c>
      <c r="E19" s="145"/>
      <c r="F19" s="145"/>
    </row>
    <row r="20" ht="30.35" customHeight="1">
      <c r="A20" s="145"/>
      <c r="B20" s="145"/>
      <c r="C20" t="s" s="144">
        <v>357</v>
      </c>
      <c r="D20" s="146">
        <v>16175</v>
      </c>
      <c r="E20" s="145"/>
      <c r="F20" s="145"/>
    </row>
    <row r="21" ht="30.35" customHeight="1">
      <c r="A21" s="145"/>
      <c r="B21" s="145"/>
      <c r="C21" t="s" s="144">
        <v>214</v>
      </c>
      <c r="D21" s="146">
        <v>26864</v>
      </c>
      <c r="E21" s="145"/>
      <c r="F21" s="145"/>
    </row>
    <row r="22" ht="30.35" customHeight="1">
      <c r="A22" t="s" s="144">
        <v>461</v>
      </c>
      <c r="B22" s="145"/>
      <c r="C22" t="s" s="144">
        <v>214</v>
      </c>
      <c r="D22" s="146">
        <v>54633</v>
      </c>
      <c r="E22" s="145"/>
      <c r="F22" s="145"/>
    </row>
    <row r="23" ht="30.35" customHeight="1">
      <c r="A23" t="s" s="144">
        <v>462</v>
      </c>
      <c r="B23" s="145"/>
      <c r="C23" t="s" s="144">
        <v>214</v>
      </c>
      <c r="D23" s="146">
        <v>29254</v>
      </c>
      <c r="E23" s="145"/>
      <c r="F23" s="145"/>
    </row>
    <row r="24" ht="30.35" customHeight="1">
      <c r="A24" s="145"/>
      <c r="B24" s="145"/>
      <c r="C24" t="s" s="144">
        <v>214</v>
      </c>
      <c r="D24" s="146">
        <v>36392</v>
      </c>
      <c r="E24" s="145"/>
      <c r="F24" s="145"/>
    </row>
    <row r="25" ht="30.35" customHeight="1">
      <c r="A25" t="s" s="144">
        <v>463</v>
      </c>
      <c r="B25" s="145"/>
      <c r="C25" t="s" s="144">
        <v>214</v>
      </c>
      <c r="D25" s="146">
        <v>26432</v>
      </c>
      <c r="E25" s="145"/>
      <c r="F25" s="145"/>
    </row>
    <row r="26" ht="30.35" customHeight="1">
      <c r="A26" t="s" s="144">
        <v>464</v>
      </c>
      <c r="B26" s="145"/>
      <c r="C26" t="s" s="144">
        <v>214</v>
      </c>
      <c r="D26" s="146">
        <v>30459</v>
      </c>
      <c r="E26" s="145"/>
      <c r="F26" s="145"/>
    </row>
    <row r="27" ht="30.35" customHeight="1">
      <c r="A27" t="s" s="144">
        <v>465</v>
      </c>
      <c r="B27" s="145"/>
      <c r="C27" t="s" s="144">
        <v>214</v>
      </c>
      <c r="D27" s="146">
        <v>53404</v>
      </c>
      <c r="E27" s="145"/>
      <c r="F27" s="145"/>
    </row>
    <row r="28" ht="30.35" customHeight="1">
      <c r="A28" t="s" s="144">
        <v>466</v>
      </c>
      <c r="B28" s="145"/>
      <c r="C28" t="s" s="144">
        <v>214</v>
      </c>
      <c r="D28" s="146">
        <v>41047</v>
      </c>
      <c r="E28" s="145"/>
      <c r="F28" s="145"/>
    </row>
    <row r="29" ht="30.35" customHeight="1">
      <c r="A29" s="145"/>
      <c r="B29" s="145"/>
      <c r="C29" t="s" s="144">
        <v>214</v>
      </c>
      <c r="D29" s="146">
        <v>33943</v>
      </c>
      <c r="E29" s="145"/>
      <c r="F29" s="145"/>
    </row>
    <row r="30" ht="30.35" customHeight="1">
      <c r="A30" s="145"/>
      <c r="B30" s="145"/>
      <c r="C30" t="s" s="144">
        <v>214</v>
      </c>
      <c r="D30" s="146">
        <v>38468</v>
      </c>
      <c r="E30" s="145"/>
      <c r="F30" s="145"/>
    </row>
    <row r="31" ht="30.35" customHeight="1">
      <c r="A31" t="s" s="144">
        <v>467</v>
      </c>
      <c r="B31" s="145"/>
      <c r="C31" t="s" s="144">
        <v>214</v>
      </c>
      <c r="D31" s="146">
        <v>34880</v>
      </c>
      <c r="E31" s="145"/>
      <c r="F31" s="145"/>
    </row>
    <row r="32" ht="30.35" customHeight="1">
      <c r="A32" t="s" s="144">
        <v>468</v>
      </c>
      <c r="B32" s="145"/>
      <c r="C32" t="s" s="144">
        <v>214</v>
      </c>
      <c r="D32" s="146">
        <v>16105</v>
      </c>
      <c r="E32" s="145"/>
      <c r="F32" s="145"/>
    </row>
    <row r="33" ht="16.35" customHeight="1">
      <c r="A33" s="145"/>
      <c r="B33" s="145"/>
      <c r="C33" t="s" s="144">
        <v>469</v>
      </c>
      <c r="D33" s="146">
        <v>158060</v>
      </c>
      <c r="E33" s="145"/>
      <c r="F33" s="145"/>
    </row>
    <row r="34" ht="16.35" customHeight="1">
      <c r="A34" s="145"/>
      <c r="B34" s="145"/>
      <c r="C34" t="s" s="144">
        <v>469</v>
      </c>
      <c r="D34" s="146">
        <v>139080</v>
      </c>
      <c r="E34" s="145"/>
      <c r="F34" s="145"/>
    </row>
    <row r="35" ht="16.35" customHeight="1">
      <c r="A35" s="145"/>
      <c r="B35" s="145"/>
      <c r="C35" t="s" s="144">
        <v>218</v>
      </c>
      <c r="D35" s="146">
        <v>336070</v>
      </c>
      <c r="E35" s="145"/>
      <c r="F35" s="145"/>
    </row>
    <row r="36" ht="30.35" customHeight="1">
      <c r="A36" s="145"/>
      <c r="B36" s="145"/>
      <c r="C36" t="s" s="144">
        <v>219</v>
      </c>
      <c r="D36" s="146">
        <v>5460</v>
      </c>
      <c r="E36" s="145"/>
      <c r="F36" s="145"/>
    </row>
    <row r="37" ht="30.35" customHeight="1">
      <c r="A37" s="145"/>
      <c r="B37" s="145"/>
      <c r="C37" t="s" s="144">
        <v>219</v>
      </c>
      <c r="D37" s="146">
        <v>9660</v>
      </c>
      <c r="E37" s="145"/>
      <c r="F37" s="145"/>
    </row>
    <row r="38" ht="30.35" customHeight="1">
      <c r="A38" s="145"/>
      <c r="B38" s="145"/>
      <c r="C38" t="s" s="144">
        <v>219</v>
      </c>
      <c r="D38" s="146">
        <v>10920</v>
      </c>
      <c r="E38" s="145"/>
      <c r="F38" s="145"/>
    </row>
    <row r="39" ht="30.35" customHeight="1">
      <c r="A39" s="145"/>
      <c r="B39" s="145"/>
      <c r="C39" t="s" s="144">
        <v>219</v>
      </c>
      <c r="D39" s="146">
        <v>5460</v>
      </c>
      <c r="E39" s="145"/>
      <c r="F39" s="145"/>
    </row>
    <row r="40" ht="30.35" customHeight="1">
      <c r="A40" s="145"/>
      <c r="B40" s="145"/>
      <c r="C40" t="s" s="144">
        <v>219</v>
      </c>
      <c r="D40" s="146">
        <v>4680</v>
      </c>
      <c r="E40" s="145"/>
      <c r="F40" s="145"/>
    </row>
    <row r="41" ht="30.35" customHeight="1">
      <c r="A41" t="s" s="144">
        <v>470</v>
      </c>
      <c r="B41" s="145"/>
      <c r="C41" t="s" s="144">
        <v>219</v>
      </c>
      <c r="D41" s="146">
        <v>6930</v>
      </c>
      <c r="E41" s="145"/>
      <c r="F41" s="145"/>
    </row>
    <row r="42" ht="30.35" customHeight="1">
      <c r="A42" s="145"/>
      <c r="B42" s="145"/>
      <c r="C42" t="s" s="144">
        <v>219</v>
      </c>
      <c r="D42" s="146">
        <v>5460</v>
      </c>
      <c r="E42" s="145"/>
      <c r="F42" s="145"/>
    </row>
    <row r="43" ht="30.35" customHeight="1">
      <c r="A43" s="145"/>
      <c r="B43" s="145"/>
      <c r="C43" t="s" s="144">
        <v>219</v>
      </c>
      <c r="D43" s="146">
        <v>5740</v>
      </c>
      <c r="E43" s="145"/>
      <c r="F43" s="145"/>
    </row>
    <row r="44" ht="30.35" customHeight="1">
      <c r="A44" s="145"/>
      <c r="B44" s="145"/>
      <c r="C44" t="s" s="144">
        <v>219</v>
      </c>
      <c r="D44" s="146">
        <v>4680</v>
      </c>
      <c r="E44" s="145"/>
      <c r="F44" s="145"/>
    </row>
    <row r="45" ht="30.35" customHeight="1">
      <c r="A45" s="145"/>
      <c r="B45" s="145"/>
      <c r="C45" t="s" s="144">
        <v>219</v>
      </c>
      <c r="D45" s="146">
        <v>4200</v>
      </c>
      <c r="E45" s="145"/>
      <c r="F45" s="145"/>
    </row>
    <row r="46" ht="30.35" customHeight="1">
      <c r="A46" s="145"/>
      <c r="B46" s="145"/>
      <c r="C46" t="s" s="144">
        <v>219</v>
      </c>
      <c r="D46" s="146">
        <v>5460</v>
      </c>
      <c r="E46" s="145"/>
      <c r="F46" s="145"/>
    </row>
    <row r="47" ht="30.35" customHeight="1">
      <c r="A47" t="s" s="144">
        <v>471</v>
      </c>
      <c r="B47" s="145"/>
      <c r="C47" t="s" s="144">
        <v>219</v>
      </c>
      <c r="D47" s="146">
        <v>5663</v>
      </c>
      <c r="E47" s="145"/>
      <c r="F47" s="145"/>
    </row>
    <row r="48" ht="30.35" customHeight="1">
      <c r="A48" s="145"/>
      <c r="B48" s="145"/>
      <c r="C48" t="s" s="144">
        <v>219</v>
      </c>
      <c r="D48" s="146">
        <v>6930</v>
      </c>
      <c r="E48" s="145"/>
      <c r="F48" s="26"/>
    </row>
    <row r="49" ht="30.35" customHeight="1">
      <c r="A49" s="145"/>
      <c r="B49" s="145"/>
      <c r="C49" t="s" s="144">
        <v>219</v>
      </c>
      <c r="D49" s="146">
        <v>21609</v>
      </c>
      <c r="E49" s="145"/>
      <c r="F49" s="26"/>
    </row>
    <row r="50" ht="30.35" customHeight="1">
      <c r="A50" s="145"/>
      <c r="B50" s="145"/>
      <c r="C50" t="s" s="144">
        <v>219</v>
      </c>
      <c r="D50" s="146">
        <v>1470</v>
      </c>
      <c r="E50" s="145"/>
      <c r="F50" s="145"/>
    </row>
    <row r="51" ht="30.35" customHeight="1">
      <c r="A51" s="145"/>
      <c r="B51" s="145"/>
      <c r="C51" t="s" s="144">
        <v>219</v>
      </c>
      <c r="D51" s="146">
        <v>5940</v>
      </c>
      <c r="E51" s="145"/>
      <c r="F51" s="145"/>
    </row>
    <row r="52" ht="16.35" customHeight="1">
      <c r="A52" t="s" s="144">
        <v>472</v>
      </c>
      <c r="B52" s="145"/>
      <c r="C52" t="s" s="144">
        <v>223</v>
      </c>
      <c r="D52" s="146">
        <v>2380</v>
      </c>
      <c r="E52" s="145"/>
      <c r="F52" s="145"/>
    </row>
    <row r="53" ht="16.35" customHeight="1">
      <c r="A53" s="145"/>
      <c r="B53" s="145"/>
      <c r="C53" t="s" s="144">
        <v>223</v>
      </c>
      <c r="D53" s="146">
        <v>1990</v>
      </c>
      <c r="E53" s="145"/>
      <c r="F53" s="145"/>
    </row>
    <row r="54" ht="30.35" customHeight="1">
      <c r="A54" s="145"/>
      <c r="B54" s="145"/>
      <c r="C54" t="s" s="144">
        <v>473</v>
      </c>
      <c r="D54" s="146">
        <v>6290</v>
      </c>
      <c r="E54" s="145"/>
      <c r="F54" s="145"/>
    </row>
    <row r="55" ht="16.35" customHeight="1">
      <c r="A55" t="s" s="144">
        <v>382</v>
      </c>
      <c r="B55" s="145"/>
      <c r="C55" t="s" s="144">
        <v>225</v>
      </c>
      <c r="D55" s="146">
        <v>22498</v>
      </c>
      <c r="E55" s="145"/>
      <c r="F55" s="145"/>
    </row>
    <row r="56" ht="20.35" customHeight="1">
      <c r="A56" s="145"/>
      <c r="B56" s="145"/>
      <c r="C56" t="s" s="144">
        <v>225</v>
      </c>
      <c r="D56" s="146">
        <v>63665</v>
      </c>
      <c r="E56" s="145"/>
      <c r="F56" s="26"/>
    </row>
    <row r="57" ht="16.35" customHeight="1">
      <c r="A57" t="s" s="144">
        <v>222</v>
      </c>
      <c r="B57" s="145"/>
      <c r="C57" t="s" s="144">
        <v>225</v>
      </c>
      <c r="D57" s="146">
        <v>35833</v>
      </c>
      <c r="E57" s="145"/>
      <c r="F57" s="145"/>
    </row>
    <row r="58" ht="30.35" customHeight="1">
      <c r="A58" t="s" s="144">
        <v>474</v>
      </c>
      <c r="B58" s="145"/>
      <c r="C58" t="s" s="144">
        <v>475</v>
      </c>
      <c r="D58" s="146">
        <v>28581</v>
      </c>
      <c r="E58" s="145"/>
      <c r="F58" s="145"/>
    </row>
    <row r="59" ht="30.35" customHeight="1">
      <c r="A59" t="s" s="144">
        <v>476</v>
      </c>
      <c r="B59" s="145"/>
      <c r="C59" t="s" s="144">
        <v>477</v>
      </c>
      <c r="D59" s="146">
        <v>18325</v>
      </c>
      <c r="E59" s="145"/>
      <c r="F59" s="145"/>
    </row>
    <row r="60" ht="30.35" customHeight="1">
      <c r="A60" t="s" s="144">
        <v>478</v>
      </c>
      <c r="B60" s="145"/>
      <c r="C60" t="s" s="144">
        <v>477</v>
      </c>
      <c r="D60" s="146">
        <v>22070</v>
      </c>
      <c r="E60" s="145"/>
      <c r="F60" s="145"/>
    </row>
    <row r="61" ht="30.35" customHeight="1">
      <c r="A61" s="145"/>
      <c r="B61" s="145"/>
      <c r="C61" t="s" s="144">
        <v>479</v>
      </c>
      <c r="D61" s="146">
        <v>40376</v>
      </c>
      <c r="E61" s="145"/>
      <c r="F61" s="145"/>
    </row>
    <row r="62" ht="16.35" customHeight="1">
      <c r="A62" t="s" s="144">
        <v>480</v>
      </c>
      <c r="B62" s="145"/>
      <c r="C62" t="s" s="144">
        <v>231</v>
      </c>
      <c r="D62" s="146">
        <v>18580</v>
      </c>
      <c r="E62" s="145"/>
      <c r="F62" s="145"/>
    </row>
    <row r="63" ht="30.35" customHeight="1">
      <c r="A63" s="145"/>
      <c r="B63" s="145"/>
      <c r="C63" t="s" s="144">
        <v>430</v>
      </c>
      <c r="D63" s="146">
        <v>1568696</v>
      </c>
      <c r="E63" s="145"/>
      <c r="F63" s="145"/>
    </row>
    <row r="64" ht="20.35" customHeight="1">
      <c r="A64" s="145"/>
      <c r="B64" s="145"/>
      <c r="C64" t="s" s="144">
        <v>376</v>
      </c>
      <c r="D64" s="146">
        <v>125853</v>
      </c>
      <c r="E64" s="145"/>
      <c r="F64" s="26"/>
    </row>
    <row r="65" ht="20.35" customHeight="1">
      <c r="A65" t="s" s="144">
        <v>481</v>
      </c>
      <c r="B65" s="145"/>
      <c r="C65" t="s" s="144">
        <v>239</v>
      </c>
      <c r="D65" s="32"/>
      <c r="E65" s="145"/>
      <c r="F65" s="146">
        <v>4395731</v>
      </c>
    </row>
    <row r="66" ht="16.35" customHeight="1">
      <c r="A66" s="145"/>
      <c r="B66" s="145"/>
      <c r="C66" t="s" s="144">
        <v>241</v>
      </c>
      <c r="D66" s="146">
        <v>10077</v>
      </c>
      <c r="E66" s="145"/>
      <c r="F66" s="145"/>
    </row>
    <row r="67" ht="20.35" customHeight="1">
      <c r="A67" t="s" s="144">
        <v>352</v>
      </c>
      <c r="B67" s="145"/>
      <c r="C67" t="s" s="144">
        <v>241</v>
      </c>
      <c r="D67" s="146">
        <v>52163</v>
      </c>
      <c r="E67" s="145"/>
      <c r="F67" s="26"/>
    </row>
    <row r="68" ht="30.35" customHeight="1">
      <c r="A68" s="145"/>
      <c r="B68" s="145"/>
      <c r="C68" t="s" s="144">
        <v>434</v>
      </c>
      <c r="D68" s="146">
        <v>39980</v>
      </c>
      <c r="E68" s="145"/>
      <c r="F68" s="145"/>
    </row>
    <row r="69" ht="30.35" customHeight="1">
      <c r="A69" s="145"/>
      <c r="B69" s="145"/>
      <c r="C69" t="s" s="144">
        <v>434</v>
      </c>
      <c r="D69" s="146">
        <v>39990</v>
      </c>
      <c r="E69" s="145"/>
      <c r="F69" s="145"/>
    </row>
    <row r="70" ht="30.35" customHeight="1">
      <c r="A70" t="s" s="144">
        <v>482</v>
      </c>
      <c r="B70" s="145"/>
      <c r="C70" t="s" s="144">
        <v>325</v>
      </c>
      <c r="D70" s="147">
        <v>200</v>
      </c>
      <c r="E70" s="145"/>
      <c r="F70" s="145"/>
    </row>
    <row r="71" ht="20.35" customHeight="1">
      <c r="A71" s="145"/>
      <c r="B71" s="145"/>
      <c r="C71" t="s" s="144">
        <v>251</v>
      </c>
      <c r="D71" s="146">
        <v>10473</v>
      </c>
      <c r="E71" s="145"/>
      <c r="F71" s="26"/>
    </row>
    <row r="72" ht="20.35" customHeight="1">
      <c r="A72" t="s" s="144">
        <v>347</v>
      </c>
      <c r="B72" s="145"/>
      <c r="C72" t="s" s="144">
        <v>386</v>
      </c>
      <c r="D72" s="146">
        <v>73428</v>
      </c>
      <c r="E72" s="145"/>
      <c r="F72" s="26"/>
    </row>
    <row r="73" ht="16.35" customHeight="1">
      <c r="A73" s="145"/>
      <c r="B73" s="145"/>
      <c r="C73" t="s" s="144">
        <v>483</v>
      </c>
      <c r="D73" s="146">
        <v>13665</v>
      </c>
      <c r="E73" s="145"/>
      <c r="F73" s="145"/>
    </row>
    <row r="74" ht="16.35" customHeight="1">
      <c r="A74" s="145"/>
      <c r="B74" s="145"/>
      <c r="C74" t="s" s="144">
        <v>484</v>
      </c>
      <c r="D74" s="146">
        <v>5538</v>
      </c>
      <c r="E74" s="145"/>
      <c r="F74" s="145"/>
    </row>
    <row r="75" ht="20.35" customHeight="1">
      <c r="A75" t="s" s="144">
        <v>485</v>
      </c>
      <c r="B75" s="145"/>
      <c r="C75" t="s" s="144">
        <v>486</v>
      </c>
      <c r="D75" s="146">
        <v>18500</v>
      </c>
      <c r="E75" s="145"/>
      <c r="F75" s="32"/>
    </row>
    <row r="76" ht="16.35" customHeight="1">
      <c r="A76" t="s" s="144">
        <v>282</v>
      </c>
      <c r="B76" s="145"/>
      <c r="C76" t="s" s="144">
        <v>283</v>
      </c>
      <c r="D76" s="146">
        <v>275698</v>
      </c>
      <c r="E76" s="145"/>
      <c r="F76" s="145"/>
    </row>
    <row r="77" ht="20.35" customHeight="1">
      <c r="A77" s="150"/>
      <c r="B77" s="145"/>
      <c r="C77" s="150"/>
      <c r="D77" s="150"/>
      <c r="E77" s="145"/>
      <c r="F77" s="26"/>
    </row>
    <row r="78" ht="16.35" customHeight="1">
      <c r="A78" s="150"/>
      <c r="B78" s="145"/>
      <c r="C78" s="150"/>
      <c r="D78" s="150"/>
      <c r="E78" s="145"/>
      <c r="F78" s="145"/>
    </row>
    <row r="79" ht="20.35" customHeight="1">
      <c r="A79" s="150"/>
      <c r="B79" s="145"/>
      <c r="C79" s="150"/>
      <c r="D79" s="150"/>
      <c r="E79" s="145"/>
      <c r="F79" s="26"/>
    </row>
    <row r="80" ht="20.35" customHeight="1">
      <c r="A80" s="145"/>
      <c r="B80" s="145"/>
      <c r="C80" s="150"/>
      <c r="D80" s="150"/>
      <c r="E80" s="145"/>
      <c r="F80" s="26"/>
    </row>
    <row r="81" ht="16.35" customHeight="1">
      <c r="A81" s="150"/>
      <c r="B81" s="145"/>
      <c r="C81" s="150"/>
      <c r="D81" s="150"/>
      <c r="E81" s="145"/>
      <c r="F81" s="145"/>
    </row>
    <row r="82" ht="16.35" customHeight="1">
      <c r="A82" s="145"/>
      <c r="B82" s="145"/>
      <c r="C82" s="150"/>
      <c r="D82" s="150"/>
      <c r="E82" s="145"/>
      <c r="F82" s="145"/>
    </row>
    <row r="83" ht="16.35" customHeight="1">
      <c r="A83" s="150"/>
      <c r="B83" s="145"/>
      <c r="C83" s="150"/>
      <c r="D83" s="150"/>
      <c r="E83" s="145"/>
      <c r="F83" s="145"/>
    </row>
    <row r="84" ht="16.35" customHeight="1">
      <c r="A84" s="150"/>
      <c r="B84" s="145"/>
      <c r="C84" s="150"/>
      <c r="D84" s="150"/>
      <c r="E84" s="145"/>
      <c r="F84" s="145"/>
    </row>
    <row r="85" ht="16.35" customHeight="1">
      <c r="A85" s="145"/>
      <c r="B85" s="145"/>
      <c r="C85" s="150"/>
      <c r="D85" s="150"/>
      <c r="E85" s="145"/>
      <c r="F85" s="145"/>
    </row>
    <row r="86" ht="20.35" customHeight="1">
      <c r="A86" s="145"/>
      <c r="B86" s="145"/>
      <c r="C86" s="150"/>
      <c r="D86" s="150"/>
      <c r="E86" s="145"/>
      <c r="F86" s="26"/>
    </row>
    <row r="87" ht="20.35" customHeight="1">
      <c r="A87" s="145"/>
      <c r="B87" s="145"/>
      <c r="C87" s="150"/>
      <c r="D87" s="150"/>
      <c r="E87" s="145"/>
      <c r="F87" s="26"/>
    </row>
    <row r="88" ht="20.35" customHeight="1">
      <c r="A88" s="145"/>
      <c r="B88" s="145"/>
      <c r="C88" s="150"/>
      <c r="D88" s="150"/>
      <c r="E88" s="145"/>
      <c r="F88" s="26"/>
    </row>
    <row r="89" ht="16.35" customHeight="1">
      <c r="A89" s="145"/>
      <c r="B89" s="145"/>
      <c r="C89" s="150"/>
      <c r="D89" s="150"/>
      <c r="E89" s="145"/>
      <c r="F89" s="145"/>
    </row>
    <row r="90" ht="16.35" customHeight="1">
      <c r="A90" s="145"/>
      <c r="B90" s="145"/>
      <c r="C90" s="150"/>
      <c r="D90" s="150"/>
      <c r="E90" s="145"/>
      <c r="F90" s="145"/>
    </row>
    <row r="91" ht="16.35" customHeight="1">
      <c r="A91" s="145"/>
      <c r="B91" s="145"/>
      <c r="C91" s="150"/>
      <c r="D91" s="150"/>
      <c r="E91" s="145"/>
      <c r="F91" s="145"/>
    </row>
    <row r="92" ht="16.35" customHeight="1">
      <c r="A92" s="150"/>
      <c r="B92" s="145"/>
      <c r="C92" s="150"/>
      <c r="D92" s="150"/>
      <c r="E92" s="145"/>
      <c r="F92" s="145"/>
    </row>
    <row r="93" ht="20.35" customHeight="1">
      <c r="A93" s="150"/>
      <c r="B93" s="145"/>
      <c r="C93" s="150"/>
      <c r="D93" s="150"/>
      <c r="E93" s="145"/>
      <c r="F93" s="26"/>
    </row>
    <row r="94" ht="20.35" customHeight="1">
      <c r="A94" s="150"/>
      <c r="B94" s="145"/>
      <c r="C94" s="150"/>
      <c r="D94" s="150"/>
      <c r="E94" s="145"/>
      <c r="F94" s="26"/>
    </row>
    <row r="95" ht="16.35" customHeight="1">
      <c r="A95" s="150"/>
      <c r="B95" s="145"/>
      <c r="C95" s="150"/>
      <c r="D95" s="150"/>
      <c r="E95" s="145"/>
      <c r="F95" s="145"/>
    </row>
    <row r="96" ht="16.35" customHeight="1">
      <c r="A96" s="145"/>
      <c r="B96" s="145"/>
      <c r="C96" s="150"/>
      <c r="D96" s="150"/>
      <c r="E96" s="145"/>
      <c r="F96" s="145"/>
    </row>
    <row r="97" ht="20.35" customHeight="1">
      <c r="A97" s="145"/>
      <c r="B97" s="145"/>
      <c r="C97" s="150"/>
      <c r="D97" s="150"/>
      <c r="E97" s="145"/>
      <c r="F97" s="26"/>
    </row>
    <row r="98" ht="20.35" customHeight="1">
      <c r="A98" s="150"/>
      <c r="B98" s="145"/>
      <c r="C98" s="150"/>
      <c r="D98" s="150"/>
      <c r="E98" s="145"/>
      <c r="F98" s="26"/>
    </row>
    <row r="99" ht="20.35" customHeight="1">
      <c r="A99" s="150"/>
      <c r="B99" s="145"/>
      <c r="C99" s="150"/>
      <c r="D99" s="150"/>
      <c r="E99" s="32"/>
      <c r="F99" s="26"/>
    </row>
    <row r="100" ht="20.35" customHeight="1">
      <c r="A100" s="150"/>
      <c r="B100" s="145"/>
      <c r="C100" s="150"/>
      <c r="D100" s="150"/>
      <c r="E100" s="32"/>
      <c r="F100" s="26"/>
    </row>
    <row r="101" ht="20.35" customHeight="1">
      <c r="A101" s="150"/>
      <c r="B101" s="145"/>
      <c r="C101" s="150"/>
      <c r="D101" s="150"/>
      <c r="E101" s="32"/>
      <c r="F101" s="26"/>
    </row>
    <row r="102" ht="20.35" customHeight="1">
      <c r="A102" s="150"/>
      <c r="B102" s="145"/>
      <c r="C102" s="150"/>
      <c r="D102" s="150"/>
      <c r="E102" s="32"/>
      <c r="F102" s="26"/>
    </row>
    <row r="103" ht="20.35" customHeight="1">
      <c r="A103" s="150"/>
      <c r="B103" s="145"/>
      <c r="C103" s="150"/>
      <c r="D103" s="150"/>
      <c r="E103" s="32"/>
      <c r="F103" s="26"/>
    </row>
    <row r="104" ht="20.35" customHeight="1">
      <c r="A104" s="150"/>
      <c r="B104" s="145"/>
      <c r="C104" s="150"/>
      <c r="D104" s="150"/>
      <c r="E104" s="32"/>
      <c r="F104" s="26"/>
    </row>
    <row r="105" ht="20.35" customHeight="1">
      <c r="A105" s="150"/>
      <c r="B105" s="145"/>
      <c r="C105" s="150"/>
      <c r="D105" s="150"/>
      <c r="E105" s="32"/>
      <c r="F105" s="26"/>
    </row>
    <row r="106" ht="20.35" customHeight="1">
      <c r="A106" s="150"/>
      <c r="B106" s="145"/>
      <c r="C106" s="150"/>
      <c r="D106" s="150"/>
      <c r="E106" s="32"/>
      <c r="F106" s="26"/>
    </row>
    <row r="107" ht="20.35" customHeight="1">
      <c r="A107" s="150"/>
      <c r="B107" s="145"/>
      <c r="C107" s="150"/>
      <c r="D107" s="150"/>
      <c r="E107" s="32"/>
      <c r="F107" s="26"/>
    </row>
    <row r="108" ht="20.35" customHeight="1">
      <c r="A108" s="150"/>
      <c r="B108" s="145"/>
      <c r="C108" s="150"/>
      <c r="D108" s="150"/>
      <c r="E108" s="32"/>
      <c r="F108" s="26"/>
    </row>
    <row r="109" ht="20.35" customHeight="1">
      <c r="A109" s="150"/>
      <c r="B109" s="145"/>
      <c r="C109" s="150"/>
      <c r="D109" s="150"/>
      <c r="E109" s="32"/>
      <c r="F109" s="26"/>
    </row>
    <row r="110" ht="20.35" customHeight="1">
      <c r="A110" s="150"/>
      <c r="B110" s="145"/>
      <c r="C110" s="150"/>
      <c r="D110" s="150"/>
      <c r="E110" s="32"/>
      <c r="F110" s="26"/>
    </row>
    <row r="111" ht="20.35" customHeight="1">
      <c r="A111" s="150"/>
      <c r="B111" s="145"/>
      <c r="C111" s="150"/>
      <c r="D111" s="150"/>
      <c r="E111" s="32"/>
      <c r="F111" s="26"/>
    </row>
    <row r="112" ht="20.35" customHeight="1">
      <c r="A112" s="150"/>
      <c r="B112" s="145"/>
      <c r="C112" s="150"/>
      <c r="D112" s="150"/>
      <c r="E112" s="32"/>
      <c r="F112" s="26"/>
    </row>
    <row r="113" ht="20.35" customHeight="1">
      <c r="A113" s="150"/>
      <c r="B113" s="145"/>
      <c r="C113" s="150"/>
      <c r="D113" s="150"/>
      <c r="E113" s="32"/>
      <c r="F113" s="26"/>
    </row>
    <row r="114" ht="20.35" customHeight="1">
      <c r="A114" s="150"/>
      <c r="B114" s="145"/>
      <c r="C114" s="150"/>
      <c r="D114" s="150"/>
      <c r="E114" s="32"/>
      <c r="F114" s="26"/>
    </row>
    <row r="115" ht="20.35" customHeight="1">
      <c r="A115" s="150"/>
      <c r="B115" s="145"/>
      <c r="C115" s="150"/>
      <c r="D115" s="150"/>
      <c r="E115" s="32"/>
      <c r="F115" s="26"/>
    </row>
    <row r="116" ht="20.35" customHeight="1">
      <c r="A116" s="150"/>
      <c r="B116" s="145"/>
      <c r="C116" s="150"/>
      <c r="D116" s="150"/>
      <c r="E116" s="32"/>
      <c r="F116" s="26"/>
    </row>
    <row r="117" ht="20.35" customHeight="1">
      <c r="A117" s="150"/>
      <c r="B117" s="145"/>
      <c r="C117" s="150"/>
      <c r="D117" s="150"/>
      <c r="E117" s="32"/>
      <c r="F117" s="26"/>
    </row>
    <row r="118" ht="20.35" customHeight="1">
      <c r="A118" s="150"/>
      <c r="B118" s="145"/>
      <c r="C118" s="150"/>
      <c r="D118" s="150"/>
      <c r="E118" s="32"/>
      <c r="F118" s="26"/>
    </row>
  </sheetData>
  <hyperlinks>
    <hyperlink ref="C5" r:id="rId1" location="" tooltip="" display="APPLE.COM"/>
    <hyperlink ref="C6" r:id="rId2" location="" tooltip="" display="APPLE.COM"/>
    <hyperlink ref="C7" r:id="rId3" location="" tooltip="" display="APPLE.COM"/>
    <hyperlink ref="C8" r:id="rId4" location="" tooltip="" display="BOOKING.COM"/>
    <hyperlink ref="C35" r:id="rId5" location="" tooltip="" display="LATAM.COM"/>
  </hyperlink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F118"/>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2" width="16.3516" style="158" customWidth="1"/>
    <col min="3" max="3" width="25.6719" style="158" customWidth="1"/>
    <col min="4" max="6" width="16.3516" style="158" customWidth="1"/>
    <col min="7" max="16384" width="16.3516" style="158" customWidth="1"/>
  </cols>
  <sheetData>
    <row r="1" ht="20.55" customHeight="1">
      <c r="A1" s="7"/>
      <c r="B1" s="7"/>
      <c r="C1" s="7"/>
      <c r="D1" t="s" s="8">
        <v>489</v>
      </c>
      <c r="E1" s="143" cm="1">
        <f t="array" ref="E1">SUM(D2:D118)</f>
        <v>3759856</v>
      </c>
      <c r="F1" s="7"/>
    </row>
    <row r="2" ht="16.55" customHeight="1">
      <c r="A2" s="152"/>
      <c r="B2" s="153"/>
      <c r="C2" s="152"/>
      <c r="D2" s="154"/>
      <c r="E2" s="153"/>
      <c r="F2" s="153"/>
    </row>
    <row r="3" ht="16.35" customHeight="1">
      <c r="A3" s="150"/>
      <c r="B3" s="145"/>
      <c r="C3" s="150"/>
      <c r="D3" s="159"/>
      <c r="E3" s="145"/>
      <c r="F3" s="145"/>
    </row>
    <row r="4" ht="16.35" customHeight="1">
      <c r="A4" s="145"/>
      <c r="B4" s="145"/>
      <c r="C4" t="s" s="144">
        <v>184</v>
      </c>
      <c r="D4" s="146">
        <v>7360</v>
      </c>
      <c r="E4" s="145"/>
      <c r="F4" s="145"/>
    </row>
    <row r="5" ht="16.35" customHeight="1">
      <c r="A5" t="s" s="144">
        <v>490</v>
      </c>
      <c r="B5" s="145"/>
      <c r="C5" t="s" s="144">
        <v>184</v>
      </c>
      <c r="D5" s="146">
        <v>4360</v>
      </c>
      <c r="E5" s="145"/>
      <c r="F5" s="145"/>
    </row>
    <row r="6" ht="20.35" customHeight="1">
      <c r="A6" t="s" s="144">
        <v>191</v>
      </c>
      <c r="B6" s="145"/>
      <c r="C6" t="s" s="144">
        <v>190</v>
      </c>
      <c r="D6" s="146">
        <v>9166</v>
      </c>
      <c r="E6" s="145"/>
      <c r="F6" s="26"/>
    </row>
    <row r="7" ht="20.35" customHeight="1">
      <c r="A7" s="145"/>
      <c r="B7" s="145"/>
      <c r="C7" t="s" s="144">
        <v>190</v>
      </c>
      <c r="D7" s="146">
        <v>9166</v>
      </c>
      <c r="E7" s="145"/>
      <c r="F7" s="26"/>
    </row>
    <row r="8" ht="20.35" customHeight="1">
      <c r="A8" s="145"/>
      <c r="B8" s="145"/>
      <c r="C8" t="s" s="144">
        <v>190</v>
      </c>
      <c r="D8" s="146">
        <v>9166</v>
      </c>
      <c r="E8" s="145"/>
      <c r="F8" s="26"/>
    </row>
    <row r="9" ht="16.35" customHeight="1">
      <c r="A9" s="145"/>
      <c r="B9" s="145"/>
      <c r="C9" t="s" s="144">
        <v>202</v>
      </c>
      <c r="D9" s="146">
        <v>48873</v>
      </c>
      <c r="E9" s="145"/>
      <c r="F9" s="145"/>
    </row>
    <row r="10" ht="20.35" customHeight="1">
      <c r="A10" s="145"/>
      <c r="B10" s="145"/>
      <c r="C10" t="s" s="144">
        <v>491</v>
      </c>
      <c r="D10" s="146">
        <v>23600</v>
      </c>
      <c r="E10" s="145"/>
      <c r="F10" s="26"/>
    </row>
    <row r="11" ht="20.35" customHeight="1">
      <c r="A11" s="145"/>
      <c r="B11" s="145"/>
      <c r="C11" t="s" s="144">
        <v>492</v>
      </c>
      <c r="D11" s="146">
        <v>14960</v>
      </c>
      <c r="E11" s="145"/>
      <c r="F11" s="26"/>
    </row>
    <row r="12" ht="16.35" customHeight="1">
      <c r="A12" t="s" s="144">
        <v>493</v>
      </c>
      <c r="B12" s="145"/>
      <c r="C12" t="s" s="144">
        <v>492</v>
      </c>
      <c r="D12" s="146">
        <v>113910</v>
      </c>
      <c r="E12" s="145"/>
      <c r="F12" s="145"/>
    </row>
    <row r="13" ht="30.35" customHeight="1">
      <c r="A13" t="s" s="144">
        <v>494</v>
      </c>
      <c r="B13" s="145"/>
      <c r="C13" t="s" s="144">
        <v>407</v>
      </c>
      <c r="D13" s="146">
        <v>2990</v>
      </c>
      <c r="E13" s="145"/>
      <c r="F13" s="26"/>
    </row>
    <row r="14" ht="30.35" customHeight="1">
      <c r="A14" s="145"/>
      <c r="B14" s="145"/>
      <c r="C14" t="s" s="144">
        <v>407</v>
      </c>
      <c r="D14" s="146">
        <v>27670</v>
      </c>
      <c r="E14" s="145"/>
      <c r="F14" s="145"/>
    </row>
    <row r="15" ht="30.35" customHeight="1">
      <c r="A15" s="145"/>
      <c r="B15" s="145"/>
      <c r="C15" t="s" s="144">
        <v>407</v>
      </c>
      <c r="D15" s="146">
        <v>7990</v>
      </c>
      <c r="E15" s="145"/>
      <c r="F15" s="26"/>
    </row>
    <row r="16" ht="20.35" customHeight="1">
      <c r="A16" t="s" s="144">
        <v>495</v>
      </c>
      <c r="B16" s="145"/>
      <c r="C16" t="s" s="144">
        <v>206</v>
      </c>
      <c r="D16" s="146">
        <v>21990</v>
      </c>
      <c r="E16" s="145"/>
      <c r="F16" s="26"/>
    </row>
    <row r="17" ht="16.35" customHeight="1">
      <c r="A17" t="s" s="144">
        <v>496</v>
      </c>
      <c r="B17" s="145"/>
      <c r="C17" t="s" s="144">
        <v>207</v>
      </c>
      <c r="D17" s="146">
        <v>8430</v>
      </c>
      <c r="E17" s="145"/>
      <c r="F17" s="145"/>
    </row>
    <row r="18" ht="16.35" customHeight="1">
      <c r="A18" t="s" s="144">
        <v>497</v>
      </c>
      <c r="B18" s="145"/>
      <c r="C18" t="s" s="144">
        <v>207</v>
      </c>
      <c r="D18" s="146">
        <v>21020</v>
      </c>
      <c r="E18" s="145"/>
      <c r="F18" s="145"/>
    </row>
    <row r="19" ht="20.35" customHeight="1">
      <c r="A19" t="s" s="144">
        <v>498</v>
      </c>
      <c r="B19" s="145"/>
      <c r="C19" t="s" s="144">
        <v>207</v>
      </c>
      <c r="D19" s="146">
        <v>13460</v>
      </c>
      <c r="E19" s="145"/>
      <c r="F19" s="26"/>
    </row>
    <row r="20" ht="16.35" customHeight="1">
      <c r="A20" t="s" s="144">
        <v>499</v>
      </c>
      <c r="B20" s="145"/>
      <c r="C20" t="s" s="144">
        <v>207</v>
      </c>
      <c r="D20" s="146">
        <v>22130</v>
      </c>
      <c r="E20" s="145"/>
      <c r="F20" s="145"/>
    </row>
    <row r="21" ht="16.35" customHeight="1">
      <c r="A21" s="145"/>
      <c r="B21" s="145"/>
      <c r="C21" t="s" s="144">
        <v>207</v>
      </c>
      <c r="D21" s="146">
        <v>20160</v>
      </c>
      <c r="E21" s="145"/>
      <c r="F21" s="145"/>
    </row>
    <row r="22" ht="16.35" customHeight="1">
      <c r="A22" t="s" s="144">
        <v>500</v>
      </c>
      <c r="B22" s="145"/>
      <c r="C22" t="s" s="144">
        <v>353</v>
      </c>
      <c r="D22" s="146">
        <v>200000</v>
      </c>
      <c r="E22" s="145"/>
      <c r="F22" s="145"/>
    </row>
    <row r="23" ht="16.35" customHeight="1">
      <c r="A23" s="145"/>
      <c r="B23" s="145"/>
      <c r="C23" t="s" s="144">
        <v>353</v>
      </c>
      <c r="D23" s="146">
        <v>200000</v>
      </c>
      <c r="E23" s="145"/>
      <c r="F23" s="145"/>
    </row>
    <row r="24" ht="30.35" customHeight="1">
      <c r="A24" s="145"/>
      <c r="B24" s="145"/>
      <c r="C24" t="s" s="144">
        <v>354</v>
      </c>
      <c r="D24" s="146">
        <v>9200</v>
      </c>
      <c r="E24" s="145"/>
      <c r="F24" s="26"/>
    </row>
    <row r="25" ht="20.35" customHeight="1">
      <c r="A25" t="s" s="144">
        <v>501</v>
      </c>
      <c r="B25" s="145"/>
      <c r="C25" t="s" s="144">
        <v>413</v>
      </c>
      <c r="D25" s="146">
        <v>8980</v>
      </c>
      <c r="E25" s="145"/>
      <c r="F25" s="26"/>
    </row>
    <row r="26" ht="30.35" customHeight="1">
      <c r="A26" s="145"/>
      <c r="B26" s="145"/>
      <c r="C26" t="s" s="144">
        <v>415</v>
      </c>
      <c r="D26" s="146">
        <v>85120</v>
      </c>
      <c r="E26" s="145"/>
      <c r="F26" s="145"/>
    </row>
    <row r="27" ht="30.35" customHeight="1">
      <c r="A27" s="145"/>
      <c r="B27" s="145"/>
      <c r="C27" t="s" s="144">
        <v>357</v>
      </c>
      <c r="D27" s="146">
        <v>14170</v>
      </c>
      <c r="E27" s="145"/>
      <c r="F27" s="145"/>
    </row>
    <row r="28" ht="30.35" customHeight="1">
      <c r="A28" s="145"/>
      <c r="B28" s="145"/>
      <c r="C28" t="s" s="144">
        <v>357</v>
      </c>
      <c r="D28" s="146">
        <v>34776</v>
      </c>
      <c r="E28" s="145"/>
      <c r="F28" s="26"/>
    </row>
    <row r="29" ht="30.35" customHeight="1">
      <c r="A29" t="s" s="144">
        <v>502</v>
      </c>
      <c r="B29" s="145"/>
      <c r="C29" t="s" s="144">
        <v>214</v>
      </c>
      <c r="D29" s="146">
        <v>16678</v>
      </c>
      <c r="E29" s="145"/>
      <c r="F29" s="145"/>
    </row>
    <row r="30" ht="30.35" customHeight="1">
      <c r="A30" s="145"/>
      <c r="B30" s="145"/>
      <c r="C30" t="s" s="144">
        <v>214</v>
      </c>
      <c r="D30" s="146">
        <v>32703</v>
      </c>
      <c r="E30" s="145"/>
      <c r="F30" s="26"/>
    </row>
    <row r="31" ht="30.35" customHeight="1">
      <c r="A31" s="145"/>
      <c r="B31" s="145"/>
      <c r="C31" t="s" s="144">
        <v>214</v>
      </c>
      <c r="D31" s="146">
        <v>12135</v>
      </c>
      <c r="E31" s="145"/>
      <c r="F31" s="145"/>
    </row>
    <row r="32" ht="30.35" customHeight="1">
      <c r="A32" s="145"/>
      <c r="B32" s="145"/>
      <c r="C32" t="s" s="144">
        <v>214</v>
      </c>
      <c r="D32" s="146">
        <v>17725</v>
      </c>
      <c r="E32" s="145"/>
      <c r="F32" s="26"/>
    </row>
    <row r="33" ht="30.35" customHeight="1">
      <c r="A33" s="145"/>
      <c r="B33" s="145"/>
      <c r="C33" t="s" s="144">
        <v>214</v>
      </c>
      <c r="D33" s="146">
        <v>16719</v>
      </c>
      <c r="E33" s="145"/>
      <c r="F33" s="145"/>
    </row>
    <row r="34" ht="30.35" customHeight="1">
      <c r="A34" s="145"/>
      <c r="B34" s="145"/>
      <c r="C34" t="s" s="144">
        <v>219</v>
      </c>
      <c r="D34" s="146">
        <v>4680</v>
      </c>
      <c r="E34" s="145"/>
      <c r="F34" s="145"/>
    </row>
    <row r="35" ht="30.35" customHeight="1">
      <c r="A35" s="145"/>
      <c r="B35" s="145"/>
      <c r="C35" t="s" s="144">
        <v>219</v>
      </c>
      <c r="D35" s="146">
        <v>5460</v>
      </c>
      <c r="E35" s="145"/>
      <c r="F35" s="145"/>
    </row>
    <row r="36" ht="30.35" customHeight="1">
      <c r="A36" s="145"/>
      <c r="B36" s="145"/>
      <c r="C36" t="s" s="144">
        <v>219</v>
      </c>
      <c r="D36" s="146">
        <v>5460</v>
      </c>
      <c r="E36" s="145"/>
      <c r="F36" s="145"/>
    </row>
    <row r="37" ht="30.35" customHeight="1">
      <c r="A37" s="145"/>
      <c r="B37" s="145"/>
      <c r="C37" t="s" s="144">
        <v>219</v>
      </c>
      <c r="D37" s="146">
        <v>1470</v>
      </c>
      <c r="E37" s="145"/>
      <c r="F37" s="26"/>
    </row>
    <row r="38" ht="30.35" customHeight="1">
      <c r="A38" s="145"/>
      <c r="B38" s="145"/>
      <c r="C38" t="s" s="144">
        <v>219</v>
      </c>
      <c r="D38" s="146">
        <v>4680</v>
      </c>
      <c r="E38" s="145"/>
      <c r="F38" s="145"/>
    </row>
    <row r="39" ht="30.35" customHeight="1">
      <c r="A39" s="145"/>
      <c r="B39" s="145"/>
      <c r="C39" t="s" s="144">
        <v>219</v>
      </c>
      <c r="D39" s="146">
        <v>7105</v>
      </c>
      <c r="E39" s="145"/>
      <c r="F39" s="145"/>
    </row>
    <row r="40" ht="30.35" customHeight="1">
      <c r="A40" t="s" s="144">
        <v>503</v>
      </c>
      <c r="B40" s="145"/>
      <c r="C40" t="s" s="144">
        <v>219</v>
      </c>
      <c r="D40" s="146">
        <v>5460</v>
      </c>
      <c r="E40" s="145"/>
      <c r="F40" s="145"/>
    </row>
    <row r="41" ht="30.35" customHeight="1">
      <c r="A41" s="145"/>
      <c r="B41" s="145"/>
      <c r="C41" t="s" s="144">
        <v>219</v>
      </c>
      <c r="D41" s="146">
        <v>5460</v>
      </c>
      <c r="E41" s="145"/>
      <c r="F41" s="145"/>
    </row>
    <row r="42" ht="30.35" customHeight="1">
      <c r="A42" s="145"/>
      <c r="B42" s="145"/>
      <c r="C42" t="s" s="144">
        <v>219</v>
      </c>
      <c r="D42" s="146">
        <v>5460</v>
      </c>
      <c r="E42" s="145"/>
      <c r="F42" s="145"/>
    </row>
    <row r="43" ht="30.35" customHeight="1">
      <c r="A43" t="s" s="144">
        <v>504</v>
      </c>
      <c r="B43" s="145"/>
      <c r="C43" t="s" s="144">
        <v>219</v>
      </c>
      <c r="D43" s="146">
        <v>4680</v>
      </c>
      <c r="E43" s="145"/>
      <c r="F43" s="145"/>
    </row>
    <row r="44" ht="30.35" customHeight="1">
      <c r="A44" s="145"/>
      <c r="B44" s="145"/>
      <c r="C44" t="s" s="144">
        <v>219</v>
      </c>
      <c r="D44" s="146">
        <v>5460</v>
      </c>
      <c r="E44" s="145"/>
      <c r="F44" s="26"/>
    </row>
    <row r="45" ht="30.35" customHeight="1">
      <c r="A45" s="145"/>
      <c r="B45" s="145"/>
      <c r="C45" t="s" s="144">
        <v>219</v>
      </c>
      <c r="D45" s="146">
        <v>5460</v>
      </c>
      <c r="E45" s="145"/>
      <c r="F45" s="145"/>
    </row>
    <row r="46" ht="30.35" customHeight="1">
      <c r="A46" s="145"/>
      <c r="B46" s="145"/>
      <c r="C46" t="s" s="144">
        <v>219</v>
      </c>
      <c r="D46" s="146">
        <v>5460</v>
      </c>
      <c r="E46" s="145"/>
      <c r="F46" s="26"/>
    </row>
    <row r="47" ht="30.35" customHeight="1">
      <c r="A47" t="s" s="144">
        <v>505</v>
      </c>
      <c r="B47" s="145"/>
      <c r="C47" t="s" s="144">
        <v>219</v>
      </c>
      <c r="D47" s="146">
        <v>5460</v>
      </c>
      <c r="E47" s="145"/>
      <c r="F47" s="26"/>
    </row>
    <row r="48" ht="30.35" customHeight="1">
      <c r="A48" t="s" s="144">
        <v>506</v>
      </c>
      <c r="B48" s="145"/>
      <c r="C48" t="s" s="144">
        <v>219</v>
      </c>
      <c r="D48" s="146">
        <v>2340</v>
      </c>
      <c r="E48" s="145"/>
      <c r="F48" s="145"/>
    </row>
    <row r="49" ht="30.35" customHeight="1">
      <c r="A49" s="145"/>
      <c r="B49" s="145"/>
      <c r="C49" t="s" s="144">
        <v>219</v>
      </c>
      <c r="D49" s="146">
        <v>5460</v>
      </c>
      <c r="E49" s="145"/>
      <c r="F49" s="26"/>
    </row>
    <row r="50" ht="30.35" customHeight="1">
      <c r="A50" s="145"/>
      <c r="B50" s="145"/>
      <c r="C50" t="s" s="144">
        <v>219</v>
      </c>
      <c r="D50" s="146">
        <v>5460</v>
      </c>
      <c r="E50" s="145"/>
      <c r="F50" s="26"/>
    </row>
    <row r="51" ht="30.35" customHeight="1">
      <c r="A51" s="145"/>
      <c r="B51" s="145"/>
      <c r="C51" t="s" s="144">
        <v>219</v>
      </c>
      <c r="D51" s="146">
        <v>9653</v>
      </c>
      <c r="E51" s="145"/>
      <c r="F51" s="145"/>
    </row>
    <row r="52" ht="16.35" customHeight="1">
      <c r="A52" t="s" s="144">
        <v>507</v>
      </c>
      <c r="B52" s="145"/>
      <c r="C52" t="s" s="144">
        <v>508</v>
      </c>
      <c r="D52" s="146">
        <v>38830</v>
      </c>
      <c r="E52" s="145"/>
      <c r="F52" s="145"/>
    </row>
    <row r="53" ht="20.35" customHeight="1">
      <c r="A53" t="s" s="144">
        <v>509</v>
      </c>
      <c r="B53" s="145"/>
      <c r="C53" t="s" s="144">
        <v>223</v>
      </c>
      <c r="D53" s="146">
        <v>2100</v>
      </c>
      <c r="E53" s="145"/>
      <c r="F53" s="26"/>
    </row>
    <row r="54" ht="20.35" customHeight="1">
      <c r="A54" s="145"/>
      <c r="B54" s="145"/>
      <c r="C54" t="s" s="144">
        <v>223</v>
      </c>
      <c r="D54" s="146">
        <v>1990</v>
      </c>
      <c r="E54" s="145"/>
      <c r="F54" s="32"/>
    </row>
    <row r="55" ht="20.35" customHeight="1">
      <c r="A55" s="145"/>
      <c r="B55" s="145"/>
      <c r="C55" t="s" s="144">
        <v>223</v>
      </c>
      <c r="D55" s="146">
        <v>3480</v>
      </c>
      <c r="E55" s="145"/>
      <c r="F55" s="26"/>
    </row>
    <row r="56" ht="20.35" customHeight="1">
      <c r="A56" s="145"/>
      <c r="B56" s="145"/>
      <c r="C56" t="s" s="144">
        <v>510</v>
      </c>
      <c r="D56" s="146">
        <v>1290</v>
      </c>
      <c r="E56" s="145"/>
      <c r="F56" s="26"/>
    </row>
    <row r="57" ht="16.35" customHeight="1">
      <c r="A57" s="145"/>
      <c r="B57" s="145"/>
      <c r="C57" t="s" s="144">
        <v>511</v>
      </c>
      <c r="D57" s="146">
        <v>4090</v>
      </c>
      <c r="E57" s="145"/>
      <c r="F57" s="145"/>
    </row>
    <row r="58" ht="16.35" customHeight="1">
      <c r="A58" s="145"/>
      <c r="B58" s="145"/>
      <c r="C58" t="s" s="144">
        <v>511</v>
      </c>
      <c r="D58" s="146">
        <v>7990</v>
      </c>
      <c r="E58" s="145"/>
      <c r="F58" s="145"/>
    </row>
    <row r="59" ht="30.35" customHeight="1">
      <c r="A59" s="145"/>
      <c r="B59" s="145"/>
      <c r="C59" t="s" s="144">
        <v>424</v>
      </c>
      <c r="D59" s="146">
        <v>8690</v>
      </c>
      <c r="E59" s="145"/>
      <c r="F59" s="145"/>
    </row>
    <row r="60" ht="20.35" customHeight="1">
      <c r="A60" t="s" s="144">
        <v>382</v>
      </c>
      <c r="B60" s="145"/>
      <c r="C60" t="s" s="144">
        <v>225</v>
      </c>
      <c r="D60" s="146">
        <v>22498</v>
      </c>
      <c r="E60" s="145"/>
      <c r="F60" s="26"/>
    </row>
    <row r="61" ht="20.35" customHeight="1">
      <c r="A61" s="145"/>
      <c r="B61" s="145"/>
      <c r="C61" t="s" s="144">
        <v>225</v>
      </c>
      <c r="D61" s="146">
        <v>63665</v>
      </c>
      <c r="E61" s="145"/>
      <c r="F61" s="26"/>
    </row>
    <row r="62" ht="20.35" customHeight="1">
      <c r="A62" t="s" s="144">
        <v>222</v>
      </c>
      <c r="B62" s="145"/>
      <c r="C62" t="s" s="144">
        <v>225</v>
      </c>
      <c r="D62" s="146">
        <v>35833</v>
      </c>
      <c r="E62" s="145"/>
      <c r="F62" s="26"/>
    </row>
    <row r="63" ht="20.35" customHeight="1">
      <c r="A63" t="s" s="144">
        <v>226</v>
      </c>
      <c r="B63" s="145"/>
      <c r="C63" t="s" s="144">
        <v>225</v>
      </c>
      <c r="D63" s="146">
        <v>8495</v>
      </c>
      <c r="E63" s="145"/>
      <c r="F63" s="26"/>
    </row>
    <row r="64" ht="30.35" customHeight="1">
      <c r="A64" s="145"/>
      <c r="B64" s="145"/>
      <c r="C64" t="s" s="144">
        <v>512</v>
      </c>
      <c r="D64" s="146">
        <v>16990</v>
      </c>
      <c r="E64" s="145"/>
      <c r="F64" s="145"/>
    </row>
    <row r="65" ht="30.35" customHeight="1">
      <c r="A65" s="145"/>
      <c r="B65" s="145"/>
      <c r="C65" t="s" s="144">
        <v>513</v>
      </c>
      <c r="D65" s="146">
        <v>5852</v>
      </c>
      <c r="E65" s="145"/>
      <c r="F65" s="145"/>
    </row>
    <row r="66" ht="30.35" customHeight="1">
      <c r="A66" s="145"/>
      <c r="B66" s="145"/>
      <c r="C66" t="s" s="144">
        <v>368</v>
      </c>
      <c r="D66" s="146">
        <v>6590</v>
      </c>
      <c r="E66" s="145"/>
      <c r="F66" s="26"/>
    </row>
    <row r="67" ht="16.35" customHeight="1">
      <c r="A67" t="s" s="144">
        <v>514</v>
      </c>
      <c r="B67" s="145"/>
      <c r="C67" t="s" s="144">
        <v>231</v>
      </c>
      <c r="D67" s="146">
        <v>20860</v>
      </c>
      <c r="E67" s="145"/>
      <c r="F67" s="145"/>
    </row>
    <row r="68" ht="16.35" customHeight="1">
      <c r="A68" t="s" s="144">
        <v>515</v>
      </c>
      <c r="B68" s="145"/>
      <c r="C68" t="s" s="144">
        <v>231</v>
      </c>
      <c r="D68" s="146">
        <v>21670</v>
      </c>
      <c r="E68" s="145"/>
      <c r="F68" s="145"/>
    </row>
    <row r="69" ht="30.35" customHeight="1">
      <c r="A69" s="145"/>
      <c r="B69" s="145"/>
      <c r="C69" t="s" s="144">
        <v>516</v>
      </c>
      <c r="D69" s="146">
        <v>26514</v>
      </c>
      <c r="E69" s="145"/>
      <c r="F69" s="145"/>
    </row>
    <row r="70" ht="30.35" customHeight="1">
      <c r="A70" s="145"/>
      <c r="B70" s="145"/>
      <c r="C70" t="s" s="144">
        <v>375</v>
      </c>
      <c r="D70" s="146">
        <v>21780</v>
      </c>
      <c r="E70" s="145"/>
      <c r="F70" s="145"/>
    </row>
    <row r="71" ht="20.35" customHeight="1">
      <c r="A71" s="145"/>
      <c r="B71" s="145"/>
      <c r="C71" t="s" s="144">
        <v>376</v>
      </c>
      <c r="D71" s="146">
        <v>125853</v>
      </c>
      <c r="E71" s="145"/>
      <c r="F71" s="26"/>
    </row>
    <row r="72" ht="16.35" customHeight="1">
      <c r="A72" t="s" s="144">
        <v>517</v>
      </c>
      <c r="B72" s="145"/>
      <c r="C72" t="s" s="144">
        <v>518</v>
      </c>
      <c r="D72" s="146">
        <v>3500</v>
      </c>
      <c r="E72" s="145"/>
      <c r="F72" s="145"/>
    </row>
    <row r="73" ht="20.35" customHeight="1">
      <c r="A73" t="s" s="144">
        <v>519</v>
      </c>
      <c r="B73" s="145"/>
      <c r="C73" t="s" s="144">
        <v>239</v>
      </c>
      <c r="D73" s="32"/>
      <c r="E73" s="146">
        <v>5415290</v>
      </c>
      <c r="F73" s="145"/>
    </row>
    <row r="74" ht="20.35" customHeight="1">
      <c r="A74" t="s" s="144">
        <v>352</v>
      </c>
      <c r="B74" s="145"/>
      <c r="C74" t="s" s="144">
        <v>241</v>
      </c>
      <c r="D74" s="146">
        <v>52163</v>
      </c>
      <c r="E74" s="145"/>
      <c r="F74" s="26"/>
    </row>
    <row r="75" ht="20.35" customHeight="1">
      <c r="A75" t="s" s="144">
        <v>243</v>
      </c>
      <c r="B75" s="145"/>
      <c r="C75" t="s" s="144">
        <v>244</v>
      </c>
      <c r="D75" s="146">
        <v>2889</v>
      </c>
      <c r="E75" s="145"/>
      <c r="F75" s="26"/>
    </row>
    <row r="76" ht="30.35" customHeight="1">
      <c r="A76" t="s" s="144">
        <v>356</v>
      </c>
      <c r="B76" s="145"/>
      <c r="C76" t="s" s="144">
        <v>520</v>
      </c>
      <c r="D76" s="146">
        <v>37651</v>
      </c>
      <c r="E76" s="145"/>
      <c r="F76" s="145"/>
    </row>
    <row r="77" ht="16.35" customHeight="1">
      <c r="A77" t="s" s="144">
        <v>521</v>
      </c>
      <c r="B77" s="145"/>
      <c r="C77" t="s" s="144">
        <v>245</v>
      </c>
      <c r="D77" s="146">
        <v>1519135</v>
      </c>
      <c r="E77" s="145"/>
      <c r="F77" s="145"/>
    </row>
    <row r="78" ht="16.35" customHeight="1">
      <c r="A78" s="145"/>
      <c r="B78" s="145"/>
      <c r="C78" t="s" s="144">
        <v>380</v>
      </c>
      <c r="D78" s="146">
        <v>6870</v>
      </c>
      <c r="E78" s="145"/>
      <c r="F78" s="145"/>
    </row>
    <row r="79" ht="16.35" customHeight="1">
      <c r="A79" s="145"/>
      <c r="B79" s="145"/>
      <c r="C79" t="s" s="144">
        <v>522</v>
      </c>
      <c r="D79" s="146">
        <v>22488</v>
      </c>
      <c r="E79" s="145"/>
      <c r="F79" s="145"/>
    </row>
    <row r="80" ht="16.35" customHeight="1">
      <c r="A80" s="145"/>
      <c r="B80" s="145"/>
      <c r="C80" t="s" s="144">
        <v>247</v>
      </c>
      <c r="D80" s="146">
        <v>5579</v>
      </c>
      <c r="E80" s="145"/>
      <c r="F80" s="145"/>
    </row>
    <row r="81" ht="30.35" customHeight="1">
      <c r="A81" s="145"/>
      <c r="B81" s="145"/>
      <c r="C81" t="s" s="144">
        <v>325</v>
      </c>
      <c r="D81" s="147">
        <v>250</v>
      </c>
      <c r="E81" s="145"/>
      <c r="F81" s="145"/>
    </row>
    <row r="82" ht="30.35" customHeight="1">
      <c r="A82" s="145"/>
      <c r="B82" s="145"/>
      <c r="C82" t="s" s="144">
        <v>325</v>
      </c>
      <c r="D82" s="147">
        <v>200</v>
      </c>
      <c r="E82" s="145"/>
      <c r="F82" s="26"/>
    </row>
    <row r="83" ht="16.35" customHeight="1">
      <c r="A83" s="145"/>
      <c r="B83" s="145"/>
      <c r="C83" t="s" s="144">
        <v>326</v>
      </c>
      <c r="D83" s="146">
        <v>1550</v>
      </c>
      <c r="E83" s="145"/>
      <c r="F83" s="145"/>
    </row>
    <row r="84" ht="20.35" customHeight="1">
      <c r="A84" t="s" s="144">
        <v>523</v>
      </c>
      <c r="B84" s="145"/>
      <c r="C84" t="s" s="144">
        <v>251</v>
      </c>
      <c r="D84" s="146">
        <v>11376</v>
      </c>
      <c r="E84" s="145"/>
      <c r="F84" s="26"/>
    </row>
    <row r="85" ht="16.35" customHeight="1">
      <c r="A85" s="145"/>
      <c r="B85" s="145"/>
      <c r="C85" t="s" s="144">
        <v>251</v>
      </c>
      <c r="D85" s="147">
        <v>461</v>
      </c>
      <c r="E85" s="145"/>
      <c r="F85" s="145"/>
    </row>
    <row r="86" ht="20.35" customHeight="1">
      <c r="A86" s="145"/>
      <c r="B86" s="145"/>
      <c r="C86" t="s" s="144">
        <v>251</v>
      </c>
      <c r="D86" s="146">
        <v>2353</v>
      </c>
      <c r="E86" s="145"/>
      <c r="F86" s="26"/>
    </row>
    <row r="87" ht="20.35" customHeight="1">
      <c r="A87" s="145"/>
      <c r="B87" s="145"/>
      <c r="C87" t="s" s="144">
        <v>251</v>
      </c>
      <c r="D87" s="146">
        <v>-2353</v>
      </c>
      <c r="E87" s="145"/>
      <c r="F87" s="26"/>
    </row>
    <row r="88" ht="20.35" customHeight="1">
      <c r="A88" s="145"/>
      <c r="B88" s="145"/>
      <c r="C88" t="s" s="144">
        <v>251</v>
      </c>
      <c r="D88" s="146">
        <v>2353</v>
      </c>
      <c r="E88" s="145"/>
      <c r="F88" s="26"/>
    </row>
    <row r="89" ht="16.35" customHeight="1">
      <c r="A89" s="145"/>
      <c r="B89" s="145"/>
      <c r="C89" t="s" s="144">
        <v>251</v>
      </c>
      <c r="D89" s="146">
        <v>71126</v>
      </c>
      <c r="E89" s="145"/>
      <c r="F89" s="145"/>
    </row>
    <row r="90" ht="16.35" customHeight="1">
      <c r="A90" s="145"/>
      <c r="B90" s="145"/>
      <c r="C90" t="s" s="144">
        <v>251</v>
      </c>
      <c r="D90" s="146">
        <v>10557</v>
      </c>
      <c r="E90" s="145"/>
      <c r="F90" s="145"/>
    </row>
    <row r="91" ht="16.35" customHeight="1">
      <c r="A91" s="145"/>
      <c r="B91" s="145"/>
      <c r="C91" t="s" s="144">
        <v>524</v>
      </c>
      <c r="D91" s="146">
        <v>3280</v>
      </c>
      <c r="E91" s="145"/>
      <c r="F91" s="145"/>
    </row>
    <row r="92" ht="16.35" customHeight="1">
      <c r="A92" t="s" s="144">
        <v>347</v>
      </c>
      <c r="B92" s="145"/>
      <c r="C92" t="s" s="144">
        <v>386</v>
      </c>
      <c r="D92" s="146">
        <v>73428</v>
      </c>
      <c r="E92" s="145"/>
      <c r="F92" s="145"/>
    </row>
    <row r="93" ht="20.35" customHeight="1">
      <c r="A93" t="s" s="144">
        <v>525</v>
      </c>
      <c r="B93" s="145"/>
      <c r="C93" t="s" s="144">
        <v>526</v>
      </c>
      <c r="D93" s="146">
        <v>4970</v>
      </c>
      <c r="E93" s="145"/>
      <c r="F93" s="26"/>
    </row>
    <row r="94" ht="20.35" customHeight="1">
      <c r="A94" t="s" s="144">
        <v>527</v>
      </c>
      <c r="B94" s="145"/>
      <c r="C94" t="s" s="144">
        <v>526</v>
      </c>
      <c r="D94" s="146">
        <v>2380</v>
      </c>
      <c r="E94" s="145"/>
      <c r="F94" s="26"/>
    </row>
    <row r="95" ht="16.35" customHeight="1">
      <c r="A95" t="s" s="144">
        <v>528</v>
      </c>
      <c r="B95" s="145"/>
      <c r="C95" t="s" s="144">
        <v>529</v>
      </c>
      <c r="D95" s="146">
        <v>45958</v>
      </c>
      <c r="E95" s="145"/>
      <c r="F95" s="145"/>
    </row>
    <row r="96" ht="16.35" customHeight="1">
      <c r="A96" s="145"/>
      <c r="B96" s="145"/>
      <c r="C96" t="s" s="144">
        <v>274</v>
      </c>
      <c r="D96" s="146">
        <v>27670</v>
      </c>
      <c r="E96" s="145"/>
      <c r="F96" s="145"/>
    </row>
    <row r="97" ht="20.35" customHeight="1">
      <c r="A97" s="145"/>
      <c r="B97" s="145"/>
      <c r="C97" t="s" s="144">
        <v>399</v>
      </c>
      <c r="D97" s="146">
        <v>3990</v>
      </c>
      <c r="E97" s="145"/>
      <c r="F97" s="26"/>
    </row>
    <row r="98" ht="20.35" customHeight="1">
      <c r="A98" t="s" s="144">
        <v>282</v>
      </c>
      <c r="B98" s="145"/>
      <c r="C98" t="s" s="144">
        <v>283</v>
      </c>
      <c r="D98" s="146">
        <v>275697</v>
      </c>
      <c r="E98" s="145"/>
      <c r="F98" s="26"/>
    </row>
    <row r="99" ht="20.35" customHeight="1">
      <c r="A99" s="150"/>
      <c r="B99" s="145"/>
      <c r="C99" s="150"/>
      <c r="D99" s="150"/>
      <c r="E99" s="32"/>
      <c r="F99" s="26"/>
    </row>
    <row r="100" ht="20.35" customHeight="1">
      <c r="A100" s="150"/>
      <c r="B100" s="145"/>
      <c r="C100" s="150"/>
      <c r="D100" s="150"/>
      <c r="E100" s="32"/>
      <c r="F100" s="26"/>
    </row>
    <row r="101" ht="20.35" customHeight="1">
      <c r="A101" s="150"/>
      <c r="B101" s="145"/>
      <c r="C101" s="150"/>
      <c r="D101" s="150"/>
      <c r="E101" s="32"/>
      <c r="F101" s="26"/>
    </row>
    <row r="102" ht="20.35" customHeight="1">
      <c r="A102" s="150"/>
      <c r="B102" s="145"/>
      <c r="C102" s="150"/>
      <c r="D102" s="150"/>
      <c r="E102" s="32"/>
      <c r="F102" s="26"/>
    </row>
    <row r="103" ht="20.35" customHeight="1">
      <c r="A103" s="150"/>
      <c r="B103" s="145"/>
      <c r="C103" s="150"/>
      <c r="D103" s="150"/>
      <c r="E103" s="32"/>
      <c r="F103" s="26"/>
    </row>
    <row r="104" ht="20.35" customHeight="1">
      <c r="A104" s="150"/>
      <c r="B104" s="145"/>
      <c r="C104" s="150"/>
      <c r="D104" s="150"/>
      <c r="E104" s="32"/>
      <c r="F104" s="26"/>
    </row>
    <row r="105" ht="20.35" customHeight="1">
      <c r="A105" s="150"/>
      <c r="B105" s="145"/>
      <c r="C105" s="150"/>
      <c r="D105" s="150"/>
      <c r="E105" s="32"/>
      <c r="F105" s="26"/>
    </row>
    <row r="106" ht="20.35" customHeight="1">
      <c r="A106" s="150"/>
      <c r="B106" s="145"/>
      <c r="C106" s="150"/>
      <c r="D106" s="150"/>
      <c r="E106" s="32"/>
      <c r="F106" s="26"/>
    </row>
    <row r="107" ht="20.35" customHeight="1">
      <c r="A107" s="150"/>
      <c r="B107" s="145"/>
      <c r="C107" s="150"/>
      <c r="D107" s="150"/>
      <c r="E107" s="32"/>
      <c r="F107" s="26"/>
    </row>
    <row r="108" ht="20.35" customHeight="1">
      <c r="A108" s="150"/>
      <c r="B108" s="145"/>
      <c r="C108" s="150"/>
      <c r="D108" s="150"/>
      <c r="E108" s="32"/>
      <c r="F108" s="26"/>
    </row>
    <row r="109" ht="20.35" customHeight="1">
      <c r="A109" s="150"/>
      <c r="B109" s="145"/>
      <c r="C109" s="150"/>
      <c r="D109" s="150"/>
      <c r="E109" s="32"/>
      <c r="F109" s="26"/>
    </row>
    <row r="110" ht="20.35" customHeight="1">
      <c r="A110" s="150"/>
      <c r="B110" s="145"/>
      <c r="C110" s="150"/>
      <c r="D110" s="150"/>
      <c r="E110" s="32"/>
      <c r="F110" s="26"/>
    </row>
    <row r="111" ht="20.35" customHeight="1">
      <c r="A111" s="150"/>
      <c r="B111" s="145"/>
      <c r="C111" s="150"/>
      <c r="D111" s="150"/>
      <c r="E111" s="32"/>
      <c r="F111" s="26"/>
    </row>
    <row r="112" ht="20.35" customHeight="1">
      <c r="A112" s="150"/>
      <c r="B112" s="145"/>
      <c r="C112" s="150"/>
      <c r="D112" s="150"/>
      <c r="E112" s="32"/>
      <c r="F112" s="26"/>
    </row>
    <row r="113" ht="20.35" customHeight="1">
      <c r="A113" s="150"/>
      <c r="B113" s="145"/>
      <c r="C113" s="150"/>
      <c r="D113" s="150"/>
      <c r="E113" s="32"/>
      <c r="F113" s="26"/>
    </row>
    <row r="114" ht="20.35" customHeight="1">
      <c r="A114" s="150"/>
      <c r="B114" s="145"/>
      <c r="C114" s="150"/>
      <c r="D114" s="150"/>
      <c r="E114" s="32"/>
      <c r="F114" s="26"/>
    </row>
    <row r="115" ht="20.35" customHeight="1">
      <c r="A115" s="150"/>
      <c r="B115" s="145"/>
      <c r="C115" s="150"/>
      <c r="D115" s="150"/>
      <c r="E115" s="32"/>
      <c r="F115" s="26"/>
    </row>
    <row r="116" ht="20.35" customHeight="1">
      <c r="A116" s="150"/>
      <c r="B116" s="145"/>
      <c r="C116" s="150"/>
      <c r="D116" s="150"/>
      <c r="E116" s="32"/>
      <c r="F116" s="26"/>
    </row>
    <row r="117" ht="20.35" customHeight="1">
      <c r="A117" s="150"/>
      <c r="B117" s="145"/>
      <c r="C117" s="150"/>
      <c r="D117" s="150"/>
      <c r="E117" s="32"/>
      <c r="F117" s="26"/>
    </row>
    <row r="118" ht="20.35" customHeight="1">
      <c r="A118" s="150"/>
      <c r="B118" s="145"/>
      <c r="C118" s="150"/>
      <c r="D118" s="150"/>
      <c r="E118" s="32"/>
      <c r="F118" s="26"/>
    </row>
  </sheetData>
  <hyperlinks>
    <hyperlink ref="C6" r:id="rId1" location="" tooltip="" display="APPLE.COM"/>
    <hyperlink ref="C7" r:id="rId2" location="" tooltip="" display="APPLE.COM"/>
    <hyperlink ref="C8" r:id="rId3" location="" tooltip="" display="APPLE.COM"/>
  </hyperlink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2:D17"/>
  <sheetViews>
    <sheetView workbookViewId="0" showGridLines="0" defaultGridColor="1">
      <pane topLeftCell="B1" xSplit="1" ySplit="0" activePane="topRight" state="frozen"/>
    </sheetView>
  </sheetViews>
  <sheetFormatPr defaultColWidth="16.3333" defaultRowHeight="18" customHeight="1" outlineLevelRow="0" outlineLevelCol="0"/>
  <cols>
    <col min="1" max="4" width="16.3516" style="160" customWidth="1"/>
    <col min="5" max="16384" width="16.3516" style="160" customWidth="1"/>
  </cols>
  <sheetData>
    <row r="1" ht="28" customHeight="1">
      <c r="A1" t="s" s="90">
        <v>530</v>
      </c>
      <c r="B1" s="90"/>
      <c r="C1" s="90"/>
      <c r="D1" s="90"/>
    </row>
    <row r="2" ht="20.35" customHeight="1">
      <c r="A2" t="s" s="17">
        <v>532</v>
      </c>
      <c r="B2" s="161" cm="1">
        <f t="array" ref="B2">0</f>
        <v>0</v>
      </c>
      <c r="C2" s="162" cm="1">
        <f t="array" ref="C2">0</f>
        <v>0</v>
      </c>
      <c r="D2" t="s" s="56">
        <v>9</v>
      </c>
    </row>
    <row r="3" ht="20.35" customHeight="1">
      <c r="A3" t="s" s="17">
        <v>533</v>
      </c>
      <c r="B3" s="161" cm="1">
        <f t="array" ref="B3">'flujos - Gasto mes actual'!T9</f>
        <v>0</v>
      </c>
      <c r="C3" s="32"/>
      <c r="D3" s="26" cm="1">
        <f t="array" ref="D3">B4*1</f>
        <v>50817</v>
      </c>
    </row>
    <row r="4" ht="20.35" customHeight="1">
      <c r="A4" t="s" s="17">
        <v>534</v>
      </c>
      <c r="B4" s="163" cm="1">
        <f t="array" ref="B4">'flujos - Gasto mes actual'!B$37-'flujos - Gasto mes actual'!AE35-'flujos - Gasto mes actual'!AN$37-B6-B2-B9-'flujos - Gasto mes actual'!AN35+'flujos - Table 2-1'!B$9</f>
        <v>50817</v>
      </c>
      <c r="C4" s="32"/>
      <c r="D4" s="164" cm="1">
        <f t="array" ref="D4">D3-B4</f>
        <v>0</v>
      </c>
    </row>
    <row r="5" ht="20.35" customHeight="1">
      <c r="A5" t="s" s="17">
        <v>535</v>
      </c>
      <c r="B5" s="165" cm="1">
        <f t="array" ref="B5">IF('flujos - Gasto mes actual'!AM$37-C2&lt;0,0,ROUND(C5*'variables - Table 1'!$B$5,0))</f>
        <v>0</v>
      </c>
      <c r="C5" s="60" cm="1">
        <f t="array" ref="C5">'flujos - Gasto mes actual'!AM$37-C2</f>
        <v>0</v>
      </c>
      <c r="D5" s="60" cm="1">
        <f t="array" ref="D5">C5*1</f>
        <v>0</v>
      </c>
    </row>
    <row r="6" ht="20.35" customHeight="1">
      <c r="A6" t="s" s="17">
        <v>536</v>
      </c>
      <c r="B6" s="83" cm="1">
        <f t="array" ref="B6">'flujos - Gasto mes actual'!AA3+'flujos - Gasto mes actual'!AA4+'flujos - Gasto mes actual'!X$37+C6</f>
        <v>880000</v>
      </c>
      <c r="C6" s="166" cm="1">
        <f t="array" ref="C6">0</f>
        <v>0</v>
      </c>
      <c r="D6" s="60" cm="1">
        <f t="array" ref="D6">D5-C5</f>
        <v>0</v>
      </c>
    </row>
    <row r="7" ht="20.35" customHeight="1">
      <c r="A7" t="s" s="17">
        <v>13</v>
      </c>
      <c r="B7" s="83" cm="1">
        <f t="array" ref="B7">'flujos - Gasto mes actual'!AA$37</f>
        <v>930817</v>
      </c>
      <c r="C7" s="32"/>
      <c r="D7" s="32"/>
    </row>
    <row r="8" ht="20.35" customHeight="1">
      <c r="A8" s="28"/>
      <c r="B8" s="29"/>
      <c r="C8" s="32"/>
      <c r="D8" s="30"/>
    </row>
    <row r="9" ht="20.35" customHeight="1">
      <c r="A9" t="s" s="17">
        <v>537</v>
      </c>
      <c r="B9" s="167" cm="1">
        <f t="array" ref="B9">SUMIF('flujos - Gasto mes actual'!E3:E36,"=TRUE",'flujos - Gasto mes actual'!D3:D36)+SUMIF('flujos - Gasto mes actual'!U3:U36,"=TRUE",'flujos - Gasto mes actual'!T3:T36)+SUMIF('flujos - Gasto mes actual'!M3:M36,"=TRUE",'flujos - Gasto mes actual'!L3:L36)+SUMIF('flujos - Gasto mes actual'!AB3:AB36,"=TRUE",'flujos - Gasto mes actual'!AA3:AA36)+SUMIF('flujos - Gasto mes actual'!I3:I36,"=TRUE",'flujos - Gasto mes actual'!H3:H36)+SUMIF('flujos - Gasto mes actual'!Q3:Q36,"=TRUE",'flujos - Gasto mes actual'!P3:P36)+SUMIF('flujos - Gasto mes actual'!AF3:AF34,"=TRUE",'flujos - Gasto mes actual'!AE3:AE34)+SUMIF('flujos - Gasto mes actual'!AO3:AO36,"=TRUE",'flujos - Gasto mes actual'!AN3:AN36)+SUMIF('flujos - Gasto mes actual'!AJ3:AJ36,"=TRUE",'flujos - Gasto mes actual'!AI3:AI36)</f>
        <v>0</v>
      </c>
      <c r="C9" s="26"/>
      <c r="D9" s="32"/>
    </row>
    <row r="10" ht="20.35" customHeight="1">
      <c r="A10" s="28"/>
      <c r="B10" s="167"/>
      <c r="C10" s="26"/>
      <c r="D10" s="32"/>
    </row>
    <row r="11" ht="20.35" customHeight="1">
      <c r="A11" s="28"/>
      <c r="B11" s="167"/>
      <c r="C11" s="26"/>
      <c r="D11" s="26"/>
    </row>
    <row r="12" ht="20.35" customHeight="1">
      <c r="A12" t="s" s="17">
        <v>26</v>
      </c>
      <c r="B12" s="83" cm="1">
        <f t="array" ref="B12">'flujos - Gasto mes actual'!AE$37</f>
        <v>0</v>
      </c>
      <c r="C12" s="32"/>
      <c r="D12" s="32"/>
    </row>
    <row r="13" ht="20.35" customHeight="1">
      <c r="A13" t="s" s="17">
        <v>153</v>
      </c>
      <c r="B13" s="83" cm="1">
        <f t="array" ref="B13">'flujos - Gasto mes actual'!AI$37</f>
        <v>0</v>
      </c>
      <c r="C13" s="32"/>
      <c r="D13" s="32"/>
    </row>
    <row r="14" ht="20.35" customHeight="1">
      <c r="A14" t="s" s="17">
        <v>538</v>
      </c>
      <c r="B14" s="83" cm="1">
        <f t="array" ref="B14">0</f>
        <v>0</v>
      </c>
      <c r="C14" s="32"/>
      <c r="D14" s="32"/>
    </row>
    <row r="15" ht="20.55" customHeight="1">
      <c r="A15" s="84"/>
      <c r="B15" s="85"/>
      <c r="C15" s="73"/>
      <c r="D15" s="73"/>
    </row>
    <row r="16" ht="20.55" customHeight="1">
      <c r="A16" t="s" s="86">
        <v>539</v>
      </c>
      <c r="B16" s="79" cm="1">
        <f t="array" ref="B16">'flujos - Gasto mes actual'!D$37+'flujos - Gasto mes actual'!H$37+'flujos - Gasto mes actual'!L$37+'flujos - Gasto mes actual'!P$37+'flujos - Gasto mes actual'!T$37+'flujos - Gasto mes actual'!X$37+'flujos - Gasto mes actual'!AA$37+'flujos - Gasto mes actual'!AE$37+'flujos - Gasto mes actual'!AI$37</f>
        <v>930817</v>
      </c>
      <c r="C16" t="s" s="86">
        <v>540</v>
      </c>
      <c r="D16" s="79" cm="1">
        <f t="array" ref="D16">12720000-B4</f>
        <v>12669183</v>
      </c>
    </row>
    <row r="17" ht="20.35" customHeight="1">
      <c r="A17" t="s" s="56">
        <v>541</v>
      </c>
      <c r="B17" s="88" cm="1">
        <f t="array" ref="B17">B$16-B9-B3</f>
        <v>930817</v>
      </c>
      <c r="C17" s="51"/>
      <c r="D17" s="168" cm="1">
        <f t="array" ref="D17">7735-'flujos - Gasto mes actual'!AM$37</f>
        <v>7735</v>
      </c>
    </row>
  </sheetData>
  <mergeCells count="1">
    <mergeCell ref="A1:D1"/>
  </mergeCells>
  <conditionalFormatting sqref="D16">
    <cfRule type="cellIs" dxfId="7" priority="1" operator="lessThan" stopIfTrue="1">
      <formula>75000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18.xml><?xml version="1.0" encoding="utf-8"?>
<worksheet xmlns:r="http://schemas.openxmlformats.org/officeDocument/2006/relationships" xmlns="http://schemas.openxmlformats.org/spreadsheetml/2006/main">
  <sheetPr>
    <pageSetUpPr fitToPage="1"/>
  </sheetPr>
  <dimension ref="A1:B10"/>
  <sheetViews>
    <sheetView workbookViewId="0" showGridLines="0" defaultGridColor="1">
      <pane topLeftCell="B1" xSplit="1" ySplit="0" activePane="topRight" state="frozen"/>
    </sheetView>
  </sheetViews>
  <sheetFormatPr defaultColWidth="16.3333" defaultRowHeight="18" customHeight="1" outlineLevelRow="0" outlineLevelCol="0"/>
  <cols>
    <col min="1" max="1" width="18.9062" style="169" customWidth="1"/>
    <col min="2" max="2" width="16.3516" style="169" customWidth="1"/>
    <col min="3" max="16384" width="16.3516" style="169" customWidth="1"/>
  </cols>
  <sheetData>
    <row r="1" ht="20.35" customHeight="1">
      <c r="A1" t="s" s="17">
        <v>544</v>
      </c>
      <c r="B1" s="92" cm="1">
        <f t="array" ref="B1">'net worth - cash'!B2</f>
        <v>280744</v>
      </c>
    </row>
    <row r="2" ht="8.35" customHeight="1" hidden="1">
      <c r="A2" t="s" s="17">
        <v>545</v>
      </c>
      <c r="B2" s="170">
        <v>0</v>
      </c>
    </row>
    <row r="3" ht="20.35" customHeight="1">
      <c r="A3" s="28"/>
      <c r="B3" s="83"/>
    </row>
    <row r="4" ht="20.35" customHeight="1">
      <c r="A4" t="s" s="17">
        <v>536</v>
      </c>
      <c r="B4" s="92">
        <v>0</v>
      </c>
    </row>
    <row r="5" ht="20.35" customHeight="1">
      <c r="A5" t="s" s="17">
        <v>546</v>
      </c>
      <c r="B5" s="92">
        <v>0</v>
      </c>
    </row>
    <row r="6" ht="20.55" customHeight="1">
      <c r="A6" s="84"/>
      <c r="B6" s="171"/>
    </row>
    <row r="7" ht="20.55" customHeight="1">
      <c r="A7" t="s" s="45">
        <v>547</v>
      </c>
      <c r="B7" s="48" cm="1">
        <f t="array" ref="B7">B1+B2</f>
        <v>280744</v>
      </c>
    </row>
    <row r="8" ht="20.35" customHeight="1">
      <c r="A8" t="s" s="50">
        <v>548</v>
      </c>
      <c r="B8" s="172" cm="1">
        <f t="array" ref="B8">SUM('flujos - Totales'!B4:B5)</f>
        <v>50817</v>
      </c>
    </row>
    <row r="9" ht="20.35" customHeight="1">
      <c r="A9" t="s" s="50">
        <v>549</v>
      </c>
      <c r="B9" s="173">
        <v>0</v>
      </c>
    </row>
    <row r="10" ht="20.35" customHeight="1">
      <c r="A10" t="s" s="50">
        <v>550</v>
      </c>
      <c r="B10" s="174" cm="1">
        <f t="array" ref="B10">B$7-SUM(B$8)+B4+B5</f>
        <v>229927</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6.3333" defaultRowHeight="18" customHeight="1" outlineLevelRow="0" outlineLevelCol="0"/>
  <cols>
    <col min="1" max="5" width="16.3516" style="175" customWidth="1"/>
    <col min="6" max="16384" width="16.3516" style="175" customWidth="1"/>
  </cols>
  <sheetData>
    <row r="1" ht="20.35" customHeight="1">
      <c r="A1" t="s" s="23">
        <v>553</v>
      </c>
      <c r="B1" s="32"/>
      <c r="C1" s="32"/>
      <c r="D1" s="32"/>
      <c r="E1" s="26"/>
    </row>
    <row r="2" ht="20.35" customHeight="1">
      <c r="A2" t="s" s="23">
        <v>554</v>
      </c>
      <c r="B2" s="32"/>
      <c r="C2" s="32"/>
      <c r="D2" s="32"/>
      <c r="E2" s="26"/>
    </row>
    <row r="3" ht="20.35" customHeight="1">
      <c r="A3" t="s" s="23">
        <v>555</v>
      </c>
      <c r="B3" s="32"/>
      <c r="C3" s="32"/>
      <c r="D3" s="32"/>
      <c r="E3" s="26"/>
    </row>
    <row r="4" ht="20.35" customHeight="1">
      <c r="A4" t="s" s="23">
        <v>556</v>
      </c>
      <c r="B4" s="26"/>
      <c r="C4" s="32"/>
      <c r="D4" s="32"/>
      <c r="E4" s="26"/>
    </row>
    <row r="5" ht="20.35" customHeight="1">
      <c r="A5" s="32"/>
      <c r="B5" s="26"/>
      <c r="C5" s="26"/>
      <c r="D5" s="32"/>
      <c r="E5" s="26"/>
    </row>
    <row r="6" ht="20.35" customHeight="1">
      <c r="A6" s="32"/>
      <c r="B6" s="26"/>
      <c r="C6" s="26"/>
      <c r="D6" s="32"/>
      <c r="E6" s="26"/>
    </row>
    <row r="7" ht="20.35" customHeight="1">
      <c r="A7" s="32"/>
      <c r="B7" s="26"/>
      <c r="C7" s="26"/>
      <c r="D7" s="32"/>
      <c r="E7" s="26"/>
    </row>
    <row r="8" ht="20.35" customHeight="1">
      <c r="A8" s="32"/>
      <c r="B8" s="26"/>
      <c r="C8" s="26"/>
      <c r="D8" s="32"/>
      <c r="E8" s="26"/>
    </row>
    <row r="9" ht="20.35" customHeight="1">
      <c r="A9" s="32"/>
      <c r="B9" s="32"/>
      <c r="C9" s="32"/>
      <c r="D9" s="32"/>
      <c r="E9" s="26"/>
    </row>
    <row r="10" ht="20.35" customHeight="1">
      <c r="A10" s="32"/>
      <c r="B10" s="32"/>
      <c r="C10" s="32"/>
      <c r="D10" s="32"/>
      <c r="E10" s="26"/>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2:AH119"/>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5" width="16.3516" style="176" customWidth="1"/>
    <col min="6" max="7" hidden="1" width="16.3333" style="176" customWidth="1"/>
    <col min="8" max="9" width="16.3516" style="176" customWidth="1"/>
    <col min="10" max="12" hidden="1" width="16.3333" style="176" customWidth="1"/>
    <col min="13" max="14" width="16.3516" style="176" customWidth="1"/>
    <col min="15" max="15" width="3.21875" style="176" customWidth="1"/>
    <col min="16" max="29" width="16.3516" style="176" customWidth="1"/>
    <col min="30" max="30" width="7.625" style="176" customWidth="1"/>
    <col min="31" max="34" width="16.3516" style="176" customWidth="1"/>
    <col min="35" max="16384" width="16.3516" style="176" customWidth="1"/>
  </cols>
  <sheetData>
    <row r="1" ht="28" customHeight="1">
      <c r="A1" t="s" s="90">
        <v>46</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row>
    <row r="2" ht="20.55" customHeight="1">
      <c r="A2" s="7"/>
      <c r="B2" t="s" s="8">
        <v>558</v>
      </c>
      <c r="C2" t="s" s="8">
        <v>559</v>
      </c>
      <c r="D2" t="s" s="8">
        <v>560</v>
      </c>
      <c r="E2" t="s" s="8">
        <v>561</v>
      </c>
      <c r="F2" t="s" s="8">
        <v>27</v>
      </c>
      <c r="G2" t="s" s="8">
        <v>86</v>
      </c>
      <c r="H2" t="s" s="8">
        <v>562</v>
      </c>
      <c r="I2" t="s" s="8">
        <v>563</v>
      </c>
      <c r="J2" t="s" s="8">
        <v>564</v>
      </c>
      <c r="K2" t="s" s="8">
        <v>82</v>
      </c>
      <c r="L2" s="7"/>
      <c r="M2" t="s" s="8">
        <v>565</v>
      </c>
      <c r="N2" t="s" s="8">
        <v>566</v>
      </c>
      <c r="O2" s="7"/>
      <c r="P2" t="s" s="8">
        <v>16</v>
      </c>
      <c r="Q2" t="s" s="8">
        <v>40</v>
      </c>
      <c r="R2" t="s" s="8">
        <v>39</v>
      </c>
      <c r="S2" t="s" s="8">
        <v>151</v>
      </c>
      <c r="T2" t="s" s="8">
        <v>152</v>
      </c>
      <c r="U2" t="s" s="8">
        <v>13</v>
      </c>
      <c r="V2" t="s" s="8">
        <v>42</v>
      </c>
      <c r="W2" t="s" s="8">
        <v>26</v>
      </c>
      <c r="X2" t="s" s="8">
        <v>153</v>
      </c>
      <c r="Y2" t="s" s="8">
        <v>567</v>
      </c>
      <c r="Z2" t="s" s="8">
        <v>568</v>
      </c>
      <c r="AA2" t="s" s="8">
        <v>569</v>
      </c>
      <c r="AB2" t="s" s="8">
        <v>154</v>
      </c>
      <c r="AC2" t="s" s="8">
        <v>564</v>
      </c>
      <c r="AD2" s="7"/>
      <c r="AE2" t="s" s="8">
        <v>570</v>
      </c>
      <c r="AF2" t="s" s="8">
        <v>537</v>
      </c>
      <c r="AG2" t="s" s="8">
        <v>571</v>
      </c>
      <c r="AH2" t="s" s="8">
        <v>538</v>
      </c>
    </row>
    <row r="3" ht="20.55" customHeight="1">
      <c r="A3" s="177">
        <v>42887</v>
      </c>
      <c r="B3" s="178" cm="1">
        <f t="array" ref="B3">ROUND(C3/'variables - Table 1-1'!B2,0)</f>
        <v>1869</v>
      </c>
      <c r="C3" s="179" cm="1">
        <f t="array" ref="C3">SUM(E3:J3)</f>
        <v>1242048</v>
      </c>
      <c r="D3" s="180" cm="1">
        <f t="array" ref="D3">SUM(E3:G3)</f>
        <v>1122048</v>
      </c>
      <c r="E3" s="180" cm="1">
        <f t="array" ref="E3">949283</f>
        <v>949283</v>
      </c>
      <c r="F3" s="180">
        <v>68402</v>
      </c>
      <c r="G3" s="180" cm="1">
        <f t="array" ref="G3">'net worth - retiro'!D5</f>
        <v>104363</v>
      </c>
      <c r="H3" s="180" cm="1">
        <f t="array" ref="H3">120000</f>
        <v>120000</v>
      </c>
      <c r="I3" s="180"/>
      <c r="J3" s="180">
        <v>0</v>
      </c>
      <c r="K3" s="181" cm="1">
        <f t="array" ref="K3">529723</f>
        <v>529723</v>
      </c>
      <c r="L3" s="182" cm="1">
        <f t="array" ref="L3">(K3/C3)</f>
        <v>0.426491568763848</v>
      </c>
      <c r="M3" s="183" cm="1">
        <f t="array" ref="M3">N3-AF3</f>
        <v>493368</v>
      </c>
      <c r="N3" s="184">
        <v>529723</v>
      </c>
      <c r="O3" s="48"/>
      <c r="P3" s="48">
        <v>125333.75</v>
      </c>
      <c r="Q3" s="48">
        <v>36781.25</v>
      </c>
      <c r="R3" s="48">
        <v>38820</v>
      </c>
      <c r="S3" s="48">
        <v>15516</v>
      </c>
      <c r="T3" s="48">
        <v>93575</v>
      </c>
      <c r="U3" s="48">
        <v>0</v>
      </c>
      <c r="V3" s="48">
        <v>106750</v>
      </c>
      <c r="W3" s="48">
        <v>115902</v>
      </c>
      <c r="X3" s="48">
        <v>129891</v>
      </c>
      <c r="Y3" s="48"/>
      <c r="Z3" s="48"/>
      <c r="AA3" s="48"/>
      <c r="AB3" s="48">
        <v>125717.911125</v>
      </c>
      <c r="AC3" s="48">
        <v>0</v>
      </c>
      <c r="AD3" s="185"/>
      <c r="AE3" s="48">
        <v>36355</v>
      </c>
      <c r="AF3" s="48">
        <v>36355</v>
      </c>
      <c r="AG3" s="48"/>
      <c r="AH3" s="48"/>
    </row>
    <row r="4" ht="20.35" customHeight="1">
      <c r="A4" s="186">
        <v>42917</v>
      </c>
      <c r="B4" s="187" cm="1">
        <f t="array" ref="B4">ROUND(C4/'variables - Table 1-1'!B3,0)</f>
        <v>2132</v>
      </c>
      <c r="C4" s="188" cm="1">
        <f t="array" ref="C4">SUM(E4:J4)</f>
        <v>1392783</v>
      </c>
      <c r="D4" s="189" cm="1">
        <f t="array" ref="D4">SUM(E4:G4)</f>
        <v>1192783</v>
      </c>
      <c r="E4" s="189" cm="1">
        <f t="array" ref="E4">1009422</f>
        <v>1009422</v>
      </c>
      <c r="F4" s="188">
        <v>72765</v>
      </c>
      <c r="G4" s="189" cm="1">
        <f t="array" ref="G4">'net worth - retiro'!D6</f>
        <v>110596</v>
      </c>
      <c r="H4" s="188" cm="1">
        <f t="array" ref="H4">150000+50000</f>
        <v>200000</v>
      </c>
      <c r="I4" s="188"/>
      <c r="J4" s="189">
        <v>0</v>
      </c>
      <c r="K4" s="190" cm="1">
        <f t="array" ref="K4">C4-N4</f>
        <v>594770</v>
      </c>
      <c r="L4" s="191" cm="1">
        <f t="array" ref="L4">(K4/C4)</f>
        <v>0.427037090487176</v>
      </c>
      <c r="M4" s="192" cm="1">
        <f t="array" ref="M4">N4-AF4</f>
        <v>658013</v>
      </c>
      <c r="N4" s="192" cm="1">
        <f t="array" ref="N4">SUM(P4:AB4)</f>
        <v>798013</v>
      </c>
      <c r="O4" s="26"/>
      <c r="P4" s="26">
        <v>172023</v>
      </c>
      <c r="Q4" s="26">
        <v>35325</v>
      </c>
      <c r="R4" s="26">
        <v>41390</v>
      </c>
      <c r="S4" s="30">
        <v>39980</v>
      </c>
      <c r="T4" s="30">
        <v>112520</v>
      </c>
      <c r="U4" s="30">
        <v>0</v>
      </c>
      <c r="V4" s="30">
        <v>120000</v>
      </c>
      <c r="W4" s="30">
        <v>122765</v>
      </c>
      <c r="X4" s="30">
        <v>125000</v>
      </c>
      <c r="Y4" s="30"/>
      <c r="Z4" s="30"/>
      <c r="AA4" s="30"/>
      <c r="AB4" s="26" cm="1">
        <f t="array" ref="AB4">ROUND(29009.587,0)</f>
        <v>29010</v>
      </c>
      <c r="AC4" s="26" cm="1">
        <f t="array" ref="AC4">J3</f>
        <v>0</v>
      </c>
      <c r="AD4" s="193"/>
      <c r="AE4" s="30">
        <v>140000</v>
      </c>
      <c r="AF4" s="30">
        <v>140000</v>
      </c>
      <c r="AG4" s="30"/>
      <c r="AH4" s="30"/>
    </row>
    <row r="5" ht="20.35" customHeight="1">
      <c r="A5" s="186">
        <v>42948</v>
      </c>
      <c r="B5" s="187" cm="1">
        <f t="array" ref="B5">ROUND(C5/'variables - Table 1-1'!B4,0)</f>
        <v>2265</v>
      </c>
      <c r="C5" s="188" cm="1">
        <f t="array" ref="C5">SUM(E5:J5)</f>
        <v>1430407</v>
      </c>
      <c r="D5" s="189" cm="1">
        <f t="array" ref="D5">SUM(E5:G5)</f>
        <v>1310407</v>
      </c>
      <c r="E5" s="188" cm="1">
        <f t="array" ref="E5">1105094</f>
        <v>1105094</v>
      </c>
      <c r="F5" s="189">
        <v>81804</v>
      </c>
      <c r="G5" s="189" cm="1">
        <f t="array" ref="G5">'net worth - retiro'!D7</f>
        <v>123509</v>
      </c>
      <c r="H5" s="189" cm="1">
        <f t="array" ref="H5">120000</f>
        <v>120000</v>
      </c>
      <c r="I5" s="189"/>
      <c r="J5" s="189">
        <v>0</v>
      </c>
      <c r="K5" s="190" cm="1">
        <f t="array" ref="K5">C5-N5</f>
        <v>607902.888</v>
      </c>
      <c r="L5" s="191" cm="1">
        <f t="array" ref="L5">(K5/C5)</f>
        <v>0.424985957143666</v>
      </c>
      <c r="M5" s="192" cm="1">
        <f t="array" ref="M5">N5-AF5</f>
        <v>687504.112</v>
      </c>
      <c r="N5" s="192" cm="1">
        <f t="array" ref="N5">SUM(P5:AB5)</f>
        <v>822504.112</v>
      </c>
      <c r="O5" s="26"/>
      <c r="P5" s="26">
        <v>101864</v>
      </c>
      <c r="Q5" s="26">
        <v>40720</v>
      </c>
      <c r="R5" s="26">
        <v>39790</v>
      </c>
      <c r="S5" s="26">
        <v>0</v>
      </c>
      <c r="T5" s="26">
        <v>227430</v>
      </c>
      <c r="U5" s="26">
        <v>0</v>
      </c>
      <c r="V5" s="26">
        <v>90000</v>
      </c>
      <c r="W5" s="30">
        <v>131804</v>
      </c>
      <c r="X5" s="30">
        <v>159761</v>
      </c>
      <c r="Y5" s="30"/>
      <c r="Z5" s="30"/>
      <c r="AA5" s="30"/>
      <c r="AB5" s="26">
        <v>31135.112</v>
      </c>
      <c r="AC5" s="26" cm="1">
        <f t="array" ref="AC5">J4</f>
        <v>0</v>
      </c>
      <c r="AD5" s="193"/>
      <c r="AE5" s="30">
        <v>135000</v>
      </c>
      <c r="AF5" s="30">
        <v>135000</v>
      </c>
      <c r="AG5" s="30"/>
      <c r="AH5" s="30"/>
    </row>
    <row r="6" ht="20.35" customHeight="1">
      <c r="A6" s="186">
        <v>42979</v>
      </c>
      <c r="B6" s="187" cm="1">
        <f t="array" ref="B6">ROUND(C6/'variables - Table 1-1'!B5,0)</f>
        <v>2323</v>
      </c>
      <c r="C6" s="188" cm="1">
        <f t="array" ref="C6">SUM(E6:J6)</f>
        <v>1475760</v>
      </c>
      <c r="D6" s="189" cm="1">
        <f t="array" ref="D6">SUM(E6:G6)</f>
        <v>1305760</v>
      </c>
      <c r="E6" s="189" cm="1">
        <f t="array" ref="E6">1101255</f>
        <v>1101255</v>
      </c>
      <c r="F6" s="189">
        <v>81471</v>
      </c>
      <c r="G6" s="189" cm="1">
        <f t="array" ref="G6">'net worth - retiro'!D8</f>
        <v>123034</v>
      </c>
      <c r="H6" s="189" cm="1">
        <f t="array" ref="H6">30000*4+50000</f>
        <v>170000</v>
      </c>
      <c r="I6" s="189"/>
      <c r="J6" s="189">
        <v>0</v>
      </c>
      <c r="K6" s="190" cm="1">
        <f t="array" ref="K6">C6-N6</f>
        <v>379127</v>
      </c>
      <c r="L6" s="191" cm="1">
        <f t="array" ref="L6">(K6/C6)</f>
        <v>0.256902883937768</v>
      </c>
      <c r="M6" s="192" cm="1">
        <f t="array" ref="M6">N6-AF6</f>
        <v>909333</v>
      </c>
      <c r="N6" s="192" cm="1">
        <f t="array" ref="N6">SUM(P6:AB6)</f>
        <v>1096633</v>
      </c>
      <c r="O6" s="26"/>
      <c r="P6" s="26">
        <v>93609</v>
      </c>
      <c r="Q6" s="26">
        <v>47440</v>
      </c>
      <c r="R6" s="26">
        <v>44690</v>
      </c>
      <c r="S6" s="26">
        <v>0</v>
      </c>
      <c r="T6" s="26">
        <v>107710</v>
      </c>
      <c r="U6" s="26">
        <v>0</v>
      </c>
      <c r="V6" s="26">
        <v>97000</v>
      </c>
      <c r="W6" s="30">
        <v>171471</v>
      </c>
      <c r="X6" s="30">
        <v>120817</v>
      </c>
      <c r="Y6" s="30"/>
      <c r="Z6" s="30"/>
      <c r="AA6" s="30"/>
      <c r="AB6" s="26">
        <v>413896</v>
      </c>
      <c r="AC6" s="26" cm="1">
        <f t="array" ref="AC6">J5</f>
        <v>0</v>
      </c>
      <c r="AD6" s="194"/>
      <c r="AE6" s="26">
        <v>187300</v>
      </c>
      <c r="AF6" s="26">
        <v>187300</v>
      </c>
      <c r="AG6" s="26"/>
      <c r="AH6" s="26"/>
    </row>
    <row r="7" ht="20.35" customHeight="1">
      <c r="A7" s="186">
        <v>43009</v>
      </c>
      <c r="B7" s="187" cm="1">
        <f t="array" ref="B7">ROUND(C7/'variables - Table 1-1'!B6,0)</f>
        <v>2679</v>
      </c>
      <c r="C7" s="188" cm="1">
        <f t="array" ref="C7">SUM(E7:J7)</f>
        <v>1663586</v>
      </c>
      <c r="D7" s="189" cm="1">
        <f t="array" ref="D7">SUM(E7:G7)</f>
        <v>1316586</v>
      </c>
      <c r="E7" s="189" cm="1">
        <f t="array" ref="E7">1101286</f>
        <v>1101286</v>
      </c>
      <c r="F7" s="189">
        <v>85916</v>
      </c>
      <c r="G7" s="189" cm="1">
        <f t="array" ref="G7">'net worth - retiro'!D9</f>
        <v>129384</v>
      </c>
      <c r="H7" s="189" cm="1">
        <f t="array" ref="H7">80000+30000*3+45000+50000+2000+80000</f>
        <v>347000</v>
      </c>
      <c r="I7" s="189"/>
      <c r="J7" s="189">
        <v>0</v>
      </c>
      <c r="K7" s="190" cm="1">
        <f t="array" ref="K7">C7-N7</f>
        <v>948821.4675</v>
      </c>
      <c r="L7" s="191" cm="1">
        <f t="array" ref="L7">(K7/C7)</f>
        <v>0.570347110098306</v>
      </c>
      <c r="M7" s="192" cm="1">
        <f t="array" ref="M7">N7-AF7</f>
        <v>592837.5325</v>
      </c>
      <c r="N7" s="192" cm="1">
        <f t="array" ref="N7">SUM(P7:AB7)</f>
        <v>714764.5325</v>
      </c>
      <c r="O7" s="26"/>
      <c r="P7" s="26">
        <v>133839</v>
      </c>
      <c r="Q7" s="26">
        <v>23640</v>
      </c>
      <c r="R7" s="26">
        <v>29410</v>
      </c>
      <c r="S7" s="26">
        <v>22084</v>
      </c>
      <c r="T7" s="26">
        <v>98252</v>
      </c>
      <c r="U7" s="26">
        <v>0</v>
      </c>
      <c r="V7" s="26">
        <v>120000</v>
      </c>
      <c r="W7" s="30">
        <v>85916</v>
      </c>
      <c r="X7" s="30">
        <v>172793</v>
      </c>
      <c r="Y7" s="30"/>
      <c r="Z7" s="30"/>
      <c r="AA7" s="30"/>
      <c r="AB7" s="26">
        <v>28830.5325</v>
      </c>
      <c r="AC7" s="26" cm="1">
        <f t="array" ref="AC7">J6</f>
        <v>0</v>
      </c>
      <c r="AD7" s="194"/>
      <c r="AE7" s="26">
        <v>121927</v>
      </c>
      <c r="AF7" s="26">
        <v>121927</v>
      </c>
      <c r="AG7" s="26"/>
      <c r="AH7" s="26"/>
    </row>
    <row r="8" ht="20.35" customHeight="1">
      <c r="A8" s="186">
        <v>43040</v>
      </c>
      <c r="B8" s="187" cm="1">
        <f t="array" ref="B8">ROUND(C8/'variables - Table 1-1'!B7,0)</f>
        <v>2215</v>
      </c>
      <c r="C8" s="188" cm="1">
        <f t="array" ref="C8">SUM(E8:J8)</f>
        <v>1425860</v>
      </c>
      <c r="D8" s="189" cm="1">
        <f t="array" ref="D8">SUM(E8:G8)</f>
        <v>1305860</v>
      </c>
      <c r="E8" s="189" cm="1">
        <f t="array" ref="E8">1101355</f>
        <v>1101355</v>
      </c>
      <c r="F8" s="189">
        <v>81471</v>
      </c>
      <c r="G8" s="189" cm="1">
        <f t="array" ref="G8">'net worth - retiro'!D10</f>
        <v>123034</v>
      </c>
      <c r="H8" s="189" cm="1">
        <f t="array" ref="H8">30000*4</f>
        <v>120000</v>
      </c>
      <c r="I8" s="189"/>
      <c r="J8" s="189">
        <v>0</v>
      </c>
      <c r="K8" s="190" cm="1">
        <f t="array" ref="K8">C8-N8</f>
        <v>656683.78</v>
      </c>
      <c r="L8" s="191" cm="1">
        <f t="array" ref="L8">(K8/C8)</f>
        <v>0.460552775167267</v>
      </c>
      <c r="M8" s="192" cm="1">
        <f t="array" ref="M8">N8-AF8</f>
        <v>546557.22</v>
      </c>
      <c r="N8" s="192" cm="1">
        <f t="array" ref="N8">SUM(P8:AB8)</f>
        <v>769176.22</v>
      </c>
      <c r="O8" s="26"/>
      <c r="P8" s="26">
        <v>163960</v>
      </c>
      <c r="Q8" s="26">
        <v>0</v>
      </c>
      <c r="R8" s="26">
        <v>29810</v>
      </c>
      <c r="S8" s="26">
        <v>24980</v>
      </c>
      <c r="T8" s="26">
        <v>86650</v>
      </c>
      <c r="U8" s="26">
        <v>0</v>
      </c>
      <c r="V8" s="26">
        <v>120000</v>
      </c>
      <c r="W8" s="30">
        <v>172471</v>
      </c>
      <c r="X8" s="30">
        <v>142498</v>
      </c>
      <c r="Y8" s="30"/>
      <c r="Z8" s="30"/>
      <c r="AA8" s="30"/>
      <c r="AB8" s="26">
        <v>28807.22</v>
      </c>
      <c r="AC8" s="26" cm="1">
        <f t="array" ref="AC8">J7</f>
        <v>0</v>
      </c>
      <c r="AD8" s="194"/>
      <c r="AE8" s="26">
        <v>222619</v>
      </c>
      <c r="AF8" s="26">
        <v>222619</v>
      </c>
      <c r="AG8" s="26"/>
      <c r="AH8" s="26"/>
    </row>
    <row r="9" ht="20.35" customHeight="1">
      <c r="A9" s="186">
        <v>43070</v>
      </c>
      <c r="B9" s="187" cm="1">
        <f t="array" ref="B9">ROUND(C9/'variables - Table 1-1'!B8,0)</f>
        <v>2622</v>
      </c>
      <c r="C9" s="188" cm="1">
        <f t="array" ref="C9">SUM(E9:J9)</f>
        <v>1610819</v>
      </c>
      <c r="D9" s="189" cm="1">
        <f t="array" ref="D9">SUM(E9:G9)</f>
        <v>1305819</v>
      </c>
      <c r="E9" s="189" cm="1">
        <f t="array" ref="E9">1101304</f>
        <v>1101304</v>
      </c>
      <c r="F9" s="189">
        <v>81471</v>
      </c>
      <c r="G9" s="189" cm="1">
        <f t="array" ref="G9">'net worth - retiro'!D11</f>
        <v>123044</v>
      </c>
      <c r="H9" s="189" cm="1">
        <f t="array" ref="H9">80000*2+30000*3+50000+5000</f>
        <v>305000</v>
      </c>
      <c r="I9" s="189"/>
      <c r="J9" s="189">
        <v>0</v>
      </c>
      <c r="K9" s="190" cm="1">
        <f t="array" ref="K9">C9-N9</f>
        <v>803884.65</v>
      </c>
      <c r="L9" s="191" cm="1">
        <f t="array" ref="L9">(K9/C9)</f>
        <v>0.499053369745452</v>
      </c>
      <c r="M9" s="192" cm="1">
        <f t="array" ref="M9">N9-AF9</f>
        <v>683780.35</v>
      </c>
      <c r="N9" s="192" cm="1">
        <f t="array" ref="N9">SUM(P9:AB9)</f>
        <v>806934.35</v>
      </c>
      <c r="O9" s="26"/>
      <c r="P9" s="26">
        <v>193609</v>
      </c>
      <c r="Q9" s="26">
        <v>46215</v>
      </c>
      <c r="R9" s="26">
        <v>22470</v>
      </c>
      <c r="S9" s="26">
        <v>0</v>
      </c>
      <c r="T9" s="26">
        <v>124710</v>
      </c>
      <c r="U9" s="26">
        <v>0</v>
      </c>
      <c r="V9" s="26">
        <v>140000</v>
      </c>
      <c r="W9" s="30">
        <v>92461</v>
      </c>
      <c r="X9" s="30">
        <v>152373.35</v>
      </c>
      <c r="Y9" s="30"/>
      <c r="Z9" s="30"/>
      <c r="AA9" s="30"/>
      <c r="AB9" s="26">
        <v>35096</v>
      </c>
      <c r="AC9" s="26" cm="1">
        <f t="array" ref="AC9">J8</f>
        <v>0</v>
      </c>
      <c r="AD9" s="194"/>
      <c r="AE9" s="26">
        <v>123154</v>
      </c>
      <c r="AF9" s="26">
        <v>123154</v>
      </c>
      <c r="AG9" s="26"/>
      <c r="AH9" s="26"/>
    </row>
    <row r="10" ht="20.35" customHeight="1">
      <c r="A10" s="186">
        <v>43101</v>
      </c>
      <c r="B10" s="187" cm="1">
        <f t="array" ref="B10">ROUND(C10/'variables - Table 1-1'!B9,0)</f>
        <v>2424</v>
      </c>
      <c r="C10" s="188" cm="1">
        <f t="array" ref="C10">SUM(E10:J10)</f>
        <v>1470091</v>
      </c>
      <c r="D10" s="189" cm="1">
        <f t="array" ref="D10">SUM(E10:G10)</f>
        <v>1310091</v>
      </c>
      <c r="E10" s="189" cm="1">
        <f t="array" ref="E10">1101437</f>
        <v>1101437</v>
      </c>
      <c r="F10" s="188">
        <v>85916</v>
      </c>
      <c r="G10" s="189" cm="1">
        <f t="array" ref="G10">'net worth - retiro'!D12</f>
        <v>122738</v>
      </c>
      <c r="H10" s="188" cm="1">
        <f t="array" ref="H10">40000+30000*4</f>
        <v>160000</v>
      </c>
      <c r="I10" s="188"/>
      <c r="J10" s="189">
        <v>0</v>
      </c>
      <c r="K10" s="190" cm="1">
        <f t="array" ref="K10">C10-N10</f>
        <v>707836</v>
      </c>
      <c r="L10" s="191" cm="1">
        <f t="array" ref="L10">_xlfn.IFERROR(K10/C10,0)</f>
        <v>0.481491281832213</v>
      </c>
      <c r="M10" s="192" cm="1">
        <f t="array" ref="M10">N10-AF10</f>
        <v>622726</v>
      </c>
      <c r="N10" s="192" cm="1">
        <f t="array" ref="N10">SUM(P10:AB10)</f>
        <v>762255</v>
      </c>
      <c r="O10" s="26"/>
      <c r="P10" s="26">
        <v>175665</v>
      </c>
      <c r="Q10" s="26">
        <v>0</v>
      </c>
      <c r="R10" s="26">
        <v>37460</v>
      </c>
      <c r="S10" s="26">
        <v>0</v>
      </c>
      <c r="T10" s="26">
        <v>151250</v>
      </c>
      <c r="U10" s="26">
        <v>0</v>
      </c>
      <c r="V10" s="26">
        <v>115000</v>
      </c>
      <c r="W10" s="30">
        <v>85916</v>
      </c>
      <c r="X10" s="30">
        <v>159203</v>
      </c>
      <c r="Y10" s="30"/>
      <c r="Z10" s="30"/>
      <c r="AA10" s="30"/>
      <c r="AB10" s="26">
        <v>37761</v>
      </c>
      <c r="AC10" s="26" cm="1">
        <f t="array" ref="AC10">J9</f>
        <v>0</v>
      </c>
      <c r="AD10" s="194"/>
      <c r="AE10" s="26">
        <v>139529</v>
      </c>
      <c r="AF10" s="26">
        <v>139529</v>
      </c>
      <c r="AG10" s="26"/>
      <c r="AH10" s="26"/>
    </row>
    <row r="11" ht="20.35" customHeight="1">
      <c r="A11" s="186">
        <v>43132</v>
      </c>
      <c r="B11" s="187" cm="1">
        <f t="array" ref="B11">ROUND(C11/'variables - Table 1-1'!B10,0)</f>
        <v>2488</v>
      </c>
      <c r="C11" s="188" cm="1">
        <f t="array" ref="C11">SUM(E11:J11)</f>
        <v>1471612</v>
      </c>
      <c r="D11" s="189" cm="1">
        <f t="array" ref="D11">SUM(E11:G11)</f>
        <v>1301612</v>
      </c>
      <c r="E11" s="188" cm="1">
        <f t="array" ref="E11">1103349</f>
        <v>1103349</v>
      </c>
      <c r="F11" s="188">
        <v>81638</v>
      </c>
      <c r="G11" s="189" cm="1">
        <f t="array" ref="G11">'net worth - retiro'!D13</f>
        <v>116625</v>
      </c>
      <c r="H11" s="188" cm="1">
        <f t="array" ref="H11">80000+30000*3</f>
        <v>170000</v>
      </c>
      <c r="I11" s="188"/>
      <c r="J11" s="189">
        <v>0</v>
      </c>
      <c r="K11" s="190" cm="1">
        <f t="array" ref="K11">C11-N11</f>
        <v>471798</v>
      </c>
      <c r="L11" s="191" cm="1">
        <f t="array" ref="L11">_xlfn.IFERROR(K11/C11,0)</f>
        <v>0.320599451485854</v>
      </c>
      <c r="M11" s="192" cm="1">
        <f t="array" ref="M11">N11-AF11</f>
        <v>832114</v>
      </c>
      <c r="N11" s="192" cm="1">
        <f t="array" ref="N11">SUM(P11:AB11)</f>
        <v>999814</v>
      </c>
      <c r="O11" s="26"/>
      <c r="P11" s="26">
        <v>181799</v>
      </c>
      <c r="Q11" s="26">
        <v>69149</v>
      </c>
      <c r="R11" s="26">
        <v>42550</v>
      </c>
      <c r="S11" s="26">
        <v>208142</v>
      </c>
      <c r="T11" s="26">
        <v>122680</v>
      </c>
      <c r="U11" s="26">
        <v>0</v>
      </c>
      <c r="V11" s="26">
        <v>80000</v>
      </c>
      <c r="W11" s="30">
        <v>101638</v>
      </c>
      <c r="X11" s="30">
        <v>166188</v>
      </c>
      <c r="Y11" s="30"/>
      <c r="Z11" s="30"/>
      <c r="AA11" s="30"/>
      <c r="AB11" s="26">
        <v>27668</v>
      </c>
      <c r="AC11" s="26" cm="1">
        <f t="array" ref="AC11">J10</f>
        <v>0</v>
      </c>
      <c r="AD11" s="194"/>
      <c r="AE11" s="26">
        <v>167700</v>
      </c>
      <c r="AF11" s="26">
        <v>167700</v>
      </c>
      <c r="AG11" s="26"/>
      <c r="AH11" s="26"/>
    </row>
    <row r="12" ht="20.35" customHeight="1">
      <c r="A12" s="186">
        <v>43160</v>
      </c>
      <c r="B12" s="187" cm="1">
        <f t="array" ref="B12">ROUND(C12/'variables - Table 1-1'!B11,0)</f>
        <v>3641</v>
      </c>
      <c r="C12" s="188" cm="1">
        <f t="array" ref="C12">SUM(E12:J12)</f>
        <v>2196694</v>
      </c>
      <c r="D12" s="189" cm="1">
        <f t="array" ref="D12">SUM(E12:G12)</f>
        <v>1301637</v>
      </c>
      <c r="E12" s="188" cm="1">
        <f t="array" ref="E12">1103374</f>
        <v>1103374</v>
      </c>
      <c r="F12" s="188">
        <v>81638</v>
      </c>
      <c r="G12" s="189" cm="1">
        <f t="array" ref="G12">'net worth - retiro'!D14</f>
        <v>116625</v>
      </c>
      <c r="H12" s="188" cm="1">
        <f t="array" ref="H12">650407+15000+80000+1520+2130+30000*3+AG12</f>
        <v>895057</v>
      </c>
      <c r="I12" s="188"/>
      <c r="J12" s="189">
        <v>0</v>
      </c>
      <c r="K12" s="190" cm="1">
        <f t="array" ref="K12">C12-N12</f>
        <v>1464675</v>
      </c>
      <c r="L12" s="191" cm="1">
        <f t="array" ref="L12">_xlfn.IFERROR(K12/C12,0)</f>
        <v>0.66676332707241</v>
      </c>
      <c r="M12" s="192" cm="1">
        <f t="array" ref="M12">N12-AE12</f>
        <v>432791</v>
      </c>
      <c r="N12" s="192" cm="1">
        <f t="array" ref="N12">SUM(P12:AB12)</f>
        <v>732019</v>
      </c>
      <c r="O12" s="26"/>
      <c r="P12" s="26" cm="1">
        <f t="array" ref="P12">281859-4200</f>
        <v>277659</v>
      </c>
      <c r="Q12" s="26">
        <v>9955</v>
      </c>
      <c r="R12" s="26">
        <v>83320</v>
      </c>
      <c r="S12" s="26">
        <v>0</v>
      </c>
      <c r="T12" s="26">
        <v>88880</v>
      </c>
      <c r="U12" s="30">
        <v>0</v>
      </c>
      <c r="V12" s="26">
        <v>108000</v>
      </c>
      <c r="W12" s="30">
        <v>120828</v>
      </c>
      <c r="X12" s="30">
        <v>40328</v>
      </c>
      <c r="Y12" s="30"/>
      <c r="Z12" s="30"/>
      <c r="AA12" s="30"/>
      <c r="AB12" s="26">
        <v>3049</v>
      </c>
      <c r="AC12" s="26" cm="1">
        <f t="array" ref="AC12">J11</f>
        <v>0</v>
      </c>
      <c r="AD12" s="194"/>
      <c r="AE12" s="26">
        <v>299228</v>
      </c>
      <c r="AF12" s="26">
        <v>243228</v>
      </c>
      <c r="AG12" s="26">
        <v>56000</v>
      </c>
      <c r="AH12" s="26"/>
    </row>
    <row r="13" ht="20.35" customHeight="1">
      <c r="A13" s="186">
        <v>43191</v>
      </c>
      <c r="B13" s="187" cm="1">
        <f t="array" ref="B13">ROUND(C13/'variables - Table 1-1'!B12,0)</f>
        <v>4606</v>
      </c>
      <c r="C13" s="188" cm="1">
        <f t="array" ref="C13">SUM(E13:J13)</f>
        <v>2790130</v>
      </c>
      <c r="D13" s="189" cm="1">
        <f t="array" ref="D13">SUM(E13:G13)</f>
        <v>1372630</v>
      </c>
      <c r="E13" s="188">
        <v>1200000</v>
      </c>
      <c r="F13" s="188">
        <v>81365</v>
      </c>
      <c r="G13" s="188" cm="1">
        <f t="array" ref="G13">'net worth - retiro'!D15</f>
        <v>91265</v>
      </c>
      <c r="H13" s="188" cm="1">
        <f t="array" ref="H13">AG13+80000+30000*4+1200000</f>
        <v>1417500</v>
      </c>
      <c r="I13" s="188"/>
      <c r="J13" s="189">
        <v>0</v>
      </c>
      <c r="K13" s="190" cm="1">
        <f t="array" ref="K13">C13-N13</f>
        <v>2137545</v>
      </c>
      <c r="L13" s="191" cm="1">
        <f t="array" ref="L13">_xlfn.IFERROR(K13/C13,0)</f>
        <v>0.766109464433557</v>
      </c>
      <c r="M13" s="192" cm="1">
        <f t="array" ref="M13">N13-AE13</f>
        <v>525306</v>
      </c>
      <c r="N13" s="192" cm="1">
        <f t="array" ref="N13">SUM(P13:AB13)</f>
        <v>652585</v>
      </c>
      <c r="O13" s="26"/>
      <c r="P13" s="26">
        <v>181950</v>
      </c>
      <c r="Q13" s="26">
        <v>0</v>
      </c>
      <c r="R13" s="26">
        <v>29950</v>
      </c>
      <c r="S13" s="26">
        <v>0</v>
      </c>
      <c r="T13" s="26">
        <v>57180</v>
      </c>
      <c r="U13" s="30">
        <v>0</v>
      </c>
      <c r="V13" s="26">
        <v>153000</v>
      </c>
      <c r="W13" s="30">
        <v>131020</v>
      </c>
      <c r="X13" s="30">
        <v>66779</v>
      </c>
      <c r="Y13" s="30"/>
      <c r="Z13" s="30"/>
      <c r="AA13" s="30"/>
      <c r="AB13" s="26">
        <v>32706</v>
      </c>
      <c r="AC13" s="26" cm="1">
        <f t="array" ref="AC13">J12</f>
        <v>0</v>
      </c>
      <c r="AD13" s="194"/>
      <c r="AE13" s="26">
        <v>127279</v>
      </c>
      <c r="AF13" s="26">
        <v>109779</v>
      </c>
      <c r="AG13" s="26">
        <v>17500</v>
      </c>
      <c r="AH13" s="26"/>
    </row>
    <row r="14" ht="20.35" customHeight="1">
      <c r="A14" s="186">
        <v>43221</v>
      </c>
      <c r="B14" s="187" cm="1">
        <f t="array" ref="B14">ROUND(C14/'variables - Table 1-1'!B13,0)</f>
        <v>1395</v>
      </c>
      <c r="C14" s="188" cm="1">
        <f t="array" ref="C14">SUM(E14:J14)</f>
        <v>875062</v>
      </c>
      <c r="D14" s="189" cm="1">
        <f t="array" ref="D14">SUM(E14:G14)-41314</f>
        <v>379592</v>
      </c>
      <c r="E14" s="188" cm="1">
        <f t="array" ref="E14">304804</f>
        <v>304804</v>
      </c>
      <c r="F14" s="188">
        <v>81365</v>
      </c>
      <c r="G14" s="188" cm="1">
        <f t="array" ref="G14">'net worth - retiro'!D16</f>
        <v>34737</v>
      </c>
      <c r="H14" s="188" cm="1">
        <f t="array" ref="H14">AG14+30000*4+25000-41314</f>
        <v>107186</v>
      </c>
      <c r="I14" s="188"/>
      <c r="J14" s="189" cm="1">
        <f t="array" ref="J14">346970</f>
        <v>346970</v>
      </c>
      <c r="K14" s="190" cm="1">
        <f t="array" ref="K14">C14-N14</f>
        <v>234274</v>
      </c>
      <c r="L14" s="191" cm="1">
        <f t="array" ref="L14">_xlfn.IFERROR(K14/C14,0)</f>
        <v>0.267722744216981</v>
      </c>
      <c r="M14" s="192" cm="1">
        <f t="array" ref="M14">N14-AE14</f>
        <v>538265</v>
      </c>
      <c r="N14" s="192" cm="1">
        <f t="array" ref="N14">SUM(P14:AB14)</f>
        <v>640788</v>
      </c>
      <c r="O14" s="26"/>
      <c r="P14" s="26">
        <v>116288</v>
      </c>
      <c r="Q14" s="26" cm="1">
        <f t="array" ref="Q14">106245-13500-20274-10000</f>
        <v>62471</v>
      </c>
      <c r="R14" s="26">
        <v>16100</v>
      </c>
      <c r="S14" s="26">
        <v>0</v>
      </c>
      <c r="T14" s="26">
        <v>100800</v>
      </c>
      <c r="U14" s="30">
        <v>0</v>
      </c>
      <c r="V14" s="26">
        <v>150000</v>
      </c>
      <c r="W14" s="30">
        <v>85741</v>
      </c>
      <c r="X14" s="30">
        <v>54023</v>
      </c>
      <c r="Y14" s="30"/>
      <c r="Z14" s="30"/>
      <c r="AA14" s="30"/>
      <c r="AB14" s="26" cm="1">
        <f t="array" ref="AB14">55365</f>
        <v>55365</v>
      </c>
      <c r="AC14" s="26" cm="1">
        <f t="array" ref="AC14">J13</f>
        <v>0</v>
      </c>
      <c r="AD14" s="194"/>
      <c r="AE14" s="26">
        <v>102523</v>
      </c>
      <c r="AF14" s="26">
        <v>99023</v>
      </c>
      <c r="AG14" s="26">
        <v>3500</v>
      </c>
      <c r="AH14" s="26"/>
    </row>
    <row r="15" ht="20.35" customHeight="1">
      <c r="A15" s="186">
        <v>43252</v>
      </c>
      <c r="B15" s="187" cm="1">
        <f t="array" ref="B15">ROUND(C15/'variables - Table 1-1'!B14,0)</f>
        <v>2553</v>
      </c>
      <c r="C15" s="188" cm="1">
        <f t="array" ref="C15">SUM(E15:J15)</f>
        <v>1656689</v>
      </c>
      <c r="D15" s="189" cm="1">
        <f t="array" ref="D15">SUM(E15:G15)</f>
        <v>1536689</v>
      </c>
      <c r="E15" s="188" cm="1">
        <f t="array" ref="E15">1305231</f>
        <v>1305231</v>
      </c>
      <c r="F15" s="188">
        <v>81587</v>
      </c>
      <c r="G15" s="188" cm="1">
        <f t="array" ref="G15">'net worth - retiro'!D17</f>
        <v>149871</v>
      </c>
      <c r="H15" s="188" cm="1">
        <f t="array" ref="H15">30000*4</f>
        <v>120000</v>
      </c>
      <c r="I15" s="188"/>
      <c r="J15" s="189">
        <v>0</v>
      </c>
      <c r="K15" s="190" cm="1">
        <f t="array" ref="K15">C15-N15</f>
        <v>595305</v>
      </c>
      <c r="L15" s="191" cm="1">
        <f t="array" ref="L15">_xlfn.IFERROR(K15/C15,0)</f>
        <v>0.359334190062227</v>
      </c>
      <c r="M15" s="192" cm="1">
        <f t="array" ref="M15">N15-AE15</f>
        <v>934243</v>
      </c>
      <c r="N15" s="192" cm="1">
        <f t="array" ref="N15">SUM(P15:AC15)</f>
        <v>1061384</v>
      </c>
      <c r="O15" s="26"/>
      <c r="P15" s="26">
        <v>172810</v>
      </c>
      <c r="Q15" s="26">
        <v>19077</v>
      </c>
      <c r="R15" s="26">
        <v>17780</v>
      </c>
      <c r="S15" s="26">
        <v>0</v>
      </c>
      <c r="T15" s="26">
        <v>59387</v>
      </c>
      <c r="U15" s="30">
        <v>0</v>
      </c>
      <c r="V15" s="26">
        <v>140000</v>
      </c>
      <c r="W15" s="30">
        <v>126587</v>
      </c>
      <c r="X15" s="30">
        <v>54141</v>
      </c>
      <c r="Y15" s="30"/>
      <c r="Z15" s="30"/>
      <c r="AA15" s="30"/>
      <c r="AB15" s="26">
        <v>124632</v>
      </c>
      <c r="AC15" s="26">
        <v>346970</v>
      </c>
      <c r="AD15" s="194"/>
      <c r="AE15" s="26">
        <v>127141</v>
      </c>
      <c r="AF15" s="26">
        <v>127141</v>
      </c>
      <c r="AG15" s="26">
        <v>15000</v>
      </c>
      <c r="AH15" s="26"/>
    </row>
    <row r="16" ht="20.35" customHeight="1">
      <c r="A16" s="186">
        <v>43282</v>
      </c>
      <c r="B16" s="187" cm="1">
        <f t="array" ref="B16">ROUND(C16/'variables - Table 1-1'!B15,0)</f>
        <v>2643</v>
      </c>
      <c r="C16" s="188" cm="1">
        <f t="array" ref="C16">SUM(E16:J16)</f>
        <v>1686766</v>
      </c>
      <c r="D16" s="189" cm="1">
        <f t="array" ref="D16">SUM(E16:G16)</f>
        <v>1536766</v>
      </c>
      <c r="E16" s="188" cm="1">
        <f t="array" ref="E16">1305308</f>
        <v>1305308</v>
      </c>
      <c r="F16" s="188">
        <v>81587</v>
      </c>
      <c r="G16" s="188" cm="1">
        <f t="array" ref="G16">'net worth - retiro'!D18</f>
        <v>149871</v>
      </c>
      <c r="H16" s="188" cm="1">
        <f t="array" ref="H16">30000*5</f>
        <v>150000</v>
      </c>
      <c r="I16" s="188"/>
      <c r="J16" s="189">
        <v>0</v>
      </c>
      <c r="K16" s="190" cm="1">
        <f t="array" ref="K16">C16-N16</f>
        <v>898181</v>
      </c>
      <c r="L16" s="191" cm="1">
        <f t="array" ref="L16">_xlfn.IFERROR(K16/C16,0)</f>
        <v>0.532487019539165</v>
      </c>
      <c r="M16" s="192" cm="1">
        <f t="array" ref="M16">N16-AE16</f>
        <v>589898</v>
      </c>
      <c r="N16" s="192" cm="1">
        <f t="array" ref="N16">SUM(P16:AC16)</f>
        <v>788585</v>
      </c>
      <c r="O16" s="26"/>
      <c r="P16" s="26">
        <v>221983</v>
      </c>
      <c r="Q16" s="26">
        <v>30000</v>
      </c>
      <c r="R16" s="26">
        <v>3400</v>
      </c>
      <c r="S16" s="26">
        <v>0</v>
      </c>
      <c r="T16" s="26">
        <v>90928</v>
      </c>
      <c r="U16" s="30">
        <v>0</v>
      </c>
      <c r="V16" s="26">
        <v>200000</v>
      </c>
      <c r="W16" s="30">
        <v>161587</v>
      </c>
      <c r="X16" s="30">
        <v>48687</v>
      </c>
      <c r="Y16" s="30"/>
      <c r="Z16" s="30"/>
      <c r="AA16" s="30"/>
      <c r="AB16" s="26">
        <v>32000</v>
      </c>
      <c r="AC16" s="26">
        <v>0</v>
      </c>
      <c r="AD16" s="194"/>
      <c r="AE16" s="26">
        <v>198687</v>
      </c>
      <c r="AF16" s="26">
        <v>198687</v>
      </c>
      <c r="AG16" s="26">
        <v>15000</v>
      </c>
      <c r="AH16" s="26"/>
    </row>
    <row r="17" ht="20.35" customHeight="1">
      <c r="A17" s="186">
        <v>43313</v>
      </c>
      <c r="B17" s="187" cm="1">
        <f t="array" ref="B17">ROUND(C17/'variables - Table 1-1'!B16,0)</f>
        <v>2453</v>
      </c>
      <c r="C17" s="188" cm="1">
        <f t="array" ref="C17">SUM(E17:J17)</f>
        <v>1665468</v>
      </c>
      <c r="D17" s="189" cm="1">
        <f t="array" ref="D17">SUM(E17:G17)</f>
        <v>1545468</v>
      </c>
      <c r="E17" s="188">
        <v>1313038</v>
      </c>
      <c r="F17" s="188">
        <v>81587</v>
      </c>
      <c r="G17" s="188" cm="1">
        <f t="array" ref="G17">'net worth - retiro'!D19</f>
        <v>150843</v>
      </c>
      <c r="H17" s="188" cm="1">
        <f t="array" ref="H17">30000*4</f>
        <v>120000</v>
      </c>
      <c r="I17" s="188"/>
      <c r="J17" s="189"/>
      <c r="K17" s="190" cm="1">
        <f t="array" ref="K17">C17-N17</f>
        <v>867592.48249</v>
      </c>
      <c r="L17" s="191" cm="1">
        <f t="array" ref="L17">_xlfn.IFERROR(K17/C17,0)</f>
        <v>0.5209301424524519</v>
      </c>
      <c r="M17" s="192" cm="1">
        <f t="array" ref="M17">N17-AE17</f>
        <v>582323.51751</v>
      </c>
      <c r="N17" s="192" cm="1">
        <f t="array" ref="N17">SUM(P17:AC17)</f>
        <v>797875.51751</v>
      </c>
      <c r="O17" s="26"/>
      <c r="P17" s="26">
        <v>155166</v>
      </c>
      <c r="Q17" s="26">
        <v>113683</v>
      </c>
      <c r="R17" s="26">
        <v>4830</v>
      </c>
      <c r="S17" s="26">
        <v>25492</v>
      </c>
      <c r="T17" s="26">
        <v>125980</v>
      </c>
      <c r="U17" s="30">
        <v>0</v>
      </c>
      <c r="V17" s="26">
        <v>200000</v>
      </c>
      <c r="W17" s="30">
        <v>83519.517510000005</v>
      </c>
      <c r="X17" s="30">
        <v>57502</v>
      </c>
      <c r="Y17" s="30"/>
      <c r="Z17" s="30"/>
      <c r="AA17" s="30"/>
      <c r="AB17" s="26">
        <v>31703</v>
      </c>
      <c r="AC17" s="26">
        <v>0</v>
      </c>
      <c r="AD17" s="194"/>
      <c r="AE17" s="26">
        <v>215552</v>
      </c>
      <c r="AF17" s="26">
        <v>125502</v>
      </c>
      <c r="AG17" s="26">
        <v>90050</v>
      </c>
      <c r="AH17" s="26"/>
    </row>
    <row r="18" ht="20.35" customHeight="1">
      <c r="A18" s="186">
        <v>43344</v>
      </c>
      <c r="B18" s="187" cm="1">
        <f t="array" ref="B18">ROUND(C18/'variables - Table 1-1'!B17,0)</f>
        <v>2570</v>
      </c>
      <c r="C18" s="188" cm="1">
        <f t="array" ref="C18">SUM(E18:J18)</f>
        <v>1694404</v>
      </c>
      <c r="D18" s="189" cm="1">
        <f t="array" ref="D18">SUM(E18:G18)</f>
        <v>1544404</v>
      </c>
      <c r="E18" s="188">
        <v>1307851</v>
      </c>
      <c r="F18" s="188">
        <v>85710</v>
      </c>
      <c r="G18" s="188" cm="1">
        <f t="array" ref="G18">'net worth - retiro'!D20</f>
        <v>150843</v>
      </c>
      <c r="H18" s="188" cm="1">
        <f t="array" ref="H18">30000*(5-0)</f>
        <v>150000</v>
      </c>
      <c r="I18" s="188"/>
      <c r="J18" s="189"/>
      <c r="K18" s="190" cm="1">
        <f t="array" ref="K18">C18-N18</f>
        <v>1108743.20495</v>
      </c>
      <c r="L18" s="191" cm="1">
        <f t="array" ref="L18">_xlfn.IFERROR(K18/C18,0)</f>
        <v>0.6543558708253761</v>
      </c>
      <c r="M18" s="192" cm="1">
        <f t="array" ref="M18">N18-AE18</f>
        <v>451097.79505</v>
      </c>
      <c r="N18" s="192" cm="1">
        <f t="array" ref="N18">SUM(P18:AC18)</f>
        <v>585660.79505</v>
      </c>
      <c r="O18" s="26"/>
      <c r="P18" s="26" cm="1">
        <f t="array" ref="P18">199701</f>
        <v>199701</v>
      </c>
      <c r="Q18" s="26">
        <v>27153</v>
      </c>
      <c r="R18" s="26">
        <v>2550</v>
      </c>
      <c r="S18" s="26">
        <v>0</v>
      </c>
      <c r="T18" s="26" cm="1">
        <f t="array" ref="T18">33230</f>
        <v>33230</v>
      </c>
      <c r="U18" s="30">
        <v>0</v>
      </c>
      <c r="V18" s="26">
        <v>190000</v>
      </c>
      <c r="W18" s="30">
        <v>85214.79505</v>
      </c>
      <c r="X18" s="30">
        <v>43313</v>
      </c>
      <c r="Y18" s="30"/>
      <c r="Z18" s="30"/>
      <c r="AA18" s="30"/>
      <c r="AB18" s="26">
        <v>4499</v>
      </c>
      <c r="AC18" s="26">
        <v>0</v>
      </c>
      <c r="AD18" s="194"/>
      <c r="AE18" s="26">
        <v>134563</v>
      </c>
      <c r="AF18" s="26">
        <v>112563</v>
      </c>
      <c r="AG18" s="26">
        <v>22000</v>
      </c>
      <c r="AH18" s="26"/>
    </row>
    <row r="19" ht="20.35" customHeight="1">
      <c r="A19" s="186">
        <v>43374</v>
      </c>
      <c r="B19" s="187" cm="1">
        <f t="array" ref="B19">ROUND(C19/'variables - Table 1-1'!B18,0)</f>
        <v>2921</v>
      </c>
      <c r="C19" s="188" cm="1">
        <f t="array" ref="C19">SUM(E19:J19)</f>
        <v>2024160</v>
      </c>
      <c r="D19" s="189" cm="1">
        <f t="array" ref="D19">SUM(E19:G19)</f>
        <v>1504160</v>
      </c>
      <c r="E19" s="188">
        <v>1271796</v>
      </c>
      <c r="F19" s="188">
        <v>85710</v>
      </c>
      <c r="G19" s="188" cm="1">
        <f t="array" ref="G19">'net worth - retiro'!D21</f>
        <v>146654</v>
      </c>
      <c r="H19" s="188" cm="1">
        <f t="array" ref="H19">30000*4+400000</f>
        <v>520000</v>
      </c>
      <c r="I19" s="188"/>
      <c r="J19" s="189"/>
      <c r="K19" s="190" cm="1">
        <f t="array" ref="K19">C19-N19</f>
        <v>1123636</v>
      </c>
      <c r="L19" s="191" cm="1">
        <f t="array" ref="L19">_xlfn.IFERROR(K19/C19,0)</f>
        <v>0.5551122440913761</v>
      </c>
      <c r="M19" s="192" cm="1">
        <f t="array" ref="M19">N19-AE19</f>
        <v>733371</v>
      </c>
      <c r="N19" s="192" cm="1">
        <f t="array" ref="N19">SUM(P19:X19,AC19)</f>
        <v>900524</v>
      </c>
      <c r="O19" s="26"/>
      <c r="P19" s="26">
        <v>184544</v>
      </c>
      <c r="Q19" s="26">
        <v>84598</v>
      </c>
      <c r="R19" s="26">
        <v>17110</v>
      </c>
      <c r="S19" s="26">
        <v>0</v>
      </c>
      <c r="T19" s="26">
        <v>122405</v>
      </c>
      <c r="U19" s="30">
        <v>0</v>
      </c>
      <c r="V19" s="26">
        <v>150000</v>
      </c>
      <c r="W19" s="30">
        <v>102215</v>
      </c>
      <c r="X19" s="30">
        <v>239652</v>
      </c>
      <c r="Y19" s="30"/>
      <c r="Z19" s="30"/>
      <c r="AA19" s="30"/>
      <c r="AB19" s="26">
        <v>78349</v>
      </c>
      <c r="AC19" s="26">
        <v>0</v>
      </c>
      <c r="AD19" s="194"/>
      <c r="AE19" s="26">
        <v>167153</v>
      </c>
      <c r="AF19" s="26">
        <v>135488</v>
      </c>
      <c r="AG19" s="26">
        <v>31665</v>
      </c>
      <c r="AH19" s="26"/>
    </row>
    <row r="20" ht="20.35" customHeight="1">
      <c r="A20" s="186">
        <v>43405</v>
      </c>
      <c r="B20" s="187" cm="1">
        <f t="array" ref="B20">ROUND(C20/'variables - Table 1-1'!B19,0)</f>
        <v>3617</v>
      </c>
      <c r="C20" s="188" cm="1">
        <f t="array" ref="C20">SUM(E20:J20)</f>
        <v>2423722</v>
      </c>
      <c r="D20" s="189" cm="1">
        <f t="array" ref="D20">SUM(E20:G20)</f>
        <v>2423722</v>
      </c>
      <c r="E20" s="188">
        <v>2123219</v>
      </c>
      <c r="F20" s="188">
        <v>85710</v>
      </c>
      <c r="G20" s="188" cm="1">
        <f t="array" ref="G20">'net worth - retiro'!D22</f>
        <v>214793</v>
      </c>
      <c r="H20" s="188" cm="1">
        <f t="array" ref="H20">0</f>
        <v>0</v>
      </c>
      <c r="I20" s="188"/>
      <c r="J20" s="189"/>
      <c r="K20" s="190" cm="1">
        <f t="array" ref="K20">C20-N20</f>
        <v>1326980</v>
      </c>
      <c r="L20" s="191" cm="1">
        <f t="array" ref="L20">_xlfn.IFERROR(K20/C20,0)</f>
        <v>0.547496783872078</v>
      </c>
      <c r="M20" s="192" cm="1">
        <f t="array" ref="M20">N20-AE20</f>
        <v>895905</v>
      </c>
      <c r="N20" s="192" cm="1">
        <f t="array" ref="N20">SUM(P20:X20,AC20)</f>
        <v>1096742</v>
      </c>
      <c r="O20" s="26"/>
      <c r="P20" s="26">
        <v>275472</v>
      </c>
      <c r="Q20" s="26">
        <v>19964</v>
      </c>
      <c r="R20" s="26">
        <v>6480</v>
      </c>
      <c r="S20" s="26">
        <v>94707</v>
      </c>
      <c r="T20" s="26">
        <v>302449</v>
      </c>
      <c r="U20" s="30">
        <v>0</v>
      </c>
      <c r="V20" s="26">
        <v>150000</v>
      </c>
      <c r="W20" s="30">
        <v>85812</v>
      </c>
      <c r="X20" s="30">
        <v>161858</v>
      </c>
      <c r="Y20" s="30"/>
      <c r="Z20" s="30"/>
      <c r="AA20" s="30"/>
      <c r="AB20" s="26">
        <v>155267</v>
      </c>
      <c r="AC20" s="26">
        <v>0</v>
      </c>
      <c r="AD20" s="194"/>
      <c r="AE20" s="26">
        <v>200837</v>
      </c>
      <c r="AF20" s="26">
        <v>153847</v>
      </c>
      <c r="AG20" s="26">
        <v>46990</v>
      </c>
      <c r="AH20" s="26"/>
    </row>
    <row r="21" ht="20.35" customHeight="1">
      <c r="A21" s="186">
        <v>43435</v>
      </c>
      <c r="B21" s="187" cm="1">
        <f t="array" ref="B21">ROUND(C21/'variables - Table 1-1'!B20,0)</f>
        <v>3495</v>
      </c>
      <c r="C21" s="188" cm="1">
        <f t="array" ref="C21">SUM(E21:J21)</f>
        <v>2423471</v>
      </c>
      <c r="D21" s="189" cm="1">
        <f t="array" ref="D21">SUM(E21:G21)</f>
        <v>2423471</v>
      </c>
      <c r="E21" s="188">
        <v>2122179</v>
      </c>
      <c r="F21" s="188">
        <v>85710</v>
      </c>
      <c r="G21" s="188" cm="1">
        <f t="array" ref="G21">'net worth - retiro'!D23</f>
        <v>215582</v>
      </c>
      <c r="H21" s="188" cm="1">
        <f t="array" ref="H21">0</f>
        <v>0</v>
      </c>
      <c r="I21" s="188"/>
      <c r="J21" s="189"/>
      <c r="K21" s="190" cm="1">
        <f t="array" ref="K21">C21-N21</f>
        <v>1299768</v>
      </c>
      <c r="L21" s="191" cm="1">
        <f t="array" ref="L21">_xlfn.IFERROR(K21/C21,0)</f>
        <v>0.536324965308023</v>
      </c>
      <c r="M21" s="192" cm="1">
        <f t="array" ref="M21">N21-AE21</f>
        <v>803085</v>
      </c>
      <c r="N21" s="192" cm="1">
        <f t="array" ref="N21">SUM(P21:X21,AC21)</f>
        <v>1123703</v>
      </c>
      <c r="O21" s="26"/>
      <c r="P21" s="26">
        <v>214252</v>
      </c>
      <c r="Q21" s="26">
        <v>63190</v>
      </c>
      <c r="R21" s="26">
        <v>13330</v>
      </c>
      <c r="S21" s="26">
        <v>0</v>
      </c>
      <c r="T21" s="26">
        <v>395615</v>
      </c>
      <c r="U21" s="30">
        <v>0</v>
      </c>
      <c r="V21" s="26">
        <v>150000</v>
      </c>
      <c r="W21" s="30">
        <v>85710</v>
      </c>
      <c r="X21" s="30">
        <v>201606</v>
      </c>
      <c r="Y21" s="30"/>
      <c r="Z21" s="30"/>
      <c r="AA21" s="30"/>
      <c r="AB21" s="26" cm="1">
        <f t="array" ref="AB21">175209+1892</f>
        <v>177101</v>
      </c>
      <c r="AC21" s="26">
        <v>0</v>
      </c>
      <c r="AD21" s="194"/>
      <c r="AE21" s="26" cm="1">
        <f t="array" ref="AE21">SUM(AF21:AG21)</f>
        <v>320618</v>
      </c>
      <c r="AF21" s="26">
        <v>147582</v>
      </c>
      <c r="AG21" s="26" cm="1">
        <f t="array" ref="AG21">42341+130695</f>
        <v>173036</v>
      </c>
      <c r="AH21" s="26"/>
    </row>
    <row r="22" ht="20.35" customHeight="1">
      <c r="A22" s="186">
        <v>43466</v>
      </c>
      <c r="B22" s="187" cm="1">
        <f t="array" ref="B22">ROUND(C22/'variables - Table 1-1'!B21,0)</f>
        <v>3654</v>
      </c>
      <c r="C22" s="188" cm="1">
        <f t="array" ref="C22">SUM(E22:J22)</f>
        <v>2423745</v>
      </c>
      <c r="D22" s="189" cm="1">
        <f t="array" ref="D22">SUM(E22:G22)</f>
        <v>2423745</v>
      </c>
      <c r="E22" s="188">
        <v>2122093</v>
      </c>
      <c r="F22" s="188">
        <v>85812</v>
      </c>
      <c r="G22" s="188" cm="1">
        <f t="array" ref="G22">'net worth - retiro'!D24</f>
        <v>215840</v>
      </c>
      <c r="H22" s="188" cm="1">
        <f t="array" ref="H22">0</f>
        <v>0</v>
      </c>
      <c r="I22" s="188"/>
      <c r="J22" s="189"/>
      <c r="K22" s="190" cm="1">
        <f t="array" ref="K22">C22-N22</f>
        <v>1724646</v>
      </c>
      <c r="L22" s="191" cm="1">
        <f t="array" ref="L22">_xlfn.IFERROR(K22/C22,0)</f>
        <v>0.711562478726104</v>
      </c>
      <c r="M22" s="192" cm="1">
        <f t="array" ref="M22">N22-AE22</f>
        <v>598716</v>
      </c>
      <c r="N22" s="192" cm="1">
        <f t="array" ref="N22">SUM(P22:X22,AC22)</f>
        <v>699099</v>
      </c>
      <c r="O22" s="26"/>
      <c r="P22" s="26">
        <v>209801</v>
      </c>
      <c r="Q22" s="26">
        <v>85298</v>
      </c>
      <c r="R22" s="26">
        <v>28530</v>
      </c>
      <c r="S22" s="26">
        <v>3766</v>
      </c>
      <c r="T22" s="26">
        <v>21400</v>
      </c>
      <c r="U22" s="30">
        <v>0</v>
      </c>
      <c r="V22" s="26">
        <v>155000</v>
      </c>
      <c r="W22" s="30">
        <v>85812</v>
      </c>
      <c r="X22" s="30">
        <v>109492</v>
      </c>
      <c r="Y22" s="30"/>
      <c r="Z22" s="30"/>
      <c r="AA22" s="30"/>
      <c r="AB22" s="26">
        <v>21855</v>
      </c>
      <c r="AC22" s="26">
        <v>0</v>
      </c>
      <c r="AD22" s="194"/>
      <c r="AE22" s="26" cm="1">
        <f t="array" ref="AE22">SUM(AF22:AG22)</f>
        <v>100383</v>
      </c>
      <c r="AF22" s="26">
        <v>100383</v>
      </c>
      <c r="AG22" s="26" cm="1">
        <f t="array" ref="AG22">0</f>
        <v>0</v>
      </c>
      <c r="AH22" s="26"/>
    </row>
    <row r="23" ht="20.35" customHeight="1">
      <c r="A23" s="186">
        <v>43497</v>
      </c>
      <c r="B23" s="187" cm="1">
        <f t="array" ref="B23">ROUND(C23/'variables - Table 1-1'!B22,0)</f>
        <v>3739</v>
      </c>
      <c r="C23" s="188" cm="1">
        <f t="array" ref="C23">SUM(E23:J23)</f>
        <v>2425605</v>
      </c>
      <c r="D23" s="189" cm="1">
        <f t="array" ref="D23">SUM(E23:G23)</f>
        <v>2425605</v>
      </c>
      <c r="E23" s="188">
        <v>2122093</v>
      </c>
      <c r="F23" s="188">
        <v>85812</v>
      </c>
      <c r="G23" s="188" cm="1">
        <f t="array" ref="G23">'net worth - retiro'!D25</f>
        <v>217700</v>
      </c>
      <c r="H23" s="188" cm="1">
        <f t="array" ref="H23">0</f>
        <v>0</v>
      </c>
      <c r="I23" s="188"/>
      <c r="J23" s="189"/>
      <c r="K23" s="190" cm="1">
        <f t="array" ref="K23">C23-N23</f>
        <v>1609801</v>
      </c>
      <c r="L23" s="191" cm="1">
        <f t="array" ref="L23">_xlfn.IFERROR(K23/C23,0)</f>
        <v>0.663669888543271</v>
      </c>
      <c r="M23" s="192" cm="1">
        <f t="array" ref="M23">N23-AE23</f>
        <v>476001</v>
      </c>
      <c r="N23" s="192" cm="1">
        <f t="array" ref="N23">SUM(P23:X23,AC23)</f>
        <v>815804</v>
      </c>
      <c r="O23" s="26"/>
      <c r="P23" s="26">
        <v>269562</v>
      </c>
      <c r="Q23" s="26">
        <v>7000</v>
      </c>
      <c r="R23" s="26">
        <v>30378</v>
      </c>
      <c r="S23" s="26">
        <v>0</v>
      </c>
      <c r="T23" s="26">
        <v>114761</v>
      </c>
      <c r="U23" s="30">
        <v>0</v>
      </c>
      <c r="V23" s="26">
        <v>175000</v>
      </c>
      <c r="W23" s="30">
        <v>85751</v>
      </c>
      <c r="X23" s="30">
        <v>133352</v>
      </c>
      <c r="Y23" s="30"/>
      <c r="Z23" s="30"/>
      <c r="AA23" s="30"/>
      <c r="AB23" s="26">
        <v>31363</v>
      </c>
      <c r="AC23" s="26">
        <v>0</v>
      </c>
      <c r="AD23" s="194"/>
      <c r="AE23" s="26" cm="1">
        <f t="array" ref="AE23">SUM(AF23:AG23)</f>
        <v>339803</v>
      </c>
      <c r="AF23" s="26">
        <v>73647</v>
      </c>
      <c r="AG23" s="26" cm="1">
        <f t="array" ref="AG23">258656+7500</f>
        <v>266156</v>
      </c>
      <c r="AH23" s="26"/>
    </row>
    <row r="24" ht="20.35" customHeight="1">
      <c r="A24" s="186">
        <v>43525</v>
      </c>
      <c r="B24" s="187" cm="1">
        <f t="array" ref="B24">ROUND(C24/'variables - Table 1-1'!B23,0)</f>
        <v>4285</v>
      </c>
      <c r="C24" s="188" cm="1">
        <f t="array" ref="C24">SUM(E24:J24)</f>
        <v>2922564</v>
      </c>
      <c r="D24" s="189" cm="1">
        <f t="array" ref="D24">SUM(E24:G24)</f>
        <v>2422564</v>
      </c>
      <c r="E24" s="188">
        <v>2119052</v>
      </c>
      <c r="F24" s="188">
        <v>85812</v>
      </c>
      <c r="G24" s="188" cm="1">
        <f t="array" ref="G24">'net worth - retiro'!D26</f>
        <v>217700</v>
      </c>
      <c r="H24" s="188" cm="1">
        <f t="array" ref="H24">500000</f>
        <v>500000</v>
      </c>
      <c r="I24" s="188"/>
      <c r="J24" s="189"/>
      <c r="K24" s="190" cm="1">
        <f t="array" ref="K24">C24-N24</f>
        <v>1831316</v>
      </c>
      <c r="L24" s="191" cm="1">
        <f t="array" ref="L24">_xlfn.IFERROR(K24/C24,0)</f>
        <v>0.626612796161179</v>
      </c>
      <c r="M24" s="192" cm="1">
        <f t="array" ref="M24">N24-AE24</f>
        <v>982015</v>
      </c>
      <c r="N24" s="192" cm="1">
        <f t="array" ref="N24">SUM(P24:X24,AC24)</f>
        <v>1091248</v>
      </c>
      <c r="O24" s="26"/>
      <c r="P24" s="26">
        <v>196890</v>
      </c>
      <c r="Q24" s="26">
        <v>42700</v>
      </c>
      <c r="R24" s="26">
        <v>35890</v>
      </c>
      <c r="S24" s="26">
        <v>0</v>
      </c>
      <c r="T24" s="26">
        <v>235969</v>
      </c>
      <c r="U24" s="30">
        <v>0</v>
      </c>
      <c r="V24" s="26">
        <v>185000</v>
      </c>
      <c r="W24" s="30">
        <v>104791</v>
      </c>
      <c r="X24" s="30">
        <v>290008</v>
      </c>
      <c r="Y24" s="30"/>
      <c r="Z24" s="30"/>
      <c r="AA24" s="30"/>
      <c r="AB24" s="26">
        <v>159759</v>
      </c>
      <c r="AC24" s="26">
        <v>0</v>
      </c>
      <c r="AD24" s="194"/>
      <c r="AE24" s="26">
        <v>109233</v>
      </c>
      <c r="AF24" s="26">
        <v>109233</v>
      </c>
      <c r="AG24" s="26">
        <v>0</v>
      </c>
      <c r="AH24" s="26"/>
    </row>
    <row r="25" ht="20.35" customHeight="1">
      <c r="A25" s="186">
        <v>43556</v>
      </c>
      <c r="B25" s="187" cm="1">
        <f t="array" ref="B25">ROUND(C25/'variables - Table 1-1'!B24,0)</f>
        <v>3584</v>
      </c>
      <c r="C25" s="188" cm="1">
        <f t="array" ref="C25">SUM(E25:J25)</f>
        <v>2430374</v>
      </c>
      <c r="D25" s="189" cm="1">
        <f t="array" ref="D25">SUM(E25:G25)</f>
        <v>2430374</v>
      </c>
      <c r="E25" s="188">
        <v>2122917</v>
      </c>
      <c r="F25" s="188">
        <v>89242</v>
      </c>
      <c r="G25" s="188" cm="1">
        <f t="array" ref="G25">'net worth - retiro'!D27</f>
        <v>218215</v>
      </c>
      <c r="H25" s="188" cm="1">
        <f t="array" ref="H25">0</f>
        <v>0</v>
      </c>
      <c r="I25" s="188"/>
      <c r="J25" s="189"/>
      <c r="K25" s="190" cm="1">
        <f t="array" ref="K25">C25-N25</f>
        <v>1251325</v>
      </c>
      <c r="L25" s="191" cm="1">
        <f t="array" ref="L25">_xlfn.IFERROR(K25/C25,0)</f>
        <v>0.514869316409738</v>
      </c>
      <c r="M25" s="192" cm="1">
        <f t="array" ref="M25">N25-AE25</f>
        <v>872926.5</v>
      </c>
      <c r="N25" s="192" cm="1">
        <f t="array" ref="N25">SUM(P25:X25,AC25)</f>
        <v>1179049</v>
      </c>
      <c r="O25" s="26"/>
      <c r="P25" s="26">
        <v>131925</v>
      </c>
      <c r="Q25" s="26">
        <v>48881</v>
      </c>
      <c r="R25" s="26">
        <v>72787.5</v>
      </c>
      <c r="S25" s="26">
        <v>0</v>
      </c>
      <c r="T25" s="26">
        <v>412926.5</v>
      </c>
      <c r="U25" s="30">
        <v>0</v>
      </c>
      <c r="V25" s="26">
        <v>150000</v>
      </c>
      <c r="W25" s="30">
        <v>85812</v>
      </c>
      <c r="X25" s="30">
        <v>276717</v>
      </c>
      <c r="Y25" s="30"/>
      <c r="Z25" s="30"/>
      <c r="AA25" s="30"/>
      <c r="AB25" s="26">
        <v>309234</v>
      </c>
      <c r="AC25" s="26">
        <v>0</v>
      </c>
      <c r="AD25" s="194"/>
      <c r="AE25" s="26">
        <v>306122.5</v>
      </c>
      <c r="AF25" s="26">
        <v>75712</v>
      </c>
      <c r="AG25" s="26">
        <v>230410.5</v>
      </c>
      <c r="AH25" s="26"/>
    </row>
    <row r="26" ht="20.35" customHeight="1">
      <c r="A26" s="186">
        <v>43586</v>
      </c>
      <c r="B26" s="187" cm="1">
        <f t="array" ref="B26">ROUND(C26/'variables - Table 1-1'!B25,0)</f>
        <v>3425</v>
      </c>
      <c r="C26" s="188" cm="1">
        <f t="array" ref="C26">SUM(E26:J26)</f>
        <v>2430374</v>
      </c>
      <c r="D26" s="189" cm="1">
        <f t="array" ref="D26">SUM(E26:G26)</f>
        <v>2430374</v>
      </c>
      <c r="E26" s="188">
        <v>2122917</v>
      </c>
      <c r="F26" s="188">
        <v>89242</v>
      </c>
      <c r="G26" s="188" cm="1">
        <f t="array" ref="G26">'net worth - retiro'!D28</f>
        <v>218215</v>
      </c>
      <c r="H26" s="188" cm="1">
        <f t="array" ref="H26">0</f>
        <v>0</v>
      </c>
      <c r="I26" s="188"/>
      <c r="J26" s="189"/>
      <c r="K26" s="190" cm="1">
        <f t="array" ref="K26">C26-N26</f>
        <v>1108602</v>
      </c>
      <c r="L26" s="191" cm="1">
        <f t="array" ref="L26">_xlfn.IFERROR(K26/C26,0)</f>
        <v>0.456144609841942</v>
      </c>
      <c r="M26" s="192" cm="1">
        <f t="array" ref="M26">N26-AE26</f>
        <v>1029852</v>
      </c>
      <c r="N26" s="192" cm="1">
        <f t="array" ref="N26">SUM(P26:X26,AC26)</f>
        <v>1321772</v>
      </c>
      <c r="O26" s="26"/>
      <c r="P26" s="26">
        <v>116929</v>
      </c>
      <c r="Q26" s="26">
        <v>135579</v>
      </c>
      <c r="R26" s="26">
        <v>80939</v>
      </c>
      <c r="S26" s="26">
        <v>89980</v>
      </c>
      <c r="T26" s="26">
        <v>494540</v>
      </c>
      <c r="U26" s="30">
        <v>0</v>
      </c>
      <c r="V26" s="26">
        <v>180000</v>
      </c>
      <c r="W26" s="30">
        <v>86425</v>
      </c>
      <c r="X26" s="30">
        <v>137380</v>
      </c>
      <c r="Y26" s="30"/>
      <c r="Z26" s="30"/>
      <c r="AA26" s="30"/>
      <c r="AB26" s="26" cm="1">
        <f t="array" ref="AB26">'flujos - Gasto mes actual'!AN$37</f>
        <v>0</v>
      </c>
      <c r="AC26" s="26">
        <v>0</v>
      </c>
      <c r="AD26" s="194"/>
      <c r="AE26" s="26" cm="1">
        <f t="array" ref="AE26">SUM(AF26:AG26)</f>
        <v>291920</v>
      </c>
      <c r="AF26" s="26">
        <v>87000</v>
      </c>
      <c r="AG26" s="26">
        <v>204920</v>
      </c>
      <c r="AH26" s="26"/>
    </row>
    <row r="27" ht="20.35" customHeight="1">
      <c r="A27" s="186">
        <v>43617</v>
      </c>
      <c r="B27" s="187" cm="1">
        <f t="array" ref="B27">ROUND(C27/'variables - Table 1-1'!B26,0)</f>
        <v>3574</v>
      </c>
      <c r="C27" s="188" cm="1">
        <f t="array" ref="C27">SUM(E27:J27)</f>
        <v>2430795</v>
      </c>
      <c r="D27" s="189" cm="1">
        <f t="array" ref="D27">SUM(E27:G27)</f>
        <v>2430795</v>
      </c>
      <c r="E27" s="188">
        <v>2123338</v>
      </c>
      <c r="F27" s="188">
        <v>89242</v>
      </c>
      <c r="G27" s="188" cm="1">
        <f t="array" ref="G27">'net worth - retiro'!D29</f>
        <v>218215</v>
      </c>
      <c r="H27" s="188" cm="1">
        <f t="array" ref="H27">0</f>
        <v>0</v>
      </c>
      <c r="I27" s="188"/>
      <c r="J27" s="189"/>
      <c r="K27" s="190" cm="1">
        <f t="array" ref="K27">C27-N27</f>
        <v>1214653</v>
      </c>
      <c r="L27" s="191" cm="1">
        <f t="array" ref="L27">_xlfn.IFERROR(K27/C27,0)</f>
        <v>0.499693721601369</v>
      </c>
      <c r="M27" s="192" cm="1">
        <f t="array" ref="M27">N27-AE27</f>
        <v>1050954</v>
      </c>
      <c r="N27" s="192" cm="1">
        <f t="array" ref="N27">SUM(P27:X27,AC27)</f>
        <v>1216142</v>
      </c>
      <c r="O27" s="26"/>
      <c r="P27" s="26">
        <v>254415</v>
      </c>
      <c r="Q27" s="26" cm="1">
        <f t="array" ref="Q27">10000+65000+50000</f>
        <v>125000</v>
      </c>
      <c r="R27" s="26">
        <v>64789</v>
      </c>
      <c r="S27" s="26">
        <v>0</v>
      </c>
      <c r="T27" s="26">
        <v>352474</v>
      </c>
      <c r="U27" s="30">
        <v>0</v>
      </c>
      <c r="V27" s="26">
        <v>180000</v>
      </c>
      <c r="W27" s="30">
        <v>97417</v>
      </c>
      <c r="X27" s="30">
        <v>142047</v>
      </c>
      <c r="Y27" s="30"/>
      <c r="Z27" s="30"/>
      <c r="AA27" s="30"/>
      <c r="AB27" s="26">
        <v>219952</v>
      </c>
      <c r="AC27" s="26">
        <v>0</v>
      </c>
      <c r="AD27" s="194"/>
      <c r="AE27" s="26" cm="1">
        <f t="array" ref="AE27">SUM(AF27:AG27)</f>
        <v>165188</v>
      </c>
      <c r="AF27" s="26">
        <v>126347</v>
      </c>
      <c r="AG27" s="26">
        <v>38841</v>
      </c>
      <c r="AH27" s="26"/>
    </row>
    <row r="28" ht="20.35" customHeight="1">
      <c r="A28" s="186">
        <v>43647</v>
      </c>
      <c r="B28" s="187" cm="1">
        <f t="array" ref="B28">ROUND(C28/'variables - Table 1-1'!B27,0)</f>
        <v>3478</v>
      </c>
      <c r="C28" s="188" cm="1">
        <f t="array" ref="C28">SUM(E28:J28)</f>
        <v>2430795</v>
      </c>
      <c r="D28" s="189" cm="1">
        <f t="array" ref="D28">SUM(E28:G28)</f>
        <v>2430795</v>
      </c>
      <c r="E28" s="188">
        <v>2123338</v>
      </c>
      <c r="F28" s="188">
        <v>89242</v>
      </c>
      <c r="G28" s="188" cm="1">
        <f t="array" ref="G28">'net worth - retiro'!D30</f>
        <v>218215</v>
      </c>
      <c r="H28" s="188" cm="1">
        <f t="array" ref="H28">0</f>
        <v>0</v>
      </c>
      <c r="I28" s="188"/>
      <c r="J28" s="189"/>
      <c r="K28" s="190" cm="1">
        <f t="array" ref="K28">C28-N28</f>
        <v>-1204880</v>
      </c>
      <c r="L28" s="191" cm="1">
        <f t="array" ref="L28">_xlfn.IFERROR(K28/C28,0)</f>
        <v>-0.495673226249026</v>
      </c>
      <c r="M28" s="192" cm="1">
        <f t="array" ref="M28">N28-AE28</f>
        <v>3542249</v>
      </c>
      <c r="N28" s="192" cm="1">
        <f t="array" ref="N28">SUM(P28:X28,AC28)</f>
        <v>3635675</v>
      </c>
      <c r="O28" s="26"/>
      <c r="P28" s="26">
        <v>401423</v>
      </c>
      <c r="Q28" s="26">
        <v>11790</v>
      </c>
      <c r="R28" s="26">
        <v>81516</v>
      </c>
      <c r="S28" s="26">
        <v>0</v>
      </c>
      <c r="T28" s="26">
        <v>1788124</v>
      </c>
      <c r="U28" s="30">
        <v>1000000</v>
      </c>
      <c r="V28" s="26">
        <v>155000</v>
      </c>
      <c r="W28" s="30">
        <v>136198</v>
      </c>
      <c r="X28" s="30">
        <v>61624</v>
      </c>
      <c r="Y28" s="30">
        <v>30000</v>
      </c>
      <c r="Z28" s="30">
        <v>10000</v>
      </c>
      <c r="AA28" s="30">
        <v>80000</v>
      </c>
      <c r="AB28" s="26">
        <v>170771</v>
      </c>
      <c r="AC28" s="26">
        <v>0</v>
      </c>
      <c r="AD28" s="194"/>
      <c r="AE28" s="26" cm="1">
        <f t="array" ref="AE28">SUM(AF28:AG28)</f>
        <v>93426</v>
      </c>
      <c r="AF28" s="26">
        <v>33000</v>
      </c>
      <c r="AG28" s="26">
        <v>60426</v>
      </c>
      <c r="AH28" s="26">
        <v>2165000</v>
      </c>
    </row>
    <row r="29" ht="20.35" customHeight="1">
      <c r="A29" s="186">
        <v>43678</v>
      </c>
      <c r="B29" s="187" cm="1">
        <f t="array" ref="B29">ROUND(C29/'variables - Table 1-1'!B28,0)</f>
        <v>4150</v>
      </c>
      <c r="C29" s="188" cm="1">
        <f t="array" ref="C29">SUM(E29:J29)</f>
        <v>2991383</v>
      </c>
      <c r="D29" s="189" cm="1">
        <f t="array" ref="D29">SUM(E29:G29)</f>
        <v>2431557</v>
      </c>
      <c r="E29" s="188" cm="1">
        <f t="array" ref="E29">2124100</f>
        <v>2124100</v>
      </c>
      <c r="F29" s="188">
        <v>89242</v>
      </c>
      <c r="G29" s="188" cm="1">
        <f t="array" ref="G29">'net worth - retiro'!D31</f>
        <v>218215</v>
      </c>
      <c r="H29" s="188" cm="1">
        <f t="array" ref="H29">'net worth - cash and cash equiv'!D31</f>
        <v>559826</v>
      </c>
      <c r="I29" s="188"/>
      <c r="J29" s="189"/>
      <c r="K29" s="190" cm="1">
        <f t="array" ref="K29">C29-N29</f>
        <v>902538</v>
      </c>
      <c r="L29" s="191" cm="1">
        <f t="array" ref="L29">_xlfn.IFERROR(K29/C29,0)</f>
        <v>0.301712619213254</v>
      </c>
      <c r="M29" s="192" cm="1">
        <f t="array" ref="M29">N29-AE29</f>
        <v>2020772</v>
      </c>
      <c r="N29" s="192" cm="1">
        <f t="array" ref="N29">SUM(P29:X29,AC29)</f>
        <v>2088845</v>
      </c>
      <c r="O29" s="26"/>
      <c r="P29" s="26">
        <v>360634</v>
      </c>
      <c r="Q29" s="26">
        <v>75004</v>
      </c>
      <c r="R29" s="26">
        <v>39540</v>
      </c>
      <c r="S29" s="26">
        <v>0</v>
      </c>
      <c r="T29" s="26">
        <v>305569</v>
      </c>
      <c r="U29" s="30">
        <v>746875</v>
      </c>
      <c r="V29" s="26">
        <v>300000</v>
      </c>
      <c r="W29" s="30">
        <v>166124</v>
      </c>
      <c r="X29" s="30">
        <v>95099</v>
      </c>
      <c r="Y29" s="26">
        <v>5083</v>
      </c>
      <c r="Z29" s="26">
        <v>41640</v>
      </c>
      <c r="AA29" s="30">
        <v>21089</v>
      </c>
      <c r="AB29" s="26">
        <v>56983</v>
      </c>
      <c r="AC29" s="26">
        <v>0</v>
      </c>
      <c r="AD29" s="194"/>
      <c r="AE29" s="26">
        <v>68073</v>
      </c>
      <c r="AF29" s="26">
        <v>30073</v>
      </c>
      <c r="AG29" s="26">
        <v>38000</v>
      </c>
      <c r="AH29" s="26">
        <v>370400</v>
      </c>
    </row>
    <row r="30" ht="20.35" customHeight="1">
      <c r="A30" s="186">
        <v>43709</v>
      </c>
      <c r="B30" s="187" cm="1">
        <f t="array" ref="B30">ROUND(C30/'variables - Table 1-1'!B29,0)</f>
        <v>3432</v>
      </c>
      <c r="C30" s="188" cm="1">
        <f t="array" ref="C30">SUM(E30:J30)</f>
        <v>2491557</v>
      </c>
      <c r="D30" s="189" cm="1">
        <f t="array" ref="D30">SUM(E30:G30)</f>
        <v>2431557</v>
      </c>
      <c r="E30" s="188" cm="1">
        <f t="array" ref="E30">2124100</f>
        <v>2124100</v>
      </c>
      <c r="F30" s="188">
        <v>89242</v>
      </c>
      <c r="G30" s="188" cm="1">
        <f t="array" ref="G30">'net worth - retiro'!D32</f>
        <v>218215</v>
      </c>
      <c r="H30" s="188">
        <v>60000</v>
      </c>
      <c r="I30" s="188"/>
      <c r="J30" s="189"/>
      <c r="K30" s="190" cm="1">
        <f t="array" ref="K30">C30-N30</f>
        <v>-226632</v>
      </c>
      <c r="L30" s="191" cm="1">
        <f t="array" ref="L30">_xlfn.IFERROR(K30/C30,0)</f>
        <v>-0.09095999007849311</v>
      </c>
      <c r="M30" s="192" cm="1">
        <f t="array" ref="M30">N30-AE30</f>
        <v>2654189</v>
      </c>
      <c r="N30" s="192" cm="1">
        <f t="array" ref="N30">SUM(P30:X30,AC30)</f>
        <v>2718189</v>
      </c>
      <c r="O30" s="26"/>
      <c r="P30" s="26">
        <v>190098</v>
      </c>
      <c r="Q30" s="26">
        <v>74310</v>
      </c>
      <c r="R30" s="26">
        <v>30570</v>
      </c>
      <c r="S30" s="26">
        <v>0</v>
      </c>
      <c r="T30" s="26">
        <v>1140223</v>
      </c>
      <c r="U30" s="30" cm="1">
        <f t="array" ref="U30">821783+21283</f>
        <v>843066</v>
      </c>
      <c r="V30" s="26">
        <v>240000</v>
      </c>
      <c r="W30" s="30">
        <v>113935</v>
      </c>
      <c r="X30" s="30">
        <v>85987</v>
      </c>
      <c r="Y30" s="26">
        <v>18699</v>
      </c>
      <c r="Z30" s="26">
        <v>4841</v>
      </c>
      <c r="AA30" s="30">
        <v>35000</v>
      </c>
      <c r="AB30" s="26">
        <v>48272</v>
      </c>
      <c r="AC30" s="26">
        <v>0</v>
      </c>
      <c r="AD30" s="194"/>
      <c r="AE30" s="26" cm="1">
        <f t="array" ref="AE30">SUM(AF30:AG30)</f>
        <v>64000</v>
      </c>
      <c r="AF30" s="26">
        <v>30000</v>
      </c>
      <c r="AG30" s="26">
        <v>34000</v>
      </c>
      <c r="AH30" s="26">
        <v>1034868</v>
      </c>
    </row>
    <row r="31" ht="20.35" customHeight="1">
      <c r="A31" s="186">
        <v>43739</v>
      </c>
      <c r="B31" s="187" cm="1">
        <f t="array" ref="B31">ROUND(C31/'variables - Table 1-1'!B30,0)</f>
        <v>3278</v>
      </c>
      <c r="C31" s="188" cm="1">
        <f t="array" ref="C31">SUM(E31:J31)</f>
        <v>2431728</v>
      </c>
      <c r="D31" s="189" cm="1">
        <f t="array" ref="D31">SUM(E31:G31)</f>
        <v>2431728</v>
      </c>
      <c r="E31" s="188" cm="1">
        <f t="array" ref="E31">2124271</f>
        <v>2124271</v>
      </c>
      <c r="F31" s="188">
        <v>89242</v>
      </c>
      <c r="G31" s="188" cm="1">
        <f t="array" ref="G31">'net worth - retiro'!D33</f>
        <v>218215</v>
      </c>
      <c r="H31" s="188" cm="1">
        <f t="array" ref="H31">0</f>
        <v>0</v>
      </c>
      <c r="I31" s="188"/>
      <c r="J31" s="189"/>
      <c r="K31" s="190" cm="1">
        <f t="array" ref="K31">C31-N31</f>
        <v>529562</v>
      </c>
      <c r="L31" s="191" cm="1">
        <f t="array" ref="L31">_xlfn.IFERROR(K31/C31,0)</f>
        <v>0.217771888961265</v>
      </c>
      <c r="M31" s="192" cm="1">
        <f t="array" ref="M31">N31-AE31</f>
        <v>1855166</v>
      </c>
      <c r="N31" s="192" cm="1">
        <f t="array" ref="N31">SUM(P31:X31,AC31)</f>
        <v>1902166</v>
      </c>
      <c r="O31" s="26"/>
      <c r="P31" s="26">
        <v>392875</v>
      </c>
      <c r="Q31" s="26">
        <v>0</v>
      </c>
      <c r="R31" s="26" cm="1">
        <f t="array" ref="R31">15800+4500</f>
        <v>20300</v>
      </c>
      <c r="S31" s="26">
        <v>29990</v>
      </c>
      <c r="T31" s="26">
        <v>265746</v>
      </c>
      <c r="U31" s="30">
        <v>863945</v>
      </c>
      <c r="V31" s="26">
        <v>228990</v>
      </c>
      <c r="W31" s="30">
        <v>87367</v>
      </c>
      <c r="X31" s="30">
        <v>12953</v>
      </c>
      <c r="Y31" s="26">
        <v>3408</v>
      </c>
      <c r="Z31" s="26">
        <v>2797</v>
      </c>
      <c r="AA31" s="30">
        <v>8166</v>
      </c>
      <c r="AB31" s="26">
        <v>54679</v>
      </c>
      <c r="AC31" s="26">
        <v>0</v>
      </c>
      <c r="AD31" s="194"/>
      <c r="AE31" s="26" cm="1">
        <f t="array" ref="AE31">SUM(AF31:AG31)</f>
        <v>47000</v>
      </c>
      <c r="AF31" s="26">
        <v>0</v>
      </c>
      <c r="AG31" s="26">
        <v>47000</v>
      </c>
      <c r="AH31" s="26">
        <v>258490</v>
      </c>
    </row>
    <row r="32" ht="20.35" customHeight="1">
      <c r="A32" s="186">
        <v>43770</v>
      </c>
      <c r="B32" s="187" cm="1">
        <f t="array" ref="B32">ROUND(C32/'variables - Table 1-1'!B31,0)</f>
        <v>3419</v>
      </c>
      <c r="C32" s="188" cm="1">
        <f t="array" ref="C32">SUM(E32:J32)</f>
        <v>2831898</v>
      </c>
      <c r="D32" s="189" cm="1">
        <f t="array" ref="D32">SUM(E32:G32)</f>
        <v>2431898</v>
      </c>
      <c r="E32" s="188" cm="1">
        <f t="array" ref="E32">2124441</f>
        <v>2124441</v>
      </c>
      <c r="F32" s="188">
        <v>89242</v>
      </c>
      <c r="G32" s="188" cm="1">
        <f t="array" ref="G32">'net worth - retiro'!D34</f>
        <v>218215</v>
      </c>
      <c r="H32" s="188">
        <v>400000</v>
      </c>
      <c r="I32" s="188"/>
      <c r="J32" s="189"/>
      <c r="K32" s="190" cm="1">
        <f t="array" ref="K32">C32-N32</f>
        <v>564340</v>
      </c>
      <c r="L32" s="191" cm="1">
        <f t="array" ref="L32">_xlfn.IFERROR(K32/C32,0)</f>
        <v>0.199279776319627</v>
      </c>
      <c r="M32" s="192" cm="1">
        <f t="array" ref="M32">N32-AE32</f>
        <v>2047068</v>
      </c>
      <c r="N32" s="192" cm="1">
        <f t="array" ref="N32">SUM(P32:X32,AC32)</f>
        <v>2267558</v>
      </c>
      <c r="O32" s="26"/>
      <c r="P32" s="26">
        <v>223294</v>
      </c>
      <c r="Q32" s="26">
        <v>0</v>
      </c>
      <c r="R32" s="26">
        <v>64352</v>
      </c>
      <c r="S32" s="26">
        <v>33480</v>
      </c>
      <c r="T32" s="26">
        <v>518424</v>
      </c>
      <c r="U32" s="30">
        <v>851582</v>
      </c>
      <c r="V32" s="26">
        <v>456000</v>
      </c>
      <c r="W32" s="30">
        <v>103935</v>
      </c>
      <c r="X32" s="30">
        <v>16491</v>
      </c>
      <c r="Y32" s="26">
        <v>9290</v>
      </c>
      <c r="Z32" s="26">
        <v>0</v>
      </c>
      <c r="AA32" s="30">
        <v>0</v>
      </c>
      <c r="AB32" s="26">
        <v>360012</v>
      </c>
      <c r="AC32" s="26">
        <v>0</v>
      </c>
      <c r="AD32" s="194"/>
      <c r="AE32" s="26">
        <v>220490</v>
      </c>
      <c r="AF32" s="26">
        <v>0</v>
      </c>
      <c r="AG32" s="26">
        <v>220490</v>
      </c>
      <c r="AH32" s="26">
        <v>868794</v>
      </c>
    </row>
    <row r="33" ht="20.35" customHeight="1">
      <c r="A33" s="186">
        <v>43800</v>
      </c>
      <c r="B33" s="187" cm="1">
        <f t="array" ref="B33">ROUND(C33/'variables - Table 1-1'!B32,0)</f>
        <v>3321</v>
      </c>
      <c r="C33" s="188" cm="1">
        <f t="array" ref="C33">SUM(E33:J33)</f>
        <v>2431898</v>
      </c>
      <c r="D33" s="189" cm="1">
        <f t="array" ref="D33">SUM(E33:G33)</f>
        <v>2431898</v>
      </c>
      <c r="E33" s="188" cm="1">
        <f t="array" ref="E33">2124441</f>
        <v>2124441</v>
      </c>
      <c r="F33" s="188">
        <v>89242</v>
      </c>
      <c r="G33" s="188" cm="1">
        <f t="array" ref="G33">'net worth - retiro'!D35</f>
        <v>218215</v>
      </c>
      <c r="H33" s="188"/>
      <c r="I33" s="188"/>
      <c r="J33" s="189"/>
      <c r="K33" s="190" cm="1">
        <f t="array" ref="K33">C33-N33</f>
        <v>295039</v>
      </c>
      <c r="L33" s="191" cm="1">
        <f t="array" ref="L33">_xlfn.IFERROR(K33/C33,0)</f>
        <v>0.121320466565621</v>
      </c>
      <c r="M33" s="192" cm="1">
        <f t="array" ref="M33">N33-AE33</f>
        <v>2052909</v>
      </c>
      <c r="N33" s="192" cm="1">
        <f t="array" ref="N33">SUM(P33:X33,AC33)</f>
        <v>2136859</v>
      </c>
      <c r="O33" s="26"/>
      <c r="P33" s="26">
        <v>277362</v>
      </c>
      <c r="Q33" s="26">
        <v>54514</v>
      </c>
      <c r="R33" s="26">
        <v>52612</v>
      </c>
      <c r="S33" s="26">
        <v>0</v>
      </c>
      <c r="T33" s="26">
        <v>557394</v>
      </c>
      <c r="U33" s="30">
        <v>832012</v>
      </c>
      <c r="V33" s="26">
        <v>248465</v>
      </c>
      <c r="W33" s="30">
        <v>112500</v>
      </c>
      <c r="X33" s="30">
        <v>2000</v>
      </c>
      <c r="Y33" s="26">
        <v>0</v>
      </c>
      <c r="Z33" s="26">
        <v>2000</v>
      </c>
      <c r="AA33" s="30">
        <v>0</v>
      </c>
      <c r="AB33" s="26">
        <v>60239</v>
      </c>
      <c r="AC33" s="26">
        <v>0</v>
      </c>
      <c r="AD33" s="194"/>
      <c r="AE33" s="26" cm="1">
        <f t="array" ref="AE33">SUM(AF33:AG33)</f>
        <v>83950</v>
      </c>
      <c r="AF33" s="26">
        <v>0</v>
      </c>
      <c r="AG33" s="26">
        <v>83950</v>
      </c>
      <c r="AH33" s="26">
        <v>462114</v>
      </c>
    </row>
    <row r="34" ht="20.35" customHeight="1">
      <c r="A34" s="186">
        <v>43831</v>
      </c>
      <c r="B34" s="187" cm="1">
        <f t="array" ref="B34">ROUND(C34/'variables - Table 1-1'!B33,0)</f>
        <v>3053</v>
      </c>
      <c r="C34" s="188" cm="1">
        <f t="array" ref="C34">SUM(E34:J34)</f>
        <v>2432584</v>
      </c>
      <c r="D34" s="189" cm="1">
        <f t="array" ref="D34">SUM(E34:G34)</f>
        <v>2432584</v>
      </c>
      <c r="E34" s="188">
        <v>2125127</v>
      </c>
      <c r="F34" s="188">
        <v>89242</v>
      </c>
      <c r="G34" s="188" cm="1">
        <f t="array" ref="G34">'net worth - retiro'!D36</f>
        <v>218215</v>
      </c>
      <c r="H34" s="188"/>
      <c r="I34" s="188"/>
      <c r="J34" s="189"/>
      <c r="K34" s="190" cm="1">
        <f t="array" ref="K34">C34-N34</f>
        <v>360975</v>
      </c>
      <c r="L34" s="191" cm="1">
        <f t="array" ref="L34">_xlfn.IFERROR(K34/C34,0)</f>
        <v>0.148391586888675</v>
      </c>
      <c r="M34" s="192" cm="1">
        <f t="array" ref="M34">N34-AE34</f>
        <v>2061142</v>
      </c>
      <c r="N34" s="192" cm="1">
        <f t="array" ref="N34">SUM(P34:X34,AC34)</f>
        <v>2071609</v>
      </c>
      <c r="O34" s="26"/>
      <c r="P34" s="26">
        <v>246302</v>
      </c>
      <c r="Q34" s="26">
        <v>112762</v>
      </c>
      <c r="R34" s="26" cm="1">
        <f t="array" ref="R34">50480+9240</f>
        <v>59720</v>
      </c>
      <c r="S34" s="26">
        <v>0</v>
      </c>
      <c r="T34" s="26">
        <v>432600</v>
      </c>
      <c r="U34" s="30">
        <v>843276</v>
      </c>
      <c r="V34" s="26">
        <v>195760</v>
      </c>
      <c r="W34" s="30">
        <v>122787</v>
      </c>
      <c r="X34" s="30">
        <v>58402</v>
      </c>
      <c r="Y34" s="26">
        <v>6573</v>
      </c>
      <c r="Z34" s="26">
        <v>41379</v>
      </c>
      <c r="AA34" s="30">
        <v>8900</v>
      </c>
      <c r="AB34" s="26">
        <v>65033</v>
      </c>
      <c r="AC34" s="26">
        <v>0</v>
      </c>
      <c r="AD34" s="194"/>
      <c r="AE34" s="26" cm="1">
        <f t="array" ref="AE34">SUM(AF34:AG34)</f>
        <v>10467</v>
      </c>
      <c r="AF34" s="26">
        <v>0</v>
      </c>
      <c r="AG34" s="26">
        <v>10467</v>
      </c>
      <c r="AH34" s="26">
        <v>315000</v>
      </c>
    </row>
    <row r="35" ht="20.35" customHeight="1">
      <c r="A35" s="186">
        <v>43862</v>
      </c>
      <c r="B35" s="187" cm="1">
        <f t="array" ref="B35">ROUND(C35/'variables - Table 1-1'!B34,0)</f>
        <v>3124</v>
      </c>
      <c r="C35" s="188" cm="1">
        <f t="array" ref="C35">SUM(E35:J35)</f>
        <v>2542827</v>
      </c>
      <c r="D35" s="189" cm="1">
        <f t="array" ref="D35">SUM(E35:G35)</f>
        <v>2542827</v>
      </c>
      <c r="E35" s="188">
        <v>2125214</v>
      </c>
      <c r="F35" s="188" cm="1">
        <f t="array" ref="F35">'presupuesto - Ingreso líquido'!$D$19</f>
        <v>199398</v>
      </c>
      <c r="G35" s="188" cm="1">
        <f t="array" ref="G35">'net worth - retiro'!D37</f>
        <v>218215</v>
      </c>
      <c r="H35" s="188"/>
      <c r="I35" s="188"/>
      <c r="J35" s="189"/>
      <c r="K35" s="190" cm="1">
        <f t="array" ref="K35">C35-N35</f>
        <v>1059817</v>
      </c>
      <c r="L35" s="191" cm="1">
        <f t="array" ref="L35">_xlfn.IFERROR(K35/C35,0)</f>
        <v>0.416786906856031</v>
      </c>
      <c r="M35" s="192" cm="1">
        <f t="array" ref="M35">N35-AE35</f>
        <v>1483010</v>
      </c>
      <c r="N35" s="192" cm="1">
        <f t="array" ref="N35">SUM(P35:X35,AC35)</f>
        <v>1483010</v>
      </c>
      <c r="O35" s="26"/>
      <c r="P35" s="26">
        <v>86111</v>
      </c>
      <c r="Q35" s="26">
        <v>0</v>
      </c>
      <c r="R35" s="26">
        <v>14490</v>
      </c>
      <c r="S35" s="26">
        <v>127062</v>
      </c>
      <c r="T35" s="26">
        <v>170416</v>
      </c>
      <c r="U35" s="30">
        <v>849309</v>
      </c>
      <c r="V35" s="26">
        <v>119990</v>
      </c>
      <c r="W35" s="30">
        <v>88129</v>
      </c>
      <c r="X35" s="30">
        <v>27503</v>
      </c>
      <c r="Y35" s="26">
        <v>4376</v>
      </c>
      <c r="Z35" s="26">
        <v>22427</v>
      </c>
      <c r="AA35" s="30">
        <v>0</v>
      </c>
      <c r="AB35" s="26">
        <v>81593</v>
      </c>
      <c r="AC35" s="26">
        <v>0</v>
      </c>
      <c r="AD35" s="194"/>
      <c r="AE35" s="26" cm="1">
        <f t="array" ref="AE35">SUM(AF35:AG35)</f>
        <v>0</v>
      </c>
      <c r="AF35" s="26">
        <v>0</v>
      </c>
      <c r="AG35" s="26">
        <v>0</v>
      </c>
      <c r="AH35" s="26">
        <v>193488</v>
      </c>
    </row>
    <row r="36" ht="20.35" customHeight="1">
      <c r="A36" s="186">
        <v>43891</v>
      </c>
      <c r="B36" s="187" cm="1">
        <f t="array" ref="B36">ROUND(C36/'variables - Table 1-1'!B35,0)</f>
        <v>10381</v>
      </c>
      <c r="C36" s="188" cm="1">
        <f t="array" ref="C36">SUM(E36:J36)</f>
        <v>8919021</v>
      </c>
      <c r="D36" s="189" cm="1">
        <f t="array" ref="D36">SUM(E36:G36)</f>
        <v>2542914</v>
      </c>
      <c r="E36" s="188" cm="1">
        <f t="array" ref="E36">2125301</f>
        <v>2125301</v>
      </c>
      <c r="F36" s="188" cm="1">
        <f t="array" ref="F36">'presupuesto - Ingreso líquido'!$D$19</f>
        <v>199398</v>
      </c>
      <c r="G36" s="188" cm="1">
        <f t="array" ref="G36">'net worth - retiro'!D38</f>
        <v>218215</v>
      </c>
      <c r="H36" s="188">
        <v>6376107</v>
      </c>
      <c r="I36" s="188"/>
      <c r="J36" s="189"/>
      <c r="K36" s="190" cm="1">
        <f t="array" ref="K36">C36-N36</f>
        <v>5098231</v>
      </c>
      <c r="L36" s="191" cm="1">
        <f t="array" ref="L36">_xlfn.IFERROR(K36/C36,0)</f>
        <v>0.571613297019931</v>
      </c>
      <c r="M36" s="192" cm="1">
        <f t="array" ref="M36">N36-AE36</f>
        <v>3820790</v>
      </c>
      <c r="N36" s="192" cm="1">
        <f t="array" ref="N36">SUM(P36:X36,AC36)</f>
        <v>3820790</v>
      </c>
      <c r="O36" s="26"/>
      <c r="P36" s="26">
        <v>435108</v>
      </c>
      <c r="Q36" s="26">
        <v>0</v>
      </c>
      <c r="R36" s="26">
        <v>1500</v>
      </c>
      <c r="S36" s="26">
        <v>0</v>
      </c>
      <c r="T36" s="26">
        <v>2080691</v>
      </c>
      <c r="U36" s="30">
        <v>813191</v>
      </c>
      <c r="V36" s="26">
        <v>270010</v>
      </c>
      <c r="W36" s="30">
        <v>104170</v>
      </c>
      <c r="X36" s="30">
        <v>116120</v>
      </c>
      <c r="Y36" s="26">
        <v>2731</v>
      </c>
      <c r="Z36" s="26">
        <v>0</v>
      </c>
      <c r="AA36" s="30">
        <v>32036</v>
      </c>
      <c r="AB36" s="26">
        <v>421834</v>
      </c>
      <c r="AC36" s="26">
        <v>0</v>
      </c>
      <c r="AD36" s="194"/>
      <c r="AE36" s="26" cm="1">
        <f t="array" ref="AE36">SUM(AF36:AG36)</f>
        <v>0</v>
      </c>
      <c r="AF36" s="26">
        <v>0</v>
      </c>
      <c r="AG36" s="26">
        <v>0</v>
      </c>
      <c r="AH36" s="26">
        <v>1862131</v>
      </c>
    </row>
    <row r="37" ht="20.35" customHeight="1">
      <c r="A37" s="186">
        <v>43922</v>
      </c>
      <c r="B37" s="187" cm="1">
        <f t="array" ref="B37">ROUND(C37/'variables - Table 1-1'!B36,0)</f>
        <v>465</v>
      </c>
      <c r="C37" s="188" cm="1">
        <f t="array" ref="C37">SUM(E37:J37)-F37</f>
        <v>388237</v>
      </c>
      <c r="D37" s="189" cm="1">
        <f t="array" ref="D37">SUM(E37:G37)</f>
        <v>383729</v>
      </c>
      <c r="E37" s="188">
        <v>167139</v>
      </c>
      <c r="F37" s="188" cm="1">
        <f t="array" ref="F37">'presupuesto - Ingreso líquido'!$D$19</f>
        <v>199398</v>
      </c>
      <c r="G37" s="188" cm="1">
        <f t="array" ref="G37">'net worth - retiro'!D39</f>
        <v>17192</v>
      </c>
      <c r="H37" s="188" cm="1">
        <f t="array" ref="H37">203906</f>
        <v>203906</v>
      </c>
      <c r="I37" s="188"/>
      <c r="J37" s="189"/>
      <c r="K37" s="190" cm="1">
        <f t="array" ref="K37">C37-N37</f>
        <v>-1284575</v>
      </c>
      <c r="L37" s="191" cm="1">
        <f t="array" ref="L37">_xlfn.IFERROR(K37/C37,0)</f>
        <v>-3.30873924947906</v>
      </c>
      <c r="M37" s="192" cm="1">
        <f t="array" ref="M37">N37-AE37</f>
        <v>1672812</v>
      </c>
      <c r="N37" s="192" cm="1">
        <f t="array" ref="N37">SUM(P37:X37,AC37)</f>
        <v>1672812</v>
      </c>
      <c r="O37" s="26"/>
      <c r="P37" s="26">
        <v>247329</v>
      </c>
      <c r="Q37" s="26">
        <v>0</v>
      </c>
      <c r="R37" s="26">
        <v>0</v>
      </c>
      <c r="S37" s="26">
        <v>0</v>
      </c>
      <c r="T37" s="26">
        <v>92565</v>
      </c>
      <c r="U37" s="30">
        <v>840735</v>
      </c>
      <c r="V37" s="26">
        <v>382000</v>
      </c>
      <c r="W37" s="30">
        <v>110183</v>
      </c>
      <c r="X37" s="30">
        <v>0</v>
      </c>
      <c r="Y37" s="26">
        <v>0</v>
      </c>
      <c r="Z37" s="26">
        <v>0</v>
      </c>
      <c r="AA37" s="30">
        <v>0</v>
      </c>
      <c r="AB37" s="26">
        <v>73426</v>
      </c>
      <c r="AC37" s="26">
        <v>0</v>
      </c>
      <c r="AD37" s="194"/>
      <c r="AE37" s="26" cm="1">
        <f t="array" ref="AE37">SUM(AF37:AG37)</f>
        <v>0</v>
      </c>
      <c r="AF37" s="26">
        <v>0</v>
      </c>
      <c r="AG37" s="26">
        <v>0</v>
      </c>
      <c r="AH37" s="26">
        <v>0</v>
      </c>
    </row>
    <row r="38" ht="20.35" customHeight="1">
      <c r="A38" s="186">
        <v>43952</v>
      </c>
      <c r="B38" s="187" cm="1">
        <f t="array" ref="B38">ROUND(C38/'variables - Table 1-1'!B37,0)</f>
        <v>0</v>
      </c>
      <c r="C38" s="188" cm="1">
        <f t="array" ref="C38">SUM(E38:J38)-F38</f>
        <v>0</v>
      </c>
      <c r="D38" s="189" cm="1">
        <f t="array" ref="D38">SUM(E38:G38)-F38</f>
        <v>0</v>
      </c>
      <c r="E38" s="188" cm="1">
        <f t="array" ref="E38">0</f>
        <v>0</v>
      </c>
      <c r="F38" s="188" cm="1">
        <f t="array" ref="F38">'presupuesto - Ingreso líquido'!$D$19</f>
        <v>199398</v>
      </c>
      <c r="G38" s="188" cm="1">
        <f t="array" ref="G38">'net worth - retiro'!D40</f>
        <v>0</v>
      </c>
      <c r="H38" s="188"/>
      <c r="I38" s="188"/>
      <c r="J38" s="189"/>
      <c r="K38" s="190" cm="1">
        <f t="array" ref="K38">C38-N38</f>
        <v>-1286928</v>
      </c>
      <c r="L38" s="191" cm="1">
        <f t="array" ref="L38">_xlfn.IFERROR(K38/C38,0)</f>
        <v>0</v>
      </c>
      <c r="M38" s="192" cm="1">
        <f t="array" ref="M38">N38-AE38</f>
        <v>1206928</v>
      </c>
      <c r="N38" s="192" cm="1">
        <f t="array" ref="N38">SUM(P38:X38,AC38)</f>
        <v>1286928</v>
      </c>
      <c r="O38" s="26"/>
      <c r="P38" s="26">
        <v>144756</v>
      </c>
      <c r="Q38" s="26">
        <v>0</v>
      </c>
      <c r="R38" s="26">
        <v>0</v>
      </c>
      <c r="S38" s="26">
        <v>0</v>
      </c>
      <c r="T38" s="26">
        <v>28580</v>
      </c>
      <c r="U38" s="30">
        <v>839197</v>
      </c>
      <c r="V38" s="26">
        <v>185000</v>
      </c>
      <c r="W38" s="30">
        <v>89395</v>
      </c>
      <c r="X38" s="30">
        <v>0</v>
      </c>
      <c r="Y38" s="26">
        <v>0</v>
      </c>
      <c r="Z38" s="26">
        <v>0</v>
      </c>
      <c r="AA38" s="30">
        <v>0</v>
      </c>
      <c r="AB38" s="26">
        <v>36430</v>
      </c>
      <c r="AC38" s="26">
        <v>0</v>
      </c>
      <c r="AD38" s="194"/>
      <c r="AE38" s="26" cm="1">
        <f t="array" ref="AE38">SUM(AF38:AG38)</f>
        <v>80000</v>
      </c>
      <c r="AF38" s="26">
        <v>80000</v>
      </c>
      <c r="AG38" s="26">
        <v>0</v>
      </c>
      <c r="AH38" s="26">
        <v>0</v>
      </c>
    </row>
    <row r="39" ht="20.35" customHeight="1">
      <c r="A39" s="186">
        <v>43983</v>
      </c>
      <c r="B39" s="187" cm="1">
        <f t="array" ref="B39">ROUND(C39/'variables - Table 1-1'!B38,0)</f>
        <v>0</v>
      </c>
      <c r="C39" s="188" cm="1">
        <f t="array" ref="C39">SUM(E39:J39)-F39</f>
        <v>0</v>
      </c>
      <c r="D39" s="189" cm="1">
        <f t="array" ref="D39">SUM(E39:G39)-F39</f>
        <v>0</v>
      </c>
      <c r="E39" s="188"/>
      <c r="F39" s="188" cm="1">
        <f t="array" ref="F39">'presupuesto - Ingreso líquido'!$D$19</f>
        <v>199398</v>
      </c>
      <c r="G39" s="188" cm="1">
        <f t="array" ref="G39">'net worth - retiro'!D41</f>
        <v>0</v>
      </c>
      <c r="H39" s="188"/>
      <c r="I39" s="188"/>
      <c r="J39" s="189"/>
      <c r="K39" s="190" cm="1">
        <f t="array" ref="K39">C39-N39</f>
        <v>-1614627</v>
      </c>
      <c r="L39" s="191" cm="1">
        <f t="array" ref="L39">_xlfn.IFERROR(K39/C39,0)</f>
        <v>0</v>
      </c>
      <c r="M39" s="192" cm="1">
        <f t="array" ref="M39">N39-AE39</f>
        <v>1557627</v>
      </c>
      <c r="N39" s="192" cm="1">
        <f t="array" ref="N39">SUM(P39:X39,AC39)</f>
        <v>1614627</v>
      </c>
      <c r="O39" s="26"/>
      <c r="P39" s="26">
        <v>206948</v>
      </c>
      <c r="Q39" s="26">
        <v>0</v>
      </c>
      <c r="R39" s="26">
        <v>0</v>
      </c>
      <c r="S39" s="26">
        <v>0</v>
      </c>
      <c r="T39" s="26">
        <v>371450</v>
      </c>
      <c r="U39" s="30">
        <v>860647</v>
      </c>
      <c r="V39" s="26">
        <v>46000</v>
      </c>
      <c r="W39" s="30" cm="1">
        <f t="array" ref="W39">218582-89000</f>
        <v>129582</v>
      </c>
      <c r="X39" s="30">
        <v>0</v>
      </c>
      <c r="Y39" s="26">
        <v>0</v>
      </c>
      <c r="Z39" s="26">
        <v>0</v>
      </c>
      <c r="AA39" s="30">
        <v>0</v>
      </c>
      <c r="AB39" s="26">
        <v>44694</v>
      </c>
      <c r="AC39" s="26">
        <v>0</v>
      </c>
      <c r="AD39" s="194"/>
      <c r="AE39" s="26" cm="1">
        <f t="array" ref="AE39">SUM(AF39:AG39)</f>
        <v>57000</v>
      </c>
      <c r="AF39" s="26">
        <v>57000</v>
      </c>
      <c r="AG39" s="26">
        <v>0</v>
      </c>
      <c r="AH39" s="26">
        <v>0</v>
      </c>
    </row>
    <row r="40" ht="20.35" customHeight="1">
      <c r="A40" s="186">
        <v>44013</v>
      </c>
      <c r="B40" s="187" cm="1">
        <f t="array" ref="B40">ROUND(C40/'variables - Table 1-1'!B39,0)</f>
        <v>0</v>
      </c>
      <c r="C40" s="188" cm="1">
        <f t="array" ref="C40">SUM(E40:J40)-F40</f>
        <v>0</v>
      </c>
      <c r="D40" s="189" cm="1">
        <f t="array" ref="D40">SUM(E40:G40)-F40</f>
        <v>0</v>
      </c>
      <c r="E40" s="188"/>
      <c r="F40" s="188" cm="1">
        <f t="array" ref="F40">'presupuesto - Ingreso líquido'!$D$19</f>
        <v>199398</v>
      </c>
      <c r="G40" s="188" cm="1">
        <f t="array" ref="G40">'net worth - retiro'!D42</f>
        <v>0</v>
      </c>
      <c r="H40" s="188"/>
      <c r="I40" s="188"/>
      <c r="J40" s="189"/>
      <c r="K40" s="190" cm="1">
        <f t="array" ref="K40">C40-N40</f>
        <v>-1233945</v>
      </c>
      <c r="L40" s="191" cm="1">
        <f t="array" ref="L40">_xlfn.IFERROR(K40/C40,0)</f>
        <v>0</v>
      </c>
      <c r="M40" s="192" cm="1">
        <f t="array" ref="M40">N40-AE40</f>
        <v>1233945</v>
      </c>
      <c r="N40" s="192" cm="1">
        <f t="array" ref="N40">SUM(P40:X40,AC40)</f>
        <v>1233945</v>
      </c>
      <c r="O40" s="26"/>
      <c r="P40" s="26">
        <v>143861</v>
      </c>
      <c r="Q40" s="26">
        <v>0</v>
      </c>
      <c r="R40" s="26">
        <v>0</v>
      </c>
      <c r="S40" s="26">
        <v>0</v>
      </c>
      <c r="T40" s="26" cm="1">
        <f t="array" ref="T40">942228-832064</f>
        <v>110164</v>
      </c>
      <c r="U40" s="30">
        <v>846355</v>
      </c>
      <c r="V40" s="26">
        <v>31980</v>
      </c>
      <c r="W40" s="30">
        <v>101585</v>
      </c>
      <c r="X40" s="30">
        <v>0</v>
      </c>
      <c r="Y40" s="26">
        <v>0</v>
      </c>
      <c r="Z40" s="26">
        <v>0</v>
      </c>
      <c r="AA40" s="30">
        <v>0</v>
      </c>
      <c r="AB40" s="26">
        <v>97805</v>
      </c>
      <c r="AC40" s="26">
        <v>0</v>
      </c>
      <c r="AD40" s="194"/>
      <c r="AE40" s="26" cm="1">
        <f t="array" ref="AE40">SUM(AF40:AG40)</f>
        <v>0</v>
      </c>
      <c r="AF40" s="26">
        <v>0</v>
      </c>
      <c r="AG40" s="26" cm="1">
        <f t="array" ref="AG40">0</f>
        <v>0</v>
      </c>
      <c r="AH40" s="26">
        <v>77326</v>
      </c>
    </row>
    <row r="41" ht="20.35" customHeight="1">
      <c r="A41" s="186">
        <v>44044</v>
      </c>
      <c r="B41" s="187" cm="1">
        <f t="array" ref="B41">ROUND(C41/'variables - Table 1-1'!B40,0)</f>
        <v>3244</v>
      </c>
      <c r="C41" s="188" cm="1">
        <f t="array" ref="C41">SUM(E41:J41)</f>
        <v>2527269</v>
      </c>
      <c r="D41" s="189" cm="1">
        <f t="array" ref="D41">SUM(E41:G41)</f>
        <v>2427269</v>
      </c>
      <c r="E41" s="188">
        <v>2000001</v>
      </c>
      <c r="F41" s="188" cm="1">
        <f t="array" ref="F41">'presupuesto - Ingreso líquido'!$D$19</f>
        <v>199398</v>
      </c>
      <c r="G41" s="188" cm="1">
        <f t="array" ref="G41">'net worth - retiro'!D43</f>
        <v>227870</v>
      </c>
      <c r="H41" s="188">
        <v>100000</v>
      </c>
      <c r="I41" s="188"/>
      <c r="J41" s="189"/>
      <c r="K41" s="190" cm="1">
        <f t="array" ref="K41">C41-N41</f>
        <v>641153</v>
      </c>
      <c r="L41" s="191" cm="1">
        <f t="array" ref="L41">_xlfn.IFERROR(K41/C41,0)</f>
        <v>0.253694007246557</v>
      </c>
      <c r="M41" s="192" cm="1">
        <f t="array" ref="M41">N41-AE41</f>
        <v>1486116</v>
      </c>
      <c r="N41" s="192" cm="1">
        <f t="array" ref="N41">SUM(P41:X41,AC41)</f>
        <v>1886116</v>
      </c>
      <c r="O41" s="26"/>
      <c r="P41" s="26">
        <v>225066</v>
      </c>
      <c r="Q41" s="26">
        <v>0</v>
      </c>
      <c r="R41" s="26">
        <v>0</v>
      </c>
      <c r="S41" s="26">
        <v>0</v>
      </c>
      <c r="T41" s="26">
        <v>417365</v>
      </c>
      <c r="U41" s="30">
        <v>839762</v>
      </c>
      <c r="V41" s="26">
        <v>302440</v>
      </c>
      <c r="W41" s="30">
        <v>101483</v>
      </c>
      <c r="X41" s="30">
        <v>0</v>
      </c>
      <c r="Y41" s="26">
        <v>0</v>
      </c>
      <c r="Z41" s="26">
        <v>0</v>
      </c>
      <c r="AA41" s="30">
        <v>0</v>
      </c>
      <c r="AB41" s="26">
        <v>14695</v>
      </c>
      <c r="AC41" s="26">
        <v>0</v>
      </c>
      <c r="AD41" s="194"/>
      <c r="AE41" s="26" cm="1">
        <f t="array" ref="AE41">SUM(AF41:AG41)</f>
        <v>400000</v>
      </c>
      <c r="AF41" s="26">
        <v>0</v>
      </c>
      <c r="AG41" s="26">
        <v>400000</v>
      </c>
      <c r="AH41" s="26">
        <v>0</v>
      </c>
    </row>
    <row r="42" ht="20.35" customHeight="1">
      <c r="A42" s="186">
        <v>44075</v>
      </c>
      <c r="B42" s="187" cm="1">
        <f t="array" ref="B42">ROUND(C42/'variables - Table 1-1'!B41,0)</f>
        <v>3096</v>
      </c>
      <c r="C42" s="188" cm="1">
        <f t="array" ref="C42">SUM(E42:J42)</f>
        <v>2427182</v>
      </c>
      <c r="D42" s="189" cm="1">
        <f t="array" ref="D42">SUM(E42:G42)</f>
        <v>2427182</v>
      </c>
      <c r="E42" s="188" cm="1">
        <f t="array" ref="E42">1999914</f>
        <v>1999914</v>
      </c>
      <c r="F42" s="188" cm="1">
        <f t="array" ref="F42">'presupuesto - Ingreso líquido'!$D$19</f>
        <v>199398</v>
      </c>
      <c r="G42" s="188" cm="1">
        <f t="array" ref="G42">'net worth - retiro'!D44</f>
        <v>227870</v>
      </c>
      <c r="H42" s="188"/>
      <c r="I42" s="188"/>
      <c r="J42" s="189"/>
      <c r="K42" s="190" cm="1">
        <f t="array" ref="K42">C42-N42</f>
        <v>192178</v>
      </c>
      <c r="L42" s="191" cm="1">
        <f t="array" ref="L42">_xlfn.IFERROR(K42/C42,0)</f>
        <v>0.07917741644425511</v>
      </c>
      <c r="M42" s="192" cm="1">
        <f t="array" ref="M42">N42-AE42</f>
        <v>2198004</v>
      </c>
      <c r="N42" s="192" cm="1">
        <f t="array" ref="N42">SUM(P42:X42,AC42)</f>
        <v>2235004</v>
      </c>
      <c r="O42" s="26"/>
      <c r="P42" s="26">
        <v>236159</v>
      </c>
      <c r="Q42" s="26">
        <v>23870</v>
      </c>
      <c r="R42" s="26">
        <v>0</v>
      </c>
      <c r="S42" s="26">
        <v>0</v>
      </c>
      <c r="T42" s="26">
        <v>582115</v>
      </c>
      <c r="U42" s="30">
        <v>917981</v>
      </c>
      <c r="V42" s="26">
        <v>265000</v>
      </c>
      <c r="W42" s="30">
        <v>119813</v>
      </c>
      <c r="X42" s="30">
        <v>90066</v>
      </c>
      <c r="Y42" s="26">
        <v>6266</v>
      </c>
      <c r="Z42" s="26">
        <v>0</v>
      </c>
      <c r="AA42" s="30">
        <v>0</v>
      </c>
      <c r="AB42" s="26">
        <v>67802</v>
      </c>
      <c r="AC42" s="26">
        <v>0</v>
      </c>
      <c r="AD42" s="194"/>
      <c r="AE42" s="26" cm="1">
        <f t="array" ref="AE42">SUM(AF42:AG42)</f>
        <v>37000</v>
      </c>
      <c r="AF42" s="26">
        <v>0</v>
      </c>
      <c r="AG42" s="26">
        <v>37000</v>
      </c>
      <c r="AH42" s="26">
        <v>667015</v>
      </c>
    </row>
    <row r="43" ht="20.35" customHeight="1">
      <c r="A43" s="186">
        <v>44105</v>
      </c>
      <c r="B43" s="187" cm="1">
        <f t="array" ref="B43">ROUND(C43/'variables - Table 1-1'!B42,0)</f>
        <v>3144</v>
      </c>
      <c r="C43" s="188" cm="1">
        <f t="array" ref="C43">SUM(E43:J43)</f>
        <v>2425801</v>
      </c>
      <c r="D43" s="189" cm="1">
        <f t="array" ref="D43">SUM(E43:G43)</f>
        <v>2425801</v>
      </c>
      <c r="E43" s="188">
        <v>1998533</v>
      </c>
      <c r="F43" s="188" cm="1">
        <f t="array" ref="F43">'presupuesto - Ingreso líquido'!$D$19</f>
        <v>199398</v>
      </c>
      <c r="G43" s="188" cm="1">
        <f t="array" ref="G43">'net worth - retiro'!D45</f>
        <v>227870</v>
      </c>
      <c r="H43" s="188"/>
      <c r="I43" s="188"/>
      <c r="J43" s="189"/>
      <c r="K43" s="190" cm="1">
        <f t="array" ref="K43">C43-N43</f>
        <v>920964</v>
      </c>
      <c r="L43" s="191" cm="1">
        <f t="array" ref="L43">_xlfn.IFERROR(K43/C43,0)</f>
        <v>0.379653565976764</v>
      </c>
      <c r="M43" s="192" cm="1">
        <f t="array" ref="M43">N43-AE43</f>
        <v>1504837</v>
      </c>
      <c r="N43" s="192" cm="1">
        <f t="array" ref="N43">SUM(P43:X43,AC43)</f>
        <v>1504837</v>
      </c>
      <c r="O43" s="26"/>
      <c r="P43" s="26">
        <v>275767</v>
      </c>
      <c r="Q43" s="26">
        <v>0</v>
      </c>
      <c r="R43" s="26">
        <v>0</v>
      </c>
      <c r="S43" s="26">
        <v>0</v>
      </c>
      <c r="T43" s="26">
        <v>208314</v>
      </c>
      <c r="U43" s="30">
        <v>861986</v>
      </c>
      <c r="V43" s="26">
        <v>53388</v>
      </c>
      <c r="W43" s="30">
        <v>105382</v>
      </c>
      <c r="X43" s="30">
        <v>0</v>
      </c>
      <c r="Y43" s="26">
        <v>0</v>
      </c>
      <c r="Z43" s="26">
        <v>0</v>
      </c>
      <c r="AA43" s="30">
        <v>0</v>
      </c>
      <c r="AB43" s="26">
        <v>179169</v>
      </c>
      <c r="AC43" s="26">
        <v>0</v>
      </c>
      <c r="AD43" s="194"/>
      <c r="AE43" s="26" cm="1">
        <f t="array" ref="AE43">SUM(AF43:AG43)</f>
        <v>0</v>
      </c>
      <c r="AF43" s="26">
        <v>0</v>
      </c>
      <c r="AG43" s="26">
        <v>0</v>
      </c>
      <c r="AH43" s="26">
        <v>0</v>
      </c>
    </row>
    <row r="44" ht="20.35" customHeight="1">
      <c r="A44" s="186">
        <v>44136</v>
      </c>
      <c r="B44" s="187" cm="1">
        <f t="array" ref="B44">ROUND(C44/'variables - Table 1-1'!B43,0)</f>
        <v>3158</v>
      </c>
      <c r="C44" s="188" cm="1">
        <f t="array" ref="C44">SUM(E44:J44)</f>
        <v>2425888</v>
      </c>
      <c r="D44" s="189" cm="1">
        <f t="array" ref="D44">SUM(E44:G44)</f>
        <v>2425888</v>
      </c>
      <c r="E44" s="188">
        <v>1998620</v>
      </c>
      <c r="F44" s="188" cm="1">
        <f t="array" ref="F44">'presupuesto - Ingreso líquido'!$D$19</f>
        <v>199398</v>
      </c>
      <c r="G44" s="188" cm="1">
        <f t="array" ref="G44">'net worth - retiro'!D46</f>
        <v>227870</v>
      </c>
      <c r="H44" s="188"/>
      <c r="I44" s="188"/>
      <c r="J44" s="189"/>
      <c r="K44" s="190" cm="1">
        <f t="array" ref="K44">C44-N44</f>
        <v>468904</v>
      </c>
      <c r="L44" s="191" cm="1">
        <f t="array" ref="L44">_xlfn.IFERROR(K44/C44,0)</f>
        <v>0.193291693598385</v>
      </c>
      <c r="M44" s="192" cm="1">
        <f t="array" ref="M44">N44-AE44</f>
        <v>1906984</v>
      </c>
      <c r="N44" s="192" cm="1">
        <f t="array" ref="N44">SUM(P44:X44,AC44)</f>
        <v>1956984</v>
      </c>
      <c r="O44" s="26"/>
      <c r="P44" s="26">
        <v>223549</v>
      </c>
      <c r="Q44" s="26">
        <v>15290</v>
      </c>
      <c r="R44" s="26">
        <v>0</v>
      </c>
      <c r="S44" s="26">
        <v>22000</v>
      </c>
      <c r="T44" s="26">
        <v>650987</v>
      </c>
      <c r="U44" s="30">
        <v>882375</v>
      </c>
      <c r="V44" s="26">
        <v>50000</v>
      </c>
      <c r="W44" s="30">
        <v>112783</v>
      </c>
      <c r="X44" s="30">
        <v>0</v>
      </c>
      <c r="Y44" s="26">
        <v>0</v>
      </c>
      <c r="Z44" s="26">
        <v>0</v>
      </c>
      <c r="AA44" s="30">
        <v>32305</v>
      </c>
      <c r="AB44" s="26">
        <v>169836</v>
      </c>
      <c r="AC44" s="26">
        <v>0</v>
      </c>
      <c r="AD44" s="194"/>
      <c r="AE44" s="26" cm="1">
        <f t="array" ref="AE44">SUM(AF44:AG44)</f>
        <v>50000</v>
      </c>
      <c r="AF44" s="26">
        <v>0</v>
      </c>
      <c r="AG44" s="26">
        <v>50000</v>
      </c>
      <c r="AH44" s="26">
        <v>200859</v>
      </c>
    </row>
    <row r="45" ht="20.35" customHeight="1">
      <c r="A45" s="186">
        <v>44166</v>
      </c>
      <c r="B45" s="187" cm="1">
        <f t="array" ref="B45">ROUND(C45/'variables - Table 1-1'!B44,0)</f>
        <v>3425</v>
      </c>
      <c r="C45" s="188" cm="1">
        <f t="array" ref="C45">SUM(E45:J45)</f>
        <v>2435340</v>
      </c>
      <c r="D45" s="189" cm="1">
        <f t="array" ref="D45">SUM(E45:G45)</f>
        <v>2435340</v>
      </c>
      <c r="E45" s="188">
        <v>2008072</v>
      </c>
      <c r="F45" s="188" cm="1">
        <f t="array" ref="F45">'presupuesto - Ingreso líquido'!$D$19</f>
        <v>199398</v>
      </c>
      <c r="G45" s="188" cm="1">
        <f t="array" ref="G45">'net worth - retiro'!D47</f>
        <v>227870</v>
      </c>
      <c r="H45" s="188"/>
      <c r="I45" s="188"/>
      <c r="J45" s="189"/>
      <c r="K45" s="190" cm="1">
        <f t="array" ref="K45">C45-N45</f>
        <v>344702</v>
      </c>
      <c r="L45" s="191" cm="1">
        <f t="array" ref="L45">_xlfn.IFERROR(K45/C45,0)</f>
        <v>0.141541632790493</v>
      </c>
      <c r="M45" s="192" cm="1">
        <f t="array" ref="M45">N45-AE45</f>
        <v>1990638</v>
      </c>
      <c r="N45" s="192" cm="1">
        <f t="array" ref="N45">SUM(P45:X45,AC45)</f>
        <v>2090638</v>
      </c>
      <c r="O45" s="26"/>
      <c r="P45" s="26">
        <v>231031</v>
      </c>
      <c r="Q45" s="26">
        <v>0</v>
      </c>
      <c r="R45" s="26">
        <v>0</v>
      </c>
      <c r="S45" s="26">
        <v>22000</v>
      </c>
      <c r="T45" s="26">
        <v>582875</v>
      </c>
      <c r="U45" s="30">
        <v>849018</v>
      </c>
      <c r="V45" s="26">
        <v>123380</v>
      </c>
      <c r="W45" s="30">
        <v>247448</v>
      </c>
      <c r="X45" s="30">
        <v>34886</v>
      </c>
      <c r="Y45" s="26">
        <v>0</v>
      </c>
      <c r="Z45" s="26">
        <v>0</v>
      </c>
      <c r="AA45" s="30">
        <v>0</v>
      </c>
      <c r="AB45" s="26">
        <v>120721</v>
      </c>
      <c r="AC45" s="26">
        <v>0</v>
      </c>
      <c r="AD45" s="194"/>
      <c r="AE45" s="26" cm="1">
        <f t="array" ref="AE45">SUM(AF45:AG45)</f>
        <v>100000</v>
      </c>
      <c r="AF45" s="26">
        <v>0</v>
      </c>
      <c r="AG45" s="26">
        <v>100000</v>
      </c>
      <c r="AH45" s="26">
        <v>0</v>
      </c>
    </row>
    <row r="46" ht="20.35" customHeight="1">
      <c r="A46" s="186">
        <v>44197</v>
      </c>
      <c r="B46" s="187" cm="1">
        <f t="array" ref="B46">ROUND(C46/'variables - Table 1-1'!B45,0)</f>
        <v>4293</v>
      </c>
      <c r="C46" s="188" cm="1">
        <f t="array" ref="C46">SUM(E46:J46)</f>
        <v>3157488</v>
      </c>
      <c r="D46" s="189" cm="1">
        <f t="array" ref="D46">SUM(E46:G46)</f>
        <v>2428817</v>
      </c>
      <c r="E46" s="188">
        <v>2001549</v>
      </c>
      <c r="F46" s="188" cm="1">
        <f t="array" ref="F46">'presupuesto - Ingreso líquido'!$D$19</f>
        <v>199398</v>
      </c>
      <c r="G46" s="188" cm="1">
        <f t="array" ref="G46">'net worth - retiro'!D48</f>
        <v>227870</v>
      </c>
      <c r="H46" s="188" cm="1">
        <f t="array" ref="H46">2050041*0+20000+708671</f>
        <v>728671</v>
      </c>
      <c r="I46" s="188"/>
      <c r="J46" s="189"/>
      <c r="K46" s="190" cm="1">
        <f t="array" ref="K46">C46-N46</f>
        <v>1578912</v>
      </c>
      <c r="L46" s="191" cm="1">
        <f t="array" ref="L46">_xlfn.IFERROR(K46/C46,0)</f>
        <v>0.500053206853043</v>
      </c>
      <c r="M46" s="192" cm="1">
        <f t="array" ref="M46">N46-AE46+2399990</f>
        <v>1578576</v>
      </c>
      <c r="N46" s="192" cm="1">
        <f t="array" ref="N46">SUM(P46:X46,AC46)</f>
        <v>1578576</v>
      </c>
      <c r="O46" s="26"/>
      <c r="P46" s="26">
        <v>200188</v>
      </c>
      <c r="Q46" s="26">
        <v>0</v>
      </c>
      <c r="R46" s="26">
        <v>11090</v>
      </c>
      <c r="S46" s="26">
        <v>5000</v>
      </c>
      <c r="T46" s="26">
        <v>234130</v>
      </c>
      <c r="U46" s="30">
        <v>871405</v>
      </c>
      <c r="V46" s="26">
        <v>124000</v>
      </c>
      <c r="W46" s="30">
        <v>132373</v>
      </c>
      <c r="X46" s="30">
        <v>390</v>
      </c>
      <c r="Y46" s="26">
        <v>0</v>
      </c>
      <c r="Z46" s="26">
        <v>0</v>
      </c>
      <c r="AA46" s="30">
        <v>16426</v>
      </c>
      <c r="AB46" s="26">
        <v>128506</v>
      </c>
      <c r="AC46" s="26">
        <v>0</v>
      </c>
      <c r="AD46" s="194"/>
      <c r="AE46" s="26" cm="1">
        <f t="array" ref="AE46">SUM(AF46:AG46)</f>
        <v>2399990</v>
      </c>
      <c r="AF46" s="26">
        <v>0</v>
      </c>
      <c r="AG46" s="26">
        <v>2399990</v>
      </c>
      <c r="AH46" s="26">
        <v>0</v>
      </c>
    </row>
    <row r="47" ht="20.35" customHeight="1">
      <c r="A47" s="186">
        <v>44228</v>
      </c>
      <c r="B47" s="187" cm="1">
        <f t="array" ref="B47">ROUND(C47/'variables - Table 1-1'!B46,0)</f>
        <v>5924</v>
      </c>
      <c r="C47" s="188" cm="1">
        <f t="array" ref="C47">SUM(E47:J47)</f>
        <v>4238300</v>
      </c>
      <c r="D47" s="189" cm="1">
        <f t="array" ref="D47">SUM(E47:G47)*0</f>
        <v>0</v>
      </c>
      <c r="E47" s="188" cm="1">
        <f t="array" ref="E47">748030+3406414</f>
        <v>4154444</v>
      </c>
      <c r="F47" s="188" cm="1">
        <f t="array" ref="F47">'presupuesto - Ingreso líquido'!$D$19*0</f>
        <v>0</v>
      </c>
      <c r="G47" s="188" cm="1">
        <f t="array" ref="G47">'net worth - retiro'!D49</f>
        <v>83856</v>
      </c>
      <c r="H47" s="188"/>
      <c r="I47" s="188"/>
      <c r="J47" s="189"/>
      <c r="K47" s="190" cm="1">
        <f t="array" ref="K47">C47-N47</f>
        <v>2712367</v>
      </c>
      <c r="L47" s="191" cm="1">
        <f t="array" ref="L47">_xlfn.IFERROR(K47/C47,0)</f>
        <v>0.639965788169785</v>
      </c>
      <c r="M47" s="192" cm="1">
        <f t="array" ref="M47">N47-AE47</f>
        <v>1525933</v>
      </c>
      <c r="N47" s="192" cm="1">
        <f t="array" ref="N47">SUM(P47:X47,AC47)</f>
        <v>1525933</v>
      </c>
      <c r="O47" s="26"/>
      <c r="P47" s="26">
        <v>201137</v>
      </c>
      <c r="Q47" s="26">
        <v>0</v>
      </c>
      <c r="R47" s="26">
        <v>9300</v>
      </c>
      <c r="S47" s="26">
        <v>10000</v>
      </c>
      <c r="T47" s="26" cm="1">
        <f t="array" ref="T47">310962-266925</f>
        <v>44037</v>
      </c>
      <c r="U47" s="30">
        <v>855087</v>
      </c>
      <c r="V47" s="26">
        <v>242000</v>
      </c>
      <c r="W47" s="30">
        <v>120472</v>
      </c>
      <c r="X47" s="30">
        <v>43900</v>
      </c>
      <c r="Y47" s="26">
        <v>0</v>
      </c>
      <c r="Z47" s="26">
        <v>0</v>
      </c>
      <c r="AA47" s="30">
        <v>15795</v>
      </c>
      <c r="AB47" s="26">
        <v>56259</v>
      </c>
      <c r="AC47" s="26">
        <v>0</v>
      </c>
      <c r="AD47" s="194"/>
      <c r="AE47" s="26" cm="1">
        <f t="array" ref="AE47">SUM(AF47:AG47)</f>
        <v>0</v>
      </c>
      <c r="AF47" s="26">
        <v>0</v>
      </c>
      <c r="AG47" s="26">
        <v>0</v>
      </c>
      <c r="AH47" s="26">
        <v>0</v>
      </c>
    </row>
    <row r="48" ht="20.35" customHeight="1">
      <c r="A48" s="186">
        <v>44256</v>
      </c>
      <c r="B48" s="187" cm="1">
        <f t="array" ref="B48">ROUND(C48/'variables - Table 1-1'!B47,0)</f>
        <v>4262</v>
      </c>
      <c r="C48" s="188" cm="1">
        <f t="array" ref="C48">SUM(E48:J48)</f>
        <v>3106414</v>
      </c>
      <c r="D48" s="189" cm="1">
        <f t="array" ref="D48">SUM(E48:G48)*0</f>
        <v>0</v>
      </c>
      <c r="E48" s="188">
        <v>3106414</v>
      </c>
      <c r="F48" s="188" cm="1">
        <f t="array" ref="F48">'presupuesto - Ingreso líquido'!$D$19*0</f>
        <v>0</v>
      </c>
      <c r="G48" s="188" cm="1">
        <f t="array" ref="G48">'net worth - retiro'!D50*0</f>
        <v>0</v>
      </c>
      <c r="H48" s="188"/>
      <c r="I48" s="188"/>
      <c r="J48" s="189"/>
      <c r="K48" s="190" cm="1">
        <f t="array" ref="K48">C48-N48</f>
        <v>1546879</v>
      </c>
      <c r="L48" s="191" cm="1">
        <f t="array" ref="L48">_xlfn.IFERROR(K48/C48,0)</f>
        <v>0.497962924452439</v>
      </c>
      <c r="M48" s="192" cm="1">
        <f t="array" ref="M48">N48-AE48</f>
        <v>1549535</v>
      </c>
      <c r="N48" s="192" cm="1">
        <f t="array" ref="N48">SUM(P48:X48,AC48)</f>
        <v>1559535</v>
      </c>
      <c r="O48" s="26"/>
      <c r="P48" s="26">
        <v>257218</v>
      </c>
      <c r="Q48" s="26">
        <v>22990</v>
      </c>
      <c r="R48" s="26">
        <v>0</v>
      </c>
      <c r="S48" s="26">
        <v>12000</v>
      </c>
      <c r="T48" s="26">
        <v>87496</v>
      </c>
      <c r="U48" s="30">
        <v>869632</v>
      </c>
      <c r="V48" s="26">
        <v>93000</v>
      </c>
      <c r="W48" s="30">
        <v>108367</v>
      </c>
      <c r="X48" s="30">
        <v>108832</v>
      </c>
      <c r="Y48" s="26">
        <v>0</v>
      </c>
      <c r="Z48" s="26">
        <v>0</v>
      </c>
      <c r="AA48" s="30">
        <v>34251</v>
      </c>
      <c r="AB48" s="26">
        <v>109324</v>
      </c>
      <c r="AC48" s="26">
        <v>0</v>
      </c>
      <c r="AD48" s="194"/>
      <c r="AE48" s="26" cm="1">
        <f t="array" ref="AE48">SUM(AF48:AG48)</f>
        <v>10000</v>
      </c>
      <c r="AF48" s="26">
        <v>0</v>
      </c>
      <c r="AG48" s="26">
        <v>10000</v>
      </c>
      <c r="AH48" s="26">
        <v>0</v>
      </c>
    </row>
    <row r="49" ht="20.35" customHeight="1">
      <c r="A49" s="186">
        <v>44287</v>
      </c>
      <c r="B49" s="187" cm="1">
        <f t="array" ref="B49">ROUND(C49/'variables - Table 1-1'!B48,0)</f>
        <v>4382</v>
      </c>
      <c r="C49" s="188" cm="1">
        <f t="array" ref="C49">SUM(E49:J49)</f>
        <v>3106414</v>
      </c>
      <c r="D49" s="189" cm="1">
        <f t="array" ref="D49">SUM(E49:G49)*0</f>
        <v>0</v>
      </c>
      <c r="E49" s="188">
        <v>3106414</v>
      </c>
      <c r="F49" s="188" cm="1">
        <f t="array" ref="F49">'presupuesto - Ingreso líquido'!$D$19*0</f>
        <v>0</v>
      </c>
      <c r="G49" s="188" cm="1">
        <f t="array" ref="G49">'net worth - retiro'!D51*0</f>
        <v>0</v>
      </c>
      <c r="H49" s="188"/>
      <c r="I49" s="188"/>
      <c r="J49" s="189"/>
      <c r="K49" s="190" cm="1">
        <f t="array" ref="K49">C49-N49</f>
        <v>1531652</v>
      </c>
      <c r="L49" s="191" cm="1">
        <f t="array" ref="L49">_xlfn.IFERROR(K49/C49,0)</f>
        <v>0.493061130937473</v>
      </c>
      <c r="M49" s="192" cm="1">
        <f t="array" ref="M49">N49-AE49</f>
        <v>1574762</v>
      </c>
      <c r="N49" s="192" cm="1">
        <f t="array" ref="N49">SUM(P49:X49,AC49)</f>
        <v>1574762</v>
      </c>
      <c r="O49" s="26"/>
      <c r="P49" s="26">
        <v>215959</v>
      </c>
      <c r="Q49" s="26">
        <v>0</v>
      </c>
      <c r="R49" s="26">
        <v>12000</v>
      </c>
      <c r="S49" s="26">
        <v>0</v>
      </c>
      <c r="T49" s="26">
        <v>313511</v>
      </c>
      <c r="U49" s="30">
        <v>875467</v>
      </c>
      <c r="V49" s="26">
        <v>0</v>
      </c>
      <c r="W49" s="30">
        <v>101790</v>
      </c>
      <c r="X49" s="30">
        <v>56035</v>
      </c>
      <c r="Y49" s="26">
        <v>0</v>
      </c>
      <c r="Z49" s="26">
        <v>0</v>
      </c>
      <c r="AA49" s="30">
        <v>17550</v>
      </c>
      <c r="AB49" s="26">
        <v>59003</v>
      </c>
      <c r="AC49" s="26">
        <v>0</v>
      </c>
      <c r="AD49" s="194"/>
      <c r="AE49" s="26" cm="1">
        <f t="array" ref="AE49">SUM(AF49:AG49)</f>
        <v>0</v>
      </c>
      <c r="AF49" s="26">
        <v>0</v>
      </c>
      <c r="AG49" s="26">
        <v>0</v>
      </c>
      <c r="AH49" s="26">
        <v>0</v>
      </c>
    </row>
    <row r="50" ht="20.35" customHeight="1">
      <c r="A50" s="186">
        <v>44317</v>
      </c>
      <c r="B50" s="187" cm="1">
        <f t="array" ref="B50">ROUND(C50/'variables - Table 1-1'!B49,0)</f>
        <v>4733</v>
      </c>
      <c r="C50" s="188" cm="1">
        <f t="array" ref="C50">SUM(E50:J50)</f>
        <v>3426779</v>
      </c>
      <c r="D50" s="189" cm="1">
        <f t="array" ref="D50">SUM(E50:G50)*0</f>
        <v>0</v>
      </c>
      <c r="E50" s="188">
        <v>3106414</v>
      </c>
      <c r="F50" s="188" cm="1">
        <f t="array" ref="F50">'presupuesto - Ingreso líquido'!$D$19*0</f>
        <v>0</v>
      </c>
      <c r="G50" s="188" cm="1">
        <f t="array" ref="G50">'net worth - retiro'!D52*0</f>
        <v>0</v>
      </c>
      <c r="H50" s="188">
        <v>320365</v>
      </c>
      <c r="I50" s="188"/>
      <c r="J50" s="189"/>
      <c r="K50" s="190" cm="1">
        <f t="array" ref="K50">C50-N50</f>
        <v>1775026</v>
      </c>
      <c r="L50" s="191" cm="1">
        <f t="array" ref="L50">_xlfn.IFERROR(K50/C50,0)</f>
        <v>0.517986715805134</v>
      </c>
      <c r="M50" s="192" cm="1">
        <f t="array" ref="M50">N50-AE50</f>
        <v>1636753</v>
      </c>
      <c r="N50" s="192" cm="1">
        <f t="array" ref="N50">SUM(P50:X50,AC50)</f>
        <v>1651753</v>
      </c>
      <c r="O50" s="26"/>
      <c r="P50" s="26">
        <v>241188</v>
      </c>
      <c r="Q50" s="26">
        <v>12265</v>
      </c>
      <c r="R50" s="26">
        <v>0</v>
      </c>
      <c r="S50" s="26">
        <v>0</v>
      </c>
      <c r="T50" s="26">
        <v>107823</v>
      </c>
      <c r="U50" s="30">
        <v>821764</v>
      </c>
      <c r="V50" s="26">
        <v>319000</v>
      </c>
      <c r="W50" s="30">
        <v>149713</v>
      </c>
      <c r="X50" s="30">
        <v>0</v>
      </c>
      <c r="Y50" s="26">
        <v>0</v>
      </c>
      <c r="Z50" s="26">
        <v>0</v>
      </c>
      <c r="AA50" s="30">
        <v>41972</v>
      </c>
      <c r="AB50" s="26">
        <v>51721</v>
      </c>
      <c r="AC50" s="26">
        <v>0</v>
      </c>
      <c r="AD50" s="194"/>
      <c r="AE50" s="26" cm="1">
        <f t="array" ref="AE50">SUM(AF50:AG50)</f>
        <v>15000</v>
      </c>
      <c r="AF50" s="26">
        <v>0</v>
      </c>
      <c r="AG50" s="26">
        <v>15000</v>
      </c>
      <c r="AH50" s="26">
        <v>0</v>
      </c>
    </row>
    <row r="51" ht="20.35" customHeight="1">
      <c r="A51" s="186">
        <v>44348</v>
      </c>
      <c r="B51" s="187" cm="1">
        <f t="array" ref="B51">ROUND(C51/'variables - Table 1-1'!B50,0)</f>
        <v>4424</v>
      </c>
      <c r="C51" s="188" cm="1">
        <f t="array" ref="C51">SUM(E51:J51)</f>
        <v>3217065</v>
      </c>
      <c r="D51" s="189" cm="1">
        <f t="array" ref="D51">SUM(E51:G51)*0</f>
        <v>0</v>
      </c>
      <c r="E51" s="188">
        <v>3150539</v>
      </c>
      <c r="F51" s="188" cm="1">
        <f t="array" ref="F51">'presupuesto - Ingreso líquido'!$D$19*0</f>
        <v>0</v>
      </c>
      <c r="G51" s="188" cm="1">
        <f t="array" ref="G51">'net worth - retiro'!D53*0</f>
        <v>0</v>
      </c>
      <c r="H51" s="188">
        <v>66526</v>
      </c>
      <c r="I51" s="188"/>
      <c r="J51" s="189"/>
      <c r="K51" s="190" cm="1">
        <f t="array" ref="K51">C51-N51</f>
        <v>788967</v>
      </c>
      <c r="L51" s="191" cm="1">
        <f t="array" ref="L51">_xlfn.IFERROR(K51/C51,0)</f>
        <v>0.245244345389353</v>
      </c>
      <c r="M51" s="192" cm="1">
        <f t="array" ref="M51">N51-AE51</f>
        <v>2428098</v>
      </c>
      <c r="N51" s="192" cm="1">
        <f t="array" ref="N51">SUM(P51:X51,AC51)</f>
        <v>2428098</v>
      </c>
      <c r="O51" s="26"/>
      <c r="P51" s="26">
        <v>401073</v>
      </c>
      <c r="Q51" s="26">
        <v>0</v>
      </c>
      <c r="R51" s="26">
        <v>0</v>
      </c>
      <c r="S51" s="26">
        <v>0</v>
      </c>
      <c r="T51" s="26">
        <v>762495</v>
      </c>
      <c r="U51" s="30">
        <v>815209</v>
      </c>
      <c r="V51" s="26" cm="1">
        <f t="array" ref="V51">238000+90000</f>
        <v>328000</v>
      </c>
      <c r="W51" s="30">
        <v>121321</v>
      </c>
      <c r="X51" s="30">
        <v>0</v>
      </c>
      <c r="Y51" s="26">
        <v>0</v>
      </c>
      <c r="Z51" s="26">
        <v>0</v>
      </c>
      <c r="AA51" s="30">
        <v>13413</v>
      </c>
      <c r="AB51" s="26">
        <v>34595</v>
      </c>
      <c r="AC51" s="26">
        <v>0</v>
      </c>
      <c r="AD51" s="194"/>
      <c r="AE51" s="26" cm="1">
        <f t="array" ref="AE51">SUM(AF51:AG51)</f>
        <v>0</v>
      </c>
      <c r="AF51" s="26">
        <v>0</v>
      </c>
      <c r="AG51" s="26">
        <v>0</v>
      </c>
      <c r="AH51" s="26">
        <v>0</v>
      </c>
    </row>
    <row r="52" ht="20.35" customHeight="1">
      <c r="A52" s="186">
        <v>44378</v>
      </c>
      <c r="B52" s="187" cm="1">
        <f t="array" ref="B52">ROUND(C52/'variables - Table 1-1'!B51,0)</f>
        <v>4302</v>
      </c>
      <c r="C52" s="188" cm="1">
        <f t="array" ref="C52">SUM(E52:J52)</f>
        <v>3268652</v>
      </c>
      <c r="D52" s="189" cm="1">
        <f t="array" ref="D52">SUM(E52:G52)*0</f>
        <v>0</v>
      </c>
      <c r="E52" s="188" cm="1">
        <f t="array" ref="E52">2898652+500*740</f>
        <v>3268652</v>
      </c>
      <c r="F52" s="188" cm="1">
        <f t="array" ref="F52">'presupuesto - Ingreso líquido'!$D$19*0</f>
        <v>0</v>
      </c>
      <c r="G52" s="188" cm="1">
        <f t="array" ref="G52">'net worth - retiro'!D54*0</f>
        <v>0</v>
      </c>
      <c r="H52" s="188"/>
      <c r="I52" s="188"/>
      <c r="J52" s="189"/>
      <c r="K52" s="190" cm="1">
        <f t="array" ref="K52">C52-N52</f>
        <v>1238218</v>
      </c>
      <c r="L52" s="191" cm="1">
        <f t="array" ref="L52">_xlfn.IFERROR(K52/C52,0)</f>
        <v>0.378816099113641</v>
      </c>
      <c r="M52" s="192" cm="1">
        <f t="array" ref="M52">N52-AE52</f>
        <v>2030434</v>
      </c>
      <c r="N52" s="192" cm="1">
        <f t="array" ref="N52">SUM(P52:X52,AC52)</f>
        <v>2030434</v>
      </c>
      <c r="O52" s="26"/>
      <c r="P52" s="26">
        <v>259862</v>
      </c>
      <c r="Q52" s="26">
        <v>33000</v>
      </c>
      <c r="R52" s="26">
        <v>0</v>
      </c>
      <c r="S52" s="26">
        <v>12000</v>
      </c>
      <c r="T52" s="26">
        <v>321276</v>
      </c>
      <c r="U52" s="30">
        <v>861303</v>
      </c>
      <c r="V52" s="26">
        <v>388000</v>
      </c>
      <c r="W52" s="30">
        <v>127761</v>
      </c>
      <c r="X52" s="30">
        <v>27232</v>
      </c>
      <c r="Y52" s="26">
        <v>0</v>
      </c>
      <c r="Z52" s="26">
        <v>0</v>
      </c>
      <c r="AA52" s="30">
        <v>18966</v>
      </c>
      <c r="AB52" s="26">
        <v>60137</v>
      </c>
      <c r="AC52" s="26">
        <v>0</v>
      </c>
      <c r="AD52" s="194"/>
      <c r="AE52" s="26" cm="1">
        <f t="array" ref="AE52">SUM(AF52:AG52)</f>
        <v>0</v>
      </c>
      <c r="AF52" s="26">
        <v>0</v>
      </c>
      <c r="AG52" s="26">
        <v>0</v>
      </c>
      <c r="AH52" s="26">
        <v>0</v>
      </c>
    </row>
    <row r="53" ht="20.35" customHeight="1">
      <c r="A53" s="186">
        <v>44409</v>
      </c>
      <c r="B53" s="187" cm="1">
        <f t="array" ref="B53">ROUND(C53/'variables - Table 1-1'!B52,0)</f>
        <v>3568</v>
      </c>
      <c r="C53" s="188" cm="1">
        <f t="array" ref="C53">SUM(E53:J53)</f>
        <v>2791155</v>
      </c>
      <c r="D53" s="189" cm="1">
        <f t="array" ref="D53">SUM(E53:G53)*0</f>
        <v>0</v>
      </c>
      <c r="E53" s="188" cm="1">
        <f t="array" ref="E53">2935041-143886</f>
        <v>2791155</v>
      </c>
      <c r="F53" s="188" cm="1">
        <f t="array" ref="F53">'presupuesto - Ingreso líquido'!$D$19*0</f>
        <v>0</v>
      </c>
      <c r="G53" s="188" cm="1">
        <f t="array" ref="G53">'net worth - retiro'!D55*0</f>
        <v>0</v>
      </c>
      <c r="H53" s="188"/>
      <c r="I53" s="188"/>
      <c r="J53" s="189"/>
      <c r="K53" s="190" cm="1">
        <f t="array" ref="K53">C53-N53</f>
        <v>-1726685</v>
      </c>
      <c r="L53" s="191" cm="1">
        <f t="array" ref="L53">_xlfn.IFERROR(K53/C53,0)</f>
        <v>-0.618627414099181</v>
      </c>
      <c r="M53" s="192" cm="1">
        <f t="array" ref="M53">N53-AE53</f>
        <v>4373954</v>
      </c>
      <c r="N53" s="192" cm="1">
        <f t="array" ref="N53">SUM(P53:X53,AC53)</f>
        <v>4517840</v>
      </c>
      <c r="O53" s="26"/>
      <c r="P53" s="26">
        <v>202884</v>
      </c>
      <c r="Q53" s="26">
        <v>36630</v>
      </c>
      <c r="R53" s="26">
        <v>56140</v>
      </c>
      <c r="S53" s="26">
        <v>80900</v>
      </c>
      <c r="T53" s="26">
        <v>1907264</v>
      </c>
      <c r="U53" s="30">
        <v>1596301</v>
      </c>
      <c r="V53" s="26" cm="1">
        <f t="array" ref="V53">383000+120000</f>
        <v>503000</v>
      </c>
      <c r="W53" s="30">
        <v>134721</v>
      </c>
      <c r="X53" s="30">
        <v>0</v>
      </c>
      <c r="Y53" s="26">
        <v>0</v>
      </c>
      <c r="Z53" s="26">
        <v>0</v>
      </c>
      <c r="AA53" s="30">
        <v>10213</v>
      </c>
      <c r="AB53" s="26">
        <v>792738</v>
      </c>
      <c r="AC53" s="26">
        <v>0</v>
      </c>
      <c r="AD53" s="194"/>
      <c r="AE53" s="26" cm="1">
        <f t="array" ref="AE53">SUM(AF53:AG53)</f>
        <v>143886</v>
      </c>
      <c r="AF53" s="26">
        <v>0</v>
      </c>
      <c r="AG53" s="26">
        <v>143886</v>
      </c>
      <c r="AH53" s="26">
        <v>0</v>
      </c>
    </row>
    <row r="54" ht="20.35" customHeight="1">
      <c r="A54" s="186">
        <v>44440</v>
      </c>
      <c r="B54" s="187" cm="1">
        <f t="array" ref="B54">ROUND(C54/'variables - Table 1-1'!B53,0)</f>
        <v>0</v>
      </c>
      <c r="C54" s="188" cm="1">
        <f t="array" ref="C54">SUM(E54:J54)</f>
        <v>0</v>
      </c>
      <c r="D54" s="189" cm="1">
        <f t="array" ref="D54">SUM(E54:G54)*0</f>
        <v>0</v>
      </c>
      <c r="E54" s="188"/>
      <c r="F54" s="188" cm="1">
        <f t="array" ref="F54">'presupuesto - Ingreso líquido'!$D$19*0</f>
        <v>0</v>
      </c>
      <c r="G54" s="188" cm="1">
        <f t="array" ref="G54">'net worth - retiro'!D56*0</f>
        <v>0</v>
      </c>
      <c r="H54" s="188"/>
      <c r="I54" s="188"/>
      <c r="J54" s="189"/>
      <c r="K54" s="190" cm="1">
        <f t="array" ref="K54">C54-N54</f>
        <v>-2620675</v>
      </c>
      <c r="L54" s="191" cm="1">
        <f t="array" ref="L54">_xlfn.IFERROR(K54/C54,0)</f>
        <v>0</v>
      </c>
      <c r="M54" s="192" cm="1">
        <f t="array" ref="M54">N54-AE54</f>
        <v>2620675</v>
      </c>
      <c r="N54" s="192" cm="1">
        <f t="array" ref="N54">SUM(P54:X54,AC54)</f>
        <v>2620675</v>
      </c>
      <c r="O54" s="26"/>
      <c r="P54" s="26">
        <v>0</v>
      </c>
      <c r="Q54" s="26">
        <v>0</v>
      </c>
      <c r="R54" s="26">
        <v>0</v>
      </c>
      <c r="S54" s="26">
        <v>0</v>
      </c>
      <c r="T54" s="26">
        <v>1800422</v>
      </c>
      <c r="U54" s="30">
        <v>820253</v>
      </c>
      <c r="V54" s="26">
        <v>0</v>
      </c>
      <c r="W54" s="30">
        <v>0</v>
      </c>
      <c r="X54" s="30">
        <v>0</v>
      </c>
      <c r="Y54" s="26">
        <v>0</v>
      </c>
      <c r="Z54" s="26">
        <v>0</v>
      </c>
      <c r="AA54" s="30">
        <v>0</v>
      </c>
      <c r="AB54" s="26">
        <v>2608685</v>
      </c>
      <c r="AC54" s="26">
        <v>0</v>
      </c>
      <c r="AD54" s="194"/>
      <c r="AE54" s="26" cm="1">
        <f t="array" ref="AE54">SUM(AF54:AG54)</f>
        <v>0</v>
      </c>
      <c r="AF54" s="26">
        <v>0</v>
      </c>
      <c r="AG54" s="26">
        <v>0</v>
      </c>
      <c r="AH54" s="26">
        <v>0</v>
      </c>
    </row>
    <row r="55" ht="20.35" customHeight="1">
      <c r="A55" s="186">
        <v>44470</v>
      </c>
      <c r="B55" s="187" cm="1">
        <f t="array" ref="B55">ROUND(C55/'variables - Table 1-1'!B54,0)</f>
        <v>0</v>
      </c>
      <c r="C55" s="188" cm="1">
        <f t="array" ref="C55">SUM(E55:J55)</f>
        <v>0</v>
      </c>
      <c r="D55" s="189" cm="1">
        <f t="array" ref="D55">SUM(E55:G55)*0</f>
        <v>0</v>
      </c>
      <c r="E55" s="188"/>
      <c r="F55" s="188"/>
      <c r="G55" s="188"/>
      <c r="H55" s="188"/>
      <c r="I55" s="188"/>
      <c r="J55" s="189"/>
      <c r="K55" s="190" cm="1">
        <f t="array" ref="K55">C55-N55</f>
        <v>-930817</v>
      </c>
      <c r="L55" s="191" cm="1">
        <f t="array" ref="L55">_xlfn.IFERROR(K55/C55,0)</f>
        <v>0</v>
      </c>
      <c r="M55" s="192" cm="1">
        <f t="array" ref="M55">N55-AE55</f>
        <v>930817</v>
      </c>
      <c r="N55" s="192" cm="1">
        <f t="array" ref="N55">SUM(P55:X55,AC55)</f>
        <v>930817</v>
      </c>
      <c r="O55" s="26"/>
      <c r="P55" s="26" cm="1">
        <f t="array" ref="P55">'flujos - Gasto mes actual'!D$37</f>
        <v>0</v>
      </c>
      <c r="Q55" s="26" cm="1">
        <f t="array" ref="Q55">'flujos - Gasto mes actual'!H$37</f>
        <v>0</v>
      </c>
      <c r="R55" s="26" cm="1">
        <f t="array" ref="R55">'flujos - Gasto mes actual'!L$37</f>
        <v>0</v>
      </c>
      <c r="S55" s="26" cm="1">
        <f t="array" ref="S55">'flujos - Gasto mes actual'!P$37</f>
        <v>0</v>
      </c>
      <c r="T55" s="26" cm="1">
        <f t="array" ref="T55">'flujos - Gasto mes actual'!T$37</f>
        <v>0</v>
      </c>
      <c r="U55" s="30" cm="1">
        <f t="array" ref="U55">'flujos - Gasto mes actual'!$AA$37</f>
        <v>930817</v>
      </c>
      <c r="V55" s="26" cm="1">
        <f t="array" ref="V55">'flujos - Gasto mes actual'!X$37</f>
        <v>0</v>
      </c>
      <c r="W55" s="30" cm="1">
        <f t="array" ref="W55">'flujos - Gasto mes actual'!AE$37</f>
        <v>0</v>
      </c>
      <c r="X55" s="30" cm="1">
        <f t="array" ref="X55">'flujos - Gasto mes actual'!AI$37</f>
        <v>0</v>
      </c>
      <c r="Y55" s="26" cm="1">
        <f t="array" ref="Y55">'flujos - Gasto mes actual'!$AI$4</f>
        <v>0</v>
      </c>
      <c r="Z55" s="26" cm="1">
        <f t="array" ref="Z55">'flujos - Gasto mes actual'!$AI$5</f>
        <v>0</v>
      </c>
      <c r="AA55" s="30" cm="1">
        <f t="array" ref="AA55">'flujos - Gasto mes actual'!$AN$6</f>
        <v>0</v>
      </c>
      <c r="AB55" s="26" cm="1">
        <f t="array" ref="AB55">'flujos - Gasto mes actual'!AN$37</f>
        <v>0</v>
      </c>
      <c r="AC55" s="26">
        <v>0</v>
      </c>
      <c r="AD55" s="194"/>
      <c r="AE55" s="26" cm="1">
        <f t="array" ref="AE55">SUM(AF55:AG55)</f>
        <v>0</v>
      </c>
      <c r="AF55" s="26" cm="1">
        <f t="array" ref="AF55">'flujos - Totales'!$B$9</f>
        <v>0</v>
      </c>
      <c r="AG55" s="26" cm="1">
        <f t="array" ref="AG55">'flujos - Totales'!$B$3</f>
        <v>0</v>
      </c>
      <c r="AH55" s="26" cm="1">
        <f t="array" ref="AH55">'flujos - Totales'!$B$14</f>
        <v>0</v>
      </c>
    </row>
    <row r="56" ht="20.35" customHeight="1">
      <c r="A56" s="186">
        <v>44501</v>
      </c>
      <c r="B56" s="187" cm="1">
        <f t="array" ref="B56">ROUND(C56/'variables - Table 1-1'!B55,0)</f>
        <v>0</v>
      </c>
      <c r="C56" s="188" cm="1">
        <f t="array" ref="C56">SUM(E56:J56)</f>
        <v>0</v>
      </c>
      <c r="D56" s="189" cm="1">
        <f t="array" ref="D56">SUM(E56:G56)*0</f>
        <v>0</v>
      </c>
      <c r="E56" s="188"/>
      <c r="F56" s="188"/>
      <c r="G56" s="188"/>
      <c r="H56" s="188"/>
      <c r="I56" s="188"/>
      <c r="J56" s="189"/>
      <c r="K56" s="190" cm="1">
        <f t="array" ref="K56">C56-N56</f>
        <v>0</v>
      </c>
      <c r="L56" s="191" cm="1">
        <f t="array" ref="L56">_xlfn.IFERROR(K56/C56,0)</f>
        <v>0</v>
      </c>
      <c r="M56" s="192" cm="1">
        <f t="array" ref="M56">N56-AE56</f>
        <v>0</v>
      </c>
      <c r="N56" s="192" cm="1">
        <f t="array" ref="N56">SUM(P56:X56,AC56)</f>
        <v>0</v>
      </c>
      <c r="O56" s="26"/>
      <c r="P56" s="26"/>
      <c r="Q56" s="26"/>
      <c r="R56" s="26"/>
      <c r="S56" s="26"/>
      <c r="T56" s="26"/>
      <c r="U56" s="30"/>
      <c r="V56" s="26"/>
      <c r="W56" s="30"/>
      <c r="X56" s="30"/>
      <c r="Y56" s="32"/>
      <c r="Z56" s="32"/>
      <c r="AA56" s="30"/>
      <c r="AB56" s="26"/>
      <c r="AC56" s="26"/>
      <c r="AD56" s="194"/>
      <c r="AE56" s="26" cm="1">
        <f t="array" ref="AE56">SUM(AF56:AG56)</f>
        <v>0</v>
      </c>
      <c r="AF56" s="26"/>
      <c r="AG56" s="26"/>
      <c r="AH56" s="32"/>
    </row>
    <row r="57" ht="20.35" customHeight="1">
      <c r="A57" s="186">
        <v>44531</v>
      </c>
      <c r="B57" s="187" cm="1">
        <f t="array" ref="B57">ROUND(C57/'variables - Table 1-1'!B56,0)</f>
        <v>0</v>
      </c>
      <c r="C57" s="188" cm="1">
        <f t="array" ref="C57">SUM(E57:J57)</f>
        <v>0</v>
      </c>
      <c r="D57" s="189" cm="1">
        <f t="array" ref="D57">SUM(E57:G57)*0</f>
        <v>0</v>
      </c>
      <c r="E57" s="188"/>
      <c r="F57" s="188"/>
      <c r="G57" s="188"/>
      <c r="H57" s="188"/>
      <c r="I57" s="188"/>
      <c r="J57" s="189"/>
      <c r="K57" s="190" cm="1">
        <f t="array" ref="K57">C57-N57</f>
        <v>0</v>
      </c>
      <c r="L57" s="191" cm="1">
        <f t="array" ref="L57">_xlfn.IFERROR(K57/C57,0)</f>
        <v>0</v>
      </c>
      <c r="M57" s="192" cm="1">
        <f t="array" ref="M57">N57-AE57</f>
        <v>0</v>
      </c>
      <c r="N57" s="192" cm="1">
        <f t="array" ref="N57">SUM(P57:X57,AC57)</f>
        <v>0</v>
      </c>
      <c r="O57" s="26"/>
      <c r="P57" s="26"/>
      <c r="Q57" s="26"/>
      <c r="R57" s="26"/>
      <c r="S57" s="26"/>
      <c r="T57" s="26"/>
      <c r="U57" s="30"/>
      <c r="V57" s="26"/>
      <c r="W57" s="30"/>
      <c r="X57" s="30"/>
      <c r="Y57" s="32"/>
      <c r="Z57" s="32"/>
      <c r="AA57" s="30"/>
      <c r="AB57" s="26"/>
      <c r="AC57" s="26"/>
      <c r="AD57" s="194"/>
      <c r="AE57" s="26" cm="1">
        <f t="array" ref="AE57">SUM(AF57:AG57)</f>
        <v>0</v>
      </c>
      <c r="AF57" s="26"/>
      <c r="AG57" s="26"/>
      <c r="AH57" s="32"/>
    </row>
    <row r="58" ht="20.35" customHeight="1">
      <c r="A58" s="186">
        <v>44562</v>
      </c>
      <c r="B58" s="187" cm="1">
        <f t="array" ref="B58">ROUND(C58/'variables - Table 1-1'!B57,0)</f>
        <v>0</v>
      </c>
      <c r="C58" s="188" cm="1">
        <f t="array" ref="C58">SUM(E58:J58)</f>
        <v>0</v>
      </c>
      <c r="D58" s="189" cm="1">
        <f t="array" ref="D58">SUM(E58:G58)*0</f>
        <v>0</v>
      </c>
      <c r="E58" s="188"/>
      <c r="F58" s="188"/>
      <c r="G58" s="188"/>
      <c r="H58" s="188"/>
      <c r="I58" s="188"/>
      <c r="J58" s="189"/>
      <c r="K58" s="190" cm="1">
        <f t="array" ref="K58">C58-N58</f>
        <v>0</v>
      </c>
      <c r="L58" s="191" cm="1">
        <f t="array" ref="L58">_xlfn.IFERROR(K58/C58,0)</f>
        <v>0</v>
      </c>
      <c r="M58" s="192" cm="1">
        <f t="array" ref="M58">N58-AE58</f>
        <v>0</v>
      </c>
      <c r="N58" s="192" cm="1">
        <f t="array" ref="N58">SUM(P58:X58,AC58)</f>
        <v>0</v>
      </c>
      <c r="O58" s="26"/>
      <c r="P58" s="26"/>
      <c r="Q58" s="26"/>
      <c r="R58" s="26"/>
      <c r="S58" s="26"/>
      <c r="T58" s="26"/>
      <c r="U58" s="30"/>
      <c r="V58" s="26"/>
      <c r="W58" s="30"/>
      <c r="X58" s="30"/>
      <c r="Y58" s="32"/>
      <c r="Z58" s="32"/>
      <c r="AA58" s="30"/>
      <c r="AB58" s="26"/>
      <c r="AC58" s="26"/>
      <c r="AD58" s="194"/>
      <c r="AE58" s="26" cm="1">
        <f t="array" ref="AE58">SUM(AF58:AG58)</f>
        <v>0</v>
      </c>
      <c r="AF58" s="26"/>
      <c r="AG58" s="26"/>
      <c r="AH58" s="32"/>
    </row>
    <row r="59" ht="20.35" customHeight="1">
      <c r="A59" s="186">
        <v>44593</v>
      </c>
      <c r="B59" s="187" cm="1">
        <f t="array" ref="B59">ROUND(C59/'variables - Table 1-1'!B58,0)</f>
        <v>0</v>
      </c>
      <c r="C59" s="188" cm="1">
        <f t="array" ref="C59">SUM(E59:J59)</f>
        <v>0</v>
      </c>
      <c r="D59" s="189" cm="1">
        <f t="array" ref="D59">SUM(E59:G59)*0</f>
        <v>0</v>
      </c>
      <c r="E59" s="188"/>
      <c r="F59" s="188"/>
      <c r="G59" s="188"/>
      <c r="H59" s="188"/>
      <c r="I59" s="188"/>
      <c r="J59" s="189"/>
      <c r="K59" s="190" cm="1">
        <f t="array" ref="K59">C59-N59</f>
        <v>0</v>
      </c>
      <c r="L59" s="191" cm="1">
        <f t="array" ref="L59">_xlfn.IFERROR(K59/C59,0)</f>
        <v>0</v>
      </c>
      <c r="M59" s="192" cm="1">
        <f t="array" ref="M59">N59-AE59</f>
        <v>0</v>
      </c>
      <c r="N59" s="192" cm="1">
        <f t="array" ref="N59">SUM(P59:X59,AC59)</f>
        <v>0</v>
      </c>
      <c r="O59" s="26"/>
      <c r="P59" s="26"/>
      <c r="Q59" s="26"/>
      <c r="R59" s="26"/>
      <c r="S59" s="26"/>
      <c r="T59" s="26"/>
      <c r="U59" s="30"/>
      <c r="V59" s="26"/>
      <c r="W59" s="30"/>
      <c r="X59" s="30"/>
      <c r="Y59" s="32"/>
      <c r="Z59" s="32"/>
      <c r="AA59" s="30"/>
      <c r="AB59" s="26"/>
      <c r="AC59" s="26"/>
      <c r="AD59" s="194"/>
      <c r="AE59" s="26" cm="1">
        <f t="array" ref="AE59">SUM(AF59:AG59)</f>
        <v>0</v>
      </c>
      <c r="AF59" s="26"/>
      <c r="AG59" s="26"/>
      <c r="AH59" s="32"/>
    </row>
    <row r="60" ht="20.35" customHeight="1">
      <c r="A60" s="186">
        <v>44621</v>
      </c>
      <c r="B60" s="187" cm="1">
        <f t="array" ref="B60">ROUND(C60/'variables - Table 1-1'!B59,0)</f>
        <v>0</v>
      </c>
      <c r="C60" s="188" cm="1">
        <f t="array" ref="C60">SUM(E60:J60)</f>
        <v>0</v>
      </c>
      <c r="D60" s="189" cm="1">
        <f t="array" ref="D60">SUM(E60:G60)*0</f>
        <v>0</v>
      </c>
      <c r="E60" s="188"/>
      <c r="F60" s="188"/>
      <c r="G60" s="188"/>
      <c r="H60" s="188"/>
      <c r="I60" s="188"/>
      <c r="J60" s="189"/>
      <c r="K60" s="190" cm="1">
        <f t="array" ref="K60">C60-N60</f>
        <v>0</v>
      </c>
      <c r="L60" s="191" cm="1">
        <f t="array" ref="L60">_xlfn.IFERROR(K60/C60,0)</f>
        <v>0</v>
      </c>
      <c r="M60" s="192" cm="1">
        <f t="array" ref="M60">N60-AE60</f>
        <v>0</v>
      </c>
      <c r="N60" s="192" cm="1">
        <f t="array" ref="N60">SUM(P60:X60,AC60)</f>
        <v>0</v>
      </c>
      <c r="O60" s="26"/>
      <c r="P60" s="26"/>
      <c r="Q60" s="26"/>
      <c r="R60" s="26"/>
      <c r="S60" s="26"/>
      <c r="T60" s="26"/>
      <c r="U60" s="30"/>
      <c r="V60" s="26"/>
      <c r="W60" s="30"/>
      <c r="X60" s="30"/>
      <c r="Y60" s="32"/>
      <c r="Z60" s="32"/>
      <c r="AA60" s="30"/>
      <c r="AB60" s="26"/>
      <c r="AC60" s="26"/>
      <c r="AD60" s="194"/>
      <c r="AE60" s="26" cm="1">
        <f t="array" ref="AE60">SUM(AF60:AG60)</f>
        <v>0</v>
      </c>
      <c r="AF60" s="26"/>
      <c r="AG60" s="26"/>
      <c r="AH60" s="32"/>
    </row>
    <row r="61" ht="20.35" customHeight="1">
      <c r="A61" s="186">
        <v>44652</v>
      </c>
      <c r="B61" s="187" cm="1">
        <f t="array" ref="B61">ROUND(C61/'variables - Table 1-1'!B60,0)</f>
        <v>0</v>
      </c>
      <c r="C61" s="188" cm="1">
        <f t="array" ref="C61">SUM(E61:J61)</f>
        <v>0</v>
      </c>
      <c r="D61" s="189" cm="1">
        <f t="array" ref="D61">SUM(E61:G61)*0</f>
        <v>0</v>
      </c>
      <c r="E61" s="188"/>
      <c r="F61" s="188"/>
      <c r="G61" s="188"/>
      <c r="H61" s="188"/>
      <c r="I61" s="188"/>
      <c r="J61" s="189"/>
      <c r="K61" s="190" cm="1">
        <f t="array" ref="K61">C61-N61</f>
        <v>0</v>
      </c>
      <c r="L61" s="191" cm="1">
        <f t="array" ref="L61">_xlfn.IFERROR(K61/C61,0)</f>
        <v>0</v>
      </c>
      <c r="M61" s="192" cm="1">
        <f t="array" ref="M61">N61-AE61</f>
        <v>0</v>
      </c>
      <c r="N61" s="192" cm="1">
        <f t="array" ref="N61">SUM(P61:X61,AC61)</f>
        <v>0</v>
      </c>
      <c r="O61" s="26"/>
      <c r="P61" s="26"/>
      <c r="Q61" s="26"/>
      <c r="R61" s="26"/>
      <c r="S61" s="26"/>
      <c r="T61" s="26"/>
      <c r="U61" s="30"/>
      <c r="V61" s="26"/>
      <c r="W61" s="30"/>
      <c r="X61" s="30"/>
      <c r="Y61" s="32"/>
      <c r="Z61" s="32"/>
      <c r="AA61" s="30"/>
      <c r="AB61" s="26"/>
      <c r="AC61" s="26"/>
      <c r="AD61" s="194"/>
      <c r="AE61" s="26" cm="1">
        <f t="array" ref="AE61">SUM(AF61:AG61)</f>
        <v>0</v>
      </c>
      <c r="AF61" s="26"/>
      <c r="AG61" s="26"/>
      <c r="AH61" s="32"/>
    </row>
    <row r="62" ht="20.35" customHeight="1">
      <c r="A62" s="186">
        <v>44682</v>
      </c>
      <c r="B62" s="187" cm="1">
        <f t="array" ref="B62">ROUND(C62/'variables - Table 1-1'!B61,0)</f>
        <v>0</v>
      </c>
      <c r="C62" s="188" cm="1">
        <f t="array" ref="C62">SUM(E62:J62)</f>
        <v>0</v>
      </c>
      <c r="D62" s="189" cm="1">
        <f t="array" ref="D62">SUM(E62:G62)*0</f>
        <v>0</v>
      </c>
      <c r="E62" s="188"/>
      <c r="F62" s="188"/>
      <c r="G62" s="188"/>
      <c r="H62" s="188"/>
      <c r="I62" s="188"/>
      <c r="J62" s="189"/>
      <c r="K62" s="190" cm="1">
        <f t="array" ref="K62">C62-N62</f>
        <v>0</v>
      </c>
      <c r="L62" s="191" cm="1">
        <f t="array" ref="L62">_xlfn.IFERROR(K62/C62,0)</f>
        <v>0</v>
      </c>
      <c r="M62" s="192" cm="1">
        <f t="array" ref="M62">N62-AE62</f>
        <v>0</v>
      </c>
      <c r="N62" s="192" cm="1">
        <f t="array" ref="N62">SUM(P62:X62,AC62)</f>
        <v>0</v>
      </c>
      <c r="O62" s="26"/>
      <c r="P62" s="26"/>
      <c r="Q62" s="26"/>
      <c r="R62" s="26"/>
      <c r="S62" s="26"/>
      <c r="T62" s="26"/>
      <c r="U62" s="30"/>
      <c r="V62" s="26"/>
      <c r="W62" s="30"/>
      <c r="X62" s="30"/>
      <c r="Y62" s="32"/>
      <c r="Z62" s="32"/>
      <c r="AA62" s="30"/>
      <c r="AB62" s="26"/>
      <c r="AC62" s="26"/>
      <c r="AD62" s="194"/>
      <c r="AE62" s="26" cm="1">
        <f t="array" ref="AE62">SUM(AF62:AG62)</f>
        <v>0</v>
      </c>
      <c r="AF62" s="26"/>
      <c r="AG62" s="26"/>
      <c r="AH62" s="32"/>
    </row>
    <row r="63" ht="20.35" customHeight="1">
      <c r="A63" s="186">
        <v>44713</v>
      </c>
      <c r="B63" s="187" cm="1">
        <f t="array" ref="B63">ROUND(C63/'variables - Table 1-1'!B62,0)</f>
        <v>0</v>
      </c>
      <c r="C63" s="188" cm="1">
        <f t="array" ref="C63">SUM(E63:J63)</f>
        <v>0</v>
      </c>
      <c r="D63" s="189" cm="1">
        <f t="array" ref="D63">SUM(E63:G63)*0</f>
        <v>0</v>
      </c>
      <c r="E63" s="188"/>
      <c r="F63" s="188"/>
      <c r="G63" s="188"/>
      <c r="H63" s="188"/>
      <c r="I63" s="188"/>
      <c r="J63" s="189"/>
      <c r="K63" s="190" cm="1">
        <f t="array" ref="K63">C63-N63</f>
        <v>0</v>
      </c>
      <c r="L63" s="191" cm="1">
        <f t="array" ref="L63">_xlfn.IFERROR(K63/C63,0)</f>
        <v>0</v>
      </c>
      <c r="M63" s="192" cm="1">
        <f t="array" ref="M63">N63-AE63</f>
        <v>0</v>
      </c>
      <c r="N63" s="192" cm="1">
        <f t="array" ref="N63">SUM(P63:X63,AC63)</f>
        <v>0</v>
      </c>
      <c r="O63" s="26"/>
      <c r="P63" s="26"/>
      <c r="Q63" s="26"/>
      <c r="R63" s="26"/>
      <c r="S63" s="26"/>
      <c r="T63" s="26"/>
      <c r="U63" s="30"/>
      <c r="V63" s="26"/>
      <c r="W63" s="30"/>
      <c r="X63" s="30"/>
      <c r="Y63" s="32"/>
      <c r="Z63" s="32"/>
      <c r="AA63" s="30"/>
      <c r="AB63" s="26"/>
      <c r="AC63" s="26"/>
      <c r="AD63" s="194"/>
      <c r="AE63" s="26" cm="1">
        <f t="array" ref="AE63">SUM(AF63:AG63)</f>
        <v>0</v>
      </c>
      <c r="AF63" s="26"/>
      <c r="AG63" s="26"/>
      <c r="AH63" s="32"/>
    </row>
    <row r="64" ht="20.35" customHeight="1">
      <c r="A64" s="186">
        <v>44743</v>
      </c>
      <c r="B64" s="187" cm="1">
        <f t="array" ref="B64">ROUND(C64/'variables - Table 1-1'!B63,0)</f>
        <v>0</v>
      </c>
      <c r="C64" s="188" cm="1">
        <f t="array" ref="C64">SUM(E64:J64)</f>
        <v>0</v>
      </c>
      <c r="D64" s="189" cm="1">
        <f t="array" ref="D64">SUM(E64:G64)*0</f>
        <v>0</v>
      </c>
      <c r="E64" s="188"/>
      <c r="F64" s="188"/>
      <c r="G64" s="188"/>
      <c r="H64" s="188"/>
      <c r="I64" s="188"/>
      <c r="J64" s="189"/>
      <c r="K64" s="190" cm="1">
        <f t="array" ref="K64">C64-N64</f>
        <v>0</v>
      </c>
      <c r="L64" s="191" cm="1">
        <f t="array" ref="L64">_xlfn.IFERROR(K64/C64,0)</f>
        <v>0</v>
      </c>
      <c r="M64" s="192" cm="1">
        <f t="array" ref="M64">N64-AE64</f>
        <v>0</v>
      </c>
      <c r="N64" s="192" cm="1">
        <f t="array" ref="N64">SUM(P64:X64,AC64)</f>
        <v>0</v>
      </c>
      <c r="O64" s="26"/>
      <c r="P64" s="26"/>
      <c r="Q64" s="26"/>
      <c r="R64" s="26"/>
      <c r="S64" s="26"/>
      <c r="T64" s="26"/>
      <c r="U64" s="30"/>
      <c r="V64" s="26"/>
      <c r="W64" s="30"/>
      <c r="X64" s="30"/>
      <c r="Y64" s="32"/>
      <c r="Z64" s="32"/>
      <c r="AA64" s="30"/>
      <c r="AB64" s="26"/>
      <c r="AC64" s="26"/>
      <c r="AD64" s="194"/>
      <c r="AE64" s="26" cm="1">
        <f t="array" ref="AE64">SUM(AF64:AG64)</f>
        <v>0</v>
      </c>
      <c r="AF64" s="26"/>
      <c r="AG64" s="26"/>
      <c r="AH64" s="32"/>
    </row>
    <row r="65" ht="20.35" customHeight="1">
      <c r="A65" s="186">
        <v>44774</v>
      </c>
      <c r="B65" s="187" cm="1">
        <f t="array" ref="B65">ROUND(C65/'variables - Table 1-1'!B64,0)</f>
        <v>0</v>
      </c>
      <c r="C65" s="188" cm="1">
        <f t="array" ref="C65">SUM(E65:J65)</f>
        <v>0</v>
      </c>
      <c r="D65" s="189" cm="1">
        <f t="array" ref="D65">SUM(E65:G65)*0</f>
        <v>0</v>
      </c>
      <c r="E65" s="188"/>
      <c r="F65" s="188"/>
      <c r="G65" s="188"/>
      <c r="H65" s="188"/>
      <c r="I65" s="188"/>
      <c r="J65" s="189"/>
      <c r="K65" s="190" cm="1">
        <f t="array" ref="K65">C65-N65</f>
        <v>0</v>
      </c>
      <c r="L65" s="191" cm="1">
        <f t="array" ref="L65">_xlfn.IFERROR(K65/C65,0)</f>
        <v>0</v>
      </c>
      <c r="M65" s="192" cm="1">
        <f t="array" ref="M65">N65-AE65</f>
        <v>0</v>
      </c>
      <c r="N65" s="192" cm="1">
        <f t="array" ref="N65">SUM(P65:X65,AC65)</f>
        <v>0</v>
      </c>
      <c r="O65" s="26"/>
      <c r="P65" s="26"/>
      <c r="Q65" s="26"/>
      <c r="R65" s="26"/>
      <c r="S65" s="26"/>
      <c r="T65" s="26"/>
      <c r="U65" s="30"/>
      <c r="V65" s="26"/>
      <c r="W65" s="30"/>
      <c r="X65" s="30"/>
      <c r="Y65" s="32"/>
      <c r="Z65" s="32"/>
      <c r="AA65" s="30"/>
      <c r="AB65" s="26"/>
      <c r="AC65" s="26"/>
      <c r="AD65" s="194"/>
      <c r="AE65" s="26" cm="1">
        <f t="array" ref="AE65">SUM(AF65:AG65)</f>
        <v>0</v>
      </c>
      <c r="AF65" s="26"/>
      <c r="AG65" s="26"/>
      <c r="AH65" s="32"/>
    </row>
    <row r="66" ht="20.35" customHeight="1">
      <c r="A66" s="186">
        <v>44805</v>
      </c>
      <c r="B66" s="187" cm="1">
        <f t="array" ref="B66">ROUND(C66/'variables - Table 1-1'!B65,0)</f>
        <v>3637</v>
      </c>
      <c r="C66" s="188" cm="1">
        <f t="array" ref="C66">SUM(D66)</f>
        <v>3503481.9062</v>
      </c>
      <c r="D66" s="189">
        <v>3503481.9062</v>
      </c>
      <c r="E66" s="188">
        <v>3000565</v>
      </c>
      <c r="F66" s="188"/>
      <c r="G66" s="188"/>
      <c r="H66" s="188"/>
      <c r="I66" s="188"/>
      <c r="J66" s="189"/>
      <c r="K66" s="190" cm="1">
        <f t="array" ref="K66">C66-N66</f>
        <v>3503481.9062</v>
      </c>
      <c r="L66" s="191" cm="1">
        <f t="array" ref="L66">_xlfn.IFERROR(K66/C66,0)</f>
        <v>1</v>
      </c>
      <c r="M66" s="192" cm="1">
        <f t="array" ref="M66">N66-AE66</f>
        <v>0</v>
      </c>
      <c r="N66" s="192" cm="1">
        <f t="array" ref="N66">SUM(P66:X66,AC66)</f>
        <v>0</v>
      </c>
      <c r="O66" s="26"/>
      <c r="P66" s="26"/>
      <c r="Q66" s="26"/>
      <c r="R66" s="26"/>
      <c r="S66" s="26"/>
      <c r="T66" s="26"/>
      <c r="U66" s="30"/>
      <c r="V66" s="26"/>
      <c r="W66" s="30"/>
      <c r="X66" s="30"/>
      <c r="Y66" s="32"/>
      <c r="Z66" s="32"/>
      <c r="AA66" s="30"/>
      <c r="AB66" s="26"/>
      <c r="AC66" s="26"/>
      <c r="AD66" s="194"/>
      <c r="AE66" s="26" cm="1">
        <f t="array" ref="AE66">SUM(AF66:AG66)</f>
        <v>0</v>
      </c>
      <c r="AF66" s="26"/>
      <c r="AG66" s="26"/>
      <c r="AH66" s="32"/>
    </row>
    <row r="67" ht="20.35" customHeight="1">
      <c r="A67" s="186">
        <v>44835</v>
      </c>
      <c r="B67" s="187" cm="1">
        <f t="array" ref="B67">ROUND(C67/'variables - Table 1-1'!B66,0)</f>
        <v>3716</v>
      </c>
      <c r="C67" s="188" cm="1">
        <f t="array" ref="C67">SUM(D67)</f>
        <v>3503982.4862</v>
      </c>
      <c r="D67" s="189">
        <v>3503982.4862</v>
      </c>
      <c r="E67" s="188">
        <v>2999530</v>
      </c>
      <c r="F67" s="188"/>
      <c r="G67" s="188"/>
      <c r="H67" s="188"/>
      <c r="I67" s="188"/>
      <c r="J67" s="189"/>
      <c r="K67" s="190" cm="1">
        <f t="array" ref="K67">C67-N67</f>
        <v>3503982.4862</v>
      </c>
      <c r="L67" s="191" cm="1">
        <f t="array" ref="L67">_xlfn.IFERROR(K67/C67,0)</f>
        <v>1</v>
      </c>
      <c r="M67" s="192" cm="1">
        <f t="array" ref="M67">N67-AE67</f>
        <v>0</v>
      </c>
      <c r="N67" s="192" cm="1">
        <f t="array" ref="N67">SUM(P67:X67,AC67)</f>
        <v>0</v>
      </c>
      <c r="O67" s="26"/>
      <c r="P67" s="26"/>
      <c r="Q67" s="26"/>
      <c r="R67" s="26"/>
      <c r="S67" s="26"/>
      <c r="T67" s="26"/>
      <c r="U67" s="30"/>
      <c r="V67" s="26"/>
      <c r="W67" s="30"/>
      <c r="X67" s="30"/>
      <c r="Y67" s="32"/>
      <c r="Z67" s="32"/>
      <c r="AA67" s="30"/>
      <c r="AB67" s="26"/>
      <c r="AC67" s="26"/>
      <c r="AD67" s="194"/>
      <c r="AE67" s="26" cm="1">
        <f t="array" ref="AE67">SUM(AF67:AG67)</f>
        <v>0</v>
      </c>
      <c r="AF67" s="26"/>
      <c r="AG67" s="26"/>
      <c r="AH67" s="32"/>
    </row>
    <row r="68" ht="20.35" customHeight="1">
      <c r="A68" s="186">
        <v>44866</v>
      </c>
      <c r="B68" s="187" cm="1">
        <f t="array" ref="B68">ROUND(C68/'variables - Table 1-1'!B67,0)</f>
        <v>4198</v>
      </c>
      <c r="C68" s="188" cm="1">
        <f t="array" ref="C68">SUM(D68)</f>
        <v>3778796</v>
      </c>
      <c r="D68" s="189">
        <v>3778796</v>
      </c>
      <c r="E68" s="188">
        <v>3075345</v>
      </c>
      <c r="F68" s="188"/>
      <c r="G68" s="188"/>
      <c r="H68" s="188"/>
      <c r="I68" s="188"/>
      <c r="J68" s="189"/>
      <c r="K68" s="190" cm="1">
        <f t="array" ref="K68">C68-N68</f>
        <v>3778796</v>
      </c>
      <c r="L68" s="191" cm="1">
        <f t="array" ref="L68">_xlfn.IFERROR(K68/C68,0)</f>
        <v>1</v>
      </c>
      <c r="M68" s="192" cm="1">
        <f t="array" ref="M68">N68-AE68</f>
        <v>0</v>
      </c>
      <c r="N68" s="192" cm="1">
        <f t="array" ref="N68">SUM(P68:X68,AC68)</f>
        <v>0</v>
      </c>
      <c r="O68" s="26"/>
      <c r="P68" s="26"/>
      <c r="Q68" s="26"/>
      <c r="R68" s="26"/>
      <c r="S68" s="26"/>
      <c r="T68" s="26"/>
      <c r="U68" s="30"/>
      <c r="V68" s="26"/>
      <c r="W68" s="30"/>
      <c r="X68" s="30"/>
      <c r="Y68" s="32"/>
      <c r="Z68" s="32"/>
      <c r="AA68" s="30"/>
      <c r="AB68" s="26"/>
      <c r="AC68" s="26"/>
      <c r="AD68" s="194"/>
      <c r="AE68" s="26" cm="1">
        <f t="array" ref="AE68">SUM(AF68:AG68)</f>
        <v>0</v>
      </c>
      <c r="AF68" s="26"/>
      <c r="AG68" s="26"/>
      <c r="AH68" s="32"/>
    </row>
    <row r="69" ht="20.35" customHeight="1">
      <c r="A69" s="186">
        <v>44896</v>
      </c>
      <c r="B69" s="187" cm="1">
        <f t="array" ref="B69">ROUND(C69/'variables - Table 1-1'!B68,0)</f>
        <v>4416</v>
      </c>
      <c r="C69" s="188" cm="1">
        <f t="array" ref="C69">SUM(D69)</f>
        <v>3780012</v>
      </c>
      <c r="D69" s="189">
        <v>3780012</v>
      </c>
      <c r="E69" s="188">
        <v>3072997</v>
      </c>
      <c r="F69" s="188"/>
      <c r="G69" s="188"/>
      <c r="H69" s="188"/>
      <c r="I69" s="188"/>
      <c r="J69" s="189"/>
      <c r="K69" s="190" cm="1">
        <f t="array" ref="K69">C69-N69</f>
        <v>3780012</v>
      </c>
      <c r="L69" s="191" cm="1">
        <f t="array" ref="L69">_xlfn.IFERROR(K69/C69,0)</f>
        <v>1</v>
      </c>
      <c r="M69" s="192" cm="1">
        <f t="array" ref="M69">N69-AE69</f>
        <v>0</v>
      </c>
      <c r="N69" s="192" cm="1">
        <f t="array" ref="N69">SUM(P69:X69,AC69)</f>
        <v>0</v>
      </c>
      <c r="O69" s="26"/>
      <c r="P69" s="26"/>
      <c r="Q69" s="26"/>
      <c r="R69" s="26"/>
      <c r="S69" s="26"/>
      <c r="T69" s="26"/>
      <c r="U69" s="30"/>
      <c r="V69" s="26"/>
      <c r="W69" s="30"/>
      <c r="X69" s="30"/>
      <c r="Y69" s="32"/>
      <c r="Z69" s="32"/>
      <c r="AA69" s="30"/>
      <c r="AB69" s="26"/>
      <c r="AC69" s="26"/>
      <c r="AD69" s="194"/>
      <c r="AE69" s="26" cm="1">
        <f t="array" ref="AE69">SUM(AF69:AG69)</f>
        <v>0</v>
      </c>
      <c r="AF69" s="26"/>
      <c r="AG69" s="26"/>
      <c r="AH69" s="32"/>
    </row>
    <row r="70" ht="20.35" customHeight="1">
      <c r="A70" s="186">
        <v>44927</v>
      </c>
      <c r="B70" s="187" cm="1">
        <f t="array" ref="B70">ROUND(C70/'variables - Table 1-1'!B69,0)</f>
        <v>4688</v>
      </c>
      <c r="C70" s="188" cm="1">
        <f t="array" ref="C70">SUM(D70)</f>
        <v>3783202</v>
      </c>
      <c r="D70" s="189">
        <v>3783202</v>
      </c>
      <c r="E70" s="188">
        <v>3076959</v>
      </c>
      <c r="F70" s="188"/>
      <c r="G70" s="188"/>
      <c r="H70" s="188"/>
      <c r="I70" s="188"/>
      <c r="J70" s="189"/>
      <c r="K70" s="190" cm="1">
        <f t="array" ref="K70">C70-N70</f>
        <v>3783202</v>
      </c>
      <c r="L70" s="191" cm="1">
        <f t="array" ref="L70">_xlfn.IFERROR(K70/C70,0)</f>
        <v>1</v>
      </c>
      <c r="M70" s="192" cm="1">
        <f t="array" ref="M70">N70-AE70</f>
        <v>0</v>
      </c>
      <c r="N70" s="192" cm="1">
        <f t="array" ref="N70">SUM(P70:X70,AC70)</f>
        <v>0</v>
      </c>
      <c r="O70" s="26"/>
      <c r="P70" s="26"/>
      <c r="Q70" s="26"/>
      <c r="R70" s="26"/>
      <c r="S70" s="26"/>
      <c r="T70" s="26"/>
      <c r="U70" s="30"/>
      <c r="V70" s="26"/>
      <c r="W70" s="30"/>
      <c r="X70" s="30"/>
      <c r="Y70" s="32"/>
      <c r="Z70" s="32"/>
      <c r="AA70" s="30"/>
      <c r="AB70" s="26"/>
      <c r="AC70" s="26"/>
      <c r="AD70" s="194"/>
      <c r="AE70" s="26" cm="1">
        <f t="array" ref="AE70">SUM(AF70:AG70)</f>
        <v>0</v>
      </c>
      <c r="AF70" s="26"/>
      <c r="AG70" s="26"/>
      <c r="AH70" s="32"/>
    </row>
    <row r="71" ht="20.35" customHeight="1">
      <c r="A71" s="186">
        <v>44958</v>
      </c>
      <c r="B71" s="187" cm="1">
        <f t="array" ref="B71">ROUND(C71/'variables - Table 1-1'!B70,0)</f>
        <v>4541</v>
      </c>
      <c r="C71" s="188" cm="1">
        <f t="array" ref="C71">SUM(D71)</f>
        <v>3783294</v>
      </c>
      <c r="D71" s="189">
        <v>3783294</v>
      </c>
      <c r="E71" s="188">
        <v>3075033</v>
      </c>
      <c r="F71" s="188"/>
      <c r="G71" s="188"/>
      <c r="H71" s="188"/>
      <c r="I71" s="188"/>
      <c r="J71" s="189"/>
      <c r="K71" s="190" cm="1">
        <f t="array" ref="K71">C71-N71</f>
        <v>3783294</v>
      </c>
      <c r="L71" s="191" cm="1">
        <f t="array" ref="L71">_xlfn.IFERROR(K71/C71,0)</f>
        <v>1</v>
      </c>
      <c r="M71" s="192" cm="1">
        <f t="array" ref="M71">N71-AE71</f>
        <v>0</v>
      </c>
      <c r="N71" s="192" cm="1">
        <f t="array" ref="N71">SUM(P71:X71,AC71)</f>
        <v>0</v>
      </c>
      <c r="O71" s="26"/>
      <c r="P71" s="26"/>
      <c r="Q71" s="26"/>
      <c r="R71" s="26"/>
      <c r="S71" s="26"/>
      <c r="T71" s="26"/>
      <c r="U71" s="30"/>
      <c r="V71" s="26"/>
      <c r="W71" s="30"/>
      <c r="X71" s="30"/>
      <c r="Y71" s="32"/>
      <c r="Z71" s="32"/>
      <c r="AA71" s="30"/>
      <c r="AB71" s="26"/>
      <c r="AC71" s="26"/>
      <c r="AD71" s="194"/>
      <c r="AE71" s="26" cm="1">
        <f t="array" ref="AE71">SUM(AF71:AG71)</f>
        <v>0</v>
      </c>
      <c r="AF71" s="26"/>
      <c r="AG71" s="26"/>
      <c r="AH71" s="32"/>
    </row>
    <row r="72" ht="20.35" customHeight="1">
      <c r="A72" s="186">
        <v>44986</v>
      </c>
      <c r="B72" s="187" cm="1">
        <f t="array" ref="B72">ROUND(C72/'variables - Table 1-1'!B71,0)</f>
        <v>4796</v>
      </c>
      <c r="C72" s="188" cm="1">
        <f t="array" ref="C72">SUM(D72)</f>
        <v>3783536</v>
      </c>
      <c r="D72" s="189">
        <v>3783536</v>
      </c>
      <c r="E72" s="188">
        <v>3076443</v>
      </c>
      <c r="F72" s="188"/>
      <c r="G72" s="188"/>
      <c r="H72" s="188"/>
      <c r="I72" s="188"/>
      <c r="J72" s="189"/>
      <c r="K72" s="190" cm="1">
        <f t="array" ref="K72">C72-N72</f>
        <v>3783536</v>
      </c>
      <c r="L72" s="191" cm="1">
        <f t="array" ref="L72">_xlfn.IFERROR(K72/C72,0)</f>
        <v>1</v>
      </c>
      <c r="M72" s="192" cm="1">
        <f t="array" ref="M72">N72-AE72</f>
        <v>0</v>
      </c>
      <c r="N72" s="192" cm="1">
        <f t="array" ref="N72">SUM(P72:X72,AC72)</f>
        <v>0</v>
      </c>
      <c r="O72" s="26"/>
      <c r="P72" s="26"/>
      <c r="Q72" s="26"/>
      <c r="R72" s="26"/>
      <c r="S72" s="26"/>
      <c r="T72" s="26"/>
      <c r="U72" s="30"/>
      <c r="V72" s="26"/>
      <c r="W72" s="30"/>
      <c r="X72" s="30"/>
      <c r="Y72" s="32"/>
      <c r="Z72" s="32"/>
      <c r="AA72" s="30"/>
      <c r="AB72" s="26"/>
      <c r="AC72" s="26"/>
      <c r="AD72" s="194"/>
      <c r="AE72" s="26" cm="1">
        <f t="array" ref="AE72">SUM(AF72:AG72)</f>
        <v>0</v>
      </c>
      <c r="AF72" s="26"/>
      <c r="AG72" s="26"/>
      <c r="AH72" s="32"/>
    </row>
    <row r="73" ht="20.35" customHeight="1">
      <c r="A73" s="186">
        <v>45017</v>
      </c>
      <c r="B73" s="187" cm="1">
        <f t="array" ref="B73">ROUND(C73/'variables - Table 1-1'!B72,0)</f>
        <v>4713</v>
      </c>
      <c r="C73" s="188" cm="1">
        <f t="array" ref="C73">SUM(D73)</f>
        <v>3783504</v>
      </c>
      <c r="D73" s="189">
        <v>3783504</v>
      </c>
      <c r="E73" s="188">
        <v>3072900</v>
      </c>
      <c r="F73" s="188"/>
      <c r="G73" s="188"/>
      <c r="H73" s="188"/>
      <c r="I73" s="188"/>
      <c r="J73" s="189"/>
      <c r="K73" s="190" cm="1">
        <f t="array" ref="K73">C73-N73</f>
        <v>3783504</v>
      </c>
      <c r="L73" s="191" cm="1">
        <f t="array" ref="L73">_xlfn.IFERROR(K73/C73,0)</f>
        <v>1</v>
      </c>
      <c r="M73" s="192" cm="1">
        <f t="array" ref="M73">N73-AE73</f>
        <v>0</v>
      </c>
      <c r="N73" s="192" cm="1">
        <f t="array" ref="N73">SUM(P73:X73,AC73)</f>
        <v>0</v>
      </c>
      <c r="O73" s="26"/>
      <c r="P73" s="26"/>
      <c r="Q73" s="26"/>
      <c r="R73" s="26"/>
      <c r="S73" s="26"/>
      <c r="T73" s="26"/>
      <c r="U73" s="30"/>
      <c r="V73" s="26"/>
      <c r="W73" s="30"/>
      <c r="X73" s="30"/>
      <c r="Y73" s="32"/>
      <c r="Z73" s="32"/>
      <c r="AA73" s="30"/>
      <c r="AB73" s="26"/>
      <c r="AC73" s="26"/>
      <c r="AD73" s="194"/>
      <c r="AE73" s="26" cm="1">
        <f t="array" ref="AE73">SUM(AF73:AG73)</f>
        <v>0</v>
      </c>
      <c r="AF73" s="26"/>
      <c r="AG73" s="26"/>
      <c r="AH73" s="32"/>
    </row>
    <row r="74" ht="20.35" customHeight="1">
      <c r="A74" s="186">
        <v>45047</v>
      </c>
      <c r="B74" s="187" cm="1">
        <f t="array" ref="B74">ROUND(C74/'variables - Table 1-1'!B73,0)</f>
        <v>4703</v>
      </c>
      <c r="C74" s="188" cm="1">
        <f t="array" ref="C74">SUM(D74)</f>
        <v>3782836</v>
      </c>
      <c r="D74" s="189">
        <v>3782836</v>
      </c>
      <c r="E74" s="188">
        <v>3072705</v>
      </c>
      <c r="F74" s="188"/>
      <c r="G74" s="188"/>
      <c r="H74" s="188"/>
      <c r="I74" s="188"/>
      <c r="J74" s="189"/>
      <c r="K74" s="190" cm="1">
        <f t="array" ref="K74">C74-N74</f>
        <v>3782836</v>
      </c>
      <c r="L74" s="191" cm="1">
        <f t="array" ref="L74">_xlfn.IFERROR(K74/C74,0)</f>
        <v>1</v>
      </c>
      <c r="M74" s="192" cm="1">
        <f t="array" ref="M74">N74-AE74</f>
        <v>0</v>
      </c>
      <c r="N74" s="192" cm="1">
        <f t="array" ref="N74">SUM(P74:X74,AC74)</f>
        <v>0</v>
      </c>
      <c r="O74" s="26"/>
      <c r="P74" s="26"/>
      <c r="Q74" s="26"/>
      <c r="R74" s="26"/>
      <c r="S74" s="26"/>
      <c r="T74" s="26"/>
      <c r="U74" s="30"/>
      <c r="V74" s="26"/>
      <c r="W74" s="30"/>
      <c r="X74" s="30"/>
      <c r="Y74" s="32"/>
      <c r="Z74" s="32"/>
      <c r="AA74" s="30"/>
      <c r="AB74" s="26"/>
      <c r="AC74" s="26"/>
      <c r="AD74" s="194"/>
      <c r="AE74" s="26" cm="1">
        <f t="array" ref="AE74">SUM(AF74:AG74)</f>
        <v>0</v>
      </c>
      <c r="AF74" s="26"/>
      <c r="AG74" s="26"/>
      <c r="AH74" s="32"/>
    </row>
    <row r="75" ht="20.35" customHeight="1">
      <c r="A75" s="186">
        <v>45078</v>
      </c>
      <c r="B75" s="187" cm="1">
        <f t="array" ref="B75">ROUND(C75/'variables - Table 1-1'!B74,0)</f>
        <v>4743</v>
      </c>
      <c r="C75" s="188" cm="1">
        <f t="array" ref="C75">SUM(D75)</f>
        <v>3807533</v>
      </c>
      <c r="D75" s="189">
        <v>3807533</v>
      </c>
      <c r="E75" s="188">
        <v>3094006</v>
      </c>
      <c r="F75" s="188"/>
      <c r="G75" s="188"/>
      <c r="H75" s="188"/>
      <c r="I75" s="188"/>
      <c r="J75" s="189"/>
      <c r="K75" s="190" cm="1">
        <f t="array" ref="K75">C75-N75</f>
        <v>3807533</v>
      </c>
      <c r="L75" s="191" cm="1">
        <f t="array" ref="L75">_xlfn.IFERROR(K75/C75,0)</f>
        <v>1</v>
      </c>
      <c r="M75" s="192" cm="1">
        <f t="array" ref="M75">N75-AE75</f>
        <v>0</v>
      </c>
      <c r="N75" s="192" cm="1">
        <f t="array" ref="N75">SUM(P75:X75,AC75)</f>
        <v>0</v>
      </c>
      <c r="O75" s="26"/>
      <c r="P75" s="26"/>
      <c r="Q75" s="26"/>
      <c r="R75" s="26"/>
      <c r="S75" s="26"/>
      <c r="T75" s="26"/>
      <c r="U75" s="30"/>
      <c r="V75" s="26"/>
      <c r="W75" s="30"/>
      <c r="X75" s="30"/>
      <c r="Y75" s="32"/>
      <c r="Z75" s="32"/>
      <c r="AA75" s="30"/>
      <c r="AB75" s="26"/>
      <c r="AC75" s="26"/>
      <c r="AD75" s="194"/>
      <c r="AE75" s="26" cm="1">
        <f t="array" ref="AE75">SUM(AF75:AG75)</f>
        <v>0</v>
      </c>
      <c r="AF75" s="26"/>
      <c r="AG75" s="26"/>
      <c r="AH75" s="32"/>
    </row>
    <row r="76" ht="20.35" customHeight="1">
      <c r="A76" s="186">
        <v>45108</v>
      </c>
      <c r="B76" s="187" cm="1">
        <f t="array" ref="B76">ROUND(C76/'variables - Table 1-1'!B75,0)</f>
        <v>4584</v>
      </c>
      <c r="C76" s="188" cm="1">
        <f t="array" ref="C76">SUM(D76)</f>
        <v>3794771</v>
      </c>
      <c r="D76" s="189">
        <v>3794771</v>
      </c>
      <c r="E76" s="188">
        <v>3083791</v>
      </c>
      <c r="F76" s="188"/>
      <c r="G76" s="188"/>
      <c r="H76" s="188"/>
      <c r="I76" s="188"/>
      <c r="J76" s="189"/>
      <c r="K76" s="190" cm="1">
        <f t="array" ref="K76">C76-N76</f>
        <v>3794771</v>
      </c>
      <c r="L76" s="191" cm="1">
        <f t="array" ref="L76">_xlfn.IFERROR(K76/C76,0)</f>
        <v>1</v>
      </c>
      <c r="M76" s="192" cm="1">
        <f t="array" ref="M76">N76-AE76</f>
        <v>0</v>
      </c>
      <c r="N76" s="192" cm="1">
        <f t="array" ref="N76">SUM(P76:X76,AC76)</f>
        <v>0</v>
      </c>
      <c r="O76" s="26"/>
      <c r="P76" s="26"/>
      <c r="Q76" s="26"/>
      <c r="R76" s="26"/>
      <c r="S76" s="26"/>
      <c r="T76" s="26"/>
      <c r="U76" s="30"/>
      <c r="V76" s="26"/>
      <c r="W76" s="30"/>
      <c r="X76" s="30"/>
      <c r="Y76" s="32"/>
      <c r="Z76" s="32"/>
      <c r="AA76" s="30"/>
      <c r="AB76" s="26"/>
      <c r="AC76" s="26"/>
      <c r="AD76" s="194"/>
      <c r="AE76" s="26" cm="1">
        <f t="array" ref="AE76">SUM(AF76:AG76)</f>
        <v>0</v>
      </c>
      <c r="AF76" s="26"/>
      <c r="AG76" s="26"/>
      <c r="AH76" s="32"/>
    </row>
    <row r="77" ht="20.35" customHeight="1">
      <c r="A77" s="186">
        <v>45139</v>
      </c>
      <c r="B77" s="187" cm="1">
        <f t="array" ref="B77">ROUND(C77/'variables - Table 1-1'!B76,0)</f>
        <v>4455</v>
      </c>
      <c r="C77" s="188" cm="1">
        <f t="array" ref="C77">SUM(D77)</f>
        <v>3795039</v>
      </c>
      <c r="D77" s="189">
        <v>3795039</v>
      </c>
      <c r="E77" s="188">
        <v>3082497</v>
      </c>
      <c r="F77" s="188"/>
      <c r="G77" s="188"/>
      <c r="H77" s="188"/>
      <c r="I77" s="188"/>
      <c r="J77" s="189"/>
      <c r="K77" s="190" cm="1">
        <f t="array" ref="K77">C77-N77</f>
        <v>3795039</v>
      </c>
      <c r="L77" s="191" cm="1">
        <f t="array" ref="L77">_xlfn.IFERROR(K77/C77,0)</f>
        <v>1</v>
      </c>
      <c r="M77" s="192" cm="1">
        <f t="array" ref="M77">N77-AE77</f>
        <v>0</v>
      </c>
      <c r="N77" s="192" cm="1">
        <f t="array" ref="N77">SUM(P77:X77,AC77)</f>
        <v>0</v>
      </c>
      <c r="O77" s="26"/>
      <c r="P77" s="26"/>
      <c r="Q77" s="26"/>
      <c r="R77" s="26"/>
      <c r="S77" s="26"/>
      <c r="T77" s="26"/>
      <c r="U77" s="30"/>
      <c r="V77" s="26"/>
      <c r="W77" s="30"/>
      <c r="X77" s="30"/>
      <c r="Y77" s="32"/>
      <c r="Z77" s="32"/>
      <c r="AA77" s="30"/>
      <c r="AB77" s="26"/>
      <c r="AC77" s="26"/>
      <c r="AD77" s="194"/>
      <c r="AE77" s="26" cm="1">
        <f t="array" ref="AE77">SUM(AF77:AG77)</f>
        <v>0</v>
      </c>
      <c r="AF77" s="26"/>
      <c r="AG77" s="26"/>
      <c r="AH77" s="32"/>
    </row>
    <row r="78" ht="20.35" customHeight="1">
      <c r="A78" s="186">
        <v>45170</v>
      </c>
      <c r="B78" s="187" cm="1">
        <f t="array" ref="B78">ROUND(C78/'variables - Table 1-1'!B77,0)</f>
        <v>4326</v>
      </c>
      <c r="C78" s="188" cm="1">
        <f t="array" ref="C78">SUM(D78)</f>
        <v>3914647</v>
      </c>
      <c r="D78" s="189">
        <v>3914647</v>
      </c>
      <c r="E78" s="188">
        <v>3185532</v>
      </c>
      <c r="F78" s="188"/>
      <c r="G78" s="188"/>
      <c r="H78" s="188"/>
      <c r="I78" s="188"/>
      <c r="J78" s="189"/>
      <c r="K78" s="190" cm="1">
        <f t="array" ref="K78">C78-N78</f>
        <v>3914647</v>
      </c>
      <c r="L78" s="191" cm="1">
        <f t="array" ref="L78">_xlfn.IFERROR(K78/C78,0)</f>
        <v>1</v>
      </c>
      <c r="M78" s="192" cm="1">
        <f t="array" ref="M78">N78-AE78</f>
        <v>0</v>
      </c>
      <c r="N78" s="192" cm="1">
        <f t="array" ref="N78">SUM(P78:X78,AC78)</f>
        <v>0</v>
      </c>
      <c r="O78" s="26"/>
      <c r="P78" s="26"/>
      <c r="Q78" s="26"/>
      <c r="R78" s="26"/>
      <c r="S78" s="26"/>
      <c r="T78" s="26"/>
      <c r="U78" s="30"/>
      <c r="V78" s="26"/>
      <c r="W78" s="30"/>
      <c r="X78" s="30"/>
      <c r="Y78" s="32"/>
      <c r="Z78" s="32"/>
      <c r="AA78" s="30"/>
      <c r="AB78" s="26"/>
      <c r="AC78" s="26"/>
      <c r="AD78" s="194"/>
      <c r="AE78" s="26" cm="1">
        <f t="array" ref="AE78">SUM(AF78:AG78)</f>
        <v>0</v>
      </c>
      <c r="AF78" s="26"/>
      <c r="AG78" s="26"/>
      <c r="AH78" s="32"/>
    </row>
    <row r="79" ht="20.35" customHeight="1">
      <c r="A79" s="186">
        <v>45200</v>
      </c>
      <c r="B79" s="187" cm="1">
        <f t="array" ref="B79">ROUND(C79/'variables - Table 1-1'!B78,0)</f>
        <v>4193</v>
      </c>
      <c r="C79" s="188" cm="1">
        <f t="array" ref="C79">SUM(D79)</f>
        <v>3802365</v>
      </c>
      <c r="D79" s="189">
        <v>3802365</v>
      </c>
      <c r="E79" s="188">
        <v>3086883</v>
      </c>
      <c r="F79" s="188"/>
      <c r="G79" s="188"/>
      <c r="H79" s="188"/>
      <c r="I79" s="188"/>
      <c r="J79" s="189"/>
      <c r="K79" s="190" cm="1">
        <f t="array" ref="K79">C79-N79</f>
        <v>3802365</v>
      </c>
      <c r="L79" s="191" cm="1">
        <f t="array" ref="L79">_xlfn.IFERROR(K79/C79,0)</f>
        <v>1</v>
      </c>
      <c r="M79" s="192" cm="1">
        <f t="array" ref="M79">N79-AE79</f>
        <v>0</v>
      </c>
      <c r="N79" s="192" cm="1">
        <f t="array" ref="N79">SUM(P79:X79,AC79)</f>
        <v>0</v>
      </c>
      <c r="O79" s="26"/>
      <c r="P79" s="26"/>
      <c r="Q79" s="26"/>
      <c r="R79" s="26"/>
      <c r="S79" s="26"/>
      <c r="T79" s="26"/>
      <c r="U79" s="30"/>
      <c r="V79" s="26"/>
      <c r="W79" s="30"/>
      <c r="X79" s="30"/>
      <c r="Y79" s="32"/>
      <c r="Z79" s="32"/>
      <c r="AA79" s="30"/>
      <c r="AB79" s="26"/>
      <c r="AC79" s="26"/>
      <c r="AD79" s="194"/>
      <c r="AE79" s="26" cm="1">
        <f t="array" ref="AE79">SUM(AF79:AG79)</f>
        <v>0</v>
      </c>
      <c r="AF79" s="26"/>
      <c r="AG79" s="26"/>
      <c r="AH79" s="32"/>
    </row>
    <row r="80" ht="20.35" customHeight="1">
      <c r="A80" s="186">
        <v>45231</v>
      </c>
      <c r="B80" s="187" cm="1">
        <f t="array" ref="B80">ROUND(C80/'variables - Table 1-1'!B79,0)</f>
        <v>4375</v>
      </c>
      <c r="C80" s="188" cm="1">
        <f t="array" ref="C80">SUM(D80)</f>
        <v>3802194</v>
      </c>
      <c r="D80" s="189">
        <v>3802194</v>
      </c>
      <c r="E80" s="188">
        <v>3085337</v>
      </c>
      <c r="F80" s="188"/>
      <c r="G80" s="188"/>
      <c r="H80" s="188"/>
      <c r="I80" s="188"/>
      <c r="J80" s="189"/>
      <c r="K80" s="190" cm="1">
        <f t="array" ref="K80">C80-N80</f>
        <v>3802194</v>
      </c>
      <c r="L80" s="191" cm="1">
        <f t="array" ref="L80">_xlfn.IFERROR(K80/C80,0)</f>
        <v>1</v>
      </c>
      <c r="M80" s="192" cm="1">
        <f t="array" ref="M80">N80-AE80</f>
        <v>0</v>
      </c>
      <c r="N80" s="192" cm="1">
        <f t="array" ref="N80">SUM(P80:X80,AC80)</f>
        <v>0</v>
      </c>
      <c r="O80" s="26"/>
      <c r="P80" s="26"/>
      <c r="Q80" s="26"/>
      <c r="R80" s="26"/>
      <c r="S80" s="26"/>
      <c r="T80" s="26"/>
      <c r="U80" s="30"/>
      <c r="V80" s="26"/>
      <c r="W80" s="30"/>
      <c r="X80" s="30"/>
      <c r="Y80" s="32"/>
      <c r="Z80" s="32"/>
      <c r="AA80" s="30"/>
      <c r="AB80" s="26"/>
      <c r="AC80" s="26"/>
      <c r="AD80" s="194"/>
      <c r="AE80" s="26" cm="1">
        <f t="array" ref="AE80">SUM(AF80:AG80)</f>
        <v>0</v>
      </c>
      <c r="AF80" s="26"/>
      <c r="AG80" s="26"/>
      <c r="AH80" s="32"/>
    </row>
    <row r="81" ht="20.35" customHeight="1">
      <c r="A81" s="186">
        <v>45261</v>
      </c>
      <c r="B81" s="187" cm="1">
        <f t="array" ref="B81">ROUND(C81/'variables - Table 1-1'!B80,0)</f>
        <v>4298</v>
      </c>
      <c r="C81" s="188" cm="1">
        <f t="array" ref="C81">SUM(D81)</f>
        <v>3802312</v>
      </c>
      <c r="D81" s="189">
        <v>3802312</v>
      </c>
      <c r="E81" s="188">
        <v>3082807</v>
      </c>
      <c r="F81" s="188"/>
      <c r="G81" s="188"/>
      <c r="H81" s="188"/>
      <c r="I81" s="188"/>
      <c r="J81" s="189"/>
      <c r="K81" s="190" cm="1">
        <f t="array" ref="K81">C81-N81</f>
        <v>3802312</v>
      </c>
      <c r="L81" s="191" cm="1">
        <f t="array" ref="L81">_xlfn.IFERROR(K81/C81,0)</f>
        <v>1</v>
      </c>
      <c r="M81" s="192" cm="1">
        <f t="array" ref="M81">N81-AE81</f>
        <v>0</v>
      </c>
      <c r="N81" s="192" cm="1">
        <f t="array" ref="N81">SUM(P81:X81,AC81)</f>
        <v>0</v>
      </c>
      <c r="O81" s="26"/>
      <c r="P81" s="26"/>
      <c r="Q81" s="26"/>
      <c r="R81" s="26"/>
      <c r="S81" s="26"/>
      <c r="T81" s="26"/>
      <c r="U81" s="30"/>
      <c r="V81" s="26"/>
      <c r="W81" s="30"/>
      <c r="X81" s="30"/>
      <c r="Y81" s="32"/>
      <c r="Z81" s="32"/>
      <c r="AA81" s="30"/>
      <c r="AB81" s="26"/>
      <c r="AC81" s="26"/>
      <c r="AD81" s="194"/>
      <c r="AE81" s="26" cm="1">
        <f t="array" ref="AE81">SUM(AF81:AG81)</f>
        <v>0</v>
      </c>
      <c r="AF81" s="26"/>
      <c r="AG81" s="26"/>
      <c r="AH81" s="32"/>
    </row>
    <row r="82" ht="20.35" customHeight="1">
      <c r="A82" s="186">
        <v>45292</v>
      </c>
      <c r="B82" s="187" cm="1">
        <f t="array" ref="B82">ROUND(C82/'variables - Table 1-1'!B81,0)</f>
        <v>4071</v>
      </c>
      <c r="C82" s="188" cm="1">
        <f t="array" ref="C82">SUM(D82)</f>
        <v>3794771</v>
      </c>
      <c r="D82" s="189">
        <v>3794771</v>
      </c>
      <c r="E82" s="188">
        <v>3070000</v>
      </c>
      <c r="F82" s="188"/>
      <c r="G82" s="188"/>
      <c r="H82" s="188"/>
      <c r="I82" s="188"/>
      <c r="J82" s="189"/>
      <c r="K82" s="190" cm="1">
        <f t="array" ref="K82">C82-N82</f>
        <v>3794771</v>
      </c>
      <c r="L82" s="191" cm="1">
        <f t="array" ref="L82">_xlfn.IFERROR(K82/C82,0)</f>
        <v>1</v>
      </c>
      <c r="M82" s="192" cm="1">
        <f t="array" ref="M82">N82-AE82</f>
        <v>0</v>
      </c>
      <c r="N82" s="192" cm="1">
        <f t="array" ref="N82">SUM(P82:X82,AC82)</f>
        <v>0</v>
      </c>
      <c r="O82" s="26"/>
      <c r="P82" s="26"/>
      <c r="Q82" s="26"/>
      <c r="R82" s="26"/>
      <c r="S82" s="26"/>
      <c r="T82" s="26"/>
      <c r="U82" s="30"/>
      <c r="V82" s="26"/>
      <c r="W82" s="30"/>
      <c r="X82" s="30"/>
      <c r="Y82" s="32"/>
      <c r="Z82" s="32"/>
      <c r="AA82" s="30"/>
      <c r="AB82" s="26"/>
      <c r="AC82" s="26"/>
      <c r="AD82" s="194"/>
      <c r="AE82" s="26" cm="1">
        <f t="array" ref="AE82">SUM(AF82:AG82)</f>
        <v>0</v>
      </c>
      <c r="AF82" s="26"/>
      <c r="AG82" s="26"/>
      <c r="AH82" s="32"/>
    </row>
    <row r="83" ht="20.35" customHeight="1">
      <c r="A83" s="186">
        <v>45323</v>
      </c>
      <c r="B83" s="187" cm="1">
        <f t="array" ref="B83">ROUND(C83/'variables - Table 1-1'!B82,0)</f>
        <v>3876</v>
      </c>
      <c r="C83" s="188" cm="1">
        <f t="array" ref="C83">SUM(D83)</f>
        <v>3802369</v>
      </c>
      <c r="D83" s="189">
        <v>3802369</v>
      </c>
      <c r="E83" s="188">
        <v>3068619</v>
      </c>
      <c r="F83" s="188"/>
      <c r="G83" s="188"/>
      <c r="H83" s="188"/>
      <c r="I83" s="188"/>
      <c r="J83" s="189"/>
      <c r="K83" s="190" cm="1">
        <f t="array" ref="K83">C83-N83</f>
        <v>3802369</v>
      </c>
      <c r="L83" s="191" cm="1">
        <f t="array" ref="L83">_xlfn.IFERROR(K83/C83,0)</f>
        <v>1</v>
      </c>
      <c r="M83" s="192" cm="1">
        <f t="array" ref="M83">N83-AE83</f>
        <v>0</v>
      </c>
      <c r="N83" s="192" cm="1">
        <f t="array" ref="N83">SUM(P83:X83,AC83)</f>
        <v>0</v>
      </c>
      <c r="O83" s="26"/>
      <c r="P83" s="26"/>
      <c r="Q83" s="26"/>
      <c r="R83" s="26"/>
      <c r="S83" s="26"/>
      <c r="T83" s="26"/>
      <c r="U83" s="30"/>
      <c r="V83" s="26"/>
      <c r="W83" s="30"/>
      <c r="X83" s="30"/>
      <c r="Y83" s="32"/>
      <c r="Z83" s="32"/>
      <c r="AA83" s="30"/>
      <c r="AB83" s="26"/>
      <c r="AC83" s="26"/>
      <c r="AD83" s="194"/>
      <c r="AE83" s="26" cm="1">
        <f t="array" ref="AE83">SUM(AF83:AG83)</f>
        <v>0</v>
      </c>
      <c r="AF83" s="26"/>
      <c r="AG83" s="26"/>
      <c r="AH83" s="32"/>
    </row>
    <row r="84" ht="20.35" customHeight="1">
      <c r="A84" s="186">
        <v>45352</v>
      </c>
      <c r="B84" s="187" cm="1">
        <f t="array" ref="B84">ROUND(C84/'variables - Table 1-1'!B83,0)</f>
        <v>3878</v>
      </c>
      <c r="C84" s="188" cm="1">
        <f t="array" ref="C84">SUM(D84)</f>
        <v>3802577</v>
      </c>
      <c r="D84" s="189">
        <v>3802577</v>
      </c>
      <c r="E84" s="188">
        <v>3066187</v>
      </c>
      <c r="F84" s="188"/>
      <c r="G84" s="188"/>
      <c r="H84" s="188"/>
      <c r="I84" s="188"/>
      <c r="J84" s="189"/>
      <c r="K84" s="190" cm="1">
        <f t="array" ref="K84">C84-N84</f>
        <v>3802577</v>
      </c>
      <c r="L84" s="191" cm="1">
        <f t="array" ref="L84">_xlfn.IFERROR(K84/C84,0)</f>
        <v>1</v>
      </c>
      <c r="M84" s="192" cm="1">
        <f t="array" ref="M84">N84-AE84</f>
        <v>0</v>
      </c>
      <c r="N84" s="192" cm="1">
        <f t="array" ref="N84">SUM(P84:X84,AC84)</f>
        <v>0</v>
      </c>
      <c r="O84" s="26"/>
      <c r="P84" s="26"/>
      <c r="Q84" s="26"/>
      <c r="R84" s="26"/>
      <c r="S84" s="26"/>
      <c r="T84" s="26"/>
      <c r="U84" s="30"/>
      <c r="V84" s="26"/>
      <c r="W84" s="30"/>
      <c r="X84" s="30"/>
      <c r="Y84" s="32"/>
      <c r="Z84" s="32"/>
      <c r="AA84" s="30"/>
      <c r="AB84" s="26"/>
      <c r="AC84" s="26"/>
      <c r="AD84" s="194"/>
      <c r="AE84" s="26" cm="1">
        <f t="array" ref="AE84">SUM(AF84:AG84)</f>
        <v>0</v>
      </c>
      <c r="AF84" s="26"/>
      <c r="AG84" s="26"/>
      <c r="AH84" s="32"/>
    </row>
    <row r="85" ht="20.35" customHeight="1">
      <c r="A85" s="186">
        <v>45383</v>
      </c>
      <c r="B85" s="187" cm="1">
        <f t="array" ref="B85">ROUND(C85/'variables - Table 1-1'!B84,0)</f>
        <v>4039</v>
      </c>
      <c r="C85" s="188" cm="1">
        <f t="array" ref="C85">SUM(D85)</f>
        <v>3802758</v>
      </c>
      <c r="D85" s="189">
        <v>3802758</v>
      </c>
      <c r="E85" s="188">
        <v>3064580</v>
      </c>
      <c r="F85" s="188"/>
      <c r="G85" s="188"/>
      <c r="H85" s="188"/>
      <c r="I85" s="188"/>
      <c r="J85" s="189"/>
      <c r="K85" s="190" cm="1">
        <f t="array" ref="K85">C85-N85</f>
        <v>3802758</v>
      </c>
      <c r="L85" s="191" cm="1">
        <f t="array" ref="L85">_xlfn.IFERROR(K85/C85,0)</f>
        <v>1</v>
      </c>
      <c r="M85" s="192" cm="1">
        <f t="array" ref="M85">N85-AE85</f>
        <v>0</v>
      </c>
      <c r="N85" s="192" cm="1">
        <f t="array" ref="N85">SUM(P85:X85,AC85)</f>
        <v>0</v>
      </c>
      <c r="O85" s="26"/>
      <c r="P85" s="26"/>
      <c r="Q85" s="26"/>
      <c r="R85" s="26"/>
      <c r="S85" s="26"/>
      <c r="T85" s="26"/>
      <c r="U85" s="30"/>
      <c r="V85" s="26"/>
      <c r="W85" s="30"/>
      <c r="X85" s="30"/>
      <c r="Y85" s="32"/>
      <c r="Z85" s="32"/>
      <c r="AA85" s="30"/>
      <c r="AB85" s="26"/>
      <c r="AC85" s="26"/>
      <c r="AD85" s="194"/>
      <c r="AE85" s="26" cm="1">
        <f t="array" ref="AE85">SUM(AF85:AG85)</f>
        <v>0</v>
      </c>
      <c r="AF85" s="26"/>
      <c r="AG85" s="26"/>
      <c r="AH85" s="32"/>
    </row>
    <row r="86" ht="20.35" customHeight="1">
      <c r="A86" s="186">
        <v>45413</v>
      </c>
      <c r="B86" s="187" cm="1">
        <f t="array" ref="B86">ROUND(C86/'variables - Table 1-1'!B85,0)</f>
        <v>4148</v>
      </c>
      <c r="C86" s="188" cm="1">
        <f t="array" ref="C86">SUM(D86)</f>
        <v>3802877</v>
      </c>
      <c r="D86" s="189">
        <v>3802877</v>
      </c>
      <c r="E86" s="188">
        <v>3062633</v>
      </c>
      <c r="F86" s="188"/>
      <c r="G86" s="188"/>
      <c r="H86" s="188"/>
      <c r="I86" s="188"/>
      <c r="J86" s="189"/>
      <c r="K86" s="190" cm="1">
        <f t="array" ref="K86">C86-N86</f>
        <v>3802877</v>
      </c>
      <c r="L86" s="191" cm="1">
        <f t="array" ref="L86">_xlfn.IFERROR(K86/C86,0)</f>
        <v>1</v>
      </c>
      <c r="M86" s="192" cm="1">
        <f t="array" ref="M86">N86-AE86</f>
        <v>0</v>
      </c>
      <c r="N86" s="192" cm="1">
        <f t="array" ref="N86">SUM(P86:X86,AC86)</f>
        <v>0</v>
      </c>
      <c r="O86" s="26"/>
      <c r="P86" s="26"/>
      <c r="Q86" s="26"/>
      <c r="R86" s="26"/>
      <c r="S86" s="26"/>
      <c r="T86" s="26"/>
      <c r="U86" s="30" cm="1">
        <f t="array" ref="U86">'net worth - resumen | depósitos'!B86</f>
        <v>0</v>
      </c>
      <c r="V86" s="26"/>
      <c r="W86" s="30"/>
      <c r="X86" s="30"/>
      <c r="Y86" s="32"/>
      <c r="Z86" s="32"/>
      <c r="AA86" s="30"/>
      <c r="AB86" s="26"/>
      <c r="AC86" s="26"/>
      <c r="AD86" s="194"/>
      <c r="AE86" s="26" cm="1">
        <f t="array" ref="AE86">SUM(AF86:AG86)</f>
        <v>0</v>
      </c>
      <c r="AF86" s="26"/>
      <c r="AG86" s="26"/>
      <c r="AH86" s="32"/>
    </row>
    <row r="87" ht="20.35" customHeight="1">
      <c r="A87" s="186">
        <v>45444</v>
      </c>
      <c r="B87" s="187" cm="1">
        <f t="array" ref="B87">ROUND(C87/'variables - Table 1-1'!B86,0)</f>
        <v>3986</v>
      </c>
      <c r="C87" s="188" cm="1">
        <f t="array" ref="C87">SUM(D87)</f>
        <v>3803028</v>
      </c>
      <c r="D87" s="189">
        <v>3803028</v>
      </c>
      <c r="E87" s="188">
        <v>3061398</v>
      </c>
      <c r="F87" s="188"/>
      <c r="G87" s="188"/>
      <c r="H87" s="188"/>
      <c r="I87" s="188"/>
      <c r="J87" s="189"/>
      <c r="K87" s="190" cm="1">
        <f t="array" ref="K87">C87-N87</f>
        <v>2603028</v>
      </c>
      <c r="L87" s="191" cm="1">
        <f t="array" ref="L87">_xlfn.IFERROR(K87/C87,0)</f>
        <v>0.684461960311625</v>
      </c>
      <c r="M87" s="192" cm="1">
        <f t="array" ref="M87">N87-AE87</f>
        <v>1200000</v>
      </c>
      <c r="N87" s="192" cm="1">
        <f t="array" ref="N87">SUM(P87:X87,AC87)</f>
        <v>1200000</v>
      </c>
      <c r="O87" s="26"/>
      <c r="P87" s="26"/>
      <c r="Q87" s="26"/>
      <c r="R87" s="26"/>
      <c r="S87" s="26"/>
      <c r="T87" s="26"/>
      <c r="U87" s="30" cm="1">
        <f t="array" ref="U87">'net worth - resumen | depósitos'!B87</f>
        <v>1200000</v>
      </c>
      <c r="V87" s="26"/>
      <c r="W87" s="30"/>
      <c r="X87" s="30"/>
      <c r="Y87" s="32"/>
      <c r="Z87" s="32"/>
      <c r="AA87" s="30"/>
      <c r="AB87" s="26"/>
      <c r="AC87" s="26"/>
      <c r="AD87" s="194"/>
      <c r="AE87" s="26" cm="1">
        <f t="array" ref="AE87">SUM(AF87:AG87)</f>
        <v>0</v>
      </c>
      <c r="AF87" s="26"/>
      <c r="AG87" s="26"/>
      <c r="AH87" s="32"/>
    </row>
    <row r="88" ht="20.35" customHeight="1">
      <c r="A88" s="186">
        <v>45474</v>
      </c>
      <c r="B88" s="187" cm="1">
        <f t="array" ref="B88">ROUND(C88/'variables - Table 1-1'!B87,0)</f>
        <v>4096</v>
      </c>
      <c r="C88" s="188" cm="1">
        <f t="array" ref="C88">SUM(D88)</f>
        <v>3913957</v>
      </c>
      <c r="D88" s="189">
        <v>3913957</v>
      </c>
      <c r="E88" s="188">
        <v>3163005</v>
      </c>
      <c r="F88" s="188"/>
      <c r="G88" s="188"/>
      <c r="H88" s="188"/>
      <c r="I88" s="188"/>
      <c r="J88" s="189"/>
      <c r="K88" s="190" cm="1">
        <f t="array" ref="K88">C88-N88</f>
        <v>902816</v>
      </c>
      <c r="L88" s="191" cm="1">
        <f t="array" ref="L88">_xlfn.IFERROR(K88/C88,0)</f>
        <v>0.230665794233304</v>
      </c>
      <c r="M88" s="192" cm="1">
        <f t="array" ref="M88">N88-AE88</f>
        <v>3011141</v>
      </c>
      <c r="N88" s="192" cm="1">
        <f t="array" ref="N88">SUM(P88:X88,AC88)</f>
        <v>3011141</v>
      </c>
      <c r="O88" s="26"/>
      <c r="P88" s="26"/>
      <c r="Q88" s="26"/>
      <c r="R88" s="26"/>
      <c r="S88" s="26"/>
      <c r="T88" s="26"/>
      <c r="U88" s="30" cm="1">
        <f t="array" ref="U88">'net worth - resumen | depósitos'!B88</f>
        <v>3011141</v>
      </c>
      <c r="V88" s="26"/>
      <c r="W88" s="30"/>
      <c r="X88" s="30"/>
      <c r="Y88" s="32"/>
      <c r="Z88" s="32"/>
      <c r="AA88" s="30"/>
      <c r="AB88" s="26"/>
      <c r="AC88" s="26"/>
      <c r="AD88" s="194"/>
      <c r="AE88" s="26" cm="1">
        <f t="array" ref="AE88">SUM(AF88:AG88)</f>
        <v>0</v>
      </c>
      <c r="AF88" s="26"/>
      <c r="AG88" s="26"/>
      <c r="AH88" s="32"/>
    </row>
    <row r="89" ht="20.35" customHeight="1">
      <c r="A89" s="186">
        <v>45505</v>
      </c>
      <c r="B89" s="187" cm="1">
        <f t="array" ref="B89">ROUND(C89/'variables - Table 1-1'!B88,0)</f>
        <v>4176</v>
      </c>
      <c r="C89" s="188" cm="1">
        <f t="array" ref="C89">SUM(D89)</f>
        <v>3818923</v>
      </c>
      <c r="D89" s="189">
        <v>3818923</v>
      </c>
      <c r="E89" s="188">
        <v>3073630</v>
      </c>
      <c r="F89" s="188"/>
      <c r="G89" s="188"/>
      <c r="H89" s="188"/>
      <c r="I89" s="188"/>
      <c r="J89" s="189"/>
      <c r="K89" s="190" cm="1">
        <f t="array" ref="K89">C89-N89</f>
        <v>809347</v>
      </c>
      <c r="L89" s="191" cm="1">
        <f t="array" ref="L89">_xlfn.IFERROR(K89/C89,0)</f>
        <v>0.21193069354894</v>
      </c>
      <c r="M89" s="192" cm="1">
        <f t="array" ref="M89">N89-AE89</f>
        <v>3009576</v>
      </c>
      <c r="N89" s="192" cm="1">
        <f t="array" ref="N89">SUM(P89:X89,AC89)</f>
        <v>3009576</v>
      </c>
      <c r="O89" s="26"/>
      <c r="P89" s="26"/>
      <c r="Q89" s="26"/>
      <c r="R89" s="26"/>
      <c r="S89" s="26"/>
      <c r="T89" s="26"/>
      <c r="U89" s="30" cm="1">
        <f t="array" ref="U89">'net worth - resumen | depósitos'!B89</f>
        <v>3009576</v>
      </c>
      <c r="V89" s="26"/>
      <c r="W89" s="30"/>
      <c r="X89" s="30"/>
      <c r="Y89" s="32"/>
      <c r="Z89" s="32"/>
      <c r="AA89" s="30"/>
      <c r="AB89" s="26"/>
      <c r="AC89" s="26"/>
      <c r="AD89" s="194"/>
      <c r="AE89" s="26" cm="1">
        <f t="array" ref="AE89">SUM(AF89:AG89)</f>
        <v>0</v>
      </c>
      <c r="AF89" s="26"/>
      <c r="AG89" s="26"/>
      <c r="AH89" s="32"/>
    </row>
    <row r="90" ht="20.35" customHeight="1">
      <c r="A90" s="186">
        <v>45536</v>
      </c>
      <c r="B90" s="187" cm="1">
        <f t="array" ref="B90">ROUND(C90/'variables - Table 1-1'!B89,0)</f>
        <v>4245</v>
      </c>
      <c r="C90" s="188" cm="1">
        <f t="array" ref="C90">SUM(D90)</f>
        <v>3819135</v>
      </c>
      <c r="D90" s="189">
        <v>3819135</v>
      </c>
      <c r="E90" s="188">
        <v>3072317</v>
      </c>
      <c r="F90" s="188"/>
      <c r="G90" s="188"/>
      <c r="H90" s="188"/>
      <c r="I90" s="188"/>
      <c r="J90" s="189"/>
      <c r="K90" s="190" cm="1">
        <f t="array" ref="K90">C90-N90</f>
        <v>789050</v>
      </c>
      <c r="L90" s="191" cm="1">
        <f t="array" ref="L90">_xlfn.IFERROR(K90/C90,0)</f>
        <v>0.206604375074461</v>
      </c>
      <c r="M90" s="192" cm="1">
        <f t="array" ref="M90">N90-AE90</f>
        <v>3030085</v>
      </c>
      <c r="N90" s="192" cm="1">
        <f t="array" ref="N90">SUM(P90:X90,AC90)</f>
        <v>3030085</v>
      </c>
      <c r="O90" s="26"/>
      <c r="P90" s="26" cm="1">
        <f t="array" ref="P90">'flujos - Gasto mes actual'!D$37</f>
        <v>0</v>
      </c>
      <c r="Q90" s="26" cm="1">
        <f t="array" ref="Q90">'flujos - Gasto mes actual'!H$37</f>
        <v>0</v>
      </c>
      <c r="R90" s="26" cm="1">
        <f t="array" ref="R90">'flujos - Gasto mes actual'!L$37</f>
        <v>0</v>
      </c>
      <c r="S90" s="26" cm="1">
        <f t="array" ref="S90">'flujos - Gasto mes actual'!P$37</f>
        <v>0</v>
      </c>
      <c r="T90" s="26" cm="1">
        <f t="array" ref="T90">'flujos - Gasto mes actual'!T$37</f>
        <v>0</v>
      </c>
      <c r="U90" s="30" cm="1">
        <f t="array" ref="U90">'net worth - resumen | depósitos'!B90</f>
        <v>3030085</v>
      </c>
      <c r="V90" s="26" cm="1">
        <f t="array" ref="V90">'flujos - Gasto mes actual'!X$37</f>
        <v>0</v>
      </c>
      <c r="W90" s="30" cm="1">
        <f t="array" ref="W90">'flujos - Gasto mes actual'!AE$37</f>
        <v>0</v>
      </c>
      <c r="X90" s="30" cm="1">
        <f t="array" ref="X90">'flujos - Gasto mes actual'!AI$37</f>
        <v>0</v>
      </c>
      <c r="Y90" s="26" cm="1">
        <f t="array" ref="Y90">'flujos - Gasto mes actual'!$AI$4</f>
        <v>0</v>
      </c>
      <c r="Z90" s="26" cm="1">
        <f t="array" ref="Z90">'flujos - Gasto mes actual'!$AI$5</f>
        <v>0</v>
      </c>
      <c r="AA90" s="30" cm="1">
        <f t="array" ref="AA90">'flujos - Gasto mes actual'!$AN$6</f>
        <v>0</v>
      </c>
      <c r="AB90" s="26" cm="1">
        <f t="array" ref="AB90">'flujos - Gasto mes actual'!AN$37</f>
        <v>0</v>
      </c>
      <c r="AC90" s="26"/>
      <c r="AD90" s="194"/>
      <c r="AE90" s="26" cm="1">
        <f t="array" ref="AE90">SUM(AF90:AG90)</f>
        <v>0</v>
      </c>
      <c r="AF90" s="26"/>
      <c r="AG90" s="26"/>
      <c r="AH90" s="32"/>
    </row>
    <row r="91" ht="20.35" customHeight="1">
      <c r="A91" s="186">
        <v>45566</v>
      </c>
      <c r="B91" s="187" cm="1">
        <f t="array" ref="B91">ROUND(C91/'variables - Table 1-1'!B90,0)</f>
        <v>3973</v>
      </c>
      <c r="C91" s="188" cm="1">
        <f t="array" ref="C91">SUM(D91)</f>
        <v>3819227</v>
      </c>
      <c r="D91" s="189">
        <v>3819227</v>
      </c>
      <c r="E91" s="188">
        <v>3062609</v>
      </c>
      <c r="F91" s="188"/>
      <c r="G91" s="188"/>
      <c r="H91" s="188"/>
      <c r="I91" s="188"/>
      <c r="J91" s="189"/>
      <c r="K91" s="190" cm="1">
        <f t="array" ref="K91">C91-N91</f>
        <v>780868</v>
      </c>
      <c r="L91" s="191" cm="1">
        <f t="array" ref="L91">_xlfn.IFERROR(K91/C91,0)</f>
        <v>0.20445707992743</v>
      </c>
      <c r="M91" s="192" cm="1">
        <f t="array" ref="M91">N91-AE91</f>
        <v>3038359</v>
      </c>
      <c r="N91" s="192" cm="1">
        <f t="array" ref="N91">SUM(P91:X91,AC91)</f>
        <v>3038359</v>
      </c>
      <c r="O91" s="26"/>
      <c r="P91" s="26"/>
      <c r="Q91" s="26"/>
      <c r="R91" s="26"/>
      <c r="S91" s="26"/>
      <c r="T91" s="26"/>
      <c r="U91" s="30" cm="1">
        <f t="array" ref="U91">'net worth - resumen | depósitos'!B91</f>
        <v>3038359</v>
      </c>
      <c r="V91" s="26"/>
      <c r="W91" s="30"/>
      <c r="X91" s="30"/>
      <c r="Y91" s="32"/>
      <c r="Z91" s="32"/>
      <c r="AA91" s="30"/>
      <c r="AB91" s="26"/>
      <c r="AC91" s="26"/>
      <c r="AD91" s="194"/>
      <c r="AE91" s="26" cm="1">
        <f t="array" ref="AE91">SUM(AF91:AG91)</f>
        <v>0</v>
      </c>
      <c r="AF91" s="26"/>
      <c r="AG91" s="26"/>
      <c r="AH91" s="32"/>
    </row>
    <row r="92" ht="20.35" customHeight="1">
      <c r="A92" s="186">
        <v>45597</v>
      </c>
      <c r="B92" s="187" cm="1">
        <f t="array" ref="B92">ROUND(C92/'variables - Table 1-1'!B91,0)</f>
        <v>3907</v>
      </c>
      <c r="C92" s="188" cm="1">
        <f t="array" ref="C92">SUM(D92)</f>
        <v>3818846</v>
      </c>
      <c r="D92" s="189">
        <v>3818846</v>
      </c>
      <c r="E92" s="188">
        <v>3058907</v>
      </c>
      <c r="F92" s="188"/>
      <c r="G92" s="188"/>
      <c r="H92" s="188"/>
      <c r="I92" s="188"/>
      <c r="J92" s="189"/>
      <c r="K92" s="190" cm="1">
        <f t="array" ref="K92">C92-N92</f>
        <v>-19206863</v>
      </c>
      <c r="L92" s="191" cm="1">
        <f t="array" ref="L92">_xlfn.IFERROR(K92/C92,0)</f>
        <v>-5.0294939884981</v>
      </c>
      <c r="M92" s="192" cm="1">
        <f t="array" ref="M92">N92-AE92</f>
        <v>23025709</v>
      </c>
      <c r="N92" s="192" cm="1">
        <f t="array" ref="N92">SUM(P92:X92,AC92)</f>
        <v>23025709</v>
      </c>
      <c r="O92" s="26"/>
      <c r="P92" s="26"/>
      <c r="Q92" s="26"/>
      <c r="R92" s="26"/>
      <c r="S92" s="26"/>
      <c r="T92" s="26"/>
      <c r="U92" s="30" cm="1">
        <f t="array" ref="U92">'net worth - resumen | depósitos'!B92</f>
        <v>22825709</v>
      </c>
      <c r="V92" s="26">
        <v>200000</v>
      </c>
      <c r="W92" s="30"/>
      <c r="X92" s="30"/>
      <c r="Y92" s="32"/>
      <c r="Z92" s="32"/>
      <c r="AA92" s="30"/>
      <c r="AB92" s="26"/>
      <c r="AC92" s="26"/>
      <c r="AD92" s="194"/>
      <c r="AE92" s="26" cm="1">
        <f t="array" ref="AE92">SUM(AF92:AG92)</f>
        <v>0</v>
      </c>
      <c r="AF92" s="26"/>
      <c r="AG92" s="26"/>
      <c r="AH92" s="32"/>
    </row>
    <row r="93" ht="20.35" customHeight="1">
      <c r="A93" s="186">
        <v>45627</v>
      </c>
      <c r="B93" s="187" cm="1">
        <f t="array" ref="B93">ROUND(C93/'variables - Table 1-1'!B92,0)</f>
        <v>3845</v>
      </c>
      <c r="C93" s="188" cm="1">
        <f t="array" ref="C93">SUM(D93)</f>
        <v>3819149</v>
      </c>
      <c r="D93" s="189">
        <v>3819149</v>
      </c>
      <c r="E93" s="188">
        <v>3057736</v>
      </c>
      <c r="F93" s="188"/>
      <c r="G93" s="188"/>
      <c r="H93" s="188"/>
      <c r="I93" s="188"/>
      <c r="J93" s="189"/>
      <c r="K93" s="190" cm="1">
        <f t="array" ref="K93">C93-N93</f>
        <v>548107</v>
      </c>
      <c r="L93" s="191" cm="1">
        <f t="array" ref="L93">_xlfn.IFERROR(K93/C93,0)</f>
        <v>0.143515479495563</v>
      </c>
      <c r="M93" s="192" cm="1">
        <f t="array" ref="M93">N93-AE93</f>
        <v>3271042</v>
      </c>
      <c r="N93" s="192" cm="1">
        <f t="array" ref="N93">SUM(P93:X93,AC93)</f>
        <v>3271042</v>
      </c>
      <c r="O93" s="26"/>
      <c r="P93" s="26"/>
      <c r="Q93" s="26"/>
      <c r="R93" s="26"/>
      <c r="S93" s="26"/>
      <c r="T93" s="26"/>
      <c r="U93" s="30" cm="1">
        <f t="array" ref="U93">'net worth - resumen | depósitos'!B93</f>
        <v>3071042</v>
      </c>
      <c r="V93" s="26">
        <v>200000</v>
      </c>
      <c r="W93" s="30"/>
      <c r="X93" s="30"/>
      <c r="Y93" s="32"/>
      <c r="Z93" s="32"/>
      <c r="AA93" s="30"/>
      <c r="AB93" s="26"/>
      <c r="AC93" s="26"/>
      <c r="AD93" s="194"/>
      <c r="AE93" s="26" cm="1">
        <f t="array" ref="AE93">SUM(AF93:AG93)</f>
        <v>0</v>
      </c>
      <c r="AF93" s="26"/>
      <c r="AG93" s="26"/>
      <c r="AH93" s="32"/>
    </row>
    <row r="94" ht="20.35" customHeight="1">
      <c r="A94" s="186">
        <v>45658</v>
      </c>
      <c r="B94" s="187" cm="1">
        <f t="array" ref="B94">ROUND(C94/'variables - Table 1-1'!B93,0)</f>
        <v>3888</v>
      </c>
      <c r="C94" s="188" cm="1">
        <f t="array" ref="C94">SUM(D94)</f>
        <v>3824817</v>
      </c>
      <c r="D94" s="189">
        <v>3824817</v>
      </c>
      <c r="E94" s="188">
        <v>3046126</v>
      </c>
      <c r="F94" s="188"/>
      <c r="G94" s="188"/>
      <c r="H94" s="188"/>
      <c r="I94" s="188"/>
      <c r="J94" s="189"/>
      <c r="K94" s="190" cm="1">
        <f t="array" ref="K94">C94-N94</f>
        <v>803134</v>
      </c>
      <c r="L94" s="191" cm="1">
        <f t="array" ref="L94">_xlfn.IFERROR(K94/C94,0)</f>
        <v>0.209979719291145</v>
      </c>
      <c r="M94" s="192" cm="1">
        <f t="array" ref="M94">N94-AE94</f>
        <v>2273347</v>
      </c>
      <c r="N94" s="192" cm="1">
        <f t="array" ref="N94">SUM(P94:X94,AC94)</f>
        <v>3021683</v>
      </c>
      <c r="O94" s="26"/>
      <c r="P94" s="26" cm="1">
        <f t="array" ref="P94">SUM('flujos - Table 1-2'!D7:D23,'flujos - Table 1-2'!D31,'flujos - Table 1-2'!D39:D41,'flujos - Table 1-2'!D50:D53,'flujos - Table 1-2'!D73:D75,'flujos - Table 1-2'!D79:D80,'flujos - Table 1-2'!D86)</f>
        <v>487730</v>
      </c>
      <c r="Q94" s="26" cm="1">
        <f t="array" ref="Q94">'flujos - Table 1-2'!D91+'flujos - Table 1-2'!D117</f>
        <v>53900</v>
      </c>
      <c r="R94" s="26" cm="1">
        <f t="array" ref="R94">SUM('flujos - Table 1-2'!D104:D105,'flujos - Table 1-2'!D97:D101,'flujos - Table 1-2'!D78)</f>
        <v>61575</v>
      </c>
      <c r="S94" s="26"/>
      <c r="T94" s="26" cm="1">
        <f t="array" ref="T94">'flujos - Table 1-2'!E$1-(V94+P94+R94+AA94+Q94+S94+W94+X94+U94)</f>
        <v>-922911</v>
      </c>
      <c r="U94" s="30" cm="1">
        <f t="array" ref="U94">'net worth - resumen | depósitos'!B94</f>
        <v>3071622</v>
      </c>
      <c r="V94" s="26">
        <v>200000</v>
      </c>
      <c r="W94" s="30" cm="1">
        <f t="array" ref="W94">'flujos - Table 1-2'!D44+'flujos - Table 1-2'!D30</f>
        <v>16187</v>
      </c>
      <c r="X94" s="30" cm="1">
        <f t="array" ref="X94">'flujos - Table 1-2'!D33</f>
        <v>53580</v>
      </c>
      <c r="Y94" s="32"/>
      <c r="Z94" s="32"/>
      <c r="AA94" s="30"/>
      <c r="AB94" s="26"/>
      <c r="AC94" s="26"/>
      <c r="AD94" s="194"/>
      <c r="AE94" s="26" cm="1">
        <f t="array" ref="AE94">SUM(AF94:AG94)</f>
        <v>748336</v>
      </c>
      <c r="AF94" s="26"/>
      <c r="AG94" s="26" cm="1">
        <f t="array" ref="AG94">SUM('flujos - Table 1-2'!D56:D72,'flujos - Table 1-2'!D54,'flujos - Table 1-2'!D106:D107,'flujos - Table 1-2'!D84,'flujos - Table 1-2'!D111:D113)</f>
        <v>748336</v>
      </c>
      <c r="AH94" s="32"/>
    </row>
    <row r="95" ht="20.35" customHeight="1">
      <c r="A95" s="186">
        <v>45689</v>
      </c>
      <c r="B95" s="187" cm="1">
        <f t="array" ref="B95">ROUND(C95/'variables - Table 1-1'!B94,0)</f>
        <v>4025</v>
      </c>
      <c r="C95" s="188" cm="1">
        <f t="array" ref="C95">SUM(D95)</f>
        <v>3833081</v>
      </c>
      <c r="D95" s="189">
        <v>3833081</v>
      </c>
      <c r="E95" s="188">
        <v>3049869</v>
      </c>
      <c r="F95" s="188"/>
      <c r="G95" s="188"/>
      <c r="H95" s="188"/>
      <c r="I95" s="188"/>
      <c r="J95" s="189"/>
      <c r="K95" s="190" cm="1">
        <f t="array" ref="K95">C95-N95</f>
        <v>-4805253</v>
      </c>
      <c r="L95" s="191" cm="1">
        <f t="array" ref="L95">_xlfn.IFERROR(K95/C95,0)</f>
        <v>-1.25362678221514</v>
      </c>
      <c r="M95" s="192" cm="1">
        <f t="array" ref="M95">N95-AE95</f>
        <v>8254404</v>
      </c>
      <c r="N95" s="192" cm="1">
        <f t="array" ref="N95">SUM(P95:X95,AC95)</f>
        <v>8638334</v>
      </c>
      <c r="O95" s="26"/>
      <c r="P95" s="26" cm="1">
        <f t="array" ref="P95">SUM('flujos - Table 1-3'!D9:D12,'flujos - Table 1-3'!D20:D21,'flujos - Table 1-3'!D22,'flujos - Table 1-3'!D28,'flujos - Table 1-3'!D33:D34,'flujos - Table 1-3'!D48:D52,'flujos - Table 1-3'!D59:D60,'flujos - Table 1-3'!D71,'flujos - Table 1-3'!D95:D96,'flujos - Table 1-3'!D98)</f>
        <v>214252</v>
      </c>
      <c r="Q95" s="26" cm="1">
        <f t="array" ref="Q95">'flujos - Table 1-3'!D90+'flujos - Table 1-3'!D77+'flujos - Table 1-3'!D66</f>
        <v>98590</v>
      </c>
      <c r="R95" s="26" cm="1">
        <f t="array" ref="R95">SUM('flujos - Table 1-3'!D78:D89)+'flujos - Table 1-3'!D99+'flujos - Table 1-3'!D64+'flujos - Table 1-3'!D63+'flujos - Table 1-3'!D61+'flujos - Table 1-3'!D29</f>
        <v>130607</v>
      </c>
      <c r="S95" s="26" cm="1">
        <f t="array" ref="S95">'flujos - Table 1-3'!D32+'flujos - Table 1-3'!D76</f>
        <v>16230</v>
      </c>
      <c r="T95" s="26" cm="1">
        <f t="array" ref="T95">'flujos - Table 1-3'!E$1-(V95+P95+R95+AA95+Q95+S95+W95+X95+U95)</f>
        <v>-10974160</v>
      </c>
      <c r="U95" s="30" cm="1">
        <f t="array" ref="U95">'net worth - resumen | depósitos'!B95</f>
        <v>18672815</v>
      </c>
      <c r="V95" s="26" cm="1">
        <f t="array" ref="V95">205000+245000</f>
        <v>450000</v>
      </c>
      <c r="W95" s="30"/>
      <c r="X95" s="30" cm="1">
        <f t="array" ref="X95">'flujos - Table 1-3'!D23</f>
        <v>30000</v>
      </c>
      <c r="Y95" s="32"/>
      <c r="Z95" s="32"/>
      <c r="AA95" s="30"/>
      <c r="AB95" s="26"/>
      <c r="AC95" s="26"/>
      <c r="AD95" s="194"/>
      <c r="AE95" s="26" cm="1">
        <f t="array" ref="AE95">SUM(AF95:AG95)</f>
        <v>383930</v>
      </c>
      <c r="AF95" s="26"/>
      <c r="AG95" s="26" cm="1">
        <f t="array" ref="AG95">SUM('flujos - Table 1-3'!D37:D47,'flujos - Table 1-3'!D35,'flujos - Table 1-3'!D68,'flujos - Table 1-3'!D92)</f>
        <v>383930</v>
      </c>
      <c r="AH95" s="32"/>
    </row>
    <row r="96" ht="20.35" customHeight="1">
      <c r="A96" s="186">
        <v>45717</v>
      </c>
      <c r="B96" s="187" cm="1">
        <f t="array" ref="B96">ROUND(C96/'variables - Table 1-1'!B95,0)</f>
        <v>4332</v>
      </c>
      <c r="C96" s="188" cm="1">
        <f t="array" ref="C96">SUM(D96)</f>
        <v>3969354</v>
      </c>
      <c r="D96" s="189">
        <v>3969354</v>
      </c>
      <c r="E96" s="188">
        <v>3171856</v>
      </c>
      <c r="F96" s="188"/>
      <c r="G96" s="188"/>
      <c r="H96" s="188"/>
      <c r="I96" s="188">
        <v>5570207</v>
      </c>
      <c r="J96" s="189"/>
      <c r="K96" s="190" cm="1">
        <f t="array" ref="K96">C96-N96</f>
        <v>-1476307</v>
      </c>
      <c r="L96" s="191" cm="1">
        <f t="array" ref="L96">_xlfn.IFERROR(K96/C96,0)</f>
        <v>-0.371926263064468</v>
      </c>
      <c r="M96" s="192" cm="1">
        <f t="array" ref="M96">N96-AE96</f>
        <v>4960556</v>
      </c>
      <c r="N96" s="192" cm="1">
        <f t="array" ref="N96">SUM(P96:X96,AC96)</f>
        <v>5445661</v>
      </c>
      <c r="O96" s="26"/>
      <c r="P96" s="26" cm="1">
        <f t="array" ref="P96">SUM('flujos - Table 1-4'!D10:D11,'flujos - Table 1-4'!D21:D22,'flujos - Table 1-4'!D27:D30,'flujos - Table 1-4'!D31:D32,'flujos - Table 1-4'!D56:D57,'flujos - Table 1-4'!D78,'flujos - Table 1-4'!E96:E97,'flujos - Table 1-4'!E94:E95)</f>
        <v>362084</v>
      </c>
      <c r="Q96" s="26" cm="1">
        <f t="array" ref="Q96">'flujos - Table 1-4'!D90</f>
        <v>29900</v>
      </c>
      <c r="R96" s="26" cm="1">
        <f t="array" ref="R96">SUM('flujos - Table 1-4'!D91:D97,'flujos - Table 1-4'!D70:D71,'flujos - Table 1-4'!D67:D68,'flujos - Table 1-4'!D65,'flujos - Table 1-4'!D64,'flujos - Table 1-4'!D13)</f>
        <v>141033</v>
      </c>
      <c r="S96" s="26" cm="1">
        <f t="array" ref="S96">'flujos - Table 1-4'!D12</f>
        <v>49980</v>
      </c>
      <c r="T96" s="26" cm="1">
        <f t="array" ref="T96">'flujos - Table 1-4'!E$1-(V96+P96+R96+AA96+Q96+S96+W96+X96+U96)</f>
        <v>-23141489.4</v>
      </c>
      <c r="U96" s="30" cm="1">
        <f t="array" ref="U96">'net worth - resumen | depósitos'!B96</f>
        <v>27658932.4</v>
      </c>
      <c r="V96" s="26">
        <v>200000</v>
      </c>
      <c r="W96" s="30"/>
      <c r="X96" s="30" cm="1">
        <f t="array" ref="X96">'flujos - Table 1-4'!D109+'flujos - Table 1-4'!D103+'flujos - Table 1-4'!D17+'flujos - Table 1-4'!D15+'flujos - Table 1-4'!D14</f>
        <v>145221</v>
      </c>
      <c r="Y96" s="32"/>
      <c r="Z96" s="32"/>
      <c r="AA96" s="30"/>
      <c r="AB96" s="26"/>
      <c r="AC96" s="26"/>
      <c r="AD96" s="194"/>
      <c r="AE96" s="26" cm="1">
        <f t="array" ref="AE96">SUM(AF96:AG96)</f>
        <v>485105</v>
      </c>
      <c r="AF96" s="26"/>
      <c r="AG96" s="26" cm="1">
        <f t="array" ref="AG96">SUM('flujos - Table 1-4'!D35:D55,'flujos - Table 1-4'!D106,'flujos - Table 1-4'!D98,'flujos - Table 1-4'!D33)</f>
        <v>485105</v>
      </c>
      <c r="AH96" s="32"/>
    </row>
    <row r="97" ht="20.35" customHeight="1">
      <c r="A97" s="186">
        <v>45748</v>
      </c>
      <c r="B97" s="187" cm="1">
        <f t="array" ref="B97">ROUND(C97/'variables - Table 1-1'!B96,0)</f>
        <v>4200</v>
      </c>
      <c r="C97" s="188" cm="1">
        <f t="array" ref="C97">SUM(D97)</f>
        <v>3969501</v>
      </c>
      <c r="D97" s="189">
        <v>3969501</v>
      </c>
      <c r="E97" s="188">
        <v>3169768</v>
      </c>
      <c r="F97" s="188"/>
      <c r="G97" s="188"/>
      <c r="H97" s="188"/>
      <c r="I97" s="188">
        <v>4870207</v>
      </c>
      <c r="J97" s="189"/>
      <c r="K97" s="190" cm="1">
        <f t="array" ref="K97">C97-N97</f>
        <v>209645</v>
      </c>
      <c r="L97" s="191" cm="1">
        <f t="array" ref="L97">_xlfn.IFERROR(K97/C97,0)</f>
        <v>0.0528139431127489</v>
      </c>
      <c r="M97" s="192" cm="1">
        <f t="array" ref="M97">N97-AE97</f>
        <v>3557580</v>
      </c>
      <c r="N97" s="192" cm="1">
        <f t="array" ref="N97">SUM(P97:X97,AC97)</f>
        <v>3759856</v>
      </c>
      <c r="O97" s="26"/>
      <c r="P97" s="26" cm="1">
        <f t="array" ref="P97">SUM('flujos - Table 3-1'!D4:D5,'flujos - Table 3-1'!D17:D21,'flujos - Table 3-1'!D27:D33,'flujos - Table 3-1'!D67:D68,'flujos - Table 3-1'!D75,'flujos - Table 3-1'!D80,'flujos - Table 3-1'!D89)</f>
        <v>363950</v>
      </c>
      <c r="Q97" s="26"/>
      <c r="R97" s="26" cm="1">
        <f t="array" ref="R97">SUM('flujos - Table 3-1'!D84:D88,'flujos - Table 3-1'!D70,'flujos - Table 3-1'!D66,'flujos - Table 3-1'!D57:D59)+'flujos - Table 3-1'!D90</f>
        <v>73887</v>
      </c>
      <c r="S97" s="26"/>
      <c r="T97" s="26" cm="1">
        <f t="array" ref="T97">'flujos - Table 3-1'!E$1-(V97+P97+R97+AA97+Q97+S97+W97+X97+U97)</f>
        <v>1350021</v>
      </c>
      <c r="U97" s="30" cm="1">
        <f t="array" ref="U97">'net worth - resumen | depósitos'!B97</f>
        <v>1519135</v>
      </c>
      <c r="V97" s="26">
        <v>400000</v>
      </c>
      <c r="W97" s="30"/>
      <c r="X97" s="30" cm="1">
        <f t="array" ref="X97">'flujos - Table 3-1'!D9+'flujos - Table 3-1'!D97</f>
        <v>52863</v>
      </c>
      <c r="Y97" s="32"/>
      <c r="Z97" s="32"/>
      <c r="AA97" s="30"/>
      <c r="AB97" s="26"/>
      <c r="AC97" s="26"/>
      <c r="AD97" s="194"/>
      <c r="AE97" s="26" cm="1">
        <f t="array" ref="AE97">SUM(AF97:AG97)</f>
        <v>202276</v>
      </c>
      <c r="AF97" s="26"/>
      <c r="AG97" s="26" cm="1">
        <f t="array" ref="AG97">SUM('flujos - Table 3-1'!D34:D51,'flujos - Table 3-1'!D79,'flujos - Table 3-1'!D26)</f>
        <v>202276</v>
      </c>
      <c r="AH97" s="32"/>
    </row>
    <row r="98" ht="20.35" customHeight="1">
      <c r="A98" s="186">
        <v>45778</v>
      </c>
      <c r="B98" s="187" cm="1">
        <f t="array" ref="B98">ROUND(C98/'variables - Table 1-1'!B97,0)</f>
        <v>4230</v>
      </c>
      <c r="C98" s="188" cm="1">
        <f t="array" ref="C98">SUM(D98)</f>
        <v>3969683</v>
      </c>
      <c r="D98" s="189">
        <v>3969683</v>
      </c>
      <c r="E98" s="188">
        <v>3168752</v>
      </c>
      <c r="F98" s="188"/>
      <c r="G98" s="188"/>
      <c r="H98" s="188"/>
      <c r="I98" s="188">
        <v>4170207</v>
      </c>
      <c r="J98" s="189"/>
      <c r="K98" s="190" cm="1">
        <f t="array" ref="K98">C98-N98</f>
        <v>-426048</v>
      </c>
      <c r="L98" s="191" cm="1">
        <f t="array" ref="L98">_xlfn.IFERROR(K98/C98,0)</f>
        <v>-0.107325446389548</v>
      </c>
      <c r="M98" s="192" cm="1">
        <f t="array" ref="M98">N98-AE98</f>
        <v>3946001</v>
      </c>
      <c r="N98" s="192" cm="1">
        <f t="array" ref="N98">SUM(P98:X98,AC98)</f>
        <v>4395731</v>
      </c>
      <c r="O98" s="26"/>
      <c r="P98" s="26" cm="1">
        <f t="array" ref="P98">SUM('flujos - Table 3-1-1'!D66,'flujos - Table 3-1-1'!D57:D58,'flujos - Table 3-1-1'!D48:D50,'flujos - Table 3-1-1'!D28:D36,'flujos - Table 3-1-1'!D19:D21,'flujos - Table 3-1-1'!D3:D4)</f>
        <v>452879</v>
      </c>
      <c r="Q98" s="26" cm="1">
        <f t="array" ref="Q98">'flujos - Table 3-1-1'!D69+'flujos - Table 3-1-1'!D73</f>
        <v>98850</v>
      </c>
      <c r="R98" s="26" cm="1">
        <f t="array" ref="R98">SUM('flujos - Table 3-1-1'!D83,'flujos - Table 3-1-1'!D70:D72,'flujos - Table 3-1-1'!D59,'flujos - Table 3-1-1'!D51)</f>
        <v>65724</v>
      </c>
      <c r="S98" s="26" cm="1">
        <f t="array" ref="S98">SUM('flujos - Table 3-1-1'!D9:D10)</f>
        <v>119970</v>
      </c>
      <c r="T98" s="26" cm="1">
        <f t="array" ref="T98">'flujos - Table 3-1-1'!E$1-(V98+P98+R98+AA98+Q98+S98+W98+X98+U98+AC98)</f>
        <v>842120</v>
      </c>
      <c r="U98" s="30">
        <v>1696375</v>
      </c>
      <c r="V98" s="26">
        <v>200000</v>
      </c>
      <c r="W98" s="30" cm="1">
        <f t="array" ref="W98">'flujos - Table 3-1-1'!D8+'flujos - Table 3-1-1'!D67+'flujos - Table 3-1-1'!D78+'flujos - Table 3-1-1'!D77</f>
        <v>189607</v>
      </c>
      <c r="X98" s="30" cm="1">
        <f t="array" ref="X98">'flujos - Table 3-1-1'!D11</f>
        <v>53571</v>
      </c>
      <c r="Y98" s="32"/>
      <c r="Z98" s="32"/>
      <c r="AA98" s="30"/>
      <c r="AB98" s="26"/>
      <c r="AC98" s="26">
        <v>676635</v>
      </c>
      <c r="AD98" s="194"/>
      <c r="AE98" s="26" cm="1">
        <f t="array" ref="AE98">SUM(AF98:AG98)</f>
        <v>449730</v>
      </c>
      <c r="AF98" s="26"/>
      <c r="AG98" s="26" cm="1">
        <f t="array" ref="AG98">SUM('flujos - Table 3-1-1'!D74:D75,'flujos - Table 3-1-1'!D85,'flujos - Table 3-1-1'!D37:D47,'flujos - Table 3-1-1'!D27)</f>
        <v>449730</v>
      </c>
      <c r="AH98" s="32"/>
    </row>
    <row r="99" ht="20.35" customHeight="1">
      <c r="A99" s="186">
        <v>45809</v>
      </c>
      <c r="B99" s="187" cm="1">
        <f t="array" ref="B99">ROUND(C99/'variables - Table 1-1'!B98,0)</f>
        <v>4319</v>
      </c>
      <c r="C99" s="188" cm="1">
        <f t="array" ref="C99">SUM(D99)</f>
        <v>3969758</v>
      </c>
      <c r="D99" s="189">
        <v>3969758</v>
      </c>
      <c r="E99" s="188">
        <v>3167894</v>
      </c>
      <c r="F99" s="188"/>
      <c r="G99" s="188"/>
      <c r="H99" s="188"/>
      <c r="I99" s="188">
        <v>3970423</v>
      </c>
      <c r="J99" s="189"/>
      <c r="K99" s="190" cm="1">
        <f t="array" ref="K99">C99-N99</f>
        <v>-520603</v>
      </c>
      <c r="L99" s="191" cm="1">
        <f t="array" ref="L99">_xlfn.IFERROR(K99/C99,0)</f>
        <v>-0.131142250988599</v>
      </c>
      <c r="M99" s="192" cm="1">
        <f t="array" ref="M99">N99-AE99</f>
        <v>4927630</v>
      </c>
      <c r="N99" s="192" cm="1">
        <f t="array" ref="N99">SUM(P99:X99,AC99)</f>
        <v>4490361</v>
      </c>
      <c r="O99" s="26"/>
      <c r="P99" s="26" cm="1">
        <f t="array" ref="P99">SUM('flujos - Table 3-1-1-1'!D2:D4,'flujos - Table 3-1-1-1'!D12,'flujos - Table 3-1-1-1'!D20:D32,'flujos - Table 3-1-1-1'!D59:D60,'flujos - Table 3-1-1-1'!D62)</f>
        <v>515069</v>
      </c>
      <c r="Q99" s="26"/>
      <c r="R99" s="26"/>
      <c r="S99" s="26"/>
      <c r="T99" s="26" cm="1">
        <f t="array" ref="T99">'flujos - Table 3-1-1-1'!D$1-(V99+P99+R99+AA99+Q99+S99+W99+X99+U99+AC99)</f>
        <v>1178539</v>
      </c>
      <c r="U99" s="30">
        <v>1696375</v>
      </c>
      <c r="V99" s="26" cm="1">
        <f t="array" ref="V99">SUM('flujos - Table 3-1-1-1'!D13:D14)</f>
        <v>400000</v>
      </c>
      <c r="W99" s="30"/>
      <c r="X99" s="30"/>
      <c r="Y99" s="32"/>
      <c r="Z99" s="32"/>
      <c r="AA99" s="30"/>
      <c r="AB99" s="26"/>
      <c r="AC99" s="26">
        <v>700378</v>
      </c>
      <c r="AD99" s="194"/>
      <c r="AE99" s="26" cm="1">
        <f t="array" ref="AE99">SUM(AF99:AG99)</f>
        <v>-437269</v>
      </c>
      <c r="AF99" s="26"/>
      <c r="AG99" s="26" cm="1">
        <f t="array" ref="AG99">SUM('flujos - Table 3-1-1-1'!D16:D29,'flujos - Table 3-1-1-1'!D31:D32)*-1</f>
        <v>-437269</v>
      </c>
      <c r="AH99" s="32"/>
    </row>
    <row r="100" ht="20.35" customHeight="1">
      <c r="A100" s="186">
        <v>45839</v>
      </c>
      <c r="B100" s="187" cm="1">
        <f t="array" ref="B100">ROUND(C100/'variables - Table 1-1'!B99,0)</f>
        <v>4097</v>
      </c>
      <c r="C100" s="188" cm="1">
        <f t="array" ref="C100">SUM(D100)</f>
        <v>4020714</v>
      </c>
      <c r="D100" s="189">
        <v>4020714</v>
      </c>
      <c r="E100" s="188">
        <v>3215910</v>
      </c>
      <c r="F100" s="188"/>
      <c r="G100" s="188"/>
      <c r="H100" s="188"/>
      <c r="I100" s="188">
        <v>3470207</v>
      </c>
      <c r="J100" s="189"/>
      <c r="K100" s="190" cm="1">
        <f t="array" ref="K100">C100-N100</f>
        <v>2589681</v>
      </c>
      <c r="L100" s="191" cm="1">
        <f t="array" ref="L100">_xlfn.IFERROR(K100/C100,0)</f>
        <v>0.6440848565702511</v>
      </c>
      <c r="M100" s="192" cm="1">
        <f t="array" ref="M100">N100-AE100</f>
        <v>1023631</v>
      </c>
      <c r="N100" s="192" cm="1">
        <f t="array" ref="N100">SUM(P100:X100,AC100)</f>
        <v>1431033</v>
      </c>
      <c r="O100" s="26"/>
      <c r="P100" s="26"/>
      <c r="Q100" s="26"/>
      <c r="R100" s="26"/>
      <c r="S100" s="26"/>
      <c r="T100" s="26"/>
      <c r="U100" s="30" cm="1">
        <f t="array" ref="U100">'flujos - Gasto mes actual'!$AA$37</f>
        <v>930817</v>
      </c>
      <c r="V100" s="26"/>
      <c r="W100" s="30"/>
      <c r="X100" s="30"/>
      <c r="Y100" s="32"/>
      <c r="Z100" s="32"/>
      <c r="AA100" s="30"/>
      <c r="AB100" s="26"/>
      <c r="AC100" s="26">
        <v>500216</v>
      </c>
      <c r="AD100" s="194"/>
      <c r="AE100" s="26" cm="1">
        <f t="array" ref="AE100">SUM(AF100:AG100)</f>
        <v>407402</v>
      </c>
      <c r="AF100" s="26"/>
      <c r="AG100" s="26" cm="1">
        <f t="array" ref="AG100">SUM('flujos - Table 3-1-1-1'!D33:D34,'flujos - Table 3-1-1-1'!D36:D51)</f>
        <v>407402</v>
      </c>
      <c r="AH100" s="32"/>
    </row>
    <row r="101" ht="20.35" customHeight="1">
      <c r="A101" s="186">
        <v>45870</v>
      </c>
      <c r="B101" s="187" cm="1">
        <f t="array" ref="B101">ROUND(C101/'variables - Table 1-1'!B100,0)</f>
        <v>4109</v>
      </c>
      <c r="C101" s="188" cm="1">
        <f t="array" ref="C101">SUM(D101)</f>
        <v>3976953</v>
      </c>
      <c r="D101" s="189">
        <v>3976953</v>
      </c>
      <c r="E101" s="188">
        <v>3172662</v>
      </c>
      <c r="F101" s="188"/>
      <c r="G101" s="188"/>
      <c r="H101" s="188"/>
      <c r="I101" s="188">
        <v>2998443</v>
      </c>
      <c r="J101" s="189"/>
      <c r="K101" s="190" cm="1">
        <f t="array" ref="K101">C101-N101</f>
        <v>2543549</v>
      </c>
      <c r="L101" s="191" cm="1">
        <f t="array" ref="L101">_xlfn.IFERROR(K101/C101,0)</f>
        <v>0.639572305732555</v>
      </c>
      <c r="M101" s="192" cm="1">
        <f t="array" ref="M101">N101-AE101</f>
        <v>1433404</v>
      </c>
      <c r="N101" s="192" cm="1">
        <f t="array" ref="N101">SUM(P101:X101,AC101)</f>
        <v>1433404</v>
      </c>
      <c r="O101" s="26"/>
      <c r="P101" s="26"/>
      <c r="Q101" s="26"/>
      <c r="R101" s="26"/>
      <c r="S101" s="26"/>
      <c r="T101" s="26"/>
      <c r="U101" s="30" cm="1">
        <f t="array" ref="U101">'flujos - Gasto mes actual'!$AA$37</f>
        <v>930817</v>
      </c>
      <c r="V101" s="26"/>
      <c r="W101" s="30"/>
      <c r="X101" s="30"/>
      <c r="Y101" s="32"/>
      <c r="Z101" s="32"/>
      <c r="AA101" s="30"/>
      <c r="AB101" s="26"/>
      <c r="AC101" s="26">
        <v>502587</v>
      </c>
      <c r="AD101" s="194"/>
      <c r="AE101" s="26" cm="1">
        <f t="array" ref="AE101">SUM(AF101:AG101)</f>
        <v>0</v>
      </c>
      <c r="AF101" s="26"/>
      <c r="AG101" s="26"/>
      <c r="AH101" s="32"/>
    </row>
    <row r="102" ht="20.35" customHeight="1">
      <c r="A102" s="186">
        <v>45901</v>
      </c>
      <c r="B102" s="187" cm="1">
        <f t="array" ref="B102">ROUND(C102/'variables - Table 1-1'!B101,0)</f>
        <v>4122</v>
      </c>
      <c r="C102" s="188" cm="1">
        <f t="array" ref="C102">SUM(D102)</f>
        <v>3977286</v>
      </c>
      <c r="D102" s="189">
        <v>3977286</v>
      </c>
      <c r="E102" s="195">
        <v>3166444</v>
      </c>
      <c r="F102" s="188"/>
      <c r="G102" s="188"/>
      <c r="H102" s="188"/>
      <c r="I102" s="188">
        <v>2765960</v>
      </c>
      <c r="J102" s="189"/>
      <c r="K102" s="190" cm="1">
        <f t="array" ref="K102">C103-N102</f>
        <v>2656160</v>
      </c>
      <c r="L102" s="191" cm="1">
        <f t="array" ref="L102">_xlfn.IFERROR(K102/C103,0)</f>
        <v>0.667847062177945</v>
      </c>
      <c r="M102" s="192" cm="1">
        <f t="array" ref="M102">N102-AE102</f>
        <v>1321038</v>
      </c>
      <c r="N102" s="192" cm="1">
        <f t="array" ref="N102">SUM(P102:X102,AC102)</f>
        <v>1321038</v>
      </c>
      <c r="O102" s="26"/>
      <c r="P102" s="26"/>
      <c r="Q102" s="26"/>
      <c r="R102" s="26"/>
      <c r="S102" s="26"/>
      <c r="T102" s="26"/>
      <c r="U102" s="30" cm="1">
        <f t="array" ref="U102">'flujos - Gasto mes actual'!$AA$37</f>
        <v>930817</v>
      </c>
      <c r="V102" s="26"/>
      <c r="W102" s="30"/>
      <c r="X102" s="30"/>
      <c r="Y102" s="32"/>
      <c r="Z102" s="32"/>
      <c r="AA102" s="30"/>
      <c r="AB102" s="26"/>
      <c r="AC102" s="26">
        <v>390221</v>
      </c>
      <c r="AD102" s="194"/>
      <c r="AE102" s="26" cm="1">
        <f t="array" ref="AE102">SUM(AF102:AG102)</f>
        <v>0</v>
      </c>
      <c r="AF102" s="26"/>
      <c r="AG102" s="26"/>
      <c r="AH102" s="32"/>
    </row>
    <row r="103" ht="20.35" customHeight="1">
      <c r="A103" s="186">
        <v>45931</v>
      </c>
      <c r="B103" s="187" cm="1">
        <f t="array" ref="B103">ROUND(C103/'variables - Table 1-1'!B102,0)</f>
        <v>4229</v>
      </c>
      <c r="C103" s="188" cm="1">
        <f t="array" ref="C103">SUM(D103)</f>
        <v>3977198</v>
      </c>
      <c r="D103" s="189">
        <v>3977198</v>
      </c>
      <c r="E103" s="188">
        <v>3165805</v>
      </c>
      <c r="F103" s="188"/>
      <c r="G103" s="188"/>
      <c r="H103" s="188"/>
      <c r="I103" s="188" cm="1">
        <f t="array" ref="I103">5974709-150000</f>
        <v>5824709</v>
      </c>
      <c r="J103" s="189"/>
      <c r="K103" s="190" cm="1">
        <f t="array" ref="K103">C104-N103</f>
        <v>2656607</v>
      </c>
      <c r="L103" s="191" cm="1">
        <f t="array" ref="L103">_xlfn.IFERROR(K103/C104,0)</f>
        <v>0.667884388878344</v>
      </c>
      <c r="M103" s="192" cm="1">
        <f t="array" ref="M103">N103-AE103</f>
        <v>1321038</v>
      </c>
      <c r="N103" s="192" cm="1">
        <f t="array" ref="N103">SUM(P103:X103,AC103)</f>
        <v>1321038</v>
      </c>
      <c r="O103" s="26"/>
      <c r="P103" s="26"/>
      <c r="Q103" s="26"/>
      <c r="R103" s="26"/>
      <c r="S103" s="26"/>
      <c r="T103" s="26"/>
      <c r="U103" s="30" cm="1">
        <f t="array" ref="U103">'flujos - Gasto mes actual'!$AA$37</f>
        <v>930817</v>
      </c>
      <c r="V103" s="26"/>
      <c r="W103" s="30"/>
      <c r="X103" s="30"/>
      <c r="Y103" s="32"/>
      <c r="Z103" s="32"/>
      <c r="AA103" s="30"/>
      <c r="AB103" s="26"/>
      <c r="AC103" s="26">
        <v>390221</v>
      </c>
      <c r="AD103" s="194"/>
      <c r="AE103" s="26" cm="1">
        <f t="array" ref="AE103">SUM(AF103:AG103)</f>
        <v>0</v>
      </c>
      <c r="AF103" s="26"/>
      <c r="AG103" s="26"/>
      <c r="AH103" s="32"/>
    </row>
    <row r="104" ht="20.35" customHeight="1">
      <c r="A104" s="186">
        <v>45962</v>
      </c>
      <c r="B104" s="187" cm="1">
        <f t="array" ref="B104">ROUND(C104/'variables - Table 1-1'!B103,0)</f>
        <v>4291</v>
      </c>
      <c r="C104" s="188" cm="1">
        <f t="array" ref="C104">SUM(D104)</f>
        <v>3977645</v>
      </c>
      <c r="D104" s="189">
        <v>3977645</v>
      </c>
      <c r="E104" s="188">
        <v>3165632</v>
      </c>
      <c r="F104" s="188"/>
      <c r="G104" s="188"/>
      <c r="H104" s="188"/>
      <c r="I104" s="188">
        <v>5096529</v>
      </c>
      <c r="J104" s="189"/>
      <c r="K104" s="190" cm="1">
        <f t="array" ref="K104">C105-N104</f>
        <v>2610749</v>
      </c>
      <c r="L104" s="191" cm="1">
        <f t="array" ref="L104">_xlfn.IFERROR(K104/C105,0)</f>
        <v>0.656333180819452</v>
      </c>
      <c r="M104" s="192" cm="1">
        <f t="array" ref="M104">N104-AE104</f>
        <v>1367031</v>
      </c>
      <c r="N104" s="192" cm="1">
        <f t="array" ref="N104">SUM(P104:X104,AC104)</f>
        <v>1367031</v>
      </c>
      <c r="O104" s="26"/>
      <c r="P104" s="26"/>
      <c r="Q104" s="26"/>
      <c r="R104" s="26"/>
      <c r="S104" s="26"/>
      <c r="T104" s="26"/>
      <c r="U104" s="30" cm="1">
        <f t="array" ref="U104">'flujos - Gasto mes actual'!$AA$37</f>
        <v>930817</v>
      </c>
      <c r="V104" s="26"/>
      <c r="W104" s="30"/>
      <c r="X104" s="30"/>
      <c r="Y104" s="32"/>
      <c r="Z104" s="32"/>
      <c r="AA104" s="30"/>
      <c r="AB104" s="26"/>
      <c r="AC104" s="26">
        <v>436214</v>
      </c>
      <c r="AD104" s="194"/>
      <c r="AE104" s="26" cm="1">
        <f t="array" ref="AE104">SUM(AF104:AG104)</f>
        <v>0</v>
      </c>
      <c r="AF104" s="26"/>
      <c r="AG104" s="26"/>
      <c r="AH104" s="32"/>
    </row>
    <row r="105" ht="20.35" customHeight="1">
      <c r="A105" s="186">
        <v>45992</v>
      </c>
      <c r="B105" s="187" cm="1">
        <f t="array" ref="B105">ROUND(C105/'variables - Table 1-1'!B104,0)</f>
        <v>4420</v>
      </c>
      <c r="C105" s="188" cm="1">
        <f t="array" ref="C105">SUM(D105)</f>
        <v>3977780</v>
      </c>
      <c r="D105" s="189">
        <v>3977780</v>
      </c>
      <c r="E105" s="188">
        <v>3164430</v>
      </c>
      <c r="F105" s="188"/>
      <c r="G105" s="188"/>
      <c r="H105" s="188"/>
      <c r="I105" s="188">
        <v>6776991</v>
      </c>
      <c r="J105" s="189"/>
      <c r="K105" s="190" cm="1">
        <f t="array" ref="K105">C106-N105</f>
        <v>2602501</v>
      </c>
      <c r="L105" s="191" cm="1">
        <f t="array" ref="L105">_xlfn.IFERROR(K105/C106,0)</f>
        <v>0.65425966242477</v>
      </c>
      <c r="M105" s="192" cm="1">
        <f t="array" ref="M105">N105-AE105</f>
        <v>1375279</v>
      </c>
      <c r="N105" s="192" cm="1">
        <f t="array" ref="N105">SUM(P105:X105,AC105)</f>
        <v>1375279</v>
      </c>
      <c r="O105" s="26"/>
      <c r="P105" s="26"/>
      <c r="Q105" s="26"/>
      <c r="R105" s="26"/>
      <c r="S105" s="26"/>
      <c r="T105" s="26"/>
      <c r="U105" s="30" cm="1">
        <f t="array" ref="U105">'flujos - Gasto mes actual'!$AA$37</f>
        <v>930817</v>
      </c>
      <c r="V105" s="26"/>
      <c r="W105" s="30"/>
      <c r="X105" s="30"/>
      <c r="Y105" s="32"/>
      <c r="Z105" s="32"/>
      <c r="AA105" s="30"/>
      <c r="AB105" s="26"/>
      <c r="AC105" s="26">
        <v>444462</v>
      </c>
      <c r="AD105" s="194"/>
      <c r="AE105" s="26" cm="1">
        <f t="array" ref="AE105">SUM(AF105:AG105)</f>
        <v>0</v>
      </c>
      <c r="AF105" s="26"/>
      <c r="AG105" s="26"/>
      <c r="AH105" s="32"/>
    </row>
    <row r="106" ht="20.35" customHeight="1">
      <c r="A106" s="186">
        <v>46023</v>
      </c>
      <c r="B106" s="187" cm="1">
        <f t="array" ref="B106">ROUND(C106/'variables - Table 1-1'!B104,0)</f>
        <v>4420</v>
      </c>
      <c r="C106" s="188" cm="1">
        <f t="array" ref="C106">SUM(D106)</f>
        <v>3977780</v>
      </c>
      <c r="D106" s="189">
        <v>3977780</v>
      </c>
      <c r="E106" s="188">
        <v>3164430</v>
      </c>
      <c r="F106" s="188"/>
      <c r="G106" s="188"/>
      <c r="H106" s="188"/>
      <c r="I106" s="188">
        <v>6121064</v>
      </c>
      <c r="J106" s="189"/>
      <c r="K106" s="190" cm="1">
        <f t="array" ref="K106">C106-N106</f>
        <v>2391037</v>
      </c>
      <c r="L106" s="191" cm="1">
        <f t="array" ref="L106">_xlfn.IFERROR(K106/C106,0)</f>
        <v>0.601098351341703</v>
      </c>
      <c r="M106" s="192" cm="1">
        <f t="array" ref="M106">N106-AE106</f>
        <v>1586743</v>
      </c>
      <c r="N106" s="192" cm="1">
        <f t="array" ref="N106">SUM(P106:X106,AC106)</f>
        <v>1586743</v>
      </c>
      <c r="O106" s="26"/>
      <c r="P106" s="26"/>
      <c r="Q106" s="26"/>
      <c r="R106" s="26"/>
      <c r="S106" s="26"/>
      <c r="T106" s="26"/>
      <c r="U106" s="30" cm="1">
        <f t="array" ref="U106">'flujos - Gasto mes actual'!$AA$37</f>
        <v>930817</v>
      </c>
      <c r="V106" s="26"/>
      <c r="W106" s="30"/>
      <c r="X106" s="30"/>
      <c r="Y106" s="32"/>
      <c r="Z106" s="32"/>
      <c r="AA106" s="30"/>
      <c r="AB106" s="26"/>
      <c r="AC106" s="26">
        <v>655926</v>
      </c>
      <c r="AD106" s="194"/>
      <c r="AE106" s="26" cm="1">
        <f t="array" ref="AE106">SUM(AF106:AG106)</f>
        <v>0</v>
      </c>
      <c r="AF106" s="26"/>
      <c r="AG106" s="26"/>
      <c r="AH106" s="32"/>
    </row>
    <row r="107" ht="20.35" customHeight="1">
      <c r="A107" s="186">
        <v>46054</v>
      </c>
      <c r="B107" s="187" cm="1">
        <f t="array" ref="B107">ROUND(C107/'variables - Table 1-1'!B106,0)</f>
        <v>4598</v>
      </c>
      <c r="C107" s="188" cm="1">
        <f t="array" ref="C107">SUM(D107)</f>
        <v>3977780</v>
      </c>
      <c r="D107" s="189">
        <v>3977780</v>
      </c>
      <c r="E107" s="188">
        <v>3164430</v>
      </c>
      <c r="F107" s="188"/>
      <c r="G107" s="188"/>
      <c r="H107" s="188"/>
      <c r="I107" s="188">
        <v>5741896</v>
      </c>
      <c r="J107" s="189"/>
      <c r="K107" s="190" cm="1">
        <f t="array" ref="K107">C107-N107</f>
        <v>2378845</v>
      </c>
      <c r="L107" s="191" cm="1">
        <f t="array" ref="L107">_xlfn.IFERROR(K107/C107,0)</f>
        <v>0.598033325121047</v>
      </c>
      <c r="M107" s="192" cm="1">
        <f t="array" ref="M107">N107-AE107</f>
        <v>1598935</v>
      </c>
      <c r="N107" s="192" cm="1">
        <f t="array" ref="N107">SUM(P107:X107,AC107)</f>
        <v>1598935</v>
      </c>
      <c r="O107" s="26"/>
      <c r="P107" s="26"/>
      <c r="Q107" s="26"/>
      <c r="R107" s="26"/>
      <c r="S107" s="26"/>
      <c r="T107" s="26"/>
      <c r="U107" s="30" cm="1">
        <f t="array" ref="U107">'flujos - Gasto mes actual'!$AA$37</f>
        <v>930817</v>
      </c>
      <c r="V107" s="26"/>
      <c r="W107" s="30"/>
      <c r="X107" s="30"/>
      <c r="Y107" s="32"/>
      <c r="Z107" s="32"/>
      <c r="AA107" s="30"/>
      <c r="AB107" s="26"/>
      <c r="AC107" s="26">
        <v>668118</v>
      </c>
      <c r="AD107" s="194"/>
      <c r="AE107" s="26" cm="1">
        <f t="array" ref="AE107">SUM(AF107:AG107)</f>
        <v>0</v>
      </c>
      <c r="AF107" s="26"/>
      <c r="AG107" s="26"/>
      <c r="AH107" s="32"/>
    </row>
    <row r="108" ht="20.35" customHeight="1">
      <c r="A108" s="186">
        <v>46082</v>
      </c>
      <c r="B108" s="187" cm="1">
        <f t="array" ref="B108">ROUND(C108/'variables - Table 1-1'!B107,0)</f>
        <v>0</v>
      </c>
      <c r="C108" s="188" cm="1">
        <f t="array" ref="C108">SUM(D108)</f>
        <v>0</v>
      </c>
      <c r="D108" s="189"/>
      <c r="E108" s="188"/>
      <c r="F108" s="188"/>
      <c r="G108" s="188"/>
      <c r="H108" s="188"/>
      <c r="I108" s="188">
        <v>5138899</v>
      </c>
      <c r="J108" s="189"/>
      <c r="K108" s="190" cm="1">
        <f t="array" ref="K108">C108-N108</f>
        <v>-1563102</v>
      </c>
      <c r="L108" s="191" cm="1">
        <f t="array" ref="L108">_xlfn.IFERROR(K108/C108,0)</f>
        <v>0</v>
      </c>
      <c r="M108" s="192" cm="1">
        <f t="array" ref="M108">N108-AE108</f>
        <v>1563102</v>
      </c>
      <c r="N108" s="192" cm="1">
        <f t="array" ref="N108">SUM(P108:X108,AC108)</f>
        <v>1563102</v>
      </c>
      <c r="O108" s="26"/>
      <c r="P108" s="26"/>
      <c r="Q108" s="26"/>
      <c r="R108" s="26"/>
      <c r="S108" s="26"/>
      <c r="T108" s="26"/>
      <c r="U108" s="30" cm="1">
        <f t="array" ref="U108">'flujos - Gasto mes actual'!$AA$37</f>
        <v>930817</v>
      </c>
      <c r="V108" s="26"/>
      <c r="W108" s="30"/>
      <c r="X108" s="30"/>
      <c r="Y108" s="32"/>
      <c r="Z108" s="32"/>
      <c r="AA108" s="30"/>
      <c r="AB108" s="26"/>
      <c r="AC108" s="26">
        <v>632285</v>
      </c>
      <c r="AD108" s="194"/>
      <c r="AE108" s="26" cm="1">
        <f t="array" ref="AE108">SUM(AF108:AG108)</f>
        <v>0</v>
      </c>
      <c r="AF108" s="26"/>
      <c r="AG108" s="26"/>
      <c r="AH108" s="32"/>
    </row>
    <row r="109" ht="20.35" customHeight="1">
      <c r="A109" s="186">
        <v>46113</v>
      </c>
      <c r="B109" s="187" cm="1">
        <f t="array" ref="B109">ROUND(C109/'variables - Table 1-1'!B108,0)</f>
        <v>0</v>
      </c>
      <c r="C109" s="188" cm="1">
        <f t="array" ref="C109">SUM(D109)</f>
        <v>0</v>
      </c>
      <c r="D109" s="189"/>
      <c r="E109" s="188"/>
      <c r="F109" s="188"/>
      <c r="G109" s="188"/>
      <c r="H109" s="188"/>
      <c r="I109" s="188">
        <v>4845217</v>
      </c>
      <c r="J109" s="189"/>
      <c r="K109" s="190" cm="1">
        <f t="array" ref="K109">C109-N109</f>
        <v>-1391804</v>
      </c>
      <c r="L109" s="191" cm="1">
        <f t="array" ref="L109">_xlfn.IFERROR(K109/C109,0)</f>
        <v>0</v>
      </c>
      <c r="M109" s="192" cm="1">
        <f t="array" ref="M109">N109-AE109</f>
        <v>1391804</v>
      </c>
      <c r="N109" s="192" cm="1">
        <f t="array" ref="N109">SUM(P109:X109,AC109)</f>
        <v>1391804</v>
      </c>
      <c r="O109" s="26"/>
      <c r="P109" s="26"/>
      <c r="Q109" s="26"/>
      <c r="R109" s="26"/>
      <c r="S109" s="26"/>
      <c r="T109" s="26"/>
      <c r="U109" s="30" cm="1">
        <f t="array" ref="U109">'flujos - Gasto mes actual'!$AA$37</f>
        <v>930817</v>
      </c>
      <c r="V109" s="26"/>
      <c r="W109" s="30"/>
      <c r="X109" s="30"/>
      <c r="Y109" s="32"/>
      <c r="Z109" s="32"/>
      <c r="AA109" s="30"/>
      <c r="AB109" s="26"/>
      <c r="AC109" s="26">
        <v>460987</v>
      </c>
      <c r="AD109" s="194"/>
      <c r="AE109" s="26" cm="1">
        <f t="array" ref="AE109">SUM(AF109:AG109)</f>
        <v>0</v>
      </c>
      <c r="AF109" s="26"/>
      <c r="AG109" s="26"/>
      <c r="AH109" s="32"/>
    </row>
    <row r="110" ht="20.35" customHeight="1">
      <c r="A110" s="186">
        <v>46143</v>
      </c>
      <c r="B110" s="187" cm="1">
        <f t="array" ref="B110">ROUND(C110/'variables - Table 1-1'!B109,0)</f>
        <v>0</v>
      </c>
      <c r="C110" s="188" cm="1">
        <f t="array" ref="C110">SUM(D110)</f>
        <v>0</v>
      </c>
      <c r="D110" s="189"/>
      <c r="E110" s="188"/>
      <c r="F110" s="188"/>
      <c r="G110" s="188"/>
      <c r="H110" s="188"/>
      <c r="I110" s="188" cm="1">
        <f t="array" ref="I110">'flujos - Table 3'!L$17</f>
        <v>4399322</v>
      </c>
      <c r="J110" s="189"/>
      <c r="K110" s="190" cm="1">
        <f t="array" ref="K110">C110-N110</f>
        <v>-1376711</v>
      </c>
      <c r="L110" s="191" cm="1">
        <f t="array" ref="L110">_xlfn.IFERROR(K110/C110,0)</f>
        <v>0</v>
      </c>
      <c r="M110" s="192" cm="1">
        <f t="array" ref="M110">N110-AE110</f>
        <v>1376711</v>
      </c>
      <c r="N110" s="192" cm="1">
        <f t="array" ref="N110">SUM(P110:X110,AC110)</f>
        <v>1376711</v>
      </c>
      <c r="O110" s="26"/>
      <c r="P110" s="26"/>
      <c r="Q110" s="26"/>
      <c r="R110" s="26"/>
      <c r="S110" s="26"/>
      <c r="T110" s="26"/>
      <c r="U110" s="30" cm="1">
        <f t="array" ref="U110">'flujos - Gasto mes actual'!$AA$37</f>
        <v>930817</v>
      </c>
      <c r="V110" s="26"/>
      <c r="W110" s="30"/>
      <c r="X110" s="30"/>
      <c r="Y110" s="32"/>
      <c r="Z110" s="32"/>
      <c r="AA110" s="30"/>
      <c r="AB110" s="26"/>
      <c r="AC110" s="26">
        <v>445894</v>
      </c>
      <c r="AD110" s="194"/>
      <c r="AE110" s="26" cm="1">
        <f t="array" ref="AE110">SUM(AF110:AG110)</f>
        <v>0</v>
      </c>
      <c r="AF110" s="26"/>
      <c r="AG110" s="26"/>
      <c r="AH110" s="32"/>
    </row>
    <row r="111" ht="20.35" customHeight="1">
      <c r="A111" s="186">
        <v>46174</v>
      </c>
      <c r="B111" s="187" cm="1">
        <f t="array" ref="B111">ROUND(C111/'variables - Table 1-1'!B111,0)</f>
        <v>0</v>
      </c>
      <c r="C111" s="188" cm="1">
        <f t="array" ref="C111">SUM(D111)</f>
        <v>0</v>
      </c>
      <c r="D111" s="189"/>
      <c r="E111" s="188"/>
      <c r="F111" s="188"/>
      <c r="G111" s="188"/>
      <c r="H111" s="188"/>
      <c r="I111" s="188" cm="1">
        <f t="array" ref="I111">'flujos - Table 3'!T$19</f>
        <v>3910057</v>
      </c>
      <c r="J111" s="189"/>
      <c r="K111" s="190" cm="1">
        <f t="array" ref="K111">C111-N111</f>
        <v>-1376711</v>
      </c>
      <c r="L111" s="191" cm="1">
        <f t="array" ref="L111">_xlfn.IFERROR(K111/C111,0)</f>
        <v>0</v>
      </c>
      <c r="M111" s="192" cm="1">
        <f t="array" ref="M111">N111-AE111</f>
        <v>1376711</v>
      </c>
      <c r="N111" s="192" cm="1">
        <f t="array" ref="N111">SUM(P111:X111,AC111)</f>
        <v>1376711</v>
      </c>
      <c r="O111" s="26"/>
      <c r="P111" s="26"/>
      <c r="Q111" s="26"/>
      <c r="R111" s="26"/>
      <c r="S111" s="26"/>
      <c r="T111" s="26"/>
      <c r="U111" s="30" cm="1">
        <f t="array" ref="U111">'flujos - Gasto mes actual'!$AA$37</f>
        <v>930817</v>
      </c>
      <c r="V111" s="26"/>
      <c r="W111" s="30"/>
      <c r="X111" s="30"/>
      <c r="Y111" s="32"/>
      <c r="Z111" s="32"/>
      <c r="AA111" s="30"/>
      <c r="AB111" s="26"/>
      <c r="AC111" s="26" cm="1">
        <f t="array" ref="AC111">'flujos - Table 3'!D$17</f>
        <v>445894</v>
      </c>
      <c r="AD111" s="194"/>
      <c r="AE111" s="26" cm="1">
        <f t="array" ref="AE111">SUM(AF111:AG111)</f>
        <v>0</v>
      </c>
      <c r="AF111" s="26"/>
      <c r="AG111" s="26"/>
      <c r="AH111" s="32"/>
    </row>
    <row r="112" ht="20.35" customHeight="1">
      <c r="A112" s="186">
        <v>46204</v>
      </c>
      <c r="B112" s="187" cm="1">
        <f t="array" ref="B112">ROUND(C112/'variables - Table 1-1'!B112,0)</f>
        <v>0</v>
      </c>
      <c r="C112" s="188" cm="1">
        <f t="array" ref="C112">SUM(D112)</f>
        <v>0</v>
      </c>
      <c r="D112" s="189"/>
      <c r="E112" s="188"/>
      <c r="F112" s="188"/>
      <c r="G112" s="188"/>
      <c r="H112" s="188"/>
      <c r="I112" s="188" cm="1">
        <f t="array" ref="I112">'flujos - Table 3'!U$19</f>
        <v>3462440</v>
      </c>
      <c r="J112" s="189"/>
      <c r="K112" s="190" cm="1">
        <f t="array" ref="K112">C112-N112</f>
        <v>-1376711</v>
      </c>
      <c r="L112" s="191" cm="1">
        <f t="array" ref="L112">_xlfn.IFERROR(K112/C112,0)</f>
        <v>0</v>
      </c>
      <c r="M112" s="192" cm="1">
        <f t="array" ref="M112">N112-AE112</f>
        <v>1376711</v>
      </c>
      <c r="N112" s="192" cm="1">
        <f t="array" ref="N112">SUM(P112:X112,AC112)</f>
        <v>1376711</v>
      </c>
      <c r="O112" s="26"/>
      <c r="P112" s="26"/>
      <c r="Q112" s="26"/>
      <c r="R112" s="26"/>
      <c r="S112" s="26"/>
      <c r="T112" s="26"/>
      <c r="U112" s="30" cm="1">
        <f t="array" ref="U112">'flujos - Gasto mes actual'!$AA$37</f>
        <v>930817</v>
      </c>
      <c r="V112" s="26"/>
      <c r="W112" s="30"/>
      <c r="X112" s="30"/>
      <c r="Y112" s="32"/>
      <c r="Z112" s="32"/>
      <c r="AA112" s="30"/>
      <c r="AB112" s="26"/>
      <c r="AC112" s="26" cm="1">
        <f t="array" ref="AC112">'flujos - Table 3'!D$17</f>
        <v>445894</v>
      </c>
      <c r="AD112" s="194"/>
      <c r="AE112" s="26" cm="1">
        <f t="array" ref="AE112">SUM(AF112:AG112)</f>
        <v>0</v>
      </c>
      <c r="AF112" s="26"/>
      <c r="AG112" s="26"/>
      <c r="AH112" s="32"/>
    </row>
    <row r="113" ht="20.35" customHeight="1">
      <c r="A113" s="186">
        <v>46235</v>
      </c>
      <c r="B113" s="187" cm="1">
        <f t="array" ref="B113">ROUND(C113/'variables - Table 1-1'!B113,0)</f>
        <v>0</v>
      </c>
      <c r="C113" s="188" cm="1">
        <f t="array" ref="C113">SUM(D113)</f>
        <v>0</v>
      </c>
      <c r="D113" s="189"/>
      <c r="E113" s="188"/>
      <c r="F113" s="188"/>
      <c r="G113" s="188"/>
      <c r="H113" s="188"/>
      <c r="I113" s="188" cm="1">
        <f t="array" ref="I113">'flujos - Table 3'!V$19</f>
        <v>3109580</v>
      </c>
      <c r="J113" s="189"/>
      <c r="K113" s="190" cm="1">
        <f t="array" ref="K113">C113-N113</f>
        <v>-1376711</v>
      </c>
      <c r="L113" s="191" cm="1">
        <f t="array" ref="L113">_xlfn.IFERROR(K113/C113,0)</f>
        <v>0</v>
      </c>
      <c r="M113" s="192" cm="1">
        <f t="array" ref="M113">N113-AE113</f>
        <v>1376711</v>
      </c>
      <c r="N113" s="192" cm="1">
        <f t="array" ref="N113">SUM(P113:X113,AC113)</f>
        <v>1376711</v>
      </c>
      <c r="O113" s="26"/>
      <c r="P113" s="26"/>
      <c r="Q113" s="26"/>
      <c r="R113" s="26"/>
      <c r="S113" s="26"/>
      <c r="T113" s="26"/>
      <c r="U113" s="30" cm="1">
        <f t="array" ref="U113">'flujos - Gasto mes actual'!$AA$37</f>
        <v>930817</v>
      </c>
      <c r="V113" s="26"/>
      <c r="W113" s="30"/>
      <c r="X113" s="30"/>
      <c r="Y113" s="32"/>
      <c r="Z113" s="32"/>
      <c r="AA113" s="30"/>
      <c r="AB113" s="26"/>
      <c r="AC113" s="26" cm="1">
        <f t="array" ref="AC113">'flujos - Table 3'!D$17</f>
        <v>445894</v>
      </c>
      <c r="AD113" s="194"/>
      <c r="AE113" s="26" cm="1">
        <f t="array" ref="AE113">SUM(AF113:AG113)</f>
        <v>0</v>
      </c>
      <c r="AF113" s="26"/>
      <c r="AG113" s="26"/>
      <c r="AH113" s="32"/>
    </row>
    <row r="114" ht="20.35" customHeight="1">
      <c r="A114" s="186">
        <v>46266</v>
      </c>
      <c r="B114" s="187" cm="1">
        <f t="array" ref="B114">ROUND(C114/'variables - Table 1-1'!B114,0)</f>
        <v>0</v>
      </c>
      <c r="C114" s="188" cm="1">
        <f t="array" ref="C114">SUM(D114)</f>
        <v>0</v>
      </c>
      <c r="D114" s="189"/>
      <c r="E114" s="188"/>
      <c r="F114" s="188"/>
      <c r="G114" s="188"/>
      <c r="H114" s="188"/>
      <c r="I114" s="188" cm="1">
        <f t="array" ref="I114">'flujos - Table 3'!W$19</f>
        <v>2790064</v>
      </c>
      <c r="J114" s="189"/>
      <c r="K114" s="190" cm="1">
        <f t="array" ref="K114">C114-N114</f>
        <v>-1376711</v>
      </c>
      <c r="L114" s="191" cm="1">
        <f t="array" ref="L114">_xlfn.IFERROR(K114/C114,0)</f>
        <v>0</v>
      </c>
      <c r="M114" s="192" cm="1">
        <f t="array" ref="M114">N114-AE114</f>
        <v>1376711</v>
      </c>
      <c r="N114" s="192" cm="1">
        <f t="array" ref="N114">SUM(P114:X114,AC114)</f>
        <v>1376711</v>
      </c>
      <c r="O114" s="26"/>
      <c r="P114" s="26"/>
      <c r="Q114" s="26"/>
      <c r="R114" s="26"/>
      <c r="S114" s="26"/>
      <c r="T114" s="26"/>
      <c r="U114" s="30" cm="1">
        <f t="array" ref="U114">'flujos - Gasto mes actual'!$AA$37</f>
        <v>930817</v>
      </c>
      <c r="V114" s="26"/>
      <c r="W114" s="30"/>
      <c r="X114" s="30"/>
      <c r="Y114" s="32"/>
      <c r="Z114" s="32"/>
      <c r="AA114" s="30"/>
      <c r="AB114" s="26"/>
      <c r="AC114" s="26" cm="1">
        <f t="array" ref="AC114">'flujos - Table 3'!D$17</f>
        <v>445894</v>
      </c>
      <c r="AD114" s="194"/>
      <c r="AE114" s="26" cm="1">
        <f t="array" ref="AE114">SUM(AF114:AG114)</f>
        <v>0</v>
      </c>
      <c r="AF114" s="26"/>
      <c r="AG114" s="26"/>
      <c r="AH114" s="32"/>
    </row>
    <row r="115" ht="20.35" customHeight="1">
      <c r="A115" s="186">
        <v>46296</v>
      </c>
      <c r="B115" s="187" cm="1">
        <f t="array" ref="B115">ROUND(C115/'variables - Table 1-1'!B115,0)</f>
        <v>0</v>
      </c>
      <c r="C115" s="188" cm="1">
        <f t="array" ref="C115">SUM(D115)</f>
        <v>0</v>
      </c>
      <c r="D115" s="189"/>
      <c r="E115" s="188"/>
      <c r="F115" s="188"/>
      <c r="G115" s="188"/>
      <c r="H115" s="188"/>
      <c r="I115" s="188" cm="1">
        <f t="array" ref="I115">'flujos - Table 3'!L$17</f>
        <v>4399322</v>
      </c>
      <c r="J115" s="189"/>
      <c r="K115" s="190" cm="1">
        <f t="array" ref="K115">C115-N115</f>
        <v>-1376711</v>
      </c>
      <c r="L115" s="191" cm="1">
        <f t="array" ref="L115">_xlfn.IFERROR(K115/C115,0)</f>
        <v>0</v>
      </c>
      <c r="M115" s="192" cm="1">
        <f t="array" ref="M115">N115-AE115</f>
        <v>1376711</v>
      </c>
      <c r="N115" s="192" cm="1">
        <f t="array" ref="N115">SUM(P115:X115,AC115)</f>
        <v>1376711</v>
      </c>
      <c r="O115" s="26"/>
      <c r="P115" s="26"/>
      <c r="Q115" s="26"/>
      <c r="R115" s="26"/>
      <c r="S115" s="26"/>
      <c r="T115" s="26"/>
      <c r="U115" s="30" cm="1">
        <f t="array" ref="U115">'flujos - Gasto mes actual'!$AA$37</f>
        <v>930817</v>
      </c>
      <c r="V115" s="26"/>
      <c r="W115" s="30"/>
      <c r="X115" s="30"/>
      <c r="Y115" s="32"/>
      <c r="Z115" s="32"/>
      <c r="AA115" s="30"/>
      <c r="AB115" s="26"/>
      <c r="AC115" s="26" cm="1">
        <f t="array" ref="AC115">'flujos - Table 3'!D$17</f>
        <v>445894</v>
      </c>
      <c r="AD115" s="194"/>
      <c r="AE115" s="26" cm="1">
        <f t="array" ref="AE115">SUM(AF115:AG115)</f>
        <v>0</v>
      </c>
      <c r="AF115" s="26"/>
      <c r="AG115" s="26"/>
      <c r="AH115" s="32"/>
    </row>
    <row r="116" ht="20.35" customHeight="1">
      <c r="A116" s="186">
        <v>46327</v>
      </c>
      <c r="B116" s="187" cm="1">
        <f t="array" ref="B116">ROUND(C116/'variables - Table 1-1'!B116,0)</f>
        <v>0</v>
      </c>
      <c r="C116" s="188" cm="1">
        <f t="array" ref="C116">SUM(D116)</f>
        <v>0</v>
      </c>
      <c r="D116" s="189"/>
      <c r="E116" s="188"/>
      <c r="F116" s="188"/>
      <c r="G116" s="188"/>
      <c r="H116" s="188"/>
      <c r="I116" s="188" cm="1">
        <f t="array" ref="I116">'flujos - Table 3'!L$17</f>
        <v>4399322</v>
      </c>
      <c r="J116" s="189"/>
      <c r="K116" s="190" cm="1">
        <f t="array" ref="K116">C116-N116</f>
        <v>-1376711</v>
      </c>
      <c r="L116" s="191" cm="1">
        <f t="array" ref="L116">_xlfn.IFERROR(K116/C116,0)</f>
        <v>0</v>
      </c>
      <c r="M116" s="192" cm="1">
        <f t="array" ref="M116">N116-AE116</f>
        <v>1376711</v>
      </c>
      <c r="N116" s="192" cm="1">
        <f t="array" ref="N116">SUM(P116:X116,AC116)</f>
        <v>1376711</v>
      </c>
      <c r="O116" s="26"/>
      <c r="P116" s="26"/>
      <c r="Q116" s="26"/>
      <c r="R116" s="26"/>
      <c r="S116" s="26"/>
      <c r="T116" s="26"/>
      <c r="U116" s="30" cm="1">
        <f t="array" ref="U116">'flujos - Gasto mes actual'!$AA$37</f>
        <v>930817</v>
      </c>
      <c r="V116" s="26"/>
      <c r="W116" s="30"/>
      <c r="X116" s="30"/>
      <c r="Y116" s="32"/>
      <c r="Z116" s="32"/>
      <c r="AA116" s="30"/>
      <c r="AB116" s="26"/>
      <c r="AC116" s="26" cm="1">
        <f t="array" ref="AC116">'flujos - Table 3'!D$17</f>
        <v>445894</v>
      </c>
      <c r="AD116" s="194"/>
      <c r="AE116" s="26" cm="1">
        <f t="array" ref="AE116">SUM(AF116:AG116)</f>
        <v>0</v>
      </c>
      <c r="AF116" s="26"/>
      <c r="AG116" s="26"/>
      <c r="AH116" s="32"/>
    </row>
    <row r="117" ht="20.35" customHeight="1">
      <c r="A117" s="186">
        <v>46357</v>
      </c>
      <c r="B117" s="187" cm="1">
        <f t="array" ref="B117">ROUND(C117/'variables - Table 1-1'!B117,0)</f>
        <v>0</v>
      </c>
      <c r="C117" s="188" cm="1">
        <f t="array" ref="C117">SUM(D117)</f>
        <v>0</v>
      </c>
      <c r="D117" s="189"/>
      <c r="E117" s="188"/>
      <c r="F117" s="188"/>
      <c r="G117" s="188"/>
      <c r="H117" s="188"/>
      <c r="I117" s="188" cm="1">
        <f t="array" ref="I117">'flujos - Table 3'!L$17</f>
        <v>4399322</v>
      </c>
      <c r="J117" s="189"/>
      <c r="K117" s="190" cm="1">
        <f t="array" ref="K117">C117-N117</f>
        <v>-930817</v>
      </c>
      <c r="L117" s="191" cm="1">
        <f t="array" ref="L117">_xlfn.IFERROR(K117/C117,0)</f>
        <v>0</v>
      </c>
      <c r="M117" s="192" cm="1">
        <f t="array" ref="M117">N117-AE117</f>
        <v>930817</v>
      </c>
      <c r="N117" s="192" cm="1">
        <f t="array" ref="N117">SUM(P117:X117,AC117)</f>
        <v>930817</v>
      </c>
      <c r="O117" s="26"/>
      <c r="P117" s="26"/>
      <c r="Q117" s="26"/>
      <c r="R117" s="26"/>
      <c r="S117" s="26"/>
      <c r="T117" s="26"/>
      <c r="U117" s="30" cm="1">
        <f t="array" ref="U117">'flujos - Gasto mes actual'!$AA$37</f>
        <v>930817</v>
      </c>
      <c r="V117" s="26"/>
      <c r="W117" s="30"/>
      <c r="X117" s="30"/>
      <c r="Y117" s="32"/>
      <c r="Z117" s="32"/>
      <c r="AA117" s="30"/>
      <c r="AB117" s="26"/>
      <c r="AC117" s="26"/>
      <c r="AD117" s="194"/>
      <c r="AE117" s="26" cm="1">
        <f t="array" ref="AE117">SUM(AF117:AG117)</f>
        <v>0</v>
      </c>
      <c r="AF117" s="26"/>
      <c r="AG117" s="26"/>
      <c r="AH117" s="32"/>
    </row>
    <row r="118" ht="20.55" customHeight="1">
      <c r="A118" s="196">
        <v>46388</v>
      </c>
      <c r="B118" s="197" cm="1">
        <f t="array" ref="B118">ROUND(C118/'variables - Table 1-1'!B118,0)</f>
        <v>0</v>
      </c>
      <c r="C118" s="198" cm="1">
        <f t="array" ref="C118">SUM(D118)</f>
        <v>0</v>
      </c>
      <c r="D118" s="199"/>
      <c r="E118" s="198"/>
      <c r="F118" s="198"/>
      <c r="G118" s="198"/>
      <c r="H118" s="198"/>
      <c r="I118" s="198" cm="1">
        <f t="array" ref="I118">'flujos - Table 3'!L$17</f>
        <v>4399322</v>
      </c>
      <c r="J118" s="199"/>
      <c r="K118" s="200" cm="1">
        <f t="array" ref="K118">C118-N118</f>
        <v>-930817</v>
      </c>
      <c r="L118" s="201" cm="1">
        <f t="array" ref="L118">_xlfn.IFERROR(K118/C118,0)</f>
        <v>0</v>
      </c>
      <c r="M118" s="202" cm="1">
        <f t="array" ref="M118">N118-AE118</f>
        <v>930817</v>
      </c>
      <c r="N118" s="202" cm="1">
        <f t="array" ref="N118">SUM(P118:X118,AC118)</f>
        <v>930817</v>
      </c>
      <c r="O118" s="44"/>
      <c r="P118" s="44"/>
      <c r="Q118" s="44"/>
      <c r="R118" s="44"/>
      <c r="S118" s="44"/>
      <c r="T118" s="44"/>
      <c r="U118" s="75" cm="1">
        <f t="array" ref="U118">'flujos - Gasto mes actual'!$AA$37</f>
        <v>930817</v>
      </c>
      <c r="V118" s="44"/>
      <c r="W118" s="75"/>
      <c r="X118" s="75"/>
      <c r="Y118" s="73"/>
      <c r="Z118" s="73"/>
      <c r="AA118" s="75"/>
      <c r="AB118" s="44"/>
      <c r="AC118" s="44"/>
      <c r="AD118" s="203"/>
      <c r="AE118" s="44" cm="1">
        <f t="array" ref="AE118">SUM(AF118:AG118)</f>
        <v>0</v>
      </c>
      <c r="AF118" s="44"/>
      <c r="AG118" s="44"/>
      <c r="AH118" s="73"/>
    </row>
    <row r="119" ht="20.55" customHeight="1">
      <c r="A119" s="204" cm="1">
        <f t="array" ref="A119">0</f>
        <v>0</v>
      </c>
      <c r="B119" s="79" cm="1">
        <f t="array" ref="B119">SUM(B3:B118)</f>
        <v>341130</v>
      </c>
      <c r="C119" s="79" cm="1">
        <f t="array" ref="C119">SUM(C3:C118)</f>
        <v>277547116.3924</v>
      </c>
      <c r="D119" s="205" cm="1">
        <f t="array" ref="D119">SUM(D3:D118)</f>
        <v>240083198.3924</v>
      </c>
      <c r="E119" s="205" cm="1">
        <f t="array" ref="E119">SUM(E3:E118)</f>
        <v>220000147</v>
      </c>
      <c r="F119" s="205" cm="1">
        <f t="array" ref="F119">SUM(F3:F118)</f>
        <v>5095455</v>
      </c>
      <c r="G119" s="205" cm="1">
        <f t="array" ref="G119">SUM(G3:G118)</f>
        <v>7235499</v>
      </c>
      <c r="H119" s="205" cm="1">
        <f t="array" ref="H119">SUM(H3:H118)</f>
        <v>14507144</v>
      </c>
      <c r="I119" s="205" cm="1">
        <f t="array" ref="I119">SUM(I3:I118)</f>
        <v>102629710</v>
      </c>
      <c r="J119" s="79" cm="1">
        <f t="array" ref="J119">SUM(J2:J118)</f>
        <v>346970</v>
      </c>
      <c r="K119" s="79" cm="1">
        <f t="array" ref="K119">SUM(K2:K118)</f>
        <v>102111639.86534</v>
      </c>
      <c r="L119" s="206" cm="1">
        <f t="array" ref="L119">K119/C119</f>
        <v>0.367907406830965</v>
      </c>
      <c r="M119" s="79" cm="1">
        <f t="array" ref="M119">SUM(M3:M118)</f>
        <v>167053752.02706</v>
      </c>
      <c r="N119" s="79" cm="1">
        <f t="array" ref="N119">SUM(N2:N118)</f>
        <v>175253368.52706</v>
      </c>
      <c r="O119" s="46"/>
      <c r="P119" s="79" cm="1">
        <f t="array" ref="P119">AVERAGE(P3:P118)</f>
        <v>224069.9125</v>
      </c>
      <c r="Q119" s="79" cm="1">
        <f t="array" ref="Q119">AVERAGE(Q3:Q118)</f>
        <v>33232.4870689655</v>
      </c>
      <c r="R119" s="79" cm="1">
        <f t="array" ref="R119">AVERAGE(R3:R118)</f>
        <v>29839.1440677966</v>
      </c>
      <c r="S119" s="79" cm="1">
        <f t="array" ref="S119">AVERAGE(S3:S118)</f>
        <v>18688.7543859649</v>
      </c>
      <c r="T119" s="79" cm="1">
        <f t="array" ref="T119">AVERAGE(T3:T118)</f>
        <v>-194202.048333333</v>
      </c>
      <c r="U119" s="79" cm="1">
        <f t="array" ref="U119">AVERAGE(U3:U118)</f>
        <v>1580060.92325581</v>
      </c>
      <c r="V119" s="79" cm="1">
        <f t="array" ref="V119">AVERAGE(V3:V118)</f>
        <v>185566.983870968</v>
      </c>
      <c r="W119" s="79" cm="1">
        <f t="array" ref="W119">AVERAGE(W3:W118)</f>
        <v>108030.309152857</v>
      </c>
      <c r="X119" s="79" cm="1">
        <f t="array" ref="X119">AVERAGE(X3:X118)</f>
        <v>77257.022881355893</v>
      </c>
      <c r="Y119" s="79" cm="1">
        <f t="array" ref="Y119">AVERAGE(Y3:Y118)</f>
        <v>2980.206896551720</v>
      </c>
      <c r="Z119" s="79" cm="1">
        <f t="array" ref="Z119">AVERAGE(Z3:Z118)</f>
        <v>4313.241379310340</v>
      </c>
      <c r="AA119" s="79" cm="1">
        <f t="array" ref="AA119">AVERAGE(AA3:AA118)</f>
        <v>13313.1724137931</v>
      </c>
      <c r="AB119" s="79" cm="1">
        <f t="array" ref="AB119">AVERAGE(AB3:AB118)</f>
        <v>152216.995844907</v>
      </c>
      <c r="AC119" s="79" cm="1">
        <f t="array" ref="AC119">AVERAGE(AC3:AC118)</f>
        <v>137867.75</v>
      </c>
      <c r="AD119" s="207"/>
      <c r="AE119" s="79" cm="1">
        <f t="array" ref="AE119">AVERAGE(AE3:AE118)</f>
        <v>91375.9181034483</v>
      </c>
      <c r="AF119" s="79" cm="1">
        <f t="array" ref="AF119">AVERAGE(AF3:AF118)</f>
        <v>66581.4905660377</v>
      </c>
      <c r="AG119" s="79" cm="1">
        <f t="array" ref="AG119">AVERAGE(AG3:AG118)</f>
        <v>139231.12745098</v>
      </c>
      <c r="AH119" s="79" cm="1">
        <f t="array" ref="AH119">AVERAGE(AH3:AH118)</f>
        <v>302695.892857143</v>
      </c>
    </row>
  </sheetData>
  <mergeCells count="1">
    <mergeCell ref="A1:AH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H10"/>
  <sheetViews>
    <sheetView workbookViewId="0" showGridLines="0" defaultGridColor="1"/>
  </sheetViews>
  <sheetFormatPr defaultColWidth="16.3333" defaultRowHeight="18" customHeight="1" outlineLevelRow="0" outlineLevelCol="0"/>
  <cols>
    <col min="1" max="1" width="17.4609" style="208" customWidth="1"/>
    <col min="2" max="8" width="16.3516" style="208" customWidth="1"/>
    <col min="9" max="16384" width="16.3516" style="208" customWidth="1"/>
  </cols>
  <sheetData>
    <row r="1" ht="20.35" customHeight="1">
      <c r="A1" s="32"/>
      <c r="B1" t="s" s="23">
        <v>573</v>
      </c>
      <c r="C1" t="s" s="23">
        <v>574</v>
      </c>
      <c r="D1" t="s" s="23">
        <v>575</v>
      </c>
      <c r="E1" t="s" s="23">
        <v>576</v>
      </c>
      <c r="F1" s="32"/>
      <c r="G1" s="32"/>
      <c r="H1" s="32"/>
    </row>
    <row r="2" ht="20.35" customHeight="1">
      <c r="A2" s="32"/>
      <c r="B2" s="164">
        <v>4000</v>
      </c>
      <c r="C2" s="164">
        <v>8000</v>
      </c>
      <c r="D2" s="164">
        <v>7100</v>
      </c>
      <c r="E2" s="164">
        <v>8000</v>
      </c>
      <c r="F2" s="164"/>
      <c r="G2" s="164"/>
      <c r="H2" s="164">
        <v>7100</v>
      </c>
    </row>
    <row r="3" ht="20.35" customHeight="1">
      <c r="A3" s="32"/>
      <c r="B3" s="164" cm="1">
        <f t="array" ref="B3">3200/4</f>
        <v>800</v>
      </c>
      <c r="C3" s="164" cm="1">
        <f t="array" ref="C3">3200/4</f>
        <v>800</v>
      </c>
      <c r="D3" s="164">
        <v>4600</v>
      </c>
      <c r="E3" s="164" cm="1">
        <f t="array" ref="E3">3200/4</f>
        <v>800</v>
      </c>
      <c r="F3" s="164"/>
      <c r="G3" s="164"/>
      <c r="H3" s="164">
        <v>4600</v>
      </c>
    </row>
    <row r="4" ht="20.35" customHeight="1">
      <c r="A4" s="32"/>
      <c r="B4" s="164"/>
      <c r="C4" s="164"/>
      <c r="D4" s="164">
        <v>5400</v>
      </c>
      <c r="E4" s="164"/>
      <c r="F4" s="164"/>
      <c r="G4" s="164"/>
      <c r="H4" s="164">
        <v>5400</v>
      </c>
    </row>
    <row r="5" ht="20.35" customHeight="1">
      <c r="A5" s="32"/>
      <c r="B5" s="164"/>
      <c r="C5" s="164"/>
      <c r="D5" s="164">
        <v>4600</v>
      </c>
      <c r="E5" s="164"/>
      <c r="F5" s="164"/>
      <c r="G5" s="164"/>
      <c r="H5" s="164">
        <v>4600</v>
      </c>
    </row>
    <row r="6" ht="20.35" customHeight="1">
      <c r="A6" s="32"/>
      <c r="B6" s="164" cm="1">
        <f t="array" ref="B6">SUM(B2:B4)</f>
        <v>4800</v>
      </c>
      <c r="C6" s="164" cm="1">
        <f t="array" ref="C6">SUM(C2:C4)</f>
        <v>8800</v>
      </c>
      <c r="D6" s="164" cm="1">
        <f t="array" ref="D6">SUM(D2:D5)</f>
        <v>21700</v>
      </c>
      <c r="E6" s="164" cm="1">
        <f t="array" ref="E6">SUM(E2:E4)</f>
        <v>8800</v>
      </c>
      <c r="F6" s="32"/>
      <c r="G6" s="32"/>
      <c r="H6" s="32"/>
    </row>
    <row r="7" ht="20.35" customHeight="1">
      <c r="A7" t="s" s="23">
        <v>577</v>
      </c>
      <c r="B7" s="209" cm="1">
        <f t="array" ref="B7">B6*1.1</f>
        <v>5280</v>
      </c>
      <c r="C7" s="209" cm="1">
        <f t="array" ref="C7">C6*1.1</f>
        <v>9680</v>
      </c>
      <c r="D7" s="209" cm="1">
        <f t="array" ref="D7">D6*1.1</f>
        <v>23870</v>
      </c>
      <c r="E7" s="209" cm="1">
        <f t="array" ref="E7">E6*1.1</f>
        <v>9680</v>
      </c>
      <c r="F7" s="210"/>
      <c r="G7" s="210"/>
      <c r="H7" s="210"/>
    </row>
    <row r="8" ht="8.35" customHeight="1" hidden="1">
      <c r="A8" t="s" s="23">
        <v>578</v>
      </c>
      <c r="B8" s="211" cm="1">
        <f t="array" ref="B8">B7+$E$7/6</f>
        <v>6893.333333333330</v>
      </c>
      <c r="C8" s="211" cm="1">
        <f t="array" ref="C8">C7+$E$7/6</f>
        <v>11293.3333333333</v>
      </c>
      <c r="D8" s="211" cm="1">
        <f t="array" ref="D8">D7+$E$7/6</f>
        <v>25483.3333333333</v>
      </c>
      <c r="E8" s="212"/>
      <c r="F8" s="212"/>
      <c r="G8" s="212"/>
      <c r="H8" s="212"/>
    </row>
    <row r="9" ht="20.35" customHeight="1">
      <c r="A9" s="32"/>
      <c r="B9" s="32"/>
      <c r="C9" s="32"/>
      <c r="D9" s="32"/>
      <c r="E9" s="32"/>
      <c r="F9" s="32"/>
      <c r="G9" s="32"/>
      <c r="H9" s="32"/>
    </row>
    <row r="10" ht="20.35" customHeight="1">
      <c r="A10" s="32"/>
      <c r="B10" s="32"/>
      <c r="C10" s="32"/>
      <c r="D10" s="32"/>
      <c r="E10" s="32"/>
      <c r="F10" s="32"/>
      <c r="G10" s="32"/>
      <c r="H10"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J11"/>
  <sheetViews>
    <sheetView workbookViewId="0" showGridLines="0" defaultGridColor="1"/>
  </sheetViews>
  <sheetFormatPr defaultColWidth="16.3333" defaultRowHeight="18" customHeight="1" outlineLevelRow="0" outlineLevelCol="0"/>
  <cols>
    <col min="1" max="1" width="17.4609" style="213" customWidth="1"/>
    <col min="2" max="10" width="16.3516" style="213" customWidth="1"/>
    <col min="11" max="16384" width="16.3516" style="213" customWidth="1"/>
  </cols>
  <sheetData>
    <row r="1" ht="20.35" customHeight="1">
      <c r="A1" s="32"/>
      <c r="B1" t="s" s="23">
        <v>573</v>
      </c>
      <c r="C1" t="s" s="23">
        <v>581</v>
      </c>
      <c r="D1" t="s" s="23">
        <v>582</v>
      </c>
      <c r="E1" t="s" s="23">
        <v>576</v>
      </c>
      <c r="F1" t="s" s="23">
        <v>575</v>
      </c>
      <c r="G1" t="s" s="23">
        <v>574</v>
      </c>
      <c r="H1" s="32"/>
      <c r="I1" t="s" s="23">
        <v>583</v>
      </c>
      <c r="J1" t="s" s="23">
        <v>584</v>
      </c>
    </row>
    <row r="2" ht="20.35" customHeight="1">
      <c r="A2" s="32"/>
      <c r="B2" s="164">
        <v>6400</v>
      </c>
      <c r="C2" s="164">
        <v>6900</v>
      </c>
      <c r="D2" s="164">
        <v>6400</v>
      </c>
      <c r="E2" s="164">
        <v>8500</v>
      </c>
      <c r="F2" s="164">
        <v>7200</v>
      </c>
      <c r="G2" s="164">
        <v>7200</v>
      </c>
      <c r="H2" s="164"/>
      <c r="I2" t="s" s="23">
        <v>584</v>
      </c>
      <c r="J2" t="s" s="23">
        <v>585</v>
      </c>
    </row>
    <row r="3" ht="20.35" customHeight="1">
      <c r="A3" s="32"/>
      <c r="B3" s="164">
        <v>2000</v>
      </c>
      <c r="C3" s="164">
        <v>2700</v>
      </c>
      <c r="D3" s="164">
        <v>1500</v>
      </c>
      <c r="E3" s="164">
        <v>2000</v>
      </c>
      <c r="F3" s="164">
        <v>2700</v>
      </c>
      <c r="G3" s="164">
        <v>2000</v>
      </c>
      <c r="H3" s="164"/>
      <c r="I3" t="s" s="23">
        <v>585</v>
      </c>
      <c r="J3" t="s" s="23">
        <v>583</v>
      </c>
    </row>
    <row r="4" ht="20.35" customHeight="1">
      <c r="A4" s="32"/>
      <c r="B4" s="164"/>
      <c r="C4" s="164"/>
      <c r="D4" s="164"/>
      <c r="E4" s="164"/>
      <c r="F4" s="164"/>
      <c r="G4" s="164"/>
      <c r="H4" s="164"/>
      <c r="I4" t="s" s="23">
        <v>586</v>
      </c>
      <c r="J4" t="s" s="23">
        <v>585</v>
      </c>
    </row>
    <row r="5" ht="20.35" customHeight="1">
      <c r="A5" s="32"/>
      <c r="B5" s="164"/>
      <c r="C5" s="164"/>
      <c r="D5" s="164"/>
      <c r="E5" s="164"/>
      <c r="F5" s="164"/>
      <c r="G5" s="164"/>
      <c r="H5" s="164"/>
      <c r="I5" t="s" s="23">
        <v>587</v>
      </c>
      <c r="J5" t="s" s="23">
        <v>584</v>
      </c>
    </row>
    <row r="6" ht="20.35" customHeight="1">
      <c r="A6" s="32"/>
      <c r="B6" s="164"/>
      <c r="C6" s="164"/>
      <c r="D6" s="164"/>
      <c r="E6" s="164"/>
      <c r="F6" s="164"/>
      <c r="G6" s="164"/>
      <c r="H6" s="164"/>
      <c r="I6" t="s" s="23">
        <v>588</v>
      </c>
      <c r="J6" s="164"/>
    </row>
    <row r="7" ht="20.35" customHeight="1">
      <c r="A7" s="32"/>
      <c r="B7" s="164" cm="1">
        <f t="array" ref="B7">SUM(B2:B6)</f>
        <v>8400</v>
      </c>
      <c r="C7" s="164" cm="1">
        <f t="array" ref="C7">SUM(C2:C6)</f>
        <v>9600</v>
      </c>
      <c r="D7" s="164" cm="1">
        <f t="array" ref="D7">SUM(D2:D6)</f>
        <v>7900</v>
      </c>
      <c r="E7" s="164" cm="1">
        <f t="array" ref="E7">SUM(E2:E6)</f>
        <v>10500</v>
      </c>
      <c r="F7" s="164" cm="1">
        <f t="array" ref="F7">SUM(F2:F6)</f>
        <v>9900</v>
      </c>
      <c r="G7" s="164" cm="1">
        <f t="array" ref="G7">SUM(G2:G6)</f>
        <v>9200</v>
      </c>
      <c r="H7" s="164" cm="1">
        <f t="array" ref="H7">SUM(H2:H6)</f>
        <v>0</v>
      </c>
      <c r="I7" s="68" cm="1">
        <f t="array" ref="I7">SUM(I2:I6)</f>
        <v>0</v>
      </c>
      <c r="J7" s="68" cm="1">
        <f t="array" ref="J7">SUM(J2:J6)</f>
        <v>0</v>
      </c>
    </row>
    <row r="8" ht="20.35" customHeight="1">
      <c r="A8" t="s" s="23">
        <v>577</v>
      </c>
      <c r="B8" s="209" cm="1">
        <f t="array" ref="B8">B7*1.1</f>
        <v>9240</v>
      </c>
      <c r="C8" s="209" cm="1">
        <f t="array" ref="C8">C7*1.1</f>
        <v>10560</v>
      </c>
      <c r="D8" s="209" cm="1">
        <f t="array" ref="D8">D7*1.1</f>
        <v>8690</v>
      </c>
      <c r="E8" s="209" cm="1">
        <f t="array" ref="E8">E7*1.1</f>
        <v>11550</v>
      </c>
      <c r="F8" s="209" cm="1">
        <f t="array" ref="F8">F7*1.1</f>
        <v>10890</v>
      </c>
      <c r="G8" s="209" cm="1">
        <f t="array" ref="G8">G7*1.1</f>
        <v>10120</v>
      </c>
      <c r="H8" s="209" cm="1">
        <f t="array" ref="H8">H7*1.1</f>
        <v>0</v>
      </c>
      <c r="I8" s="214" cm="1">
        <f t="array" ref="I8">I7*1.1</f>
        <v>0</v>
      </c>
      <c r="J8" s="214" cm="1">
        <f t="array" ref="J8">J7*1.1</f>
        <v>0</v>
      </c>
    </row>
    <row r="9" ht="8.35" customHeight="1" hidden="1">
      <c r="A9" s="32"/>
      <c r="B9" s="212"/>
      <c r="C9" s="212"/>
      <c r="D9" s="212"/>
      <c r="E9" s="212"/>
      <c r="F9" s="212"/>
      <c r="G9" s="212"/>
      <c r="H9" s="212"/>
      <c r="I9" s="212"/>
      <c r="J9" s="212"/>
    </row>
    <row r="10" ht="20.35" customHeight="1">
      <c r="A10" s="32"/>
      <c r="B10" s="32"/>
      <c r="C10" t="s" s="23">
        <v>589</v>
      </c>
      <c r="D10" t="s" s="23">
        <v>589</v>
      </c>
      <c r="E10" t="s" s="23">
        <v>589</v>
      </c>
      <c r="F10" t="s" s="23">
        <v>589</v>
      </c>
      <c r="G10" t="s" s="23">
        <v>589</v>
      </c>
      <c r="H10" s="32"/>
      <c r="I10" s="32"/>
      <c r="J10" s="32"/>
    </row>
    <row r="11" ht="20.35" customHeight="1">
      <c r="A11" s="32"/>
      <c r="B11" s="32"/>
      <c r="C11" s="32"/>
      <c r="D11" s="32"/>
      <c r="E11" s="32"/>
      <c r="F11" s="32"/>
      <c r="G11" s="32"/>
      <c r="H11" s="32"/>
      <c r="I11" s="32"/>
      <c r="J11"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J11"/>
  <sheetViews>
    <sheetView workbookViewId="0" showGridLines="0" defaultGridColor="1"/>
  </sheetViews>
  <sheetFormatPr defaultColWidth="16.3333" defaultRowHeight="18" customHeight="1" outlineLevelRow="0" outlineLevelCol="0"/>
  <cols>
    <col min="1" max="1" width="17.4609" style="215" customWidth="1"/>
    <col min="2" max="10" width="16.3516" style="215" customWidth="1"/>
    <col min="11" max="16384" width="16.3516" style="215" customWidth="1"/>
  </cols>
  <sheetData>
    <row r="1" ht="20.35" customHeight="1">
      <c r="A1" s="32"/>
      <c r="B1" t="s" s="23">
        <v>573</v>
      </c>
      <c r="C1" t="s" s="23">
        <v>575</v>
      </c>
      <c r="D1" t="s" s="23">
        <v>574</v>
      </c>
      <c r="E1" t="s" s="23">
        <v>592</v>
      </c>
      <c r="F1" t="s" s="23">
        <v>593</v>
      </c>
      <c r="G1" t="s" s="23">
        <v>582</v>
      </c>
      <c r="H1" s="32"/>
      <c r="I1" s="164">
        <v>600</v>
      </c>
      <c r="J1" s="164">
        <v>550</v>
      </c>
    </row>
    <row r="2" ht="20.35" customHeight="1">
      <c r="A2" s="32"/>
      <c r="B2" s="164" cm="1">
        <f t="array" ref="B2">15990/6</f>
        <v>2665</v>
      </c>
      <c r="C2" s="164" cm="1">
        <f t="array" ref="C2">15990/6</f>
        <v>2665</v>
      </c>
      <c r="D2" s="164" cm="1">
        <f t="array" ref="D2">15990/6</f>
        <v>2665</v>
      </c>
      <c r="E2" s="164" cm="1">
        <f t="array" ref="E2">15990/6</f>
        <v>2665</v>
      </c>
      <c r="F2" s="164" cm="1">
        <f t="array" ref="F2">15990/6</f>
        <v>2665</v>
      </c>
      <c r="G2" s="164" cm="1">
        <f t="array" ref="G2">15990/6</f>
        <v>2665</v>
      </c>
      <c r="H2" s="164"/>
      <c r="I2" s="164">
        <v>190</v>
      </c>
      <c r="J2" s="164">
        <v>80</v>
      </c>
    </row>
    <row r="3" ht="20.35" customHeight="1">
      <c r="A3" s="32"/>
      <c r="B3" s="164" cm="1">
        <f t="array" ref="B3">25000/6</f>
        <v>4166.666666666670</v>
      </c>
      <c r="C3" s="164" cm="1">
        <f t="array" ref="C3">25000/6</f>
        <v>4166.666666666670</v>
      </c>
      <c r="D3" s="164" cm="1">
        <f t="array" ref="D3">25000/6</f>
        <v>4166.666666666670</v>
      </c>
      <c r="E3" s="164" cm="1">
        <f t="array" ref="E3">25000/6</f>
        <v>4166.666666666670</v>
      </c>
      <c r="F3" s="164" cm="1">
        <f t="array" ref="F3">25000/6</f>
        <v>4166.666666666670</v>
      </c>
      <c r="G3" s="164" cm="1">
        <f t="array" ref="G3">25000/6</f>
        <v>4166.666666666670</v>
      </c>
      <c r="H3" s="164"/>
      <c r="I3" s="164"/>
      <c r="J3" s="164">
        <v>80</v>
      </c>
    </row>
    <row r="4" ht="20.35" customHeight="1">
      <c r="A4" s="32"/>
      <c r="B4" s="164"/>
      <c r="C4" s="164"/>
      <c r="D4" s="164"/>
      <c r="E4" s="164"/>
      <c r="F4" s="164"/>
      <c r="G4" s="164">
        <v>1600</v>
      </c>
      <c r="H4" s="164"/>
      <c r="I4" s="164"/>
      <c r="J4" s="164"/>
    </row>
    <row r="5" ht="20.35" customHeight="1">
      <c r="A5" s="32"/>
      <c r="B5" s="164"/>
      <c r="C5" s="164"/>
      <c r="D5" s="164"/>
      <c r="E5" s="164"/>
      <c r="F5" s="164"/>
      <c r="G5" s="164"/>
      <c r="H5" s="164"/>
      <c r="I5" s="164" cm="1">
        <f t="array" ref="I5">SUM(I1:I3)</f>
        <v>790</v>
      </c>
      <c r="J5" s="164" cm="1">
        <f t="array" ref="J5">SUM(J1:J3)</f>
        <v>710</v>
      </c>
    </row>
    <row r="6" ht="20.35" customHeight="1">
      <c r="A6" s="32"/>
      <c r="B6" s="164"/>
      <c r="C6" s="164"/>
      <c r="D6" s="164"/>
      <c r="E6" s="164"/>
      <c r="F6" s="164"/>
      <c r="G6" s="164"/>
      <c r="H6" s="164"/>
      <c r="I6" s="164"/>
      <c r="J6" s="164"/>
    </row>
    <row r="7" ht="20.35" customHeight="1">
      <c r="A7" s="32"/>
      <c r="B7" s="164" cm="1">
        <f t="array" ref="B7">SUM(B2:B6)</f>
        <v>6831.666666666670</v>
      </c>
      <c r="C7" s="164" cm="1">
        <f t="array" ref="C7">SUM(C2:C6)</f>
        <v>6831.666666666670</v>
      </c>
      <c r="D7" s="164" cm="1">
        <f t="array" ref="D7">SUM(D2:D6)</f>
        <v>6831.666666666670</v>
      </c>
      <c r="E7" s="164" cm="1">
        <f t="array" ref="E7">SUM(E2:E6)</f>
        <v>6831.666666666670</v>
      </c>
      <c r="F7" s="164" cm="1">
        <f t="array" ref="F7">SUM(F2:F6)</f>
        <v>6831.666666666670</v>
      </c>
      <c r="G7" s="164" cm="1">
        <f t="array" ref="G7">SUM(G2:G6)</f>
        <v>8431.666666666670</v>
      </c>
      <c r="H7" s="164" cm="1">
        <f t="array" ref="H7">SUM(H2:H6)</f>
        <v>0</v>
      </c>
      <c r="I7" s="164" cm="1">
        <f t="array" ref="I7">SUM(I2:I6)</f>
        <v>980</v>
      </c>
      <c r="J7" s="164" cm="1">
        <f t="array" ref="J7">SUM(J2:J6)</f>
        <v>870</v>
      </c>
    </row>
    <row r="8" ht="20.35" customHeight="1">
      <c r="A8" t="s" s="23">
        <v>577</v>
      </c>
      <c r="B8" s="209" cm="1">
        <f t="array" ref="B8">B7*1.1</f>
        <v>7514.833333333340</v>
      </c>
      <c r="C8" s="209" cm="1">
        <f t="array" ref="C8">C7*1.1</f>
        <v>7514.833333333340</v>
      </c>
      <c r="D8" s="209" cm="1">
        <f t="array" ref="D8">D7*1.1</f>
        <v>7514.833333333340</v>
      </c>
      <c r="E8" s="209" cm="1">
        <f t="array" ref="E8">E7*1.1</f>
        <v>7514.833333333340</v>
      </c>
      <c r="F8" s="209" cm="1">
        <f t="array" ref="F8">F7*1.1</f>
        <v>7514.833333333340</v>
      </c>
      <c r="G8" s="209" cm="1">
        <f t="array" ref="G8">G7*1.1</f>
        <v>9274.833333333339</v>
      </c>
      <c r="H8" s="209" cm="1">
        <f t="array" ref="H8">H7*1.1</f>
        <v>0</v>
      </c>
      <c r="I8" s="209" cm="1">
        <f t="array" ref="I8">I7*1.1</f>
        <v>1078</v>
      </c>
      <c r="J8" s="214" cm="1">
        <f t="array" ref="J8">J7*1.1</f>
        <v>957</v>
      </c>
    </row>
    <row r="9" ht="8.35" customHeight="1" hidden="1">
      <c r="A9" s="32"/>
      <c r="B9" s="212"/>
      <c r="C9" s="212"/>
      <c r="D9" s="212"/>
      <c r="E9" s="212"/>
      <c r="F9" s="212"/>
      <c r="G9" s="212"/>
      <c r="H9" s="212"/>
      <c r="I9" s="212"/>
      <c r="J9" s="212"/>
    </row>
    <row r="10" ht="20.35" customHeight="1">
      <c r="A10" s="32"/>
      <c r="B10" s="32"/>
      <c r="C10" t="s" s="23">
        <v>589</v>
      </c>
      <c r="D10" t="s" s="23">
        <v>589</v>
      </c>
      <c r="E10" s="32"/>
      <c r="F10" t="s" s="23">
        <v>589</v>
      </c>
      <c r="G10" t="s" s="23">
        <v>589</v>
      </c>
      <c r="H10" s="32"/>
      <c r="I10" s="32"/>
      <c r="J10" s="32"/>
    </row>
    <row r="11" ht="20.35" customHeight="1">
      <c r="A11" s="32"/>
      <c r="B11" s="32"/>
      <c r="C11" s="32"/>
      <c r="D11" s="32"/>
      <c r="E11" s="32"/>
      <c r="F11" s="32"/>
      <c r="G11" s="32"/>
      <c r="H11" s="32"/>
      <c r="I11" s="32"/>
      <c r="J11"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AQ19"/>
  <sheetViews>
    <sheetView workbookViewId="0" showGridLines="0" defaultGridColor="1">
      <pane topLeftCell="D3" xSplit="3" ySplit="2" activePane="bottomRight" state="frozen"/>
    </sheetView>
  </sheetViews>
  <sheetFormatPr defaultColWidth="16.3333" defaultRowHeight="18" customHeight="1" outlineLevelRow="0" outlineLevelCol="0"/>
  <cols>
    <col min="1" max="1" width="2.35156" style="216" customWidth="1"/>
    <col min="2" max="2" width="21.5" style="216" customWidth="1"/>
    <col min="3" max="4" width="16.3516" style="216" customWidth="1"/>
    <col min="5" max="6" width="6.00781" style="216" customWidth="1"/>
    <col min="7" max="7" width="7.17188" style="216" customWidth="1"/>
    <col min="8" max="8" width="5.5" style="216" customWidth="1"/>
    <col min="9" max="9" width="16.3516" style="216" customWidth="1"/>
    <col min="10" max="10" width="4.85156" style="216" customWidth="1"/>
    <col min="11" max="11" width="6.5" style="216" customWidth="1"/>
    <col min="12" max="12" width="16.3516" style="216" customWidth="1"/>
    <col min="13" max="13" width="6.76562" style="216" customWidth="1"/>
    <col min="14" max="14" width="10.0469" style="216" customWidth="1"/>
    <col min="15" max="43" width="16.3516" style="216" customWidth="1"/>
    <col min="44" max="16384" width="16.3516" style="216" customWidth="1"/>
  </cols>
  <sheetData>
    <row r="1" ht="20.35" customHeight="1">
      <c r="A1" s="217"/>
      <c r="B1" s="217"/>
      <c r="C1" s="217"/>
      <c r="D1" t="s" s="218">
        <v>595</v>
      </c>
      <c r="E1" s="217"/>
      <c r="F1" t="s" s="218">
        <v>596</v>
      </c>
      <c r="G1" t="s" s="218">
        <v>597</v>
      </c>
      <c r="H1" s="217"/>
      <c r="I1" s="217"/>
      <c r="J1" t="s" s="218">
        <v>598</v>
      </c>
      <c r="K1" s="217"/>
      <c r="L1" s="217"/>
      <c r="M1" s="217"/>
      <c r="N1" t="s" s="218">
        <v>599</v>
      </c>
      <c r="O1" s="217"/>
      <c r="P1" s="217"/>
      <c r="Q1" s="217"/>
      <c r="R1" s="217"/>
      <c r="S1" s="219">
        <v>0</v>
      </c>
      <c r="T1" s="219" cm="1">
        <f t="array" ref="T1">S$1+1</f>
        <v>1</v>
      </c>
      <c r="U1" s="219" cm="1">
        <f t="array" ref="U1">T$1+1</f>
        <v>2</v>
      </c>
      <c r="V1" s="219" cm="1">
        <f t="array" ref="V1">U$1+1</f>
        <v>3</v>
      </c>
      <c r="W1" s="219" cm="1">
        <f t="array" ref="W1">V$1+1</f>
        <v>4</v>
      </c>
      <c r="X1" s="219" cm="1">
        <f t="array" ref="X1">W$1+1</f>
        <v>5</v>
      </c>
      <c r="Y1" s="219" cm="1">
        <f t="array" ref="Y1">X$1+1</f>
        <v>6</v>
      </c>
      <c r="Z1" s="219" cm="1">
        <f t="array" ref="Z1">Y$1+1</f>
        <v>7</v>
      </c>
      <c r="AA1" s="219" cm="1">
        <f t="array" ref="AA1">Z$1+1</f>
        <v>8</v>
      </c>
      <c r="AB1" s="219" cm="1">
        <f t="array" ref="AB1">AA$1+1</f>
        <v>9</v>
      </c>
      <c r="AC1" s="219" cm="1">
        <f t="array" ref="AC1">AB$1+1</f>
        <v>10</v>
      </c>
      <c r="AD1" s="219" cm="1">
        <f t="array" ref="AD1">AC$1+1</f>
        <v>11</v>
      </c>
      <c r="AE1" s="219" cm="1">
        <f t="array" ref="AE1">AD$1+1</f>
        <v>12</v>
      </c>
      <c r="AF1" s="219" cm="1">
        <f t="array" ref="AF1">AE$1+1</f>
        <v>13</v>
      </c>
      <c r="AG1" s="219" cm="1">
        <f t="array" ref="AG1">AF$1+1</f>
        <v>14</v>
      </c>
      <c r="AH1" s="219" cm="1">
        <f t="array" ref="AH1">AG$1+1</f>
        <v>15</v>
      </c>
      <c r="AI1" s="219" cm="1">
        <f t="array" ref="AI1">AH$1+1</f>
        <v>16</v>
      </c>
      <c r="AJ1" s="219" cm="1">
        <f t="array" ref="AJ1">AI$1+1</f>
        <v>17</v>
      </c>
      <c r="AK1" s="219" cm="1">
        <f t="array" ref="AK1">AJ$1+1</f>
        <v>18</v>
      </c>
      <c r="AL1" s="219" cm="1">
        <f t="array" ref="AL1">AK$1+1</f>
        <v>19</v>
      </c>
      <c r="AM1" s="219" cm="1">
        <f t="array" ref="AM1">AL$1+1</f>
        <v>20</v>
      </c>
      <c r="AN1" s="219" cm="1">
        <f t="array" ref="AN1">AM$1+1</f>
        <v>21</v>
      </c>
      <c r="AO1" s="219" cm="1">
        <f t="array" ref="AO1">AN$1+1</f>
        <v>22</v>
      </c>
      <c r="AP1" s="219" cm="1">
        <f t="array" ref="AP1">AO$1+1</f>
        <v>23</v>
      </c>
      <c r="AQ1" s="219" cm="1">
        <f t="array" ref="AQ1">AP$1+1</f>
        <v>24</v>
      </c>
    </row>
    <row r="2" ht="20.55" customHeight="1">
      <c r="A2" s="7"/>
      <c r="B2" s="7"/>
      <c r="C2" s="7"/>
      <c r="D2" t="s" s="8">
        <v>600</v>
      </c>
      <c r="E2" s="7"/>
      <c r="F2" s="220">
        <v>11</v>
      </c>
      <c r="G2" s="7"/>
      <c r="H2" s="7"/>
      <c r="I2" s="7"/>
      <c r="J2" s="7"/>
      <c r="K2" s="7"/>
      <c r="L2" s="7"/>
      <c r="M2" s="7"/>
      <c r="N2" s="7"/>
      <c r="O2" s="7"/>
      <c r="P2" s="221" cm="1">
        <f t="array" ref="P2">'net worth - Table 1-3'!AE109</f>
        <v>0.0412821812858119</v>
      </c>
      <c r="Q2" s="7"/>
      <c r="R2" s="7"/>
      <c r="S2" s="222" cm="1">
        <f t="array" ref="S2">EDATE(DATE(2025,6,1),$F$2+S$1)</f>
        <v>46143</v>
      </c>
      <c r="T2" s="222" cm="1">
        <f t="array" ref="T2">EDATE(DATE(2025,6,1),$F$2+T$1)</f>
        <v>46174</v>
      </c>
      <c r="U2" s="222" cm="1">
        <f t="array" ref="U2">EDATE(DATE(2025,6,1),$F$2+U$1)</f>
        <v>46204</v>
      </c>
      <c r="V2" s="222" cm="1">
        <f t="array" ref="V2">EDATE(DATE(2025,6,1),$F$2+V$1)</f>
        <v>46235</v>
      </c>
      <c r="W2" s="222" cm="1">
        <f t="array" ref="W2">EDATE(DATE(2025,6,1),$F$2+W$1)</f>
        <v>46266</v>
      </c>
      <c r="X2" s="222" cm="1">
        <f t="array" ref="X2">EDATE(DATE(2025,6,1),$F$2+X$1)</f>
        <v>46296</v>
      </c>
      <c r="Y2" s="222" cm="1">
        <f t="array" ref="Y2">EDATE(DATE(2025,6,1),$F$2+Y$1)</f>
        <v>46327</v>
      </c>
      <c r="Z2" s="222" cm="1">
        <f t="array" ref="Z2">EDATE(DATE(2025,6,1),$F$2+Z$1)</f>
        <v>46357</v>
      </c>
      <c r="AA2" s="222" cm="1">
        <f t="array" ref="AA2">EDATE(DATE(2025,6,1),$F$2+AA$1)</f>
        <v>46388</v>
      </c>
      <c r="AB2" s="222" cm="1">
        <f t="array" ref="AB2">EDATE(DATE(2025,6,1),$F$2+AB$1)</f>
        <v>46419</v>
      </c>
      <c r="AC2" s="222" cm="1">
        <f t="array" ref="AC2">EDATE(DATE(2025,6,1),$F$2+AC$1)</f>
        <v>46447</v>
      </c>
      <c r="AD2" s="222" cm="1">
        <f t="array" ref="AD2">EDATE(DATE(2025,6,1),$F$2+AD$1)</f>
        <v>46478</v>
      </c>
      <c r="AE2" s="222" cm="1">
        <f t="array" ref="AE2">EDATE(DATE(2025,6,1),$F$2+AE$1)</f>
        <v>46508</v>
      </c>
      <c r="AF2" s="222" cm="1">
        <f t="array" ref="AF2">EDATE(DATE(2025,6,1),$F$2+AF$1)</f>
        <v>46539</v>
      </c>
      <c r="AG2" s="222" cm="1">
        <f t="array" ref="AG2">EDATE(DATE(2025,6,1),$F$2+AG$1)</f>
        <v>46569</v>
      </c>
      <c r="AH2" s="222" cm="1">
        <f t="array" ref="AH2">EDATE(DATE(2025,6,1),$F$2+AH$1)</f>
        <v>46600</v>
      </c>
      <c r="AI2" s="222" cm="1">
        <f t="array" ref="AI2">EDATE(DATE(2025,6,1),$F$2+AI$1)</f>
        <v>46631</v>
      </c>
      <c r="AJ2" s="222" cm="1">
        <f t="array" ref="AJ2">EDATE(DATE(2025,6,1),$F$2+AJ$1)</f>
        <v>46661</v>
      </c>
      <c r="AK2" s="222" cm="1">
        <f t="array" ref="AK2">EDATE(DATE(2025,6,1),$F$2+AK$1)</f>
        <v>46692</v>
      </c>
      <c r="AL2" s="222" cm="1">
        <f t="array" ref="AL2">EDATE(DATE(2025,6,1),$F$2+AL$1)</f>
        <v>46722</v>
      </c>
      <c r="AM2" s="222" cm="1">
        <f t="array" ref="AM2">EDATE(DATE(2025,6,1),$F$2+AM$1)</f>
        <v>46753</v>
      </c>
      <c r="AN2" s="222" cm="1">
        <f t="array" ref="AN2">EDATE(DATE(2025,6,1),$F$2+AN$1)</f>
        <v>46784</v>
      </c>
      <c r="AO2" s="222" cm="1">
        <f t="array" ref="AO2">EDATE(DATE(2025,6,1),$F$2+AO$1)</f>
        <v>46813</v>
      </c>
      <c r="AP2" s="222" cm="1">
        <f t="array" ref="AP2">EDATE(DATE(2025,6,1),$F$2+AP$1)</f>
        <v>46844</v>
      </c>
      <c r="AQ2" s="222" cm="1">
        <f t="array" ref="AQ2">EDATE(DATE(2025,6,1),$F$2+AQ$1)</f>
        <v>46874</v>
      </c>
    </row>
    <row r="3" ht="20.55" customHeight="1">
      <c r="A3" t="s" s="223">
        <v>601</v>
      </c>
      <c r="B3" t="s" s="223">
        <v>602</v>
      </c>
      <c r="C3" s="224"/>
      <c r="D3" s="225" cm="1">
        <f t="array" ref="D3">ROUND(O3/N3,0)</f>
        <v>27983</v>
      </c>
      <c r="E3" s="226" cm="1">
        <f t="array" ref="E3">D3/D$17</f>
        <v>0.06275706782329429</v>
      </c>
      <c r="F3" s="227">
        <v>-9</v>
      </c>
      <c r="G3" s="228" cm="1">
        <f t="array" ref="G3">F3+F$2</f>
        <v>2</v>
      </c>
      <c r="H3" s="229" cm="1">
        <f t="array" ref="H3">IF(G3&lt;0,0,G3/N3)</f>
        <v>0.666666666666667</v>
      </c>
      <c r="I3" s="230" cm="1">
        <f t="array" ref="I3">IF(G3&lt;0,0,D3*G3)</f>
        <v>55966</v>
      </c>
      <c r="J3" s="231" cm="1">
        <f t="array" ref="J3">N3-G3</f>
        <v>1</v>
      </c>
      <c r="K3" s="232" cm="1">
        <f t="array" ref="K3">1-H3</f>
        <v>0.333333333333333</v>
      </c>
      <c r="L3" s="233" cm="1">
        <f t="array" ref="L3">IF($G3&lt;0,O3,O3-I3)</f>
        <v>27984</v>
      </c>
      <c r="M3" s="232" cm="1">
        <f t="array" ref="M3">L3/L$17</f>
        <v>0.00636098016921698</v>
      </c>
      <c r="N3" s="228">
        <v>3</v>
      </c>
      <c r="O3" s="230">
        <v>83950</v>
      </c>
      <c r="P3" s="234" cm="1">
        <f t="array" ref="P3">O3*(1+P$2/12)^(N3)</f>
        <v>84819.393804812295</v>
      </c>
      <c r="Q3" s="234" cm="1">
        <f t="array" ref="Q3">P3-O3</f>
        <v>869.3938048123</v>
      </c>
      <c r="R3" s="234"/>
      <c r="S3" s="235" cm="1">
        <f t="array" ref="S3">IF(AND(1&gt;S$1-$J3,$J3-S$1&lt;$N3),$D3,0)</f>
        <v>27983</v>
      </c>
      <c r="T3" s="234" cm="1">
        <f t="array" ref="T3">IF(AND(1&gt;T$1-$J3,$J3-T$1&lt;$N3),$D3,0)</f>
        <v>27983</v>
      </c>
      <c r="U3" s="236" cm="1">
        <f t="array" ref="U3">IF(AND(1&gt;U$1-$J3,$J3-U$1&lt;$N3),$D3,0)</f>
        <v>0</v>
      </c>
      <c r="V3" s="236" cm="1">
        <f t="array" ref="V3">IF(AND(1&gt;V$1-$J3,$J3-V$1&lt;$N3),$D3,0)</f>
        <v>0</v>
      </c>
      <c r="W3" s="236" cm="1">
        <f t="array" ref="W3">IF(AND(1&gt;W$1-$J3,$J3-W$1&lt;$N3),$D3,0)</f>
        <v>0</v>
      </c>
      <c r="X3" s="236" cm="1">
        <f t="array" ref="X3">IF(AND(1&gt;X$1-$J3,$J3-X$1&lt;$N3),$D3,0)</f>
        <v>0</v>
      </c>
      <c r="Y3" s="236" cm="1">
        <f t="array" ref="Y3">IF(AND(1&gt;Y$1-$J3,$J3-Y$1&lt;$N3),$D3,0)</f>
        <v>0</v>
      </c>
      <c r="Z3" s="236" cm="1">
        <f t="array" ref="Z3">IF(AND(1&gt;Z$1-$J3,$J3-Z$1&lt;$N3),$D3,0)</f>
        <v>0</v>
      </c>
      <c r="AA3" s="236" cm="1">
        <f t="array" ref="AA3">IF(AND(1&gt;AA$1-$J3,$J3-AA$1&lt;$N3),$D3,0)</f>
        <v>0</v>
      </c>
      <c r="AB3" s="236" cm="1">
        <f t="array" ref="AB3">IF(AND(1&gt;AB$1-$J3,$J3-AB$1&lt;$N3),$D3,0)</f>
        <v>0</v>
      </c>
      <c r="AC3" s="236" cm="1">
        <f t="array" ref="AC3">IF(AND(1&gt;AC$1-$J3,$J3-AC$1&lt;$N3),$D3,0)</f>
        <v>0</v>
      </c>
      <c r="AD3" s="236" cm="1">
        <f t="array" ref="AD3">IF(AND(1&gt;AD$1-$J3,$J3-AD$1&lt;$N3),$D3,0)</f>
        <v>0</v>
      </c>
      <c r="AE3" s="236" cm="1">
        <f t="array" ref="AE3">IF(AND(1&gt;AE$1-$J3,$J3-AE$1&lt;$N3),$D3,0)</f>
        <v>0</v>
      </c>
      <c r="AF3" s="236" cm="1">
        <f t="array" ref="AF3">IF(AND(1&gt;AF$1-$J3,$J3-AF$1&lt;$N3),$D3,0)</f>
        <v>0</v>
      </c>
      <c r="AG3" s="236" cm="1">
        <f t="array" ref="AG3">IF(AND(1&gt;AG$1-$J3,$J3-AG$1&lt;$N3),$D3,0)</f>
        <v>0</v>
      </c>
      <c r="AH3" s="236" cm="1">
        <f t="array" ref="AH3">IF(AND(1&gt;AH$1-$J3,$J3-AH$1&lt;$N3),$D3,0)</f>
        <v>0</v>
      </c>
      <c r="AI3" s="236" cm="1">
        <f t="array" ref="AI3">IF(AND(1&gt;AI$1-$J3,$J3-AI$1&lt;$N3),$D3,0)</f>
        <v>0</v>
      </c>
      <c r="AJ3" s="236" cm="1">
        <f t="array" ref="AJ3">IF(AND(1&gt;AJ$1-$J3,$J3-AJ$1&lt;$N3),$D3,0)</f>
        <v>0</v>
      </c>
      <c r="AK3" s="236" cm="1">
        <f t="array" ref="AK3">IF(AND(1&gt;AK$1-$J3,$J3-AK$1&lt;$N3),$D3,0)</f>
        <v>0</v>
      </c>
      <c r="AL3" s="236" cm="1">
        <f t="array" ref="AL3">IF(AND(1&gt;AL$1-$J3,$J3-AL$1&lt;$N3),$D3,0)</f>
        <v>0</v>
      </c>
      <c r="AM3" s="236" cm="1">
        <f t="array" ref="AM3">IF(AND(1&gt;AM$1-$J3,$J3-AM$1&lt;$N3),$D3,0)</f>
        <v>0</v>
      </c>
      <c r="AN3" s="236" cm="1">
        <f t="array" ref="AN3">IF(AND(1&gt;AN$1-$J3,$J3-AN$1&lt;$N3),$D3,0)</f>
        <v>0</v>
      </c>
      <c r="AO3" s="236" cm="1">
        <f t="array" ref="AO3">IF(AND(1&gt;AO$1-$J3,$J3-AO$1&lt;$N3),$D3,0)</f>
        <v>0</v>
      </c>
      <c r="AP3" s="236" cm="1">
        <f t="array" ref="AP3">IF(AND(1&gt;AP$1-$J3,$J3-AP$1&lt;$N3),$D3,0)</f>
        <v>0</v>
      </c>
      <c r="AQ3" s="236" cm="1">
        <f t="array" ref="AQ3">IF(AND(1&gt;AQ$1-$J3,$J3-AQ$1&lt;$N3),$D3,0)</f>
        <v>0</v>
      </c>
    </row>
    <row r="4" ht="20.35" customHeight="1">
      <c r="A4" t="s" s="237">
        <v>601</v>
      </c>
      <c r="B4" t="s" s="237">
        <v>603</v>
      </c>
      <c r="C4" t="s" s="17">
        <v>604</v>
      </c>
      <c r="D4" s="238" cm="1">
        <f t="array" ref="D4">ROUND(O4/N4,0)</f>
        <v>13665</v>
      </c>
      <c r="E4" s="239" cm="1">
        <f t="array" ref="E4">D4/D$17</f>
        <v>0.0306462971020018</v>
      </c>
      <c r="F4" s="240">
        <v>0</v>
      </c>
      <c r="G4" s="241" cm="1">
        <f t="array" ref="G4">F4+F$2</f>
        <v>11</v>
      </c>
      <c r="H4" s="242" cm="1">
        <f t="array" ref="H4">IF(G4&lt;0,0,G4/N4)</f>
        <v>0.916666666666667</v>
      </c>
      <c r="I4" s="243" cm="1">
        <f t="array" ref="I4">IF(G4&lt;0,0,D4*G4)</f>
        <v>150315</v>
      </c>
      <c r="J4" s="244" cm="1">
        <f t="array" ref="J4">N4-G4</f>
        <v>1</v>
      </c>
      <c r="K4" s="245" cm="1">
        <f t="array" ref="K4">1-H4</f>
        <v>0.083333333333333</v>
      </c>
      <c r="L4" s="246" cm="1">
        <f t="array" ref="L4">IF($G4&lt;0,O4,O4-I4)</f>
        <v>13665</v>
      </c>
      <c r="M4" s="245" cm="1">
        <f t="array" ref="M4">L4/L$17</f>
        <v>0.00310616044926923</v>
      </c>
      <c r="N4" s="241">
        <v>12</v>
      </c>
      <c r="O4" s="243">
        <v>163980</v>
      </c>
      <c r="P4" s="247" cm="1">
        <f t="array" ref="P4">O4*(1+P$2/12)^(N4)</f>
        <v>170879.017103682</v>
      </c>
      <c r="Q4" s="247" cm="1">
        <f t="array" ref="Q4">P4-O4</f>
        <v>6899.017103682</v>
      </c>
      <c r="R4" s="247"/>
      <c r="S4" s="248" cm="1">
        <f t="array" ref="S4">IF(AND(1&gt;S$1-$J4,$J4-S$1&lt;$N4),$D4,0)</f>
        <v>13665</v>
      </c>
      <c r="T4" s="247" cm="1">
        <f t="array" ref="T4">IF(AND(1&gt;T$1-$J4,$J4-T$1&lt;$N4),$D4,0)</f>
        <v>13665</v>
      </c>
      <c r="U4" s="249" cm="1">
        <f t="array" ref="U4">IF(AND(1&gt;U$1-$J4,$J4-U$1&lt;$N4),$D4,0)</f>
        <v>0</v>
      </c>
      <c r="V4" s="249" cm="1">
        <f t="array" ref="V4">IF(AND(1&gt;V$1-$J4,$J4-V$1&lt;$N4),$D4,0)</f>
        <v>0</v>
      </c>
      <c r="W4" s="249" cm="1">
        <f t="array" ref="W4">IF(AND(1&gt;W$1-$J4,$J4-W$1&lt;$N4),$D4,0)</f>
        <v>0</v>
      </c>
      <c r="X4" s="249" cm="1">
        <f t="array" ref="X4">IF(AND(1&gt;X$1-$J4,$J4-X$1&lt;$N4),$D4,0)</f>
        <v>0</v>
      </c>
      <c r="Y4" s="249" cm="1">
        <f t="array" ref="Y4">IF(AND(1&gt;Y$1-$J4,$J4-Y$1&lt;$N4),$D4,0)</f>
        <v>0</v>
      </c>
      <c r="Z4" s="249" cm="1">
        <f t="array" ref="Z4">IF(AND(1&gt;Z$1-$J4,$J4-Z$1&lt;$N4),$D4,0)</f>
        <v>0</v>
      </c>
      <c r="AA4" s="249" cm="1">
        <f t="array" ref="AA4">IF(AND(1&gt;AA$1-$J4,$J4-AA$1&lt;$N4),$D4,0)</f>
        <v>0</v>
      </c>
      <c r="AB4" s="249" cm="1">
        <f t="array" ref="AB4">IF(AND(1&gt;AB$1-$J4,$J4-AB$1&lt;$N4),$D4,0)</f>
        <v>0</v>
      </c>
      <c r="AC4" s="249" cm="1">
        <f t="array" ref="AC4">IF(AND(1&gt;AC$1-$J4,$J4-AC$1&lt;$N4),$D4,0)</f>
        <v>0</v>
      </c>
      <c r="AD4" s="249" cm="1">
        <f t="array" ref="AD4">IF(AND(1&gt;AD$1-$J4,$J4-AD$1&lt;$N4),$D4,0)</f>
        <v>0</v>
      </c>
      <c r="AE4" s="249" cm="1">
        <f t="array" ref="AE4">IF(AND(1&gt;AE$1-$J4,$J4-AE$1&lt;$N4),$D4,0)</f>
        <v>0</v>
      </c>
      <c r="AF4" s="249" cm="1">
        <f t="array" ref="AF4">IF(AND(1&gt;AF$1-$J4,$J4-AF$1&lt;$N4),$D4,0)</f>
        <v>0</v>
      </c>
      <c r="AG4" s="249" cm="1">
        <f t="array" ref="AG4">IF(AND(1&gt;AG$1-$J4,$J4-AG$1&lt;$N4),$D4,0)</f>
        <v>0</v>
      </c>
      <c r="AH4" s="249" cm="1">
        <f t="array" ref="AH4">IF(AND(1&gt;AH$1-$J4,$J4-AH$1&lt;$N4),$D4,0)</f>
        <v>0</v>
      </c>
      <c r="AI4" s="249" cm="1">
        <f t="array" ref="AI4">IF(AND(1&gt;AI$1-$J4,$J4-AI$1&lt;$N4),$D4,0)</f>
        <v>0</v>
      </c>
      <c r="AJ4" s="249" cm="1">
        <f t="array" ref="AJ4">IF(AND(1&gt;AJ$1-$J4,$J4-AJ$1&lt;$N4),$D4,0)</f>
        <v>0</v>
      </c>
      <c r="AK4" s="249" cm="1">
        <f t="array" ref="AK4">IF(AND(1&gt;AK$1-$J4,$J4-AK$1&lt;$N4),$D4,0)</f>
        <v>0</v>
      </c>
      <c r="AL4" s="249" cm="1">
        <f t="array" ref="AL4">IF(AND(1&gt;AL$1-$J4,$J4-AL$1&lt;$N4),$D4,0)</f>
        <v>0</v>
      </c>
      <c r="AM4" s="249" cm="1">
        <f t="array" ref="AM4">IF(AND(1&gt;AM$1-$J4,$J4-AM$1&lt;$N4),$D4,0)</f>
        <v>0</v>
      </c>
      <c r="AN4" s="249" cm="1">
        <f t="array" ref="AN4">IF(AND(1&gt;AN$1-$J4,$J4-AN$1&lt;$N4),$D4,0)</f>
        <v>0</v>
      </c>
      <c r="AO4" s="249" cm="1">
        <f t="array" ref="AO4">IF(AND(1&gt;AO$1-$J4,$J4-AO$1&lt;$N4),$D4,0)</f>
        <v>0</v>
      </c>
      <c r="AP4" s="249" cm="1">
        <f t="array" ref="AP4">IF(AND(1&gt;AP$1-$J4,$J4-AP$1&lt;$N4),$D4,0)</f>
        <v>0</v>
      </c>
      <c r="AQ4" s="249" cm="1">
        <f t="array" ref="AQ4">IF(AND(1&gt;AQ$1-$J4,$J4-AQ$1&lt;$N4),$D4,0)</f>
        <v>0</v>
      </c>
    </row>
    <row r="5" ht="20.35" customHeight="1">
      <c r="A5" t="s" s="237">
        <v>601</v>
      </c>
      <c r="B5" t="s" s="237">
        <v>605</v>
      </c>
      <c r="C5" t="s" s="17">
        <v>606</v>
      </c>
      <c r="D5" s="238" cm="1">
        <f t="array" ref="D5">ROUND(O5/N5,0)</f>
        <v>9245</v>
      </c>
      <c r="E5" s="239" cm="1">
        <f t="array" ref="E5">D5/D$17</f>
        <v>0.0207336272746437</v>
      </c>
      <c r="F5" s="240">
        <v>-7</v>
      </c>
      <c r="G5" s="241" cm="1">
        <f t="array" ref="G5">F5+F$2</f>
        <v>4</v>
      </c>
      <c r="H5" s="242" cm="1">
        <f t="array" ref="H5">IF(G5&lt;0,0,G5/N5)</f>
        <v>0.666666666666667</v>
      </c>
      <c r="I5" s="243" cm="1">
        <f t="array" ref="I5">IF(G5&lt;0,0,D5*G5)</f>
        <v>36980</v>
      </c>
      <c r="J5" s="244" cm="1">
        <f t="array" ref="J5">N5-G5</f>
        <v>2</v>
      </c>
      <c r="K5" s="245" cm="1">
        <f t="array" ref="K5">1-H5</f>
        <v>0.333333333333333</v>
      </c>
      <c r="L5" s="246" cm="1">
        <f t="array" ref="L5">IF($G5&lt;0,O5,O5-I5)</f>
        <v>18490</v>
      </c>
      <c r="M5" s="245" cm="1">
        <f t="array" ref="M5">L5/L$17</f>
        <v>0.0042029203590917</v>
      </c>
      <c r="N5" s="241">
        <v>6</v>
      </c>
      <c r="O5" s="243">
        <v>55470</v>
      </c>
      <c r="P5" s="247" cm="1">
        <f t="array" ref="P5">O5*(1+P$2/12)^(N5)</f>
        <v>56624.853770288</v>
      </c>
      <c r="Q5" s="247" cm="1">
        <f t="array" ref="Q5">P5-O5</f>
        <v>1154.853770288</v>
      </c>
      <c r="R5" s="247"/>
      <c r="S5" s="248" cm="1">
        <f t="array" ref="S5">IF(AND(1&gt;S$1-$J5,$J5-S$1&lt;$N5),$D5,0)</f>
        <v>9245</v>
      </c>
      <c r="T5" s="247" cm="1">
        <f t="array" ref="T5">IF(AND(1&gt;T$1-$J5,$J5-T$1&lt;$N5),$D5,0)</f>
        <v>9245</v>
      </c>
      <c r="U5" s="247" cm="1">
        <f t="array" ref="U5">IF(AND(1&gt;U$1-$J5,$J5-U$1&lt;$N5),$D5,0)</f>
        <v>9245</v>
      </c>
      <c r="V5" s="249" cm="1">
        <f t="array" ref="V5">IF(AND(1&gt;V$1-$J5,$J5-V$1&lt;$N5),$D5,0)</f>
        <v>0</v>
      </c>
      <c r="W5" s="249" cm="1">
        <f t="array" ref="W5">IF(AND(1&gt;W$1-$J5,$J5-W$1&lt;$N5),$D5,0)</f>
        <v>0</v>
      </c>
      <c r="X5" s="249" cm="1">
        <f t="array" ref="X5">IF(AND(1&gt;X$1-$J5,$J5-X$1&lt;$N5),$D5,0)</f>
        <v>0</v>
      </c>
      <c r="Y5" s="249" cm="1">
        <f t="array" ref="Y5">IF(AND(1&gt;Y$1-$J5,$J5-Y$1&lt;$N5),$D5,0)</f>
        <v>0</v>
      </c>
      <c r="Z5" s="249" cm="1">
        <f t="array" ref="Z5">IF(AND(1&gt;Z$1-$J5,$J5-Z$1&lt;$N5),$D5,0)</f>
        <v>0</v>
      </c>
      <c r="AA5" s="249" cm="1">
        <f t="array" ref="AA5">IF(AND(1&gt;AA$1-$J5,$J5-AA$1&lt;$N5),$D5,0)</f>
        <v>0</v>
      </c>
      <c r="AB5" s="249" cm="1">
        <f t="array" ref="AB5">IF(AND(1&gt;AB$1-$J5,$J5-AB$1&lt;$N5),$D5,0)</f>
        <v>0</v>
      </c>
      <c r="AC5" s="249" cm="1">
        <f t="array" ref="AC5">IF(AND(1&gt;AC$1-$J5,$J5-AC$1&lt;$N5),$D5,0)</f>
        <v>0</v>
      </c>
      <c r="AD5" s="249" cm="1">
        <f t="array" ref="AD5">IF(AND(1&gt;AD$1-$J5,$J5-AD$1&lt;$N5),$D5,0)</f>
        <v>0</v>
      </c>
      <c r="AE5" s="249" cm="1">
        <f t="array" ref="AE5">IF(AND(1&gt;AE$1-$J5,$J5-AE$1&lt;$N5),$D5,0)</f>
        <v>0</v>
      </c>
      <c r="AF5" s="249" cm="1">
        <f t="array" ref="AF5">IF(AND(1&gt;AF$1-$J5,$J5-AF$1&lt;$N5),$D5,0)</f>
        <v>0</v>
      </c>
      <c r="AG5" s="249" cm="1">
        <f t="array" ref="AG5">IF(AND(1&gt;AG$1-$J5,$J5-AG$1&lt;$N5),$D5,0)</f>
        <v>0</v>
      </c>
      <c r="AH5" s="249" cm="1">
        <f t="array" ref="AH5">IF(AND(1&gt;AH$1-$J5,$J5-AH$1&lt;$N5),$D5,0)</f>
        <v>0</v>
      </c>
      <c r="AI5" s="249" cm="1">
        <f t="array" ref="AI5">IF(AND(1&gt;AI$1-$J5,$J5-AI$1&lt;$N5),$D5,0)</f>
        <v>0</v>
      </c>
      <c r="AJ5" s="249" cm="1">
        <f t="array" ref="AJ5">IF(AND(1&gt;AJ$1-$J5,$J5-AJ$1&lt;$N5),$D5,0)</f>
        <v>0</v>
      </c>
      <c r="AK5" s="249" cm="1">
        <f t="array" ref="AK5">IF(AND(1&gt;AK$1-$J5,$J5-AK$1&lt;$N5),$D5,0)</f>
        <v>0</v>
      </c>
      <c r="AL5" s="249" cm="1">
        <f t="array" ref="AL5">IF(AND(1&gt;AL$1-$J5,$J5-AL$1&lt;$N5),$D5,0)</f>
        <v>0</v>
      </c>
      <c r="AM5" s="249" cm="1">
        <f t="array" ref="AM5">IF(AND(1&gt;AM$1-$J5,$J5-AM$1&lt;$N5),$D5,0)</f>
        <v>0</v>
      </c>
      <c r="AN5" s="249" cm="1">
        <f t="array" ref="AN5">IF(AND(1&gt;AN$1-$J5,$J5-AN$1&lt;$N5),$D5,0)</f>
        <v>0</v>
      </c>
      <c r="AO5" s="249" cm="1">
        <f t="array" ref="AO5">IF(AND(1&gt;AO$1-$J5,$J5-AO$1&lt;$N5),$D5,0)</f>
        <v>0</v>
      </c>
      <c r="AP5" s="249" cm="1">
        <f t="array" ref="AP5">IF(AND(1&gt;AP$1-$J5,$J5-AP$1&lt;$N5),$D5,0)</f>
        <v>0</v>
      </c>
      <c r="AQ5" s="249" cm="1">
        <f t="array" ref="AQ5">IF(AND(1&gt;AQ$1-$J5,$J5-AQ$1&lt;$N5),$D5,0)</f>
        <v>0</v>
      </c>
    </row>
    <row r="6" ht="20.35" customHeight="1">
      <c r="A6" t="s" s="237">
        <v>601</v>
      </c>
      <c r="B6" t="s" s="237">
        <v>607</v>
      </c>
      <c r="C6" s="28"/>
      <c r="D6" s="238" cm="1">
        <f t="array" ref="D6">ROUND(O6/N6,0)</f>
        <v>7416</v>
      </c>
      <c r="E6" s="239" cm="1">
        <f t="array" ref="E6">D6/D$17</f>
        <v>0.0166317555293411</v>
      </c>
      <c r="F6" s="240">
        <v>-1</v>
      </c>
      <c r="G6" s="241" cm="1">
        <f t="array" ref="G6">F6+F$2</f>
        <v>10</v>
      </c>
      <c r="H6" s="242" cm="1">
        <f t="array" ref="H6">IF(G6&lt;0,0,G6/N6)</f>
        <v>0.833333333333333</v>
      </c>
      <c r="I6" s="243" cm="1">
        <f t="array" ref="I6">IF(G6&lt;0,0,D6*G6)</f>
        <v>74160</v>
      </c>
      <c r="J6" s="244" cm="1">
        <f t="array" ref="J6">N6-G6</f>
        <v>2</v>
      </c>
      <c r="K6" s="245" cm="1">
        <f t="array" ref="K6">1-H6</f>
        <v>0.166666666666667</v>
      </c>
      <c r="L6" s="246" cm="1">
        <f t="array" ref="L6">IF($G6&lt;0,O6,O6-I6)</f>
        <v>14830</v>
      </c>
      <c r="M6" s="245" cm="1">
        <f t="array" ref="M6">L6/L$17</f>
        <v>0.00337097398189994</v>
      </c>
      <c r="N6" s="241">
        <v>12</v>
      </c>
      <c r="O6" s="243">
        <v>88990</v>
      </c>
      <c r="P6" s="247" cm="1">
        <f t="array" ref="P6">O6*(1+P$2/12)^(N6)</f>
        <v>92734.0147094564</v>
      </c>
      <c r="Q6" s="247" cm="1">
        <f t="array" ref="Q6">P6-O6</f>
        <v>3744.0147094564</v>
      </c>
      <c r="R6" s="247"/>
      <c r="S6" s="248" cm="1">
        <f t="array" ref="S6">IF(AND(1&gt;S$1-$J6,$J6-S$1&lt;$N6),$D6,0)</f>
        <v>7416</v>
      </c>
      <c r="T6" s="247" cm="1">
        <f t="array" ref="T6">IF(AND(1&gt;T$1-$J6,$J6-T$1&lt;$N6),$D6,0)</f>
        <v>7416</v>
      </c>
      <c r="U6" s="247" cm="1">
        <f t="array" ref="U6">IF(AND(1&gt;U$1-$J6,$J6-U$1&lt;$N6),$D6,0)</f>
        <v>7416</v>
      </c>
      <c r="V6" s="249" cm="1">
        <f t="array" ref="V6">IF(AND(1&gt;V$1-$J6,$J6-V$1&lt;$N6),$D6,0)</f>
        <v>0</v>
      </c>
      <c r="W6" s="249" cm="1">
        <f t="array" ref="W6">IF(AND(1&gt;W$1-$J6,$J6-W$1&lt;$N6),$D6,0)</f>
        <v>0</v>
      </c>
      <c r="X6" s="249" cm="1">
        <f t="array" ref="X6">IF(AND(1&gt;X$1-$J6,$J6-X$1&lt;$N6),$D6,0)</f>
        <v>0</v>
      </c>
      <c r="Y6" s="249" cm="1">
        <f t="array" ref="Y6">IF(AND(1&gt;Y$1-$J6,$J6-Y$1&lt;$N6),$D6,0)</f>
        <v>0</v>
      </c>
      <c r="Z6" s="249" cm="1">
        <f t="array" ref="Z6">IF(AND(1&gt;Z$1-$J6,$J6-Z$1&lt;$N6),$D6,0)</f>
        <v>0</v>
      </c>
      <c r="AA6" s="249" cm="1">
        <f t="array" ref="AA6">IF(AND(1&gt;AA$1-$J6,$J6-AA$1&lt;$N6),$D6,0)</f>
        <v>0</v>
      </c>
      <c r="AB6" s="249" cm="1">
        <f t="array" ref="AB6">IF(AND(1&gt;AB$1-$J6,$J6-AB$1&lt;$N6),$D6,0)</f>
        <v>0</v>
      </c>
      <c r="AC6" s="249" cm="1">
        <f t="array" ref="AC6">IF(AND(1&gt;AC$1-$J6,$J6-AC$1&lt;$N6),$D6,0)</f>
        <v>0</v>
      </c>
      <c r="AD6" s="249" cm="1">
        <f t="array" ref="AD6">IF(AND(1&gt;AD$1-$J6,$J6-AD$1&lt;$N6),$D6,0)</f>
        <v>0</v>
      </c>
      <c r="AE6" s="249" cm="1">
        <f t="array" ref="AE6">IF(AND(1&gt;AE$1-$J6,$J6-AE$1&lt;$N6),$D6,0)</f>
        <v>0</v>
      </c>
      <c r="AF6" s="249" cm="1">
        <f t="array" ref="AF6">IF(AND(1&gt;AF$1-$J6,$J6-AF$1&lt;$N6),$D6,0)</f>
        <v>0</v>
      </c>
      <c r="AG6" s="249" cm="1">
        <f t="array" ref="AG6">IF(AND(1&gt;AG$1-$J6,$J6-AG$1&lt;$N6),$D6,0)</f>
        <v>0</v>
      </c>
      <c r="AH6" s="249" cm="1">
        <f t="array" ref="AH6">IF(AND(1&gt;AH$1-$J6,$J6-AH$1&lt;$N6),$D6,0)</f>
        <v>0</v>
      </c>
      <c r="AI6" s="249" cm="1">
        <f t="array" ref="AI6">IF(AND(1&gt;AI$1-$J6,$J6-AI$1&lt;$N6),$D6,0)</f>
        <v>0</v>
      </c>
      <c r="AJ6" s="249" cm="1">
        <f t="array" ref="AJ6">IF(AND(1&gt;AJ$1-$J6,$J6-AJ$1&lt;$N6),$D6,0)</f>
        <v>0</v>
      </c>
      <c r="AK6" s="249" cm="1">
        <f t="array" ref="AK6">IF(AND(1&gt;AK$1-$J6,$J6-AK$1&lt;$N6),$D6,0)</f>
        <v>0</v>
      </c>
      <c r="AL6" s="249" cm="1">
        <f t="array" ref="AL6">IF(AND(1&gt;AL$1-$J6,$J6-AL$1&lt;$N6),$D6,0)</f>
        <v>0</v>
      </c>
      <c r="AM6" s="249" cm="1">
        <f t="array" ref="AM6">IF(AND(1&gt;AM$1-$J6,$J6-AM$1&lt;$N6),$D6,0)</f>
        <v>0</v>
      </c>
      <c r="AN6" s="249" cm="1">
        <f t="array" ref="AN6">IF(AND(1&gt;AN$1-$J6,$J6-AN$1&lt;$N6),$D6,0)</f>
        <v>0</v>
      </c>
      <c r="AO6" s="249" cm="1">
        <f t="array" ref="AO6">IF(AND(1&gt;AO$1-$J6,$J6-AO$1&lt;$N6),$D6,0)</f>
        <v>0</v>
      </c>
      <c r="AP6" s="249" cm="1">
        <f t="array" ref="AP6">IF(AND(1&gt;AP$1-$J6,$J6-AP$1&lt;$N6),$D6,0)</f>
        <v>0</v>
      </c>
      <c r="AQ6" s="249" cm="1">
        <f t="array" ref="AQ6">IF(AND(1&gt;AQ$1-$J6,$J6-AQ$1&lt;$N6),$D6,0)</f>
        <v>0</v>
      </c>
    </row>
    <row r="7" ht="20.35" customHeight="1">
      <c r="A7" t="s" s="237">
        <v>601</v>
      </c>
      <c r="B7" t="s" s="237">
        <v>608</v>
      </c>
      <c r="C7" s="28"/>
      <c r="D7" s="238" cm="1">
        <f t="array" ref="D7">ROUND(O7/N7,0)</f>
        <v>68333</v>
      </c>
      <c r="E7" s="239" cm="1">
        <f t="array" ref="E7">D7/D$17</f>
        <v>0.15324942699386</v>
      </c>
      <c r="F7" s="240">
        <v>-10</v>
      </c>
      <c r="G7" s="241" cm="1">
        <f t="array" ref="G7">F7+F$2</f>
        <v>1</v>
      </c>
      <c r="H7" s="242" cm="1">
        <f t="array" ref="H7">IF(G7&lt;0,0,G7/N7)</f>
        <v>0.333333333333333</v>
      </c>
      <c r="I7" s="243" cm="1">
        <f t="array" ref="I7">IF(G7&lt;0,0,D7*G7)</f>
        <v>68333</v>
      </c>
      <c r="J7" s="244" cm="1">
        <f t="array" ref="J7">N7-G7</f>
        <v>2</v>
      </c>
      <c r="K7" s="245" cm="1">
        <f t="array" ref="K7">1-H7</f>
        <v>0.666666666666667</v>
      </c>
      <c r="L7" s="246" cm="1">
        <f t="array" ref="L7">IF($G7&lt;0,O7,O7-I7)</f>
        <v>136667</v>
      </c>
      <c r="M7" s="245" cm="1">
        <f t="array" ref="M7">L7/L$17</f>
        <v>0.0310654687244989</v>
      </c>
      <c r="N7" s="241">
        <v>3</v>
      </c>
      <c r="O7" s="243">
        <v>205000</v>
      </c>
      <c r="P7" s="247" cm="1">
        <f t="array" ref="P7">O7*(1+P$2/12)^(N7)</f>
        <v>207122.998570417</v>
      </c>
      <c r="Q7" s="247" cm="1">
        <f t="array" ref="Q7">P7-O7</f>
        <v>2122.998570417</v>
      </c>
      <c r="R7" s="247"/>
      <c r="S7" s="248" cm="1">
        <f t="array" ref="S7">IF(AND(1&gt;S$1-$J7,$J7-S$1&lt;$N7),$D7,0)</f>
        <v>68333</v>
      </c>
      <c r="T7" s="247" cm="1">
        <f t="array" ref="T7">IF(AND(1&gt;T$1-$J7,$J7-T$1&lt;$N7),$D7,0)</f>
        <v>68333</v>
      </c>
      <c r="U7" s="247" cm="1">
        <f t="array" ref="U7">IF(AND(1&gt;U$1-$J7,$J7-U$1&lt;$N7),$D7,0)</f>
        <v>68333</v>
      </c>
      <c r="V7" s="249" cm="1">
        <f t="array" ref="V7">IF(AND(1&gt;V$1-$J7,$J7-V$1&lt;$N7),$D7,0)</f>
        <v>0</v>
      </c>
      <c r="W7" s="249" cm="1">
        <f t="array" ref="W7">IF(AND(1&gt;W$1-$J7,$J7-W$1&lt;$N7),$D7,0)</f>
        <v>0</v>
      </c>
      <c r="X7" s="249" cm="1">
        <f t="array" ref="X7">IF(AND(1&gt;X$1-$J7,$J7-X$1&lt;$N7),$D7,0)</f>
        <v>0</v>
      </c>
      <c r="Y7" s="249" cm="1">
        <f t="array" ref="Y7">IF(AND(1&gt;Y$1-$J7,$J7-Y$1&lt;$N7),$D7,0)</f>
        <v>0</v>
      </c>
      <c r="Z7" s="249" cm="1">
        <f t="array" ref="Z7">IF(AND(1&gt;Z$1-$J7,$J7-Z$1&lt;$N7),$D7,0)</f>
        <v>0</v>
      </c>
      <c r="AA7" s="249" cm="1">
        <f t="array" ref="AA7">IF(AND(1&gt;AA$1-$J7,$J7-AA$1&lt;$N7),$D7,0)</f>
        <v>0</v>
      </c>
      <c r="AB7" s="249" cm="1">
        <f t="array" ref="AB7">IF(AND(1&gt;AB$1-$J7,$J7-AB$1&lt;$N7),$D7,0)</f>
        <v>0</v>
      </c>
      <c r="AC7" s="249" cm="1">
        <f t="array" ref="AC7">IF(AND(1&gt;AC$1-$J7,$J7-AC$1&lt;$N7),$D7,0)</f>
        <v>0</v>
      </c>
      <c r="AD7" s="249" cm="1">
        <f t="array" ref="AD7">IF(AND(1&gt;AD$1-$J7,$J7-AD$1&lt;$N7),$D7,0)</f>
        <v>0</v>
      </c>
      <c r="AE7" s="249" cm="1">
        <f t="array" ref="AE7">IF(AND(1&gt;AE$1-$J7,$J7-AE$1&lt;$N7),$D7,0)</f>
        <v>0</v>
      </c>
      <c r="AF7" s="249" cm="1">
        <f t="array" ref="AF7">IF(AND(1&gt;AF$1-$J7,$J7-AF$1&lt;$N7),$D7,0)</f>
        <v>0</v>
      </c>
      <c r="AG7" s="249" cm="1">
        <f t="array" ref="AG7">IF(AND(1&gt;AG$1-$J7,$J7-AG$1&lt;$N7),$D7,0)</f>
        <v>0</v>
      </c>
      <c r="AH7" s="249" cm="1">
        <f t="array" ref="AH7">IF(AND(1&gt;AH$1-$J7,$J7-AH$1&lt;$N7),$D7,0)</f>
        <v>0</v>
      </c>
      <c r="AI7" s="249" cm="1">
        <f t="array" ref="AI7">IF(AND(1&gt;AI$1-$J7,$J7-AI$1&lt;$N7),$D7,0)</f>
        <v>0</v>
      </c>
      <c r="AJ7" s="249" cm="1">
        <f t="array" ref="AJ7">IF(AND(1&gt;AJ$1-$J7,$J7-AJ$1&lt;$N7),$D7,0)</f>
        <v>0</v>
      </c>
      <c r="AK7" s="249" cm="1">
        <f t="array" ref="AK7">IF(AND(1&gt;AK$1-$J7,$J7-AK$1&lt;$N7),$D7,0)</f>
        <v>0</v>
      </c>
      <c r="AL7" s="249" cm="1">
        <f t="array" ref="AL7">IF(AND(1&gt;AL$1-$J7,$J7-AL$1&lt;$N7),$D7,0)</f>
        <v>0</v>
      </c>
      <c r="AM7" s="249" cm="1">
        <f t="array" ref="AM7">IF(AND(1&gt;AM$1-$J7,$J7-AM$1&lt;$N7),$D7,0)</f>
        <v>0</v>
      </c>
      <c r="AN7" s="249" cm="1">
        <f t="array" ref="AN7">IF(AND(1&gt;AN$1-$J7,$J7-AN$1&lt;$N7),$D7,0)</f>
        <v>0</v>
      </c>
      <c r="AO7" s="249" cm="1">
        <f t="array" ref="AO7">IF(AND(1&gt;AO$1-$J7,$J7-AO$1&lt;$N7),$D7,0)</f>
        <v>0</v>
      </c>
      <c r="AP7" s="249" cm="1">
        <f t="array" ref="AP7">IF(AND(1&gt;AP$1-$J7,$J7-AP$1&lt;$N7),$D7,0)</f>
        <v>0</v>
      </c>
      <c r="AQ7" s="249" cm="1">
        <f t="array" ref="AQ7">IF(AND(1&gt;AQ$1-$J7,$J7-AQ$1&lt;$N7),$D7,0)</f>
        <v>0</v>
      </c>
    </row>
    <row r="8" ht="20.35" customHeight="1">
      <c r="A8" s="250"/>
      <c r="B8" t="s" s="237">
        <v>609</v>
      </c>
      <c r="C8" s="28"/>
      <c r="D8" s="238" cm="1">
        <f t="array" ref="D8">ROUND(O8/N8,0)</f>
        <v>9763</v>
      </c>
      <c r="E8" s="239" cm="1">
        <f t="array" ref="E8">D8/D$17</f>
        <v>0.0218953383539586</v>
      </c>
      <c r="F8" s="240">
        <v>-10</v>
      </c>
      <c r="G8" s="241" cm="1">
        <f t="array" ref="G8">F8+F$2</f>
        <v>1</v>
      </c>
      <c r="H8" s="242" cm="1">
        <f t="array" ref="H8">IF(G8&lt;0,0,G8/N8)</f>
        <v>0.333333333333333</v>
      </c>
      <c r="I8" s="243" cm="1">
        <f t="array" ref="I8">IF(G8&lt;0,0,D8*G8)</f>
        <v>9763</v>
      </c>
      <c r="J8" s="244" cm="1">
        <f t="array" ref="J8">N8-G8</f>
        <v>2</v>
      </c>
      <c r="K8" s="245" cm="1">
        <f t="array" ref="K8">1-H8</f>
        <v>0.666666666666667</v>
      </c>
      <c r="L8" s="246" cm="1">
        <f t="array" ref="L8">IF($G8&lt;0,O8,O8-I8)</f>
        <v>19525</v>
      </c>
      <c r="M8" s="245" cm="1">
        <f t="array" ref="M8">L8/L$17</f>
        <v>0.00443818388378937</v>
      </c>
      <c r="N8" s="241">
        <v>3</v>
      </c>
      <c r="O8" s="243">
        <v>29288</v>
      </c>
      <c r="P8" s="247" cm="1">
        <f t="array" ref="P8">O8*(1+P$2/12)^(N8)</f>
        <v>29591.3091811238</v>
      </c>
      <c r="Q8" s="247" cm="1">
        <f t="array" ref="Q8">P8-O8</f>
        <v>303.3091811238</v>
      </c>
      <c r="R8" s="247"/>
      <c r="S8" s="248" cm="1">
        <f t="array" ref="S8">IF(AND(1&gt;S$1-$J8,$J8-S$1&lt;$N8),$D8,0)</f>
        <v>9763</v>
      </c>
      <c r="T8" s="247" cm="1">
        <f t="array" ref="T8">IF(AND(1&gt;T$1-$J8,$J8-T$1&lt;$N8),$D8,0)</f>
        <v>9763</v>
      </c>
      <c r="U8" s="247" cm="1">
        <f t="array" ref="U8">IF(AND(1&gt;U$1-$J8,$J8-U$1&lt;$N8),$D8,0)</f>
        <v>9763</v>
      </c>
      <c r="V8" s="249" cm="1">
        <f t="array" ref="V8">IF(AND(1&gt;V$1-$J8,$J8-V$1&lt;$N8),$D8,0)</f>
        <v>0</v>
      </c>
      <c r="W8" s="249" cm="1">
        <f t="array" ref="W8">IF(AND(1&gt;W$1-$J8,$J8-W$1&lt;$N8),$D8,0)</f>
        <v>0</v>
      </c>
      <c r="X8" s="249" cm="1">
        <f t="array" ref="X8">IF(AND(1&gt;X$1-$J8,$J8-X$1&lt;$N8),$D8,0)</f>
        <v>0</v>
      </c>
      <c r="Y8" s="249" cm="1">
        <f t="array" ref="Y8">IF(AND(1&gt;Y$1-$J8,$J8-Y$1&lt;$N8),$D8,0)</f>
        <v>0</v>
      </c>
      <c r="Z8" s="249" cm="1">
        <f t="array" ref="Z8">IF(AND(1&gt;Z$1-$J8,$J8-Z$1&lt;$N8),$D8,0)</f>
        <v>0</v>
      </c>
      <c r="AA8" s="249" cm="1">
        <f t="array" ref="AA8">IF(AND(1&gt;AA$1-$J8,$J8-AA$1&lt;$N8),$D8,0)</f>
        <v>0</v>
      </c>
      <c r="AB8" s="249" cm="1">
        <f t="array" ref="AB8">IF(AND(1&gt;AB$1-$J8,$J8-AB$1&lt;$N8),$D8,0)</f>
        <v>0</v>
      </c>
      <c r="AC8" s="249" cm="1">
        <f t="array" ref="AC8">IF(AND(1&gt;AC$1-$J8,$J8-AC$1&lt;$N8),$D8,0)</f>
        <v>0</v>
      </c>
      <c r="AD8" s="249" cm="1">
        <f t="array" ref="AD8">IF(AND(1&gt;AD$1-$J8,$J8-AD$1&lt;$N8),$D8,0)</f>
        <v>0</v>
      </c>
      <c r="AE8" s="249" cm="1">
        <f t="array" ref="AE8">IF(AND(1&gt;AE$1-$J8,$J8-AE$1&lt;$N8),$D8,0)</f>
        <v>0</v>
      </c>
      <c r="AF8" s="249" cm="1">
        <f t="array" ref="AF8">IF(AND(1&gt;AF$1-$J8,$J8-AF$1&lt;$N8),$D8,0)</f>
        <v>0</v>
      </c>
      <c r="AG8" s="249" cm="1">
        <f t="array" ref="AG8">IF(AND(1&gt;AG$1-$J8,$J8-AG$1&lt;$N8),$D8,0)</f>
        <v>0</v>
      </c>
      <c r="AH8" s="249" cm="1">
        <f t="array" ref="AH8">IF(AND(1&gt;AH$1-$J8,$J8-AH$1&lt;$N8),$D8,0)</f>
        <v>0</v>
      </c>
      <c r="AI8" s="249" cm="1">
        <f t="array" ref="AI8">IF(AND(1&gt;AI$1-$J8,$J8-AI$1&lt;$N8),$D8,0)</f>
        <v>0</v>
      </c>
      <c r="AJ8" s="249" cm="1">
        <f t="array" ref="AJ8">IF(AND(1&gt;AJ$1-$J8,$J8-AJ$1&lt;$N8),$D8,0)</f>
        <v>0</v>
      </c>
      <c r="AK8" s="249" cm="1">
        <f t="array" ref="AK8">IF(AND(1&gt;AK$1-$J8,$J8-AK$1&lt;$N8),$D8,0)</f>
        <v>0</v>
      </c>
      <c r="AL8" s="249" cm="1">
        <f t="array" ref="AL8">IF(AND(1&gt;AL$1-$J8,$J8-AL$1&lt;$N8),$D8,0)</f>
        <v>0</v>
      </c>
      <c r="AM8" s="249" cm="1">
        <f t="array" ref="AM8">IF(AND(1&gt;AM$1-$J8,$J8-AM$1&lt;$N8),$D8,0)</f>
        <v>0</v>
      </c>
      <c r="AN8" s="249" cm="1">
        <f t="array" ref="AN8">IF(AND(1&gt;AN$1-$J8,$J8-AN$1&lt;$N8),$D8,0)</f>
        <v>0</v>
      </c>
      <c r="AO8" s="249" cm="1">
        <f t="array" ref="AO8">IF(AND(1&gt;AO$1-$J8,$J8-AO$1&lt;$N8),$D8,0)</f>
        <v>0</v>
      </c>
      <c r="AP8" s="249" cm="1">
        <f t="array" ref="AP8">IF(AND(1&gt;AP$1-$J8,$J8-AP$1&lt;$N8),$D8,0)</f>
        <v>0</v>
      </c>
      <c r="AQ8" s="249" cm="1">
        <f t="array" ref="AQ8">IF(AND(1&gt;AQ$1-$J8,$J8-AQ$1&lt;$N8),$D8,0)</f>
        <v>0</v>
      </c>
    </row>
    <row r="9" ht="20.35" customHeight="1">
      <c r="A9" t="s" s="237">
        <v>601</v>
      </c>
      <c r="B9" t="s" s="237">
        <v>610</v>
      </c>
      <c r="C9" s="28"/>
      <c r="D9" s="238" cm="1">
        <f t="array" ref="D9">ROUND(O9/N9,0)</f>
        <v>2371</v>
      </c>
      <c r="E9" s="239" cm="1">
        <f t="array" ref="E9">D9/D$17</f>
        <v>0.00531740727616878</v>
      </c>
      <c r="F9" s="240">
        <v>-2</v>
      </c>
      <c r="G9" s="241" cm="1">
        <f t="array" ref="G9">F9+F$2</f>
        <v>9</v>
      </c>
      <c r="H9" s="242" cm="1">
        <f t="array" ref="H9">IF(G9&lt;0,0,G9/N9)</f>
        <v>0.75</v>
      </c>
      <c r="I9" s="243" cm="1">
        <f t="array" ref="I9">IF(G9&lt;0,0,D9*G9)</f>
        <v>21339</v>
      </c>
      <c r="J9" s="244" cm="1">
        <f t="array" ref="J9">N9-G9</f>
        <v>3</v>
      </c>
      <c r="K9" s="245" cm="1">
        <f t="array" ref="K9">1-H9</f>
        <v>0.25</v>
      </c>
      <c r="L9" s="246" cm="1">
        <f t="array" ref="L9">IF($G9&lt;0,O9,O9-I9)</f>
        <v>7111</v>
      </c>
      <c r="M9" s="245" cm="1">
        <f t="array" ref="M9">L9/L$17</f>
        <v>0.00161638543393732</v>
      </c>
      <c r="N9" s="241">
        <v>12</v>
      </c>
      <c r="O9" s="243">
        <v>28450</v>
      </c>
      <c r="P9" s="247" cm="1">
        <f t="array" ref="P9">O9*(1+P$2/12)^(N9)</f>
        <v>29646.9571691655</v>
      </c>
      <c r="Q9" s="247" cm="1">
        <f t="array" ref="Q9">P9-O9</f>
        <v>1196.9571691655</v>
      </c>
      <c r="R9" s="247"/>
      <c r="S9" s="248" cm="1">
        <f t="array" ref="S9">IF(AND(1&gt;S$1-$J9,$J9-S$1&lt;$N9),$D9,0)</f>
        <v>2371</v>
      </c>
      <c r="T9" s="247" cm="1">
        <f t="array" ref="T9">IF(AND(1&gt;T$1-$J9,$J9-T$1&lt;$N9),$D9,0)</f>
        <v>2371</v>
      </c>
      <c r="U9" s="247" cm="1">
        <f t="array" ref="U9">IF(AND(1&gt;U$1-$J9,$J9-U$1&lt;$N9),$D9,0)</f>
        <v>2371</v>
      </c>
      <c r="V9" s="247" cm="1">
        <f t="array" ref="V9">IF(AND(1&gt;V$1-$J9,$J9-V$1&lt;$N9),$D9,0)</f>
        <v>2371</v>
      </c>
      <c r="W9" s="249" cm="1">
        <f t="array" ref="W9">IF(AND(1&gt;W$1-$J9,$J9-W$1&lt;$N9),$D9,0)</f>
        <v>0</v>
      </c>
      <c r="X9" s="249" cm="1">
        <f t="array" ref="X9">IF(AND(1&gt;X$1-$J9,$J9-X$1&lt;$N9),$D9,0)</f>
        <v>0</v>
      </c>
      <c r="Y9" s="249" cm="1">
        <f t="array" ref="Y9">IF(AND(1&gt;Y$1-$J9,$J9-Y$1&lt;$N9),$D9,0)</f>
        <v>0</v>
      </c>
      <c r="Z9" s="249" cm="1">
        <f t="array" ref="Z9">IF(AND(1&gt;Z$1-$J9,$J9-Z$1&lt;$N9),$D9,0)</f>
        <v>0</v>
      </c>
      <c r="AA9" s="249" cm="1">
        <f t="array" ref="AA9">IF(AND(1&gt;AA$1-$J9,$J9-AA$1&lt;$N9),$D9,0)</f>
        <v>0</v>
      </c>
      <c r="AB9" s="249" cm="1">
        <f t="array" ref="AB9">IF(AND(1&gt;AB$1-$J9,$J9-AB$1&lt;$N9),$D9,0)</f>
        <v>0</v>
      </c>
      <c r="AC9" s="249" cm="1">
        <f t="array" ref="AC9">IF(AND(1&gt;AC$1-$J9,$J9-AC$1&lt;$N9),$D9,0)</f>
        <v>0</v>
      </c>
      <c r="AD9" s="249" cm="1">
        <f t="array" ref="AD9">IF(AND(1&gt;AD$1-$J9,$J9-AD$1&lt;$N9),$D9,0)</f>
        <v>0</v>
      </c>
      <c r="AE9" s="249" cm="1">
        <f t="array" ref="AE9">IF(AND(1&gt;AE$1-$J9,$J9-AE$1&lt;$N9),$D9,0)</f>
        <v>0</v>
      </c>
      <c r="AF9" s="249" cm="1">
        <f t="array" ref="AF9">IF(AND(1&gt;AF$1-$J9,$J9-AF$1&lt;$N9),$D9,0)</f>
        <v>0</v>
      </c>
      <c r="AG9" s="249" cm="1">
        <f t="array" ref="AG9">IF(AND(1&gt;AG$1-$J9,$J9-AG$1&lt;$N9),$D9,0)</f>
        <v>0</v>
      </c>
      <c r="AH9" s="249" cm="1">
        <f t="array" ref="AH9">IF(AND(1&gt;AH$1-$J9,$J9-AH$1&lt;$N9),$D9,0)</f>
        <v>0</v>
      </c>
      <c r="AI9" s="249" cm="1">
        <f t="array" ref="AI9">IF(AND(1&gt;AI$1-$J9,$J9-AI$1&lt;$N9),$D9,0)</f>
        <v>0</v>
      </c>
      <c r="AJ9" s="249" cm="1">
        <f t="array" ref="AJ9">IF(AND(1&gt;AJ$1-$J9,$J9-AJ$1&lt;$N9),$D9,0)</f>
        <v>0</v>
      </c>
      <c r="AK9" s="249" cm="1">
        <f t="array" ref="AK9">IF(AND(1&gt;AK$1-$J9,$J9-AK$1&lt;$N9),$D9,0)</f>
        <v>0</v>
      </c>
      <c r="AL9" s="249" cm="1">
        <f t="array" ref="AL9">IF(AND(1&gt;AL$1-$J9,$J9-AL$1&lt;$N9),$D9,0)</f>
        <v>0</v>
      </c>
      <c r="AM9" s="249" cm="1">
        <f t="array" ref="AM9">IF(AND(1&gt;AM$1-$J9,$J9-AM$1&lt;$N9),$D9,0)</f>
        <v>0</v>
      </c>
      <c r="AN9" s="249" cm="1">
        <f t="array" ref="AN9">IF(AND(1&gt;AN$1-$J9,$J9-AN$1&lt;$N9),$D9,0)</f>
        <v>0</v>
      </c>
      <c r="AO9" s="249" cm="1">
        <f t="array" ref="AO9">IF(AND(1&gt;AO$1-$J9,$J9-AO$1&lt;$N9),$D9,0)</f>
        <v>0</v>
      </c>
      <c r="AP9" s="249" cm="1">
        <f t="array" ref="AP9">IF(AND(1&gt;AP$1-$J9,$J9-AP$1&lt;$N9),$D9,0)</f>
        <v>0</v>
      </c>
      <c r="AQ9" s="249" cm="1">
        <f t="array" ref="AQ9">IF(AND(1&gt;AQ$1-$J9,$J9-AQ$1&lt;$N9),$D9,0)</f>
        <v>0</v>
      </c>
    </row>
    <row r="10" ht="20.35" customHeight="1">
      <c r="A10" s="250"/>
      <c r="B10" t="s" s="237">
        <v>611</v>
      </c>
      <c r="C10" s="28"/>
      <c r="D10" s="238" cm="1">
        <f t="array" ref="D10">ROUND(O10/N10,0)</f>
        <v>30973</v>
      </c>
      <c r="E10" s="239" cm="1">
        <f t="array" ref="E10">D10/D$17</f>
        <v>0.0694626974123895</v>
      </c>
      <c r="F10" s="240">
        <v>-11</v>
      </c>
      <c r="G10" s="241" cm="1">
        <f t="array" ref="G10">F10+F$2</f>
        <v>0</v>
      </c>
      <c r="H10" s="242" cm="1">
        <f t="array" ref="H10">IF(G10&lt;0,0,G10/N10)</f>
        <v>0</v>
      </c>
      <c r="I10" s="243" cm="1">
        <f t="array" ref="I10">IF(G10&lt;0,0,D10*G10)</f>
        <v>0</v>
      </c>
      <c r="J10" s="244" cm="1">
        <f t="array" ref="J10">N10-G10</f>
        <v>3</v>
      </c>
      <c r="K10" s="245" cm="1">
        <f t="array" ref="K10">1-H10</f>
        <v>1</v>
      </c>
      <c r="L10" s="246" cm="1">
        <f t="array" ref="L10">IF($G10&lt;0,O10,O10-I10)</f>
        <v>92918</v>
      </c>
      <c r="M10" s="245" cm="1">
        <f t="array" ref="M10">L10/L$17</f>
        <v>0.0211209818240174</v>
      </c>
      <c r="N10" s="241">
        <v>3</v>
      </c>
      <c r="O10" s="243">
        <v>92918</v>
      </c>
      <c r="P10" s="247" cm="1">
        <f t="array" ref="P10">O10*(1+P$2/12)^(N10)</f>
        <v>93880.267225200107</v>
      </c>
      <c r="Q10" s="247" cm="1">
        <f t="array" ref="Q10">P10-O10</f>
        <v>962.2672252001</v>
      </c>
      <c r="R10" s="247"/>
      <c r="S10" s="251" cm="1">
        <f t="array" ref="S10">IF(AND(1&gt;S$1-$J10,$J10-S$1&lt;$N10),$D10,0)</f>
        <v>0</v>
      </c>
      <c r="T10" s="247" cm="1">
        <f t="array" ref="T10">IF(AND(1&gt;T$1-$J10,$J10-T$1&lt;$N10),$D10,0)</f>
        <v>30973</v>
      </c>
      <c r="U10" s="247" cm="1">
        <f t="array" ref="U10">IF(AND(1&gt;U$1-$J10,$J10-U$1&lt;$N10),$D10,0)</f>
        <v>30973</v>
      </c>
      <c r="V10" s="247" cm="1">
        <f t="array" ref="V10">IF(AND(1&gt;V$1-$J10,$J10-V$1&lt;$N10),$D10,0)</f>
        <v>30973</v>
      </c>
      <c r="W10" s="249" cm="1">
        <f t="array" ref="W10">IF(AND(1&gt;W$1-$J10,$J10-W$1&lt;$N10),$D10,0)</f>
        <v>0</v>
      </c>
      <c r="X10" s="249" cm="1">
        <f t="array" ref="X10">IF(AND(1&gt;X$1-$J10,$J10-X$1&lt;$N10),$D10,0)</f>
        <v>0</v>
      </c>
      <c r="Y10" s="249" cm="1">
        <f t="array" ref="Y10">IF(AND(1&gt;Y$1-$J10,$J10-Y$1&lt;$N10),$D10,0)</f>
        <v>0</v>
      </c>
      <c r="Z10" s="249" cm="1">
        <f t="array" ref="Z10">IF(AND(1&gt;Z$1-$J10,$J10-Z$1&lt;$N10),$D10,0)</f>
        <v>0</v>
      </c>
      <c r="AA10" s="249" cm="1">
        <f t="array" ref="AA10">IF(AND(1&gt;AA$1-$J10,$J10-AA$1&lt;$N10),$D10,0)</f>
        <v>0</v>
      </c>
      <c r="AB10" s="249" cm="1">
        <f t="array" ref="AB10">IF(AND(1&gt;AB$1-$J10,$J10-AB$1&lt;$N10),$D10,0)</f>
        <v>0</v>
      </c>
      <c r="AC10" s="249" cm="1">
        <f t="array" ref="AC10">IF(AND(1&gt;AC$1-$J10,$J10-AC$1&lt;$N10),$D10,0)</f>
        <v>0</v>
      </c>
      <c r="AD10" s="249" cm="1">
        <f t="array" ref="AD10">IF(AND(1&gt;AD$1-$J10,$J10-AD$1&lt;$N10),$D10,0)</f>
        <v>0</v>
      </c>
      <c r="AE10" s="249" cm="1">
        <f t="array" ref="AE10">IF(AND(1&gt;AE$1-$J10,$J10-AE$1&lt;$N10),$D10,0)</f>
        <v>0</v>
      </c>
      <c r="AF10" s="249" cm="1">
        <f t="array" ref="AF10">IF(AND(1&gt;AF$1-$J10,$J10-AF$1&lt;$N10),$D10,0)</f>
        <v>0</v>
      </c>
      <c r="AG10" s="249" cm="1">
        <f t="array" ref="AG10">IF(AND(1&gt;AG$1-$J10,$J10-AG$1&lt;$N10),$D10,0)</f>
        <v>0</v>
      </c>
      <c r="AH10" s="249" cm="1">
        <f t="array" ref="AH10">IF(AND(1&gt;AH$1-$J10,$J10-AH$1&lt;$N10),$D10,0)</f>
        <v>0</v>
      </c>
      <c r="AI10" s="249" cm="1">
        <f t="array" ref="AI10">IF(AND(1&gt;AI$1-$J10,$J10-AI$1&lt;$N10),$D10,0)</f>
        <v>0</v>
      </c>
      <c r="AJ10" s="249" cm="1">
        <f t="array" ref="AJ10">IF(AND(1&gt;AJ$1-$J10,$J10-AJ$1&lt;$N10),$D10,0)</f>
        <v>0</v>
      </c>
      <c r="AK10" s="249" cm="1">
        <f t="array" ref="AK10">IF(AND(1&gt;AK$1-$J10,$J10-AK$1&lt;$N10),$D10,0)</f>
        <v>0</v>
      </c>
      <c r="AL10" s="249" cm="1">
        <f t="array" ref="AL10">IF(AND(1&gt;AL$1-$J10,$J10-AL$1&lt;$N10),$D10,0)</f>
        <v>0</v>
      </c>
      <c r="AM10" s="249" cm="1">
        <f t="array" ref="AM10">IF(AND(1&gt;AM$1-$J10,$J10-AM$1&lt;$N10),$D10,0)</f>
        <v>0</v>
      </c>
      <c r="AN10" s="249" cm="1">
        <f t="array" ref="AN10">IF(AND(1&gt;AN$1-$J10,$J10-AN$1&lt;$N10),$D10,0)</f>
        <v>0</v>
      </c>
      <c r="AO10" s="249" cm="1">
        <f t="array" ref="AO10">IF(AND(1&gt;AO$1-$J10,$J10-AO$1&lt;$N10),$D10,0)</f>
        <v>0</v>
      </c>
      <c r="AP10" s="249" cm="1">
        <f t="array" ref="AP10">IF(AND(1&gt;AP$1-$J10,$J10-AP$1&lt;$N10),$D10,0)</f>
        <v>0</v>
      </c>
      <c r="AQ10" s="249" cm="1">
        <f t="array" ref="AQ10">IF(AND(1&gt;AQ$1-$J10,$J10-AQ$1&lt;$N10),$D10,0)</f>
        <v>0</v>
      </c>
    </row>
    <row r="11" ht="20.35" customHeight="1">
      <c r="A11" t="s" s="237">
        <v>601</v>
      </c>
      <c r="B11" t="s" s="237">
        <v>612</v>
      </c>
      <c r="C11" t="s" s="17">
        <v>613</v>
      </c>
      <c r="D11" s="238" cm="1">
        <f t="array" ref="D11">ROUND(O11/N11,0)</f>
        <v>8248</v>
      </c>
      <c r="E11" s="239" cm="1">
        <f t="array" ref="E11">D11/D$17</f>
        <v>0.0184976698497849</v>
      </c>
      <c r="F11" s="240">
        <v>-4</v>
      </c>
      <c r="G11" s="241" cm="1">
        <f t="array" ref="G11">F11+F$2</f>
        <v>7</v>
      </c>
      <c r="H11" s="242" cm="1">
        <f t="array" ref="H11">IF(G11&lt;0,0,G11/N11)</f>
        <v>0.583333333333333</v>
      </c>
      <c r="I11" s="243" cm="1">
        <f t="array" ref="I11">IF(G11&lt;0,0,D11*G11)</f>
        <v>57736</v>
      </c>
      <c r="J11" s="244" cm="1">
        <f t="array" ref="J11">N11-G11</f>
        <v>5</v>
      </c>
      <c r="K11" s="245" cm="1">
        <f t="array" ref="K11">1-H11</f>
        <v>0.416666666666667</v>
      </c>
      <c r="L11" s="246" cm="1">
        <f t="array" ref="L11">IF($G11&lt;0,O11,O11-I11)</f>
        <v>41234</v>
      </c>
      <c r="M11" s="245" cm="1">
        <f t="array" ref="M11">L11/L$17</f>
        <v>0.00937280790085381</v>
      </c>
      <c r="N11" s="241">
        <v>12</v>
      </c>
      <c r="O11" s="243">
        <v>98970</v>
      </c>
      <c r="P11" s="247" cm="1">
        <f t="array" ref="P11">O11*(1+P$2/12)^(N11)</f>
        <v>103133.896345599</v>
      </c>
      <c r="Q11" s="247" cm="1">
        <f t="array" ref="Q11">P11-O11</f>
        <v>4163.896345599</v>
      </c>
      <c r="R11" s="247"/>
      <c r="S11" s="248" cm="1">
        <f t="array" ref="S11">IF(AND(1&gt;S$1-$J11,$J11-S$1&lt;$N11),$D11,0)</f>
        <v>8248</v>
      </c>
      <c r="T11" s="247" cm="1">
        <f t="array" ref="T11">IF(AND(1&gt;T$1-$J11,$J11-T$1&lt;$N11),$D11,0)</f>
        <v>8248</v>
      </c>
      <c r="U11" s="247" cm="1">
        <f t="array" ref="U11">IF(AND(1&gt;U$1-$J11,$J11-U$1&lt;$N11),$D11,0)</f>
        <v>8248</v>
      </c>
      <c r="V11" s="247" cm="1">
        <f t="array" ref="V11">IF(AND(1&gt;V$1-$J11,$J11-V$1&lt;$N11),$D11,0)</f>
        <v>8248</v>
      </c>
      <c r="W11" s="247" cm="1">
        <f t="array" ref="W11">IF(AND(1&gt;W$1-$J11,$J11-W$1&lt;$N11),$D11,0)</f>
        <v>8248</v>
      </c>
      <c r="X11" s="247" cm="1">
        <f t="array" ref="X11">IF(AND(1&gt;X$1-$J11,$J11-X$1&lt;$N11),$D11,0)</f>
        <v>8248</v>
      </c>
      <c r="Y11" s="249" cm="1">
        <f t="array" ref="Y11">IF(AND(1&gt;Y$1-$J11,$J11-Y$1&lt;$N11),$D11,0)</f>
        <v>0</v>
      </c>
      <c r="Z11" s="249" cm="1">
        <f t="array" ref="Z11">IF(AND(1&gt;Z$1-$J11,$J11-Z$1&lt;$N11),$D11,0)</f>
        <v>0</v>
      </c>
      <c r="AA11" s="249" cm="1">
        <f t="array" ref="AA11">IF(AND(1&gt;AA$1-$J11,$J11-AA$1&lt;$N11),$D11,0)</f>
        <v>0</v>
      </c>
      <c r="AB11" s="249" cm="1">
        <f t="array" ref="AB11">IF(AND(1&gt;AB$1-$J11,$J11-AB$1&lt;$N11),$D11,0)</f>
        <v>0</v>
      </c>
      <c r="AC11" s="249" cm="1">
        <f t="array" ref="AC11">IF(AND(1&gt;AC$1-$J11,$J11-AC$1&lt;$N11),$D11,0)</f>
        <v>0</v>
      </c>
      <c r="AD11" s="249" cm="1">
        <f t="array" ref="AD11">IF(AND(1&gt;AD$1-$J11,$J11-AD$1&lt;$N11),$D11,0)</f>
        <v>0</v>
      </c>
      <c r="AE11" s="249" cm="1">
        <f t="array" ref="AE11">IF(AND(1&gt;AE$1-$J11,$J11-AE$1&lt;$N11),$D11,0)</f>
        <v>0</v>
      </c>
      <c r="AF11" s="249" cm="1">
        <f t="array" ref="AF11">IF(AND(1&gt;AF$1-$J11,$J11-AF$1&lt;$N11),$D11,0)</f>
        <v>0</v>
      </c>
      <c r="AG11" s="249" cm="1">
        <f t="array" ref="AG11">IF(AND(1&gt;AG$1-$J11,$J11-AG$1&lt;$N11),$D11,0)</f>
        <v>0</v>
      </c>
      <c r="AH11" s="249" cm="1">
        <f t="array" ref="AH11">IF(AND(1&gt;AH$1-$J11,$J11-AH$1&lt;$N11),$D11,0)</f>
        <v>0</v>
      </c>
      <c r="AI11" s="249" cm="1">
        <f t="array" ref="AI11">IF(AND(1&gt;AI$1-$J11,$J11-AI$1&lt;$N11),$D11,0)</f>
        <v>0</v>
      </c>
      <c r="AJ11" s="249" cm="1">
        <f t="array" ref="AJ11">IF(AND(1&gt;AJ$1-$J11,$J11-AJ$1&lt;$N11),$D11,0)</f>
        <v>0</v>
      </c>
      <c r="AK11" s="249" cm="1">
        <f t="array" ref="AK11">IF(AND(1&gt;AK$1-$J11,$J11-AK$1&lt;$N11),$D11,0)</f>
        <v>0</v>
      </c>
      <c r="AL11" s="249" cm="1">
        <f t="array" ref="AL11">IF(AND(1&gt;AL$1-$J11,$J11-AL$1&lt;$N11),$D11,0)</f>
        <v>0</v>
      </c>
      <c r="AM11" s="249" cm="1">
        <f t="array" ref="AM11">IF(AND(1&gt;AM$1-$J11,$J11-AM$1&lt;$N11),$D11,0)</f>
        <v>0</v>
      </c>
      <c r="AN11" s="249" cm="1">
        <f t="array" ref="AN11">IF(AND(1&gt;AN$1-$J11,$J11-AN$1&lt;$N11),$D11,0)</f>
        <v>0</v>
      </c>
      <c r="AO11" s="249" cm="1">
        <f t="array" ref="AO11">IF(AND(1&gt;AO$1-$J11,$J11-AO$1&lt;$N11),$D11,0)</f>
        <v>0</v>
      </c>
      <c r="AP11" s="249" cm="1">
        <f t="array" ref="AP11">IF(AND(1&gt;AP$1-$J11,$J11-AP$1&lt;$N11),$D11,0)</f>
        <v>0</v>
      </c>
      <c r="AQ11" s="249" cm="1">
        <f t="array" ref="AQ11">IF(AND(1&gt;AQ$1-$J11,$J11-AQ$1&lt;$N11),$D11,0)</f>
        <v>0</v>
      </c>
    </row>
    <row r="12" ht="20.35" customHeight="1">
      <c r="A12" s="250"/>
      <c r="B12" t="s" s="237">
        <v>614</v>
      </c>
      <c r="C12" s="28"/>
      <c r="D12" s="238" cm="1">
        <f t="array" ref="D12">ROUND(O12/N12,0)</f>
        <v>12398</v>
      </c>
      <c r="E12" s="239" cm="1">
        <f t="array" ref="E12">D12/D$17</f>
        <v>0.0278048145971913</v>
      </c>
      <c r="F12" s="240">
        <v>-11</v>
      </c>
      <c r="G12" s="241" cm="1">
        <f t="array" ref="G12">F12+F$2</f>
        <v>0</v>
      </c>
      <c r="H12" s="242" cm="1">
        <f t="array" ref="H12">IF(G12&lt;0,0,G12/N12)</f>
        <v>0</v>
      </c>
      <c r="I12" s="243" cm="1">
        <f t="array" ref="I12">IF(G12&lt;0,0,D12*G12)</f>
        <v>0</v>
      </c>
      <c r="J12" s="244" cm="1">
        <f t="array" ref="J12">N12-G12</f>
        <v>6</v>
      </c>
      <c r="K12" s="245" cm="1">
        <f t="array" ref="K12">1-H12</f>
        <v>1</v>
      </c>
      <c r="L12" s="246" cm="1">
        <f t="array" ref="L12">IF($G12&lt;0,O12,O12-I12)</f>
        <v>74387</v>
      </c>
      <c r="M12" s="245" cm="1">
        <f t="array" ref="M12">L12/L$17</f>
        <v>0.0169087418470392</v>
      </c>
      <c r="N12" s="241">
        <v>6</v>
      </c>
      <c r="O12" s="243">
        <v>74387</v>
      </c>
      <c r="P12" s="247" cm="1">
        <f t="array" ref="P12">O12*(1+P$2/12)^(N12)</f>
        <v>75935.6949235698</v>
      </c>
      <c r="Q12" s="247" cm="1">
        <f t="array" ref="Q12">P12-O12</f>
        <v>1548.6949235698</v>
      </c>
      <c r="R12" s="247"/>
      <c r="S12" s="251" cm="1">
        <f t="array" ref="S12">IF(AND(1&gt;S$1-$J12,$J12-S$1&lt;$N12),$D12,0)</f>
        <v>0</v>
      </c>
      <c r="T12" s="247" cm="1">
        <f t="array" ref="T12">IF(AND(1&gt;T$1-$J12,$J12-T$1&lt;$N12),$D12,0)</f>
        <v>12398</v>
      </c>
      <c r="U12" s="247" cm="1">
        <f t="array" ref="U12">IF(AND(1&gt;U$1-$J12,$J12-U$1&lt;$N12),$D12,0)</f>
        <v>12398</v>
      </c>
      <c r="V12" s="247" cm="1">
        <f t="array" ref="V12">IF(AND(1&gt;V$1-$J12,$J12-V$1&lt;$N12),$D12,0)</f>
        <v>12398</v>
      </c>
      <c r="W12" s="247" cm="1">
        <f t="array" ref="W12">IF(AND(1&gt;W$1-$J12,$J12-W$1&lt;$N12),$D12,0)</f>
        <v>12398</v>
      </c>
      <c r="X12" s="247" cm="1">
        <f t="array" ref="X12">IF(AND(1&gt;X$1-$J12,$J12-X$1&lt;$N12),$D12,0)</f>
        <v>12398</v>
      </c>
      <c r="Y12" s="247" cm="1">
        <f t="array" ref="Y12">IF(AND(1&gt;Y$1-$J12,$J12-Y$1&lt;$N12),$D12,0)</f>
        <v>12398</v>
      </c>
      <c r="Z12" s="249" cm="1">
        <f t="array" ref="Z12">IF(AND(1&gt;Z$1-$J12,$J12-Z$1&lt;$N12),$D12,0)</f>
        <v>0</v>
      </c>
      <c r="AA12" s="249" cm="1">
        <f t="array" ref="AA12">IF(AND(1&gt;AA$1-$J12,$J12-AA$1&lt;$N12),$D12,0)</f>
        <v>0</v>
      </c>
      <c r="AB12" s="249" cm="1">
        <f t="array" ref="AB12">IF(AND(1&gt;AB$1-$J12,$J12-AB$1&lt;$N12),$D12,0)</f>
        <v>0</v>
      </c>
      <c r="AC12" s="249" cm="1">
        <f t="array" ref="AC12">IF(AND(1&gt;AC$1-$J12,$J12-AC$1&lt;$N12),$D12,0)</f>
        <v>0</v>
      </c>
      <c r="AD12" s="249" cm="1">
        <f t="array" ref="AD12">IF(AND(1&gt;AD$1-$J12,$J12-AD$1&lt;$N12),$D12,0)</f>
        <v>0</v>
      </c>
      <c r="AE12" s="249" cm="1">
        <f t="array" ref="AE12">IF(AND(1&gt;AE$1-$J12,$J12-AE$1&lt;$N12),$D12,0)</f>
        <v>0</v>
      </c>
      <c r="AF12" s="249" cm="1">
        <f t="array" ref="AF12">IF(AND(1&gt;AF$1-$J12,$J12-AF$1&lt;$N12),$D12,0)</f>
        <v>0</v>
      </c>
      <c r="AG12" s="249" cm="1">
        <f t="array" ref="AG12">IF(AND(1&gt;AG$1-$J12,$J12-AG$1&lt;$N12),$D12,0)</f>
        <v>0</v>
      </c>
      <c r="AH12" s="249" cm="1">
        <f t="array" ref="AH12">IF(AND(1&gt;AH$1-$J12,$J12-AH$1&lt;$N12),$D12,0)</f>
        <v>0</v>
      </c>
      <c r="AI12" s="249" cm="1">
        <f t="array" ref="AI12">IF(AND(1&gt;AI$1-$J12,$J12-AI$1&lt;$N12),$D12,0)</f>
        <v>0</v>
      </c>
      <c r="AJ12" s="249" cm="1">
        <f t="array" ref="AJ12">IF(AND(1&gt;AJ$1-$J12,$J12-AJ$1&lt;$N12),$D12,0)</f>
        <v>0</v>
      </c>
      <c r="AK12" s="249" cm="1">
        <f t="array" ref="AK12">IF(AND(1&gt;AK$1-$J12,$J12-AK$1&lt;$N12),$D12,0)</f>
        <v>0</v>
      </c>
      <c r="AL12" s="249" cm="1">
        <f t="array" ref="AL12">IF(AND(1&gt;AL$1-$J12,$J12-AL$1&lt;$N12),$D12,0)</f>
        <v>0</v>
      </c>
      <c r="AM12" s="249" cm="1">
        <f t="array" ref="AM12">IF(AND(1&gt;AM$1-$J12,$J12-AM$1&lt;$N12),$D12,0)</f>
        <v>0</v>
      </c>
      <c r="AN12" s="249" cm="1">
        <f t="array" ref="AN12">IF(AND(1&gt;AN$1-$J12,$J12-AN$1&lt;$N12),$D12,0)</f>
        <v>0</v>
      </c>
      <c r="AO12" s="249" cm="1">
        <f t="array" ref="AO12">IF(AND(1&gt;AO$1-$J12,$J12-AO$1&lt;$N12),$D12,0)</f>
        <v>0</v>
      </c>
      <c r="AP12" s="249" cm="1">
        <f t="array" ref="AP12">IF(AND(1&gt;AP$1-$J12,$J12-AP$1&lt;$N12),$D12,0)</f>
        <v>0</v>
      </c>
      <c r="AQ12" s="249" cm="1">
        <f t="array" ref="AQ12">IF(AND(1&gt;AQ$1-$J12,$J12-AQ$1&lt;$N12),$D12,0)</f>
        <v>0</v>
      </c>
    </row>
    <row r="13" ht="20.35" customHeight="1">
      <c r="A13" t="s" s="237">
        <v>601</v>
      </c>
      <c r="B13" t="s" s="237">
        <v>615</v>
      </c>
      <c r="C13" s="28"/>
      <c r="D13" s="238">
        <v>135416</v>
      </c>
      <c r="E13" s="239" cm="1">
        <f t="array" ref="E13">D13/D$17</f>
        <v>0.303695497136091</v>
      </c>
      <c r="F13" s="240">
        <v>-6</v>
      </c>
      <c r="G13" s="241" cm="1">
        <f t="array" ref="G13">F13+F$2</f>
        <v>5</v>
      </c>
      <c r="H13" s="242" cm="1">
        <f t="array" ref="H13">IF(G13&lt;0,0,G13/N13)</f>
        <v>0.416666666666667</v>
      </c>
      <c r="I13" s="243" cm="1">
        <f t="array" ref="I13">IF(G13&lt;0,0,D13*G13)</f>
        <v>677080</v>
      </c>
      <c r="J13" s="244" cm="1">
        <f t="array" ref="J13">N13-G13</f>
        <v>7</v>
      </c>
      <c r="K13" s="245" cm="1">
        <f t="array" ref="K13">1-H13</f>
        <v>0.583333333333333</v>
      </c>
      <c r="L13" s="246" cm="1">
        <f t="array" ref="L13">IF($G13&lt;0,O13,O13-I13)</f>
        <v>947912</v>
      </c>
      <c r="M13" s="245" cm="1">
        <f t="array" ref="M13">L13/L$17</f>
        <v>0.215467747075572</v>
      </c>
      <c r="N13" s="241">
        <v>12</v>
      </c>
      <c r="O13" s="243" cm="1">
        <f t="array" ref="O13">N13*D13</f>
        <v>1624992</v>
      </c>
      <c r="P13" s="247" cm="1">
        <f t="array" ref="P13">O13*(1+P$2/12)^(N13)</f>
        <v>1693359.16429654</v>
      </c>
      <c r="Q13" s="247" cm="1">
        <f t="array" ref="Q13">P13-O13</f>
        <v>68367.16429654</v>
      </c>
      <c r="R13" s="247"/>
      <c r="S13" s="248" cm="1">
        <f t="array" ref="S13">IF(AND(1&gt;S$1-$J13,$J13-S$1&lt;$N13),$D13,0)</f>
        <v>135416</v>
      </c>
      <c r="T13" s="247" cm="1">
        <f t="array" ref="T13">IF(AND(1&gt;T$1-$J13,$J13-T$1&lt;$N13),$D13,0)</f>
        <v>135416</v>
      </c>
      <c r="U13" s="247" cm="1">
        <f t="array" ref="U13">IF(AND(1&gt;U$1-$J13,$J13-U$1&lt;$N13),$D13,0)</f>
        <v>135416</v>
      </c>
      <c r="V13" s="247" cm="1">
        <f t="array" ref="V13">IF(AND(1&gt;V$1-$J13,$J13-V$1&lt;$N13),$D13,0)</f>
        <v>135416</v>
      </c>
      <c r="W13" s="247" cm="1">
        <f t="array" ref="W13">IF(AND(1&gt;W$1-$J13,$J13-W$1&lt;$N13),$D13,0)</f>
        <v>135416</v>
      </c>
      <c r="X13" s="247" cm="1">
        <f t="array" ref="X13">IF(AND(1&gt;X$1-$J13,$J13-X$1&lt;$N13),$D13,0)</f>
        <v>135416</v>
      </c>
      <c r="Y13" s="247" cm="1">
        <f t="array" ref="Y13">IF(AND(1&gt;Y$1-$J13,$J13-Y$1&lt;$N13),$D13,0)</f>
        <v>135416</v>
      </c>
      <c r="Z13" s="247" cm="1">
        <f t="array" ref="Z13">IF(AND(1&gt;Z$1-$J13,$J13-Z$1&lt;$N13),$D13,0)</f>
        <v>135416</v>
      </c>
      <c r="AA13" s="249" cm="1">
        <f t="array" ref="AA13">IF(AND(1&gt;AA$1-$J13,$J13-AA$1&lt;$N13),$D13,0)</f>
        <v>0</v>
      </c>
      <c r="AB13" s="249" cm="1">
        <f t="array" ref="AB13">IF(AND(1&gt;AB$1-$J13,$J13-AB$1&lt;$N13),$D13,0)</f>
        <v>0</v>
      </c>
      <c r="AC13" s="249" cm="1">
        <f t="array" ref="AC13">IF(AND(1&gt;AC$1-$J13,$J13-AC$1&lt;$N13),$D13,0)</f>
        <v>0</v>
      </c>
      <c r="AD13" s="249" cm="1">
        <f t="array" ref="AD13">IF(AND(1&gt;AD$1-$J13,$J13-AD$1&lt;$N13),$D13,0)</f>
        <v>0</v>
      </c>
      <c r="AE13" s="249" cm="1">
        <f t="array" ref="AE13">IF(AND(1&gt;AE$1-$J13,$J13-AE$1&lt;$N13),$D13,0)</f>
        <v>0</v>
      </c>
      <c r="AF13" s="249" cm="1">
        <f t="array" ref="AF13">IF(AND(1&gt;AF$1-$J13,$J13-AF$1&lt;$N13),$D13,0)</f>
        <v>0</v>
      </c>
      <c r="AG13" s="249" cm="1">
        <f t="array" ref="AG13">IF(AND(1&gt;AG$1-$J13,$J13-AG$1&lt;$N13),$D13,0)</f>
        <v>0</v>
      </c>
      <c r="AH13" s="249" cm="1">
        <f t="array" ref="AH13">IF(AND(1&gt;AH$1-$J13,$J13-AH$1&lt;$N13),$D13,0)</f>
        <v>0</v>
      </c>
      <c r="AI13" s="249" cm="1">
        <f t="array" ref="AI13">IF(AND(1&gt;AI$1-$J13,$J13-AI$1&lt;$N13),$D13,0)</f>
        <v>0</v>
      </c>
      <c r="AJ13" s="249" cm="1">
        <f t="array" ref="AJ13">IF(AND(1&gt;AJ$1-$J13,$J13-AJ$1&lt;$N13),$D13,0)</f>
        <v>0</v>
      </c>
      <c r="AK13" s="249" cm="1">
        <f t="array" ref="AK13">IF(AND(1&gt;AK$1-$J13,$J13-AK$1&lt;$N13),$D13,0)</f>
        <v>0</v>
      </c>
      <c r="AL13" s="249" cm="1">
        <f t="array" ref="AL13">IF(AND(1&gt;AL$1-$J13,$J13-AL$1&lt;$N13),$D13,0)</f>
        <v>0</v>
      </c>
      <c r="AM13" s="249" cm="1">
        <f t="array" ref="AM13">IF(AND(1&gt;AM$1-$J13,$J13-AM$1&lt;$N13),$D13,0)</f>
        <v>0</v>
      </c>
      <c r="AN13" s="249" cm="1">
        <f t="array" ref="AN13">IF(AND(1&gt;AN$1-$J13,$J13-AN$1&lt;$N13),$D13,0)</f>
        <v>0</v>
      </c>
      <c r="AO13" s="249" cm="1">
        <f t="array" ref="AO13">IF(AND(1&gt;AO$1-$J13,$J13-AO$1&lt;$N13),$D13,0)</f>
        <v>0</v>
      </c>
      <c r="AP13" s="249" cm="1">
        <f t="array" ref="AP13">IF(AND(1&gt;AP$1-$J13,$J13-AP$1&lt;$N13),$D13,0)</f>
        <v>0</v>
      </c>
      <c r="AQ13" s="249" cm="1">
        <f t="array" ref="AQ13">IF(AND(1&gt;AQ$1-$J13,$J13-AQ$1&lt;$N13),$D13,0)</f>
        <v>0</v>
      </c>
    </row>
    <row r="14" ht="20.35" customHeight="1">
      <c r="A14" t="s" s="237">
        <v>601</v>
      </c>
      <c r="B14" t="s" s="237">
        <v>616</v>
      </c>
      <c r="C14" t="s" s="17">
        <v>617</v>
      </c>
      <c r="D14" s="238" cm="1">
        <f t="array" ref="D14">ROUND(O14/N14,0)</f>
        <v>5538</v>
      </c>
      <c r="E14" s="239" cm="1">
        <f t="array" ref="E14">D14/D$17</f>
        <v>0.0124199921954545</v>
      </c>
      <c r="F14" s="240">
        <v>-1</v>
      </c>
      <c r="G14" s="241" cm="1">
        <f t="array" ref="G14">F14+F$2</f>
        <v>10</v>
      </c>
      <c r="H14" s="242" cm="1">
        <f t="array" ref="H14">IF(G14&lt;0,0,G14/N14)</f>
        <v>0.416666666666667</v>
      </c>
      <c r="I14" s="243" cm="1">
        <f t="array" ref="I14">IF(G14&lt;0,0,D14*G14)</f>
        <v>55380</v>
      </c>
      <c r="J14" s="244" cm="1">
        <f t="array" ref="J14">N14-G14</f>
        <v>14</v>
      </c>
      <c r="K14" s="245" cm="1">
        <f t="array" ref="K14">1-H14</f>
        <v>0.583333333333333</v>
      </c>
      <c r="L14" s="246" cm="1">
        <f t="array" ref="L14">IF($G14&lt;0,O14,O14-I14)</f>
        <v>77521</v>
      </c>
      <c r="M14" s="245" cm="1">
        <f t="array" ref="M14">L14/L$17</f>
        <v>0.0176211243459788</v>
      </c>
      <c r="N14" s="241">
        <v>24</v>
      </c>
      <c r="O14" s="243">
        <v>132901</v>
      </c>
      <c r="P14" s="247" cm="1">
        <f t="array" ref="P14">O14*(1+P$2/12)^(N14)</f>
        <v>144319.148957465</v>
      </c>
      <c r="Q14" s="247" cm="1">
        <f t="array" ref="Q14">P14-O14</f>
        <v>11418.148957465</v>
      </c>
      <c r="R14" s="247"/>
      <c r="S14" s="248" cm="1">
        <f t="array" ref="S14">IF(AND(1&gt;S$1-$J14,$J14-S$1&lt;$N14),$D14,0)</f>
        <v>5538</v>
      </c>
      <c r="T14" s="247" cm="1">
        <f t="array" ref="T14">IF(AND(1&gt;T$1-$J14,$J14-T$1&lt;$N14),$D14,0)</f>
        <v>5538</v>
      </c>
      <c r="U14" s="247" cm="1">
        <f t="array" ref="U14">IF(AND(1&gt;U$1-$J14,$J14-U$1&lt;$N14),$D14,0)</f>
        <v>5538</v>
      </c>
      <c r="V14" s="247" cm="1">
        <f t="array" ref="V14">IF(AND(1&gt;V$1-$J14,$J14-V$1&lt;$N14),$D14,0)</f>
        <v>5538</v>
      </c>
      <c r="W14" s="247" cm="1">
        <f t="array" ref="W14">IF(AND(1&gt;W$1-$J14,$J14-W$1&lt;$N14),$D14,0)</f>
        <v>5538</v>
      </c>
      <c r="X14" s="247" cm="1">
        <f t="array" ref="X14">IF(AND(1&gt;X$1-$J14,$J14-X$1&lt;$N14),$D14,0)</f>
        <v>5538</v>
      </c>
      <c r="Y14" s="247" cm="1">
        <f t="array" ref="Y14">IF(AND(1&gt;Y$1-$J14,$J14-Y$1&lt;$N14),$D14,0)</f>
        <v>5538</v>
      </c>
      <c r="Z14" s="247" cm="1">
        <f t="array" ref="Z14">IF(AND(1&gt;Z$1-$J14,$J14-Z$1&lt;$N14),$D14,0)</f>
        <v>5538</v>
      </c>
      <c r="AA14" s="247" cm="1">
        <f t="array" ref="AA14">IF(AND(1&gt;AA$1-$J14,$J14-AA$1&lt;$N14),$D14,0)</f>
        <v>5538</v>
      </c>
      <c r="AB14" s="247" cm="1">
        <f t="array" ref="AB14">IF(AND(1&gt;AB$1-$J14,$J14-AB$1&lt;$N14),$D14,0)</f>
        <v>5538</v>
      </c>
      <c r="AC14" s="247" cm="1">
        <f t="array" ref="AC14">IF(AND(1&gt;AC$1-$J14,$J14-AC$1&lt;$N14),$D14,0)</f>
        <v>5538</v>
      </c>
      <c r="AD14" s="247" cm="1">
        <f t="array" ref="AD14">IF(AND(1&gt;AD$1-$J14,$J14-AD$1&lt;$N14),$D14,0)</f>
        <v>5538</v>
      </c>
      <c r="AE14" s="247" cm="1">
        <f t="array" ref="AE14">IF(AND(1&gt;AE$1-$J14,$J14-AE$1&lt;$N14),$D14,0)</f>
        <v>5538</v>
      </c>
      <c r="AF14" s="247" cm="1">
        <f t="array" ref="AF14">IF(AND(1&gt;AF$1-$J14,$J14-AF$1&lt;$N14),$D14,0)</f>
        <v>5538</v>
      </c>
      <c r="AG14" s="247" cm="1">
        <f t="array" ref="AG14">IF(AND(1&gt;AG$1-$J14,$J14-AG$1&lt;$N14),$D14,0)</f>
        <v>5538</v>
      </c>
      <c r="AH14" s="249" cm="1">
        <f t="array" ref="AH14">IF(AND(1&gt;AH$1-$J14,$J14-AH$1&lt;$N14),$D14,0)</f>
        <v>0</v>
      </c>
      <c r="AI14" s="249" cm="1">
        <f t="array" ref="AI14">IF(AND(1&gt;AI$1-$J14,$J14-AI$1&lt;$N14),$D14,0)</f>
        <v>0</v>
      </c>
      <c r="AJ14" s="249" cm="1">
        <f t="array" ref="AJ14">IF(AND(1&gt;AJ$1-$J14,$J14-AJ$1&lt;$N14),$D14,0)</f>
        <v>0</v>
      </c>
      <c r="AK14" s="249" cm="1">
        <f t="array" ref="AK14">IF(AND(1&gt;AK$1-$J14,$J14-AK$1&lt;$N14),$D14,0)</f>
        <v>0</v>
      </c>
      <c r="AL14" s="249" cm="1">
        <f t="array" ref="AL14">IF(AND(1&gt;AL$1-$J14,$J14-AL$1&lt;$N14),$D14,0)</f>
        <v>0</v>
      </c>
      <c r="AM14" s="249" cm="1">
        <f t="array" ref="AM14">IF(AND(1&gt;AM$1-$J14,$J14-AM$1&lt;$N14),$D14,0)</f>
        <v>0</v>
      </c>
      <c r="AN14" s="249" cm="1">
        <f t="array" ref="AN14">IF(AND(1&gt;AN$1-$J14,$J14-AN$1&lt;$N14),$D14,0)</f>
        <v>0</v>
      </c>
      <c r="AO14" s="249" cm="1">
        <f t="array" ref="AO14">IF(AND(1&gt;AO$1-$J14,$J14-AO$1&lt;$N14),$D14,0)</f>
        <v>0</v>
      </c>
      <c r="AP14" s="249" cm="1">
        <f t="array" ref="AP14">IF(AND(1&gt;AP$1-$J14,$J14-AP$1&lt;$N14),$D14,0)</f>
        <v>0</v>
      </c>
      <c r="AQ14" s="249" cm="1">
        <f t="array" ref="AQ14">IF(AND(1&gt;AQ$1-$J14,$J14-AQ$1&lt;$N14),$D14,0)</f>
        <v>0</v>
      </c>
    </row>
    <row r="15" ht="20.35" customHeight="1">
      <c r="A15" t="s" s="237">
        <v>601</v>
      </c>
      <c r="B15" t="s" s="237">
        <v>618</v>
      </c>
      <c r="C15" s="28"/>
      <c r="D15" s="238" cm="1">
        <f t="array" ref="D15">ROUND(O15/N15,0)</f>
        <v>18333</v>
      </c>
      <c r="E15" s="239" cm="1">
        <f t="array" ref="E15">D15/D$17</f>
        <v>0.041115152928723</v>
      </c>
      <c r="F15" s="240">
        <v>-2</v>
      </c>
      <c r="G15" s="241" cm="1">
        <f t="array" ref="G15">F15+F$2</f>
        <v>9</v>
      </c>
      <c r="H15" s="242" cm="1">
        <f t="array" ref="H15">IF(G15&lt;0,0,G15/N15)</f>
        <v>0.375</v>
      </c>
      <c r="I15" s="243" cm="1">
        <f t="array" ref="I15">IF(G15&lt;0,0,D15*G15)</f>
        <v>164997</v>
      </c>
      <c r="J15" s="244" cm="1">
        <f t="array" ref="J15">N15-G15</f>
        <v>15</v>
      </c>
      <c r="K15" s="245" cm="1">
        <f t="array" ref="K15">1-H15</f>
        <v>0.625</v>
      </c>
      <c r="L15" s="246" cm="1">
        <f t="array" ref="L15">IF($G15&lt;0,O15,O15-I15)</f>
        <v>274993</v>
      </c>
      <c r="M15" s="245" cm="1">
        <f t="array" ref="M15">L15/L$17</f>
        <v>0.0625080410117741</v>
      </c>
      <c r="N15" s="241">
        <v>24</v>
      </c>
      <c r="O15" s="243">
        <v>439990</v>
      </c>
      <c r="P15" s="247" cm="1">
        <f t="array" ref="P15">O15*(1+P$2/12)^(N15)</f>
        <v>477791.606908864</v>
      </c>
      <c r="Q15" s="247" cm="1">
        <f t="array" ref="Q15">P15-O15</f>
        <v>37801.606908864</v>
      </c>
      <c r="R15" s="247"/>
      <c r="S15" s="248" cm="1">
        <f t="array" ref="S15">IF(AND(1&gt;S$1-$J15,$J15-S$1&lt;$N15),$D15,0)</f>
        <v>18333</v>
      </c>
      <c r="T15" s="247" cm="1">
        <f t="array" ref="T15">IF(AND(1&gt;T$1-$J15,$J15-T$1&lt;$N15),$D15,0)</f>
        <v>18333</v>
      </c>
      <c r="U15" s="247" cm="1">
        <f t="array" ref="U15">IF(AND(1&gt;U$1-$J15,$J15-U$1&lt;$N15),$D15,0)</f>
        <v>18333</v>
      </c>
      <c r="V15" s="247" cm="1">
        <f t="array" ref="V15">IF(AND(1&gt;V$1-$J15,$J15-V$1&lt;$N15),$D15,0)</f>
        <v>18333</v>
      </c>
      <c r="W15" s="247" cm="1">
        <f t="array" ref="W15">IF(AND(1&gt;W$1-$J15,$J15-W$1&lt;$N15),$D15,0)</f>
        <v>18333</v>
      </c>
      <c r="X15" s="247" cm="1">
        <f t="array" ref="X15">IF(AND(1&gt;X$1-$J15,$J15-X$1&lt;$N15),$D15,0)</f>
        <v>18333</v>
      </c>
      <c r="Y15" s="247" cm="1">
        <f t="array" ref="Y15">IF(AND(1&gt;Y$1-$J15,$J15-Y$1&lt;$N15),$D15,0)</f>
        <v>18333</v>
      </c>
      <c r="Z15" s="247" cm="1">
        <f t="array" ref="Z15">IF(AND(1&gt;Z$1-$J15,$J15-Z$1&lt;$N15),$D15,0)</f>
        <v>18333</v>
      </c>
      <c r="AA15" s="247" cm="1">
        <f t="array" ref="AA15">IF(AND(1&gt;AA$1-$J15,$J15-AA$1&lt;$N15),$D15,0)</f>
        <v>18333</v>
      </c>
      <c r="AB15" s="247" cm="1">
        <f t="array" ref="AB15">IF(AND(1&gt;AB$1-$J15,$J15-AB$1&lt;$N15),$D15,0)</f>
        <v>18333</v>
      </c>
      <c r="AC15" s="247" cm="1">
        <f t="array" ref="AC15">IF(AND(1&gt;AC$1-$J15,$J15-AC$1&lt;$N15),$D15,0)</f>
        <v>18333</v>
      </c>
      <c r="AD15" s="247" cm="1">
        <f t="array" ref="AD15">IF(AND(1&gt;AD$1-$J15,$J15-AD$1&lt;$N15),$D15,0)</f>
        <v>18333</v>
      </c>
      <c r="AE15" s="247" cm="1">
        <f t="array" ref="AE15">IF(AND(1&gt;AE$1-$J15,$J15-AE$1&lt;$N15),$D15,0)</f>
        <v>18333</v>
      </c>
      <c r="AF15" s="247" cm="1">
        <f t="array" ref="AF15">IF(AND(1&gt;AF$1-$J15,$J15-AF$1&lt;$N15),$D15,0)</f>
        <v>18333</v>
      </c>
      <c r="AG15" s="247" cm="1">
        <f t="array" ref="AG15">IF(AND(1&gt;AG$1-$J15,$J15-AG$1&lt;$N15),$D15,0)</f>
        <v>18333</v>
      </c>
      <c r="AH15" s="247" cm="1">
        <f t="array" ref="AH15">IF(AND(1&gt;AH$1-$J15,$J15-AH$1&lt;$N15),$D15,0)</f>
        <v>18333</v>
      </c>
      <c r="AI15" s="249" cm="1">
        <f t="array" ref="AI15">IF(AND(1&gt;AI$1-$J15,$J15-AI$1&lt;$N15),$D15,0)</f>
        <v>0</v>
      </c>
      <c r="AJ15" s="249" cm="1">
        <f t="array" ref="AJ15">IF(AND(1&gt;AJ$1-$J15,$J15-AJ$1&lt;$N15),$D15,0)</f>
        <v>0</v>
      </c>
      <c r="AK15" s="249" cm="1">
        <f t="array" ref="AK15">IF(AND(1&gt;AK$1-$J15,$J15-AK$1&lt;$N15),$D15,0)</f>
        <v>0</v>
      </c>
      <c r="AL15" s="249" cm="1">
        <f t="array" ref="AL15">IF(AND(1&gt;AL$1-$J15,$J15-AL$1&lt;$N15),$D15,0)</f>
        <v>0</v>
      </c>
      <c r="AM15" s="249" cm="1">
        <f t="array" ref="AM15">IF(AND(1&gt;AM$1-$J15,$J15-AM$1&lt;$N15),$D15,0)</f>
        <v>0</v>
      </c>
      <c r="AN15" s="249" cm="1">
        <f t="array" ref="AN15">IF(AND(1&gt;AN$1-$J15,$J15-AN$1&lt;$N15),$D15,0)</f>
        <v>0</v>
      </c>
      <c r="AO15" s="249" cm="1">
        <f t="array" ref="AO15">IF(AND(1&gt;AO$1-$J15,$J15-AO$1&lt;$N15),$D15,0)</f>
        <v>0</v>
      </c>
      <c r="AP15" s="249" cm="1">
        <f t="array" ref="AP15">IF(AND(1&gt;AP$1-$J15,$J15-AP$1&lt;$N15),$D15,0)</f>
        <v>0</v>
      </c>
      <c r="AQ15" s="249" cm="1">
        <f t="array" ref="AQ15">IF(AND(1&gt;AQ$1-$J15,$J15-AQ$1&lt;$N15),$D15,0)</f>
        <v>0</v>
      </c>
    </row>
    <row r="16" ht="20.55" customHeight="1">
      <c r="A16" t="s" s="252">
        <v>601</v>
      </c>
      <c r="B16" t="s" s="252">
        <v>619</v>
      </c>
      <c r="C16" s="84"/>
      <c r="D16" s="253" cm="1">
        <f t="array" ref="D16">ROUND(O16/N16,0)</f>
        <v>139583</v>
      </c>
      <c r="E16" s="254" cm="1">
        <f t="array" ref="E16">D16/D$17</f>
        <v>0.313040767536679</v>
      </c>
      <c r="F16" s="255">
        <v>-6</v>
      </c>
      <c r="G16" s="256" cm="1">
        <f t="array" ref="G16">F16+F$2</f>
        <v>5</v>
      </c>
      <c r="H16" s="257" cm="1">
        <f t="array" ref="H16">IF(G16&lt;0,0,G16/N16)</f>
        <v>0.208333333333333</v>
      </c>
      <c r="I16" s="258" cm="1">
        <f t="array" ref="I16">IF(G16&lt;0,0,D16*G16)</f>
        <v>697915</v>
      </c>
      <c r="J16" s="259" cm="1">
        <f t="array" ref="J16">N16-G16</f>
        <v>19</v>
      </c>
      <c r="K16" s="260" cm="1">
        <f t="array" ref="K16">1-H16</f>
        <v>0.791666666666667</v>
      </c>
      <c r="L16" s="261" cm="1">
        <f t="array" ref="L16">IF($G16&lt;0,O16,O16-I16)</f>
        <v>2652085</v>
      </c>
      <c r="M16" s="260" cm="1">
        <f t="array" ref="M16">L16/L$17</f>
        <v>0.602839482993061</v>
      </c>
      <c r="N16" s="256">
        <v>24</v>
      </c>
      <c r="O16" s="258">
        <v>3350000</v>
      </c>
      <c r="P16" s="262" cm="1">
        <f t="array" ref="P16">O16*(1+P$2/12)^(N16)</f>
        <v>3637814.23019772</v>
      </c>
      <c r="Q16" s="262" cm="1">
        <f t="array" ref="Q16">P16-O16</f>
        <v>287814.23019772</v>
      </c>
      <c r="R16" s="262"/>
      <c r="S16" s="263" cm="1">
        <f t="array" ref="S16">IF(AND(1&gt;S$1-$J16,$J16-S$1&lt;$N16),$D16,0)</f>
        <v>139583</v>
      </c>
      <c r="T16" s="262" cm="1">
        <f t="array" ref="T16">IF(AND(1&gt;T$1-$J16,$J16-T$1&lt;$N16),$D16,0)</f>
        <v>139583</v>
      </c>
      <c r="U16" s="262" cm="1">
        <f t="array" ref="U16">IF(AND(1&gt;U$1-$J16,$J16-U$1&lt;$N16),$D16,0)</f>
        <v>139583</v>
      </c>
      <c r="V16" s="262" cm="1">
        <f t="array" ref="V16">IF(AND(1&gt;V$1-$J16,$J16-V$1&lt;$N16),$D16,0)</f>
        <v>139583</v>
      </c>
      <c r="W16" s="262" cm="1">
        <f t="array" ref="W16">IF(AND(1&gt;W$1-$J16,$J16-W$1&lt;$N16),$D16,0)</f>
        <v>139583</v>
      </c>
      <c r="X16" s="262" cm="1">
        <f t="array" ref="X16">IF(AND(1&gt;X$1-$J16,$J16-X$1&lt;$N16),$D16,0)</f>
        <v>139583</v>
      </c>
      <c r="Y16" s="262" cm="1">
        <f t="array" ref="Y16">IF(AND(1&gt;Y$1-$J16,$J16-Y$1&lt;$N16),$D16,0)</f>
        <v>139583</v>
      </c>
      <c r="Z16" s="262" cm="1">
        <f t="array" ref="Z16">IF(AND(1&gt;Z$1-$J16,$J16-Z$1&lt;$N16),$D16,0)</f>
        <v>139583</v>
      </c>
      <c r="AA16" s="262" cm="1">
        <f t="array" ref="AA16">IF(AND(1&gt;AA$1-$J16,$J16-AA$1&lt;$N16),$D16,0)</f>
        <v>139583</v>
      </c>
      <c r="AB16" s="262" cm="1">
        <f t="array" ref="AB16">IF(AND(1&gt;AB$1-$J16,$J16-AB$1&lt;$N16),$D16,0)</f>
        <v>139583</v>
      </c>
      <c r="AC16" s="262" cm="1">
        <f t="array" ref="AC16">IF(AND(1&gt;AC$1-$J16,$J16-AC$1&lt;$N16),$D16,0)</f>
        <v>139583</v>
      </c>
      <c r="AD16" s="262" cm="1">
        <f t="array" ref="AD16">IF(AND(1&gt;AD$1-$J16,$J16-AD$1&lt;$N16),$D16,0)</f>
        <v>139583</v>
      </c>
      <c r="AE16" s="262" cm="1">
        <f t="array" ref="AE16">IF(AND(1&gt;AE$1-$J16,$J16-AE$1&lt;$N16),$D16,0)</f>
        <v>139583</v>
      </c>
      <c r="AF16" s="262" cm="1">
        <f t="array" ref="AF16">IF(AND(1&gt;AF$1-$J16,$J16-AF$1&lt;$N16),$D16,0)</f>
        <v>139583</v>
      </c>
      <c r="AG16" s="262" cm="1">
        <f t="array" ref="AG16">IF(AND(1&gt;AG$1-$J16,$J16-AG$1&lt;$N16),$D16,0)</f>
        <v>139583</v>
      </c>
      <c r="AH16" s="262" cm="1">
        <f t="array" ref="AH16">IF(AND(1&gt;AH$1-$J16,$J16-AH$1&lt;$N16),$D16,0)</f>
        <v>139583</v>
      </c>
      <c r="AI16" s="262" cm="1">
        <f t="array" ref="AI16">IF(AND(1&gt;AI$1-$J16,$J16-AI$1&lt;$N16),$D16,0)</f>
        <v>139583</v>
      </c>
      <c r="AJ16" s="262" cm="1">
        <f t="array" ref="AJ16">IF(AND(1&gt;AJ$1-$J16,$J16-AJ$1&lt;$N16),$D16,0)</f>
        <v>139583</v>
      </c>
      <c r="AK16" s="262" cm="1">
        <f t="array" ref="AK16">IF(AND(1&gt;AK$1-$J16,$J16-AK$1&lt;$N16),$D16,0)</f>
        <v>139583</v>
      </c>
      <c r="AL16" s="262" cm="1">
        <f t="array" ref="AL16">IF(AND(1&gt;AL$1-$J16,$J16-AL$1&lt;$N16),$D16,0)</f>
        <v>139583</v>
      </c>
      <c r="AM16" s="264" cm="1">
        <f t="array" ref="AM16">IF(AND(1&gt;AM$1-$J16,$J16-AM$1&lt;$N16),$D16,0)</f>
        <v>0</v>
      </c>
      <c r="AN16" s="264" cm="1">
        <f t="array" ref="AN16">IF(AND(1&gt;AN$1-$J16,$J16-AN$1&lt;$N16),$D16,0)</f>
        <v>0</v>
      </c>
      <c r="AO16" s="264" cm="1">
        <f t="array" ref="AO16">IF(AND(1&gt;AO$1-$J16,$J16-AO$1&lt;$N16),$D16,0)</f>
        <v>0</v>
      </c>
      <c r="AP16" s="264" cm="1">
        <f t="array" ref="AP16">IF(AND(1&gt;AP$1-$J16,$J16-AP$1&lt;$N16),$D16,0)</f>
        <v>0</v>
      </c>
      <c r="AQ16" s="264" cm="1">
        <f t="array" ref="AQ16">IF(AND(1&gt;AQ$1-$J16,$J16-AQ$1&lt;$N16),$D16,0)</f>
        <v>0</v>
      </c>
    </row>
    <row r="17" ht="20.55" customHeight="1">
      <c r="A17" s="46"/>
      <c r="B17" s="46"/>
      <c r="C17" s="46"/>
      <c r="D17" s="79" cm="1">
        <f t="array" ref="D17">S$17</f>
        <v>445894</v>
      </c>
      <c r="E17" s="265" cm="1">
        <f t="array" ref="E17">D$17/(L$17+D$17)</f>
        <v>0.0920276825635844</v>
      </c>
      <c r="F17" s="46"/>
      <c r="G17" s="46"/>
      <c r="H17" s="46"/>
      <c r="I17" s="266" cm="1">
        <f t="array" ref="I17">SUM(I3:I16)</f>
        <v>2069964</v>
      </c>
      <c r="J17" s="46"/>
      <c r="K17" s="46"/>
      <c r="L17" s="267" cm="1">
        <f t="array" ref="L17">SUM(L3:L16)</f>
        <v>4399322</v>
      </c>
      <c r="M17" s="268" cm="1">
        <f t="array" ref="M17">L$17/O$17</f>
        <v>0.680032077728516</v>
      </c>
      <c r="N17" s="82"/>
      <c r="O17" s="269" cm="1">
        <f t="array" ref="O17">SUM(O3:O16)</f>
        <v>6469286</v>
      </c>
      <c r="P17" s="46"/>
      <c r="Q17" s="79" cm="1">
        <f t="array" ref="Q17">SUM(Q3:Q16)</f>
        <v>428366.553163903</v>
      </c>
      <c r="R17" s="46"/>
      <c r="S17" s="79" cm="1">
        <f t="array" ref="S17">SUM(S3:S16)</f>
        <v>445894</v>
      </c>
      <c r="T17" s="79" cm="1">
        <f t="array" ref="T17">SUM(T3:T16)</f>
        <v>489265</v>
      </c>
      <c r="U17" s="79" cm="1">
        <f t="array" ref="U17">SUM(U3:U16)</f>
        <v>447617</v>
      </c>
      <c r="V17" s="79" cm="1">
        <f t="array" ref="V17">SUM(V3:V16)</f>
        <v>352860</v>
      </c>
      <c r="W17" s="79" cm="1">
        <f t="array" ref="W17">SUM(W3:W16)</f>
        <v>319516</v>
      </c>
      <c r="X17" s="79" cm="1">
        <f t="array" ref="X17">SUM(X3:X16)</f>
        <v>319516</v>
      </c>
      <c r="Y17" s="79" cm="1">
        <f t="array" ref="Y17">SUM(Y3:Y16)</f>
        <v>311268</v>
      </c>
      <c r="Z17" s="79" cm="1">
        <f t="array" ref="Z17">SUM(Z3:Z16)</f>
        <v>298870</v>
      </c>
      <c r="AA17" s="79" cm="1">
        <f t="array" ref="AA17">SUM(AA3:AA16)</f>
        <v>163454</v>
      </c>
      <c r="AB17" s="79" cm="1">
        <f t="array" ref="AB17">SUM(AB3:AB16)</f>
        <v>163454</v>
      </c>
      <c r="AC17" s="79" cm="1">
        <f t="array" ref="AC17">SUM(AC3:AC16)</f>
        <v>163454</v>
      </c>
      <c r="AD17" s="79" cm="1">
        <f t="array" ref="AD17">SUM(AD3:AD16)</f>
        <v>163454</v>
      </c>
      <c r="AE17" s="79" cm="1">
        <f t="array" ref="AE17">SUM(AE3:AE16)</f>
        <v>163454</v>
      </c>
      <c r="AF17" s="79" cm="1">
        <f t="array" ref="AF17">SUM(AF3:AF16)</f>
        <v>163454</v>
      </c>
      <c r="AG17" s="79" cm="1">
        <f t="array" ref="AG17">SUM(AG3:AG16)</f>
        <v>163454</v>
      </c>
      <c r="AH17" s="79" cm="1">
        <f t="array" ref="AH17">SUM(AH3:AH16)</f>
        <v>157916</v>
      </c>
      <c r="AI17" s="79" cm="1">
        <f t="array" ref="AI17">SUM(AI3:AI16)</f>
        <v>139583</v>
      </c>
      <c r="AJ17" s="79" cm="1">
        <f t="array" ref="AJ17">SUM(AJ3:AJ16)</f>
        <v>139583</v>
      </c>
      <c r="AK17" s="79" cm="1">
        <f t="array" ref="AK17">SUM(AK3:AK16)</f>
        <v>139583</v>
      </c>
      <c r="AL17" s="79" cm="1">
        <f t="array" ref="AL17">SUM(AL3:AL16)</f>
        <v>139583</v>
      </c>
      <c r="AM17" s="79" cm="1">
        <f t="array" ref="AM17">SUM(AM3:AM16)</f>
        <v>0</v>
      </c>
      <c r="AN17" s="79" cm="1">
        <f t="array" ref="AN17">SUM(AN3:AN16)</f>
        <v>0</v>
      </c>
      <c r="AO17" s="79" cm="1">
        <f t="array" ref="AO17">SUM(AO3:AO16)</f>
        <v>0</v>
      </c>
      <c r="AP17" s="79" cm="1">
        <f t="array" ref="AP17">SUM(AP3:AP16)</f>
        <v>0</v>
      </c>
      <c r="AQ17" s="79" cm="1">
        <f t="array" ref="AQ17">SUM(AQ3:AQ16)</f>
        <v>0</v>
      </c>
    </row>
    <row r="18" ht="20.35" customHeight="1">
      <c r="A18" s="51"/>
      <c r="B18" s="51"/>
      <c r="C18" s="51"/>
      <c r="D18" s="51"/>
      <c r="E18" s="51"/>
      <c r="F18" s="51"/>
      <c r="G18" s="51"/>
      <c r="H18" s="51"/>
      <c r="I18" s="51"/>
      <c r="J18" s="51"/>
      <c r="K18" s="51"/>
      <c r="L18" s="88"/>
      <c r="M18" s="88"/>
      <c r="N18" s="270"/>
      <c r="O18" s="51"/>
      <c r="P18" s="51"/>
      <c r="Q18" s="51"/>
      <c r="R18" s="51"/>
      <c r="S18" s="51"/>
      <c r="T18" s="88" cm="1">
        <f t="array" ref="T18">T17-S17</f>
        <v>43371</v>
      </c>
      <c r="U18" s="88" cm="1">
        <f t="array" ref="U18">U17-T17</f>
        <v>-41648</v>
      </c>
      <c r="V18" s="88" cm="1">
        <f t="array" ref="V18">V17-U17</f>
        <v>-94757</v>
      </c>
      <c r="W18" s="88" cm="1">
        <f t="array" ref="W18">W17-V17</f>
        <v>-33344</v>
      </c>
      <c r="X18" s="88" cm="1">
        <f t="array" ref="X18">X17-W17</f>
        <v>0</v>
      </c>
      <c r="Y18" s="88" cm="1">
        <f t="array" ref="Y18">Y17-X17</f>
        <v>-8248</v>
      </c>
      <c r="Z18" s="88" cm="1">
        <f t="array" ref="Z18">Z17-Y17</f>
        <v>-12398</v>
      </c>
      <c r="AA18" s="88" cm="1">
        <f t="array" ref="AA18">AA17-Z17</f>
        <v>-135416</v>
      </c>
      <c r="AB18" s="88" cm="1">
        <f t="array" ref="AB18">AB17-AA17</f>
        <v>0</v>
      </c>
      <c r="AC18" s="88" cm="1">
        <f t="array" ref="AC18">AC17-AB17</f>
        <v>0</v>
      </c>
      <c r="AD18" s="88" cm="1">
        <f t="array" ref="AD18">AD17-AC17</f>
        <v>0</v>
      </c>
      <c r="AE18" s="88" cm="1">
        <f t="array" ref="AE18">AE17-AD17</f>
        <v>0</v>
      </c>
      <c r="AF18" s="88" cm="1">
        <f t="array" ref="AF18">AF17-AE17</f>
        <v>0</v>
      </c>
      <c r="AG18" s="88" cm="1">
        <f t="array" ref="AG18">AG17-AF17</f>
        <v>0</v>
      </c>
      <c r="AH18" s="88" cm="1">
        <f t="array" ref="AH18">AH17-AG17</f>
        <v>-5538</v>
      </c>
      <c r="AI18" s="88" cm="1">
        <f t="array" ref="AI18">AI17-AH17</f>
        <v>-18333</v>
      </c>
      <c r="AJ18" s="88" cm="1">
        <f t="array" ref="AJ18">AJ17-AI17</f>
        <v>0</v>
      </c>
      <c r="AK18" s="88" cm="1">
        <f t="array" ref="AK18">AK17-AJ17</f>
        <v>0</v>
      </c>
      <c r="AL18" s="88" cm="1">
        <f t="array" ref="AL18">AL17-AK17</f>
        <v>0</v>
      </c>
      <c r="AM18" s="88" cm="1">
        <f t="array" ref="AM18">AM17-AL17</f>
        <v>-139583</v>
      </c>
      <c r="AN18" s="88" cm="1">
        <f t="array" ref="AN18">AN17-AM17</f>
        <v>0</v>
      </c>
      <c r="AO18" s="88" cm="1">
        <f t="array" ref="AO18">AO17-AN17</f>
        <v>0</v>
      </c>
      <c r="AP18" s="88" cm="1">
        <f t="array" ref="AP18">AP17-AO17</f>
        <v>0</v>
      </c>
      <c r="AQ18" s="88" cm="1">
        <f t="array" ref="AQ18">AQ17-AP17</f>
        <v>0</v>
      </c>
    </row>
    <row r="19" ht="20.35" customHeight="1">
      <c r="A19" s="51"/>
      <c r="B19" s="51"/>
      <c r="C19" s="51"/>
      <c r="D19" s="51"/>
      <c r="E19" s="51"/>
      <c r="F19" s="51"/>
      <c r="G19" s="51"/>
      <c r="H19" s="51"/>
      <c r="I19" s="51"/>
      <c r="J19" s="51"/>
      <c r="K19" s="51"/>
      <c r="L19" s="88"/>
      <c r="M19" s="88"/>
      <c r="N19" s="88"/>
      <c r="O19" s="51"/>
      <c r="P19" s="51"/>
      <c r="Q19" s="51"/>
      <c r="R19" s="51"/>
      <c r="S19" s="88" cm="1">
        <f t="array" ref="S19">L$17</f>
        <v>4399322</v>
      </c>
      <c r="T19" s="88" cm="1">
        <f t="array" ref="T19">L$17-T$17</f>
        <v>3910057</v>
      </c>
      <c r="U19" s="88" cm="1">
        <f t="array" ref="U19">T$19-U$17</f>
        <v>3462440</v>
      </c>
      <c r="V19" s="88" cm="1">
        <f t="array" ref="V19">U$19-V$17</f>
        <v>3109580</v>
      </c>
      <c r="W19" s="88" cm="1">
        <f t="array" ref="W19">V$19-W$17</f>
        <v>2790064</v>
      </c>
      <c r="X19" s="88" cm="1">
        <f t="array" ref="X19">W$19-X$17</f>
        <v>2470548</v>
      </c>
      <c r="Y19" s="88" cm="1">
        <f t="array" ref="Y19">X$19-Y$17</f>
        <v>2159280</v>
      </c>
      <c r="Z19" s="88" cm="1">
        <f t="array" ref="Z19">Y$19-Z$17</f>
        <v>1860410</v>
      </c>
      <c r="AA19" s="88" cm="1">
        <f t="array" ref="AA19">Z$19-AA$17</f>
        <v>1696956</v>
      </c>
      <c r="AB19" s="88" cm="1">
        <f t="array" ref="AB19">AA$19-AB$17</f>
        <v>1533502</v>
      </c>
      <c r="AC19" s="88" cm="1">
        <f t="array" ref="AC19">AB$19-AC$17</f>
        <v>1370048</v>
      </c>
      <c r="AD19" s="88" cm="1">
        <f t="array" ref="AD19">AC$19-AD$17</f>
        <v>1206594</v>
      </c>
      <c r="AE19" s="88" cm="1">
        <f t="array" ref="AE19">AD$19-AE$17</f>
        <v>1043140</v>
      </c>
      <c r="AF19" s="88" cm="1">
        <f t="array" ref="AF19">AE$19-AF$17</f>
        <v>879686</v>
      </c>
      <c r="AG19" s="88" cm="1">
        <f t="array" ref="AG19">AF$19-AG$17</f>
        <v>716232</v>
      </c>
      <c r="AH19" s="88" cm="1">
        <f t="array" ref="AH19">AG$19-AH$17</f>
        <v>558316</v>
      </c>
      <c r="AI19" s="88" cm="1">
        <f t="array" ref="AI19">AH$19-AI$17</f>
        <v>418733</v>
      </c>
      <c r="AJ19" s="88" cm="1">
        <f t="array" ref="AJ19">AI$19-AJ$17</f>
        <v>279150</v>
      </c>
      <c r="AK19" s="88" cm="1">
        <f t="array" ref="AK19">AJ$19-AK$17</f>
        <v>139567</v>
      </c>
      <c r="AL19" s="88" cm="1">
        <f t="array" ref="AL19">AK$19-AL$17</f>
        <v>-16</v>
      </c>
      <c r="AM19" s="88" cm="1">
        <f t="array" ref="AM19">AL$19-AM$17</f>
        <v>-16</v>
      </c>
      <c r="AN19" s="88" cm="1">
        <f t="array" ref="AN19">AM$19-AN$17</f>
        <v>-16</v>
      </c>
      <c r="AO19" s="88" cm="1">
        <f t="array" ref="AO19">AN$19-AO$17</f>
        <v>-16</v>
      </c>
      <c r="AP19" s="88" cm="1">
        <f t="array" ref="AP19">AO$19-AP$17</f>
        <v>-16</v>
      </c>
      <c r="AQ19" s="88" cm="1">
        <f t="array" ref="AQ19">AP$19-AQ$17</f>
        <v>-16</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H19"/>
  <sheetViews>
    <sheetView workbookViewId="0" showGridLines="0" defaultGridColor="1">
      <pane topLeftCell="C2" xSplit="2" ySplit="1" activePane="bottomRight" state="frozen"/>
    </sheetView>
  </sheetViews>
  <sheetFormatPr defaultColWidth="16.3333" defaultRowHeight="18" customHeight="1" outlineLevelRow="0" outlineLevelCol="0"/>
  <cols>
    <col min="1" max="8" width="16.3516" style="271" customWidth="1"/>
    <col min="9" max="16384" width="16.3516" style="271" customWidth="1"/>
  </cols>
  <sheetData>
    <row r="1" ht="20.55" customHeight="1">
      <c r="A1" s="7"/>
      <c r="B1" s="7"/>
      <c r="C1" s="7"/>
      <c r="D1" s="7"/>
      <c r="E1" s="7"/>
      <c r="F1" s="7"/>
      <c r="G1" s="7"/>
      <c r="H1" s="7"/>
    </row>
    <row r="2" ht="20.55" customHeight="1">
      <c r="A2" s="272"/>
      <c r="B2" t="s" s="10">
        <v>621</v>
      </c>
      <c r="C2" s="273" cm="1">
        <f t="array" ref="C2">H6+H7</f>
        <v>9857935</v>
      </c>
      <c r="D2" s="274">
        <v>100</v>
      </c>
      <c r="E2" s="82"/>
      <c r="F2" s="82"/>
      <c r="G2" s="82"/>
      <c r="H2" s="82"/>
    </row>
    <row r="3" ht="20.35" customHeight="1">
      <c r="A3" s="250"/>
      <c r="B3" s="28"/>
      <c r="C3" s="29"/>
      <c r="D3" s="32"/>
      <c r="E3" s="32"/>
      <c r="F3" s="32"/>
      <c r="G3" t="s" s="23">
        <v>622</v>
      </c>
      <c r="H3" s="26">
        <v>5857935</v>
      </c>
    </row>
    <row r="4" ht="20.35" customHeight="1">
      <c r="A4" t="s" s="237">
        <v>623</v>
      </c>
      <c r="B4" t="s" s="17">
        <v>624</v>
      </c>
      <c r="C4" s="83" cm="1">
        <f t="array" ref="C4">'flujos - Table 3'!S$17</f>
        <v>445894</v>
      </c>
      <c r="D4" s="32"/>
      <c r="E4" s="32"/>
      <c r="F4" t="s" s="23">
        <v>625</v>
      </c>
      <c r="G4" t="s" s="23">
        <v>626</v>
      </c>
      <c r="H4" s="26" cm="1">
        <f t="array" ref="H4">0</f>
        <v>0</v>
      </c>
    </row>
    <row r="5" ht="20.35" customHeight="1">
      <c r="A5" s="250"/>
      <c r="B5" t="s" s="17">
        <v>627</v>
      </c>
      <c r="C5" s="83" cm="1">
        <f t="array" ref="C5">C2-'flujos - Table 3'!L$17</f>
        <v>5458613</v>
      </c>
      <c r="D5" s="32"/>
      <c r="E5" s="26" cm="1">
        <f t="array" ref="E5">C5-C9</f>
        <v>4636348</v>
      </c>
      <c r="F5" s="32"/>
      <c r="G5" s="32"/>
      <c r="H5" s="32"/>
    </row>
    <row r="6" ht="20.35" customHeight="1">
      <c r="A6" s="250"/>
      <c r="B6" t="s" s="17">
        <v>628</v>
      </c>
      <c r="C6" s="29"/>
      <c r="D6" s="26" cm="1">
        <f t="array" ref="D6">SUM(C4:C5)</f>
        <v>5904507</v>
      </c>
      <c r="E6" s="32"/>
      <c r="F6" s="32"/>
      <c r="G6" s="275" cm="1">
        <f t="array" ref="G6">C2-H6</f>
        <v>4000000</v>
      </c>
      <c r="H6" s="26" cm="1">
        <f t="array" ref="H6">SUM(H3)</f>
        <v>5857935</v>
      </c>
    </row>
    <row r="7" ht="20.35" customHeight="1">
      <c r="A7" s="250"/>
      <c r="B7" t="s" s="17">
        <v>629</v>
      </c>
      <c r="C7" s="83" cm="1">
        <f t="array" ref="C7">D2*'variables - Table 1'!B13</f>
        <v>88694</v>
      </c>
      <c r="D7" s="32"/>
      <c r="E7" s="32"/>
      <c r="F7" s="32"/>
      <c r="G7" t="s" s="23">
        <v>596</v>
      </c>
      <c r="H7" s="26">
        <v>4000000</v>
      </c>
    </row>
    <row r="8" ht="20.35" customHeight="1">
      <c r="A8" s="250"/>
      <c r="B8" t="s" s="17">
        <v>630</v>
      </c>
      <c r="C8" s="29"/>
      <c r="D8" s="26" cm="1">
        <f t="array" ref="D8">SUM(C7,C5)</f>
        <v>5547307</v>
      </c>
      <c r="E8" s="32"/>
      <c r="F8" s="32"/>
      <c r="G8" s="32"/>
      <c r="H8" s="32"/>
    </row>
    <row r="9" ht="20.35" customHeight="1">
      <c r="A9" s="250"/>
      <c r="B9" t="s" s="17">
        <v>631</v>
      </c>
      <c r="C9" s="276" cm="1">
        <f t="array" ref="C9">'depto - dividendos'!J31</f>
        <v>822265</v>
      </c>
      <c r="D9" s="32"/>
      <c r="E9" s="32"/>
      <c r="F9" s="32"/>
      <c r="G9" s="32"/>
      <c r="H9" s="32"/>
    </row>
    <row r="10" ht="20.35" customHeight="1">
      <c r="A10" s="250"/>
      <c r="B10" t="s" s="17">
        <v>632</v>
      </c>
      <c r="C10" s="29"/>
      <c r="D10" s="26" cm="1">
        <f t="array" ref="D10">D8-C9</f>
        <v>4725042</v>
      </c>
      <c r="E10" s="32"/>
      <c r="F10" s="32"/>
      <c r="G10" s="32"/>
      <c r="H10" s="32"/>
    </row>
    <row r="11" ht="20.35" customHeight="1">
      <c r="A11" s="250"/>
      <c r="B11" s="28"/>
      <c r="C11" s="29"/>
      <c r="D11" s="32"/>
      <c r="E11" s="32"/>
      <c r="F11" s="32"/>
      <c r="G11" s="32"/>
      <c r="H11" s="32"/>
    </row>
    <row r="12" ht="20.35" customHeight="1">
      <c r="A12" s="250"/>
      <c r="B12" t="s" s="17">
        <v>633</v>
      </c>
      <c r="C12" s="277" cm="1">
        <f t="array" ref="C12">C4+D8</f>
        <v>5993201</v>
      </c>
      <c r="D12" s="32"/>
      <c r="E12" s="26"/>
      <c r="F12" s="26"/>
      <c r="G12" s="32"/>
      <c r="H12" s="26">
        <v>2336694</v>
      </c>
    </row>
    <row r="13" ht="20.35" customHeight="1">
      <c r="A13" s="250"/>
      <c r="B13" t="s" s="17">
        <v>632</v>
      </c>
      <c r="C13" s="83" cm="1">
        <f t="array" ref="C13">C12-C9</f>
        <v>5170936</v>
      </c>
      <c r="D13" s="32"/>
      <c r="E13" s="32"/>
      <c r="F13" s="32"/>
      <c r="G13" s="32"/>
      <c r="H13" s="26" cm="1">
        <f t="array" ref="H13">265473*1</f>
        <v>265473</v>
      </c>
    </row>
    <row r="14" ht="20.35" customHeight="1">
      <c r="A14" s="250"/>
      <c r="B14" s="28"/>
      <c r="C14" s="29"/>
      <c r="D14" s="32"/>
      <c r="E14" s="32"/>
      <c r="F14" s="32"/>
      <c r="G14" s="32"/>
      <c r="H14" s="26" cm="1">
        <f t="array" ref="H14">SUM(H12:H13)</f>
        <v>2602167</v>
      </c>
    </row>
    <row r="15" ht="20.35" customHeight="1">
      <c r="A15" t="s" s="237">
        <v>634</v>
      </c>
      <c r="B15" t="s" s="17">
        <v>635</v>
      </c>
      <c r="C15" s="278" cm="1">
        <f t="array" ref="C15">$C$12-'net worth - cash'!$B$2</f>
        <v>5712457</v>
      </c>
      <c r="D15" s="32"/>
      <c r="E15" s="32"/>
      <c r="F15" s="32"/>
      <c r="G15" s="32"/>
      <c r="H15" s="32"/>
    </row>
    <row r="16" ht="20.35" customHeight="1">
      <c r="A16" s="250"/>
      <c r="B16" t="s" s="279">
        <v>636</v>
      </c>
      <c r="C16" s="280" cm="1">
        <f t="array" ref="C16">$C$12-'presupuesto - Ingreso líquido'!$B$32</f>
        <v>2832547</v>
      </c>
      <c r="D16" s="32"/>
      <c r="E16" s="32"/>
      <c r="F16" s="32"/>
      <c r="G16" s="32"/>
      <c r="H16" s="32"/>
    </row>
    <row r="17" ht="20.35" customHeight="1">
      <c r="A17" s="250"/>
      <c r="B17" s="28"/>
      <c r="C17" s="29"/>
      <c r="D17" s="32"/>
      <c r="E17" s="32"/>
      <c r="F17" s="32"/>
      <c r="G17" s="32"/>
      <c r="H17" s="32"/>
    </row>
    <row r="18" ht="20.35" customHeight="1">
      <c r="A18" s="281">
        <v>45971</v>
      </c>
      <c r="B18" t="s" s="17">
        <v>637</v>
      </c>
      <c r="C18" s="83" cm="1">
        <f t="array" ref="C18">SUM(E18,F19)+C12*0</f>
        <v>5721066</v>
      </c>
      <c r="D18" s="32"/>
      <c r="E18" s="282" cm="1">
        <f t="array" ref="E18">C12*0+5570527</f>
        <v>5570527</v>
      </c>
      <c r="F18" s="32"/>
      <c r="G18" s="32"/>
      <c r="H18" s="32"/>
    </row>
    <row r="19" ht="20.35" customHeight="1">
      <c r="A19" s="250"/>
      <c r="B19" t="s" s="17">
        <v>638</v>
      </c>
      <c r="C19" s="278" cm="1">
        <f t="array" ref="C19">C18-'net worth - cash'!B2</f>
        <v>5440322</v>
      </c>
      <c r="D19" s="32"/>
      <c r="E19" s="283">
        <v>166.4</v>
      </c>
      <c r="F19" s="26" cm="1">
        <f t="array" ref="F19">ROUND(('variables - Table 1'!B13*1.02)*E19,0)</f>
        <v>150539</v>
      </c>
      <c r="G19" s="32"/>
      <c r="H19"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G40"/>
  <sheetViews>
    <sheetView workbookViewId="0" showGridLines="0" defaultGridColor="1"/>
  </sheetViews>
  <sheetFormatPr defaultColWidth="16.3333" defaultRowHeight="18" customHeight="1" outlineLevelRow="0" outlineLevelCol="0"/>
  <cols>
    <col min="1" max="7" width="16.3516" style="284" customWidth="1"/>
    <col min="8" max="16384" width="16.3516" style="284" customWidth="1"/>
  </cols>
  <sheetData>
    <row r="1" ht="20.35" customHeight="1">
      <c r="A1" s="285"/>
      <c r="B1" s="285"/>
      <c r="C1" s="68">
        <v>2023</v>
      </c>
      <c r="D1" s="32"/>
      <c r="E1" s="68">
        <v>2024</v>
      </c>
      <c r="F1" s="32"/>
      <c r="G1" s="32"/>
    </row>
    <row r="2" ht="20.35" customHeight="1">
      <c r="A2" s="286">
        <v>45292</v>
      </c>
      <c r="B2" t="s" s="287">
        <v>641</v>
      </c>
      <c r="C2" s="247"/>
      <c r="D2" s="288"/>
      <c r="E2" s="247">
        <v>40683</v>
      </c>
      <c r="F2" s="289">
        <v>24.9</v>
      </c>
      <c r="G2" s="288"/>
    </row>
    <row r="3" ht="20.35" customHeight="1">
      <c r="A3" s="286"/>
      <c r="B3" t="s" s="287">
        <v>642</v>
      </c>
      <c r="C3" s="247"/>
      <c r="D3" s="288"/>
      <c r="E3" s="247"/>
      <c r="F3" s="288"/>
      <c r="G3" s="288"/>
    </row>
    <row r="4" ht="20.35" customHeight="1">
      <c r="A4" s="286">
        <v>44958</v>
      </c>
      <c r="B4" t="s" s="287">
        <v>641</v>
      </c>
      <c r="C4" s="247">
        <v>20945</v>
      </c>
      <c r="D4" s="289">
        <v>12.2</v>
      </c>
      <c r="E4" s="247"/>
      <c r="F4" s="288"/>
      <c r="G4" s="288"/>
    </row>
    <row r="5" ht="20.35" customHeight="1">
      <c r="A5" s="286"/>
      <c r="B5" t="s" s="287">
        <v>642</v>
      </c>
      <c r="C5" s="247"/>
      <c r="D5" s="288"/>
      <c r="E5" s="247"/>
      <c r="F5" s="288"/>
      <c r="G5" s="288"/>
    </row>
    <row r="6" ht="20.35" customHeight="1">
      <c r="A6" s="286">
        <v>44986</v>
      </c>
      <c r="B6" t="s" s="287">
        <v>641</v>
      </c>
      <c r="C6" s="247"/>
      <c r="D6" s="288"/>
      <c r="E6" s="247">
        <v>42088</v>
      </c>
      <c r="F6" s="288">
        <v>26</v>
      </c>
      <c r="G6" s="288"/>
    </row>
    <row r="7" ht="20.35" customHeight="1">
      <c r="A7" s="286"/>
      <c r="B7" t="s" s="287">
        <v>642</v>
      </c>
      <c r="C7" s="247"/>
      <c r="D7" s="288"/>
      <c r="E7" s="247"/>
      <c r="F7" s="288"/>
      <c r="G7" s="288"/>
    </row>
    <row r="8" ht="20.35" customHeight="1">
      <c r="A8" s="286">
        <v>45017</v>
      </c>
      <c r="B8" t="s" s="287">
        <v>641</v>
      </c>
      <c r="C8" s="247">
        <v>16525</v>
      </c>
      <c r="D8" s="289">
        <v>9.4</v>
      </c>
      <c r="E8" s="247">
        <v>29340</v>
      </c>
      <c r="F8" s="289">
        <v>17.6</v>
      </c>
      <c r="G8" s="288"/>
    </row>
    <row r="9" ht="20.35" customHeight="1">
      <c r="A9" s="286"/>
      <c r="B9" t="s" s="287">
        <v>642</v>
      </c>
      <c r="C9" s="247"/>
      <c r="D9" s="288"/>
      <c r="E9" s="247"/>
      <c r="F9" s="288"/>
      <c r="G9" s="288"/>
    </row>
    <row r="10" ht="20.35" customHeight="1">
      <c r="A10" s="286">
        <v>45047</v>
      </c>
      <c r="B10" t="s" s="287">
        <v>641</v>
      </c>
      <c r="C10" s="247"/>
      <c r="D10" s="288"/>
      <c r="E10" s="247">
        <v>50304</v>
      </c>
      <c r="F10" s="289">
        <v>32.7</v>
      </c>
      <c r="G10" s="288"/>
    </row>
    <row r="11" ht="20.35" customHeight="1">
      <c r="A11" s="286"/>
      <c r="B11" t="s" s="287">
        <v>642</v>
      </c>
      <c r="C11" s="247"/>
      <c r="D11" s="288"/>
      <c r="E11" s="247"/>
      <c r="F11" s="288"/>
      <c r="G11" s="288"/>
    </row>
    <row r="12" ht="20.35" customHeight="1">
      <c r="A12" s="286">
        <v>45078</v>
      </c>
      <c r="B12" t="s" s="287">
        <v>641</v>
      </c>
      <c r="C12" s="247"/>
      <c r="D12" s="288"/>
      <c r="E12" s="247"/>
      <c r="F12" s="288">
        <v>6</v>
      </c>
      <c r="G12" s="288"/>
    </row>
    <row r="13" ht="20.35" customHeight="1">
      <c r="A13" s="286"/>
      <c r="B13" t="s" s="287">
        <v>642</v>
      </c>
      <c r="C13" s="247"/>
      <c r="D13" s="288"/>
      <c r="E13" s="247"/>
      <c r="F13" s="288"/>
      <c r="G13" s="288"/>
    </row>
    <row r="14" ht="20.35" customHeight="1">
      <c r="A14" s="286">
        <v>45108</v>
      </c>
      <c r="B14" t="s" s="287">
        <v>641</v>
      </c>
      <c r="C14" s="247">
        <v>18854</v>
      </c>
      <c r="D14" s="289">
        <v>10.9</v>
      </c>
      <c r="E14" s="247"/>
      <c r="F14" s="288"/>
      <c r="G14" s="288"/>
    </row>
    <row r="15" ht="20.35" customHeight="1">
      <c r="A15" s="286"/>
      <c r="B15" t="s" s="287">
        <v>642</v>
      </c>
      <c r="C15" s="247"/>
      <c r="D15" s="288"/>
      <c r="E15" s="247"/>
      <c r="F15" s="288"/>
      <c r="G15" s="288"/>
    </row>
    <row r="16" ht="20.35" customHeight="1">
      <c r="A16" s="286">
        <v>45139</v>
      </c>
      <c r="B16" t="s" s="287">
        <v>641</v>
      </c>
      <c r="C16" s="247"/>
      <c r="D16" s="288"/>
      <c r="E16" s="247"/>
      <c r="F16" s="288">
        <v>30</v>
      </c>
      <c r="G16" s="288"/>
    </row>
    <row r="17" ht="20.35" customHeight="1">
      <c r="A17" s="286"/>
      <c r="B17" t="s" s="287">
        <v>642</v>
      </c>
      <c r="C17" s="247"/>
      <c r="D17" s="288"/>
      <c r="E17" s="247"/>
      <c r="F17" s="288"/>
      <c r="G17" s="288"/>
    </row>
    <row r="18" ht="20.35" customHeight="1">
      <c r="A18" s="286">
        <v>45170</v>
      </c>
      <c r="B18" t="s" s="287">
        <v>641</v>
      </c>
      <c r="C18" s="247">
        <v>34363</v>
      </c>
      <c r="D18" s="289">
        <v>20.9</v>
      </c>
      <c r="E18" s="247"/>
      <c r="F18" s="288"/>
      <c r="G18" s="288"/>
    </row>
    <row r="19" ht="20.35" customHeight="1">
      <c r="A19" s="286"/>
      <c r="B19" t="s" s="287">
        <v>642</v>
      </c>
      <c r="C19" s="247"/>
      <c r="D19" s="288"/>
      <c r="E19" s="247"/>
      <c r="F19" s="288"/>
      <c r="G19" s="288"/>
    </row>
    <row r="20" ht="20.35" customHeight="1">
      <c r="A20" s="286">
        <v>45200</v>
      </c>
      <c r="B20" t="s" s="287">
        <v>641</v>
      </c>
      <c r="C20" s="247">
        <v>44793</v>
      </c>
      <c r="D20" s="289">
        <v>28.2</v>
      </c>
      <c r="E20" s="247"/>
      <c r="F20" s="288">
        <v>24</v>
      </c>
      <c r="G20" s="288"/>
    </row>
    <row r="21" ht="20.35" customHeight="1">
      <c r="A21" s="286"/>
      <c r="B21" t="s" s="287">
        <v>642</v>
      </c>
      <c r="C21" s="247"/>
      <c r="D21" s="288"/>
      <c r="E21" s="247"/>
      <c r="F21" s="288"/>
      <c r="G21" s="288"/>
    </row>
    <row r="22" ht="20.35" customHeight="1">
      <c r="A22" s="286">
        <v>45231</v>
      </c>
      <c r="B22" t="s" s="287">
        <v>641</v>
      </c>
      <c r="C22" s="247"/>
      <c r="D22" s="288"/>
      <c r="E22" s="247"/>
      <c r="F22" s="288"/>
      <c r="G22" s="288"/>
    </row>
    <row r="23" ht="20.35" customHeight="1">
      <c r="A23" s="286"/>
      <c r="B23" t="s" s="287">
        <v>642</v>
      </c>
      <c r="C23" s="247"/>
      <c r="D23" s="288"/>
      <c r="E23" s="247"/>
      <c r="F23" s="288"/>
      <c r="G23" s="288"/>
    </row>
    <row r="24" ht="20.35" customHeight="1">
      <c r="A24" s="286">
        <v>45261</v>
      </c>
      <c r="B24" t="s" s="287">
        <v>641</v>
      </c>
      <c r="C24" s="247"/>
      <c r="D24" s="288"/>
      <c r="E24" s="247"/>
      <c r="F24" s="288"/>
      <c r="G24" s="288"/>
    </row>
    <row r="25" ht="20.35" customHeight="1">
      <c r="A25" s="286"/>
      <c r="B25" t="s" s="287">
        <v>642</v>
      </c>
      <c r="C25" s="247"/>
      <c r="D25" s="288"/>
      <c r="E25" s="247"/>
      <c r="F25" s="288"/>
      <c r="G25" s="288"/>
    </row>
    <row r="26" ht="20.35" customHeight="1">
      <c r="A26" s="286"/>
      <c r="B26" s="285"/>
      <c r="C26" s="247"/>
      <c r="D26" s="288"/>
      <c r="E26" s="247"/>
      <c r="F26" s="288"/>
      <c r="G26" s="288"/>
    </row>
    <row r="27" ht="20.35" customHeight="1">
      <c r="A27" s="286"/>
      <c r="B27" s="285"/>
      <c r="C27" s="247"/>
      <c r="D27" s="288"/>
      <c r="E27" s="247"/>
      <c r="F27" s="288"/>
      <c r="G27" s="288"/>
    </row>
    <row r="28" ht="20.35" customHeight="1">
      <c r="A28" s="286"/>
      <c r="B28" s="285"/>
      <c r="C28" s="247"/>
      <c r="D28" s="288"/>
      <c r="E28" s="247"/>
      <c r="F28" s="288"/>
      <c r="G28" s="288"/>
    </row>
    <row r="29" ht="20.35" customHeight="1">
      <c r="A29" s="286"/>
      <c r="B29" s="285"/>
      <c r="C29" s="247"/>
      <c r="D29" s="288"/>
      <c r="E29" s="247"/>
      <c r="F29" s="288"/>
      <c r="G29" s="288"/>
    </row>
    <row r="30" ht="20.35" customHeight="1">
      <c r="A30" s="286"/>
      <c r="B30" s="285"/>
      <c r="C30" s="247"/>
      <c r="D30" s="288"/>
      <c r="E30" s="247"/>
      <c r="F30" s="288"/>
      <c r="G30" s="288"/>
    </row>
    <row r="31" ht="20.35" customHeight="1">
      <c r="A31" s="286"/>
      <c r="B31" s="285"/>
      <c r="C31" s="247"/>
      <c r="D31" s="288"/>
      <c r="E31" s="247"/>
      <c r="F31" s="288"/>
      <c r="G31" s="288"/>
    </row>
    <row r="32" ht="30.35" customHeight="1">
      <c r="A32" s="145"/>
      <c r="B32" s="32"/>
      <c r="C32" t="s" s="290">
        <v>643</v>
      </c>
      <c r="D32" s="291">
        <v>-5460</v>
      </c>
      <c r="E32" s="145"/>
      <c r="F32" s="32"/>
      <c r="G32" s="288"/>
    </row>
    <row r="33" ht="44.35" customHeight="1">
      <c r="A33" t="s" s="290">
        <v>644</v>
      </c>
      <c r="B33" s="145"/>
      <c r="C33" t="s" s="290">
        <v>219</v>
      </c>
      <c r="D33" s="291">
        <v>-8260</v>
      </c>
      <c r="E33" s="145"/>
      <c r="F33" s="145"/>
      <c r="G33" s="288"/>
    </row>
    <row r="34" ht="44.35" customHeight="1">
      <c r="A34" s="145"/>
      <c r="B34" s="145"/>
      <c r="C34" t="s" s="290">
        <v>219</v>
      </c>
      <c r="D34" s="291">
        <v>-5460</v>
      </c>
      <c r="E34" s="145"/>
      <c r="F34" s="145"/>
      <c r="G34" s="288"/>
    </row>
    <row r="35" ht="44.35" customHeight="1">
      <c r="A35" t="s" s="290">
        <v>645</v>
      </c>
      <c r="B35" s="145"/>
      <c r="C35" t="s" s="290">
        <v>219</v>
      </c>
      <c r="D35" s="291">
        <v>-5460</v>
      </c>
      <c r="E35" s="145"/>
      <c r="F35" s="145"/>
      <c r="G35" s="288"/>
    </row>
    <row r="36" ht="44.35" customHeight="1">
      <c r="A36" s="145"/>
      <c r="B36" s="145"/>
      <c r="C36" t="s" s="290">
        <v>219</v>
      </c>
      <c r="D36" s="291">
        <v>-5663</v>
      </c>
      <c r="E36" s="145"/>
      <c r="F36" s="145"/>
      <c r="G36" s="288"/>
    </row>
    <row r="37" ht="44.35" customHeight="1">
      <c r="A37" s="145"/>
      <c r="B37" s="145"/>
      <c r="C37" t="s" s="290">
        <v>219</v>
      </c>
      <c r="D37" s="291">
        <v>-5460</v>
      </c>
      <c r="E37" s="145"/>
      <c r="F37" s="145"/>
      <c r="G37" s="288"/>
    </row>
    <row r="38" ht="30.35" customHeight="1">
      <c r="A38" t="s" s="290">
        <v>646</v>
      </c>
      <c r="B38" s="145"/>
      <c r="C38" t="s" s="290">
        <v>354</v>
      </c>
      <c r="D38" s="291">
        <v>-11000</v>
      </c>
      <c r="E38" s="145"/>
      <c r="F38" s="145"/>
      <c r="G38" s="288"/>
    </row>
    <row r="39" ht="19.35" customHeight="1">
      <c r="A39" s="145"/>
      <c r="B39" s="145"/>
      <c r="C39" t="s" s="290">
        <v>647</v>
      </c>
      <c r="D39" s="291">
        <v>-83020</v>
      </c>
      <c r="E39" s="145"/>
      <c r="F39" s="145"/>
      <c r="G39" s="288"/>
    </row>
    <row r="40" ht="44.35" customHeight="1">
      <c r="A40" s="145"/>
      <c r="B40" s="145"/>
      <c r="C40" t="s" s="290">
        <v>219</v>
      </c>
      <c r="D40" s="291">
        <v>-4680</v>
      </c>
      <c r="E40" s="145"/>
      <c r="F40" s="32"/>
      <c r="G40" s="288"/>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G52"/>
  <sheetViews>
    <sheetView workbookViewId="0" showGridLines="0" defaultGridColor="1"/>
  </sheetViews>
  <sheetFormatPr defaultColWidth="16.3333" defaultRowHeight="18" customHeight="1" outlineLevelRow="0" outlineLevelCol="0"/>
  <cols>
    <col min="1" max="2" width="16.3516" style="292" customWidth="1"/>
    <col min="3" max="3" width="18.0234" style="292" customWidth="1"/>
    <col min="4" max="7" width="16.3516" style="292" customWidth="1"/>
    <col min="8" max="16384" width="16.3516" style="292" customWidth="1"/>
  </cols>
  <sheetData>
    <row r="1" ht="20.35" customHeight="1">
      <c r="A1" s="287"/>
      <c r="B1" s="285"/>
      <c r="C1" s="32"/>
      <c r="D1" s="32"/>
      <c r="E1" s="32"/>
      <c r="F1" s="32"/>
      <c r="G1" s="32"/>
    </row>
    <row r="2" ht="20.35" customHeight="1">
      <c r="A2" s="287"/>
      <c r="B2" s="293"/>
      <c r="C2" s="247"/>
      <c r="D2" s="247"/>
      <c r="E2" s="247"/>
      <c r="F2" s="247"/>
      <c r="G2" s="247"/>
    </row>
    <row r="3" ht="20.35" customHeight="1">
      <c r="A3" t="s" s="287">
        <v>650</v>
      </c>
      <c r="B3" s="294">
        <v>1933</v>
      </c>
      <c r="C3" s="247"/>
      <c r="D3" s="247" cm="1">
        <f t="array" ref="D3">B3*5</f>
        <v>9665</v>
      </c>
      <c r="E3" s="247" cm="1">
        <f t="array" ref="E3">D2-$D$12</f>
        <v>-50304</v>
      </c>
      <c r="F3" s="288" cm="1">
        <f t="array" ref="F3">ROUND(E3/B3,1)</f>
        <v>-26</v>
      </c>
      <c r="G3" s="288" cm="1">
        <f t="array" ref="G3">-F3</f>
        <v>26</v>
      </c>
    </row>
    <row r="4" ht="20.35" customHeight="1">
      <c r="A4" t="s" s="287">
        <v>651</v>
      </c>
      <c r="B4" s="294">
        <v>1557</v>
      </c>
      <c r="C4" s="247"/>
      <c r="D4" s="247" cm="1">
        <f t="array" ref="D4">D3+5*B4</f>
        <v>17450</v>
      </c>
      <c r="E4" s="247" cm="1">
        <f t="array" ref="E4">D3-$D$12</f>
        <v>-40639</v>
      </c>
      <c r="F4" s="289" cm="1">
        <f t="array" ref="F4">ROUND(E4/B4,1)</f>
        <v>-26.1</v>
      </c>
      <c r="G4" s="289" cm="1">
        <f t="array" ref="G4">5-F4</f>
        <v>31.1</v>
      </c>
    </row>
    <row r="5" ht="20.35" customHeight="1">
      <c r="A5" t="s" s="287">
        <v>652</v>
      </c>
      <c r="B5" s="294">
        <v>1556</v>
      </c>
      <c r="C5" s="247"/>
      <c r="D5" s="247" cm="1">
        <f t="array" ref="D5">B5*15+D4</f>
        <v>40790</v>
      </c>
      <c r="E5" s="247" cm="1">
        <f t="array" ref="E5">D4-$D$12</f>
        <v>-32854</v>
      </c>
      <c r="F5" s="289" cm="1">
        <f t="array" ref="F5">ROUND(E5/B5,1)</f>
        <v>-21.1</v>
      </c>
      <c r="G5" s="289" cm="1">
        <f t="array" ref="G5">10-F5</f>
        <v>31.1</v>
      </c>
    </row>
    <row r="6" ht="20.35" customHeight="1">
      <c r="A6" t="s" s="287">
        <v>653</v>
      </c>
      <c r="B6" s="294">
        <v>1242</v>
      </c>
      <c r="C6" s="247"/>
      <c r="D6" s="247" cm="1">
        <f t="array" ref="D6">B6*15+D5</f>
        <v>59420</v>
      </c>
      <c r="E6" s="247" cm="1">
        <f t="array" ref="E6">D5-$D$12</f>
        <v>-9514</v>
      </c>
      <c r="F6" s="289" cm="1">
        <f t="array" ref="F6">ROUND(E6/B6,1)</f>
        <v>-7.7</v>
      </c>
      <c r="G6" s="289" cm="1">
        <f t="array" ref="G6">25-F6</f>
        <v>32.7</v>
      </c>
    </row>
    <row r="7" ht="20.35" customHeight="1">
      <c r="A7" t="s" s="287">
        <v>654</v>
      </c>
      <c r="B7" s="294">
        <v>805</v>
      </c>
      <c r="C7" s="247"/>
      <c r="D7" s="247" cm="1">
        <f t="array" ref="D7">B7*20+D6</f>
        <v>75520</v>
      </c>
      <c r="E7" s="247" cm="1">
        <f t="array" ref="E7">D6-$D$12</f>
        <v>9116</v>
      </c>
      <c r="F7" s="289" cm="1">
        <f t="array" ref="F7">ROUND(E7/B7,1)</f>
        <v>11.3</v>
      </c>
      <c r="G7" s="289" cm="1">
        <f t="array" ref="G7">40-F7</f>
        <v>28.7</v>
      </c>
    </row>
    <row r="8" ht="20.35" customHeight="1">
      <c r="A8" s="287"/>
      <c r="B8" s="294"/>
      <c r="C8" s="247"/>
      <c r="D8" s="247"/>
      <c r="E8" s="247" cm="1">
        <f t="array" ref="E8">D7-$D$12</f>
        <v>25216</v>
      </c>
      <c r="F8" s="288" cm="1">
        <f t="array" ref="F8">ROUND(E8/B8,1)</f>
      </c>
      <c r="G8" s="288" cm="1">
        <f t="array" ref="G8">10-F8</f>
      </c>
    </row>
    <row r="9" ht="20.35" customHeight="1">
      <c r="A9" s="287"/>
      <c r="B9" s="294"/>
      <c r="C9" s="247"/>
      <c r="D9" s="247"/>
      <c r="E9" s="247"/>
      <c r="F9" s="247"/>
      <c r="G9" s="247"/>
    </row>
    <row r="10" ht="20.35" customHeight="1">
      <c r="A10" s="287"/>
      <c r="B10" s="294"/>
      <c r="C10" s="247"/>
      <c r="D10" s="247"/>
      <c r="E10" s="247"/>
      <c r="F10" s="247"/>
      <c r="G10" s="247"/>
    </row>
    <row r="11" ht="20.35" customHeight="1">
      <c r="A11" s="287"/>
      <c r="B11" s="294"/>
      <c r="C11" s="247"/>
      <c r="D11" s="247"/>
      <c r="E11" s="247"/>
      <c r="F11" s="247"/>
      <c r="G11" s="247"/>
    </row>
    <row r="12" ht="20.35" customHeight="1">
      <c r="A12" s="287"/>
      <c r="B12" s="294"/>
      <c r="C12" s="247"/>
      <c r="D12" s="247">
        <v>50304</v>
      </c>
      <c r="E12" s="247"/>
      <c r="F12" s="247"/>
      <c r="G12" s="247"/>
    </row>
    <row r="13" ht="20.35" customHeight="1">
      <c r="A13" s="287"/>
      <c r="B13" s="294"/>
      <c r="C13" s="247"/>
      <c r="D13" s="247"/>
      <c r="E13" s="247"/>
      <c r="F13" s="247"/>
      <c r="G13" s="247"/>
    </row>
    <row r="14" ht="20.35" customHeight="1">
      <c r="A14" s="287"/>
      <c r="B14" s="294"/>
      <c r="C14" s="247"/>
      <c r="D14" s="247"/>
      <c r="E14" s="247"/>
      <c r="F14" s="247"/>
      <c r="G14" s="247"/>
    </row>
    <row r="15" ht="20.35" customHeight="1">
      <c r="A15" s="287"/>
      <c r="B15" s="294"/>
      <c r="C15" s="247"/>
      <c r="D15" s="247"/>
      <c r="E15" s="247"/>
      <c r="F15" s="247"/>
      <c r="G15" s="247"/>
    </row>
    <row r="16" ht="20.35" customHeight="1">
      <c r="A16" s="287"/>
      <c r="B16" s="294"/>
      <c r="C16" s="247"/>
      <c r="D16" s="247"/>
      <c r="E16" s="247"/>
      <c r="F16" s="247"/>
      <c r="G16" s="247"/>
    </row>
    <row r="17" ht="20.35" customHeight="1">
      <c r="A17" s="287"/>
      <c r="B17" s="294"/>
      <c r="C17" s="247"/>
      <c r="D17" s="247"/>
      <c r="E17" s="247"/>
      <c r="F17" s="247"/>
      <c r="G17" s="247"/>
    </row>
    <row r="18" ht="20.35" customHeight="1">
      <c r="A18" s="287"/>
      <c r="B18" s="294"/>
      <c r="C18" s="247"/>
      <c r="D18" s="247"/>
      <c r="E18" s="247"/>
      <c r="F18" s="247"/>
      <c r="G18" s="247"/>
    </row>
    <row r="19" ht="20.35" customHeight="1">
      <c r="A19" s="287"/>
      <c r="B19" s="294"/>
      <c r="C19" t="s" s="295">
        <v>626</v>
      </c>
      <c r="D19" s="247">
        <v>3000</v>
      </c>
      <c r="E19" s="288">
        <v>486</v>
      </c>
      <c r="F19" s="296" cm="1">
        <f t="array" ref="F19">D19/E19</f>
        <v>6.17283950617284</v>
      </c>
      <c r="G19" s="247"/>
    </row>
    <row r="20" ht="20.35" customHeight="1">
      <c r="A20" s="287"/>
      <c r="B20" s="294"/>
      <c r="C20" s="247"/>
      <c r="D20" s="247">
        <v>5000</v>
      </c>
      <c r="E20" s="288">
        <v>810</v>
      </c>
      <c r="F20" s="296" cm="1">
        <f t="array" ref="F20">D20/E20</f>
        <v>6.17283950617284</v>
      </c>
      <c r="G20" s="247"/>
    </row>
    <row r="21" ht="20.35" customHeight="1">
      <c r="A21" s="287"/>
      <c r="B21" s="294"/>
      <c r="C21" s="247"/>
      <c r="D21" s="247">
        <v>90000</v>
      </c>
      <c r="E21" s="288">
        <v>14575</v>
      </c>
      <c r="F21" s="296" cm="1">
        <f t="array" ref="F21">D21/E21</f>
        <v>6.17495711835334</v>
      </c>
      <c r="G21" s="247"/>
    </row>
    <row r="22" ht="20.35" customHeight="1">
      <c r="A22" s="287"/>
      <c r="B22" s="294"/>
      <c r="C22" s="247"/>
      <c r="D22" s="247">
        <v>200000</v>
      </c>
      <c r="E22" s="288">
        <v>32388</v>
      </c>
      <c r="F22" s="296" cm="1">
        <f t="array" ref="F22">D22/E22</f>
        <v>6.1751265900951</v>
      </c>
      <c r="G22" s="247"/>
    </row>
    <row r="23" ht="20.35" customHeight="1">
      <c r="A23" s="287"/>
      <c r="B23" s="294"/>
      <c r="C23" s="247"/>
      <c r="D23" s="247">
        <v>20000</v>
      </c>
      <c r="E23" s="288">
        <v>3239</v>
      </c>
      <c r="F23" s="296" cm="1">
        <f t="array" ref="F23">D23/E23</f>
        <v>6.17474529175672</v>
      </c>
      <c r="G23" s="247"/>
    </row>
    <row r="24" ht="20.35" customHeight="1">
      <c r="A24" s="287"/>
      <c r="B24" s="294"/>
      <c r="C24" s="247"/>
      <c r="D24" s="247">
        <v>50000</v>
      </c>
      <c r="E24" s="288">
        <v>8097</v>
      </c>
      <c r="F24" s="296" cm="1">
        <f t="array" ref="F24">D24/E24</f>
        <v>6.1751265900951</v>
      </c>
      <c r="G24" s="247"/>
    </row>
    <row r="25" ht="20.35" customHeight="1">
      <c r="A25" s="287"/>
      <c r="B25" s="294"/>
      <c r="C25" s="247"/>
      <c r="D25" s="247">
        <v>40000</v>
      </c>
      <c r="E25" s="288">
        <v>6478</v>
      </c>
      <c r="F25" s="296" cm="1">
        <f t="array" ref="F25">D25/E25</f>
        <v>6.17474529175672</v>
      </c>
      <c r="G25" s="247"/>
    </row>
    <row r="26" ht="20.35" customHeight="1">
      <c r="A26" s="287"/>
      <c r="B26" s="294"/>
      <c r="C26" s="247"/>
      <c r="D26" s="247">
        <v>100000</v>
      </c>
      <c r="E26" s="288">
        <v>16194</v>
      </c>
      <c r="F26" s="296" cm="1">
        <f t="array" ref="F26">D26/E26</f>
        <v>6.1751265900951</v>
      </c>
      <c r="G26" s="247"/>
    </row>
    <row r="27" ht="20.35" customHeight="1">
      <c r="A27" s="287"/>
      <c r="B27" s="294"/>
      <c r="C27" s="247"/>
      <c r="D27" s="247">
        <v>60000</v>
      </c>
      <c r="E27" s="288">
        <v>9717</v>
      </c>
      <c r="F27" s="296" cm="1">
        <f t="array" ref="F27">D27/E27</f>
        <v>6.17474529175672</v>
      </c>
      <c r="G27" s="247"/>
    </row>
    <row r="28" ht="20.35" customHeight="1">
      <c r="A28" s="287"/>
      <c r="B28" s="294"/>
      <c r="C28" s="247"/>
      <c r="D28" s="247">
        <v>150000</v>
      </c>
      <c r="E28" s="288">
        <v>24291</v>
      </c>
      <c r="F28" s="296" cm="1">
        <f t="array" ref="F28">D28/E28</f>
        <v>6.1751265900951</v>
      </c>
      <c r="G28" s="247"/>
    </row>
    <row r="29" ht="20.35" customHeight="1">
      <c r="A29" s="287"/>
      <c r="B29" s="294"/>
      <c r="C29" s="247"/>
      <c r="D29" s="247">
        <v>30000</v>
      </c>
      <c r="E29" s="288">
        <v>4859</v>
      </c>
      <c r="F29" s="296" cm="1">
        <f t="array" ref="F29">D29/E29</f>
        <v>6.1741098991562</v>
      </c>
      <c r="G29" s="247"/>
    </row>
    <row r="30" ht="20.35" customHeight="1">
      <c r="A30" s="287"/>
      <c r="B30" s="294"/>
      <c r="C30" s="247"/>
      <c r="D30" s="247">
        <v>70000</v>
      </c>
      <c r="E30" s="288">
        <v>11336</v>
      </c>
      <c r="F30" s="296" cm="1">
        <f t="array" ref="F30">D30/E30</f>
        <v>6.17501764290755</v>
      </c>
      <c r="G30" s="247"/>
    </row>
    <row r="31" ht="20.35" customHeight="1">
      <c r="A31" s="287"/>
      <c r="B31" s="294"/>
      <c r="C31" s="247"/>
      <c r="D31" s="247"/>
      <c r="E31" s="288"/>
      <c r="F31" s="296"/>
      <c r="G31" s="247"/>
    </row>
    <row r="32" ht="20.35" customHeight="1">
      <c r="A32" s="287"/>
      <c r="B32" s="294"/>
      <c r="C32" s="247"/>
      <c r="D32" s="247"/>
      <c r="E32" s="288"/>
      <c r="F32" s="296"/>
      <c r="G32" s="247"/>
    </row>
    <row r="33" ht="20.35" customHeight="1">
      <c r="A33" s="287"/>
      <c r="B33" s="294"/>
      <c r="C33" t="s" s="295">
        <v>655</v>
      </c>
      <c r="D33" s="247">
        <v>50000</v>
      </c>
      <c r="E33" s="288">
        <v>7786</v>
      </c>
      <c r="F33" s="296" cm="1">
        <f t="array" ref="F33">D33/E33</f>
        <v>6.42178268687388</v>
      </c>
      <c r="G33" s="247"/>
    </row>
    <row r="34" ht="20.35" customHeight="1">
      <c r="A34" s="287"/>
      <c r="B34" s="294"/>
      <c r="C34" s="247"/>
      <c r="D34" s="247">
        <v>100000</v>
      </c>
      <c r="E34" s="288">
        <v>15571</v>
      </c>
      <c r="F34" s="296" cm="1">
        <f t="array" ref="F34">D34/E34</f>
        <v>6.42219510628733</v>
      </c>
      <c r="G34" s="247"/>
    </row>
    <row r="35" ht="20.35" customHeight="1">
      <c r="A35" s="287"/>
      <c r="B35" s="294"/>
      <c r="C35" t="s" s="295">
        <v>656</v>
      </c>
      <c r="D35" s="247">
        <v>200000</v>
      </c>
      <c r="E35" s="288">
        <v>31142</v>
      </c>
      <c r="F35" s="296" cm="1">
        <f t="array" ref="F35">D35/E35</f>
        <v>6.42219510628733</v>
      </c>
      <c r="G35" s="247"/>
    </row>
    <row r="36" ht="20.35" customHeight="1">
      <c r="A36" s="287"/>
      <c r="B36" s="294"/>
      <c r="C36" s="247"/>
      <c r="D36" s="247">
        <v>150000</v>
      </c>
      <c r="E36" s="288">
        <v>23357</v>
      </c>
      <c r="F36" s="296" cm="1">
        <f t="array" ref="F36">D36/E36</f>
        <v>6.42205762726378</v>
      </c>
      <c r="G36" s="247"/>
    </row>
    <row r="37" ht="20.35" customHeight="1">
      <c r="A37" s="297">
        <v>86740</v>
      </c>
      <c r="B37" s="294"/>
      <c r="C37" s="247"/>
      <c r="D37" s="247">
        <v>100000</v>
      </c>
      <c r="E37" s="288">
        <v>15571</v>
      </c>
      <c r="F37" s="296" cm="1">
        <f t="array" ref="F37">D37/E37</f>
        <v>6.42219510628733</v>
      </c>
      <c r="G37" s="247"/>
    </row>
    <row r="38" ht="20.35" customHeight="1">
      <c r="A38" s="297">
        <v>14990</v>
      </c>
      <c r="B38" s="294"/>
      <c r="C38" s="247"/>
      <c r="D38" s="247"/>
      <c r="E38" s="288"/>
      <c r="F38" s="296"/>
      <c r="G38" s="247"/>
    </row>
    <row r="39" ht="20.35" customHeight="1">
      <c r="A39" s="297">
        <v>64310</v>
      </c>
      <c r="B39" s="294"/>
      <c r="C39" t="s" s="295">
        <v>657</v>
      </c>
      <c r="D39" s="247">
        <v>10000</v>
      </c>
      <c r="E39" s="288">
        <v>1213</v>
      </c>
      <c r="F39" s="296" cm="1">
        <f t="array" ref="F39">D39/E39</f>
        <v>8.244023083264629</v>
      </c>
      <c r="G39" s="247"/>
    </row>
    <row r="40" ht="20.35" customHeight="1">
      <c r="A40" s="297">
        <v>91904</v>
      </c>
      <c r="B40" s="294"/>
      <c r="C40" s="298"/>
      <c r="D40" s="247">
        <v>100000</v>
      </c>
      <c r="E40" s="288">
        <v>12127</v>
      </c>
      <c r="F40" s="296" cm="1">
        <f t="array" ref="F40">D40/E40</f>
        <v>8.246062505153789</v>
      </c>
      <c r="G40" s="247"/>
    </row>
    <row r="41" ht="20.35" customHeight="1">
      <c r="A41" s="297">
        <v>106930</v>
      </c>
      <c r="B41" s="294"/>
      <c r="C41" s="247"/>
      <c r="D41" s="247">
        <v>200000</v>
      </c>
      <c r="E41" s="288">
        <v>24253</v>
      </c>
      <c r="F41" s="296" cm="1">
        <f t="array" ref="F41">D41/E41</f>
        <v>8.24640250690636</v>
      </c>
      <c r="G41" s="247"/>
    </row>
    <row r="42" ht="20.35" customHeight="1">
      <c r="A42" s="297">
        <v>50326</v>
      </c>
      <c r="B42" s="294"/>
      <c r="C42" s="247"/>
      <c r="D42" s="247"/>
      <c r="E42" s="288"/>
      <c r="F42" s="296"/>
      <c r="G42" s="247"/>
    </row>
    <row r="43" ht="20.35" customHeight="1">
      <c r="A43" s="287"/>
      <c r="B43" s="294"/>
      <c r="C43" t="s" s="295">
        <v>658</v>
      </c>
      <c r="D43" s="247">
        <v>5000</v>
      </c>
      <c r="E43" s="288">
        <v>611</v>
      </c>
      <c r="F43" s="296" cm="1">
        <f t="array" ref="F43">D43/E43</f>
        <v>8.183306055646479</v>
      </c>
      <c r="G43" s="247"/>
    </row>
    <row r="44" ht="20.35" customHeight="1">
      <c r="A44" s="287"/>
      <c r="B44" s="294"/>
      <c r="C44" s="247"/>
      <c r="D44" s="247">
        <v>400000</v>
      </c>
      <c r="E44" s="288">
        <v>58624</v>
      </c>
      <c r="F44" s="296" cm="1">
        <f t="array" ref="F44">D44/E44</f>
        <v>6.82314410480349</v>
      </c>
      <c r="G44" s="247"/>
    </row>
    <row r="45" ht="20.35" customHeight="1">
      <c r="A45" s="287"/>
      <c r="B45" s="294"/>
      <c r="C45" s="247"/>
      <c r="D45" s="247">
        <v>734253</v>
      </c>
      <c r="E45" s="288">
        <v>83932</v>
      </c>
      <c r="F45" s="296" cm="1">
        <f t="array" ref="F45">D45/E45</f>
        <v>8.748189010151069</v>
      </c>
      <c r="G45" s="247"/>
    </row>
    <row r="46" ht="20.35" customHeight="1">
      <c r="A46" s="287"/>
      <c r="B46" s="294"/>
      <c r="C46" s="247"/>
      <c r="D46" s="247"/>
      <c r="E46" s="288"/>
      <c r="F46" s="296"/>
      <c r="G46" s="247"/>
    </row>
    <row r="47" ht="20.35" customHeight="1">
      <c r="A47" s="287"/>
      <c r="B47" s="294"/>
      <c r="C47" s="247"/>
      <c r="D47" s="247"/>
      <c r="E47" s="288"/>
      <c r="F47" s="296"/>
      <c r="G47" s="247"/>
    </row>
    <row r="48" ht="20.35" customHeight="1">
      <c r="A48" s="287"/>
      <c r="B48" s="294"/>
      <c r="C48" t="s" s="295">
        <v>659</v>
      </c>
      <c r="D48" s="247" cm="1">
        <f t="array" ref="D48">'variables - Table 1'!$B$13*E48</f>
        <v>886.9400000000001</v>
      </c>
      <c r="E48" s="288">
        <v>1</v>
      </c>
      <c r="F48" s="296"/>
      <c r="G48" s="247"/>
    </row>
    <row r="49" ht="20.35" customHeight="1">
      <c r="A49" s="287"/>
      <c r="B49" s="294"/>
      <c r="C49" t="s" s="295">
        <v>660</v>
      </c>
      <c r="D49" s="247" cm="1">
        <f t="array" ref="D49">'variables - Table 1'!$B$13*E49</f>
        <v>886940</v>
      </c>
      <c r="E49" s="288">
        <v>1000</v>
      </c>
      <c r="F49" s="296"/>
      <c r="G49" s="247"/>
    </row>
    <row r="50" ht="20.35" customHeight="1">
      <c r="A50" s="287"/>
      <c r="B50" s="294"/>
      <c r="C50" s="247"/>
      <c r="D50" s="247" cm="1">
        <f t="array" ref="D50">'variables - Table 1'!$B$13*E50</f>
        <v>718421.4</v>
      </c>
      <c r="E50" s="288">
        <v>810</v>
      </c>
      <c r="F50" s="296" cm="1">
        <f t="array" ref="F50">D20</f>
        <v>5000</v>
      </c>
      <c r="G50" s="299" cm="1">
        <f t="array" ref="G50">F50/D50</f>
        <v>0.00695970359457555</v>
      </c>
    </row>
    <row r="51" ht="20.35" customHeight="1">
      <c r="A51" s="287"/>
      <c r="B51" s="294"/>
      <c r="C51" s="247"/>
      <c r="D51" s="247" cm="1">
        <f t="array" ref="D51">'variables - Table 1'!$B$13*E51</f>
        <v>1075858.22</v>
      </c>
      <c r="E51" s="288">
        <v>1213</v>
      </c>
      <c r="F51" s="296" cm="1">
        <f t="array" ref="F51">D39</f>
        <v>10000</v>
      </c>
      <c r="G51" s="299" cm="1">
        <f t="array" ref="G51">F51/D51</f>
        <v>0.00929490504799043</v>
      </c>
    </row>
    <row r="52" ht="20.35" customHeight="1">
      <c r="A52" s="287"/>
      <c r="B52" s="294"/>
      <c r="C52" s="247"/>
      <c r="D52" s="247" cm="1">
        <f t="array" ref="D52">'variables - Table 1'!$B$13*E52</f>
        <v>13810542.74</v>
      </c>
      <c r="E52" s="288" cm="1">
        <f t="array" ref="E52">E37</f>
        <v>15571</v>
      </c>
      <c r="F52" s="296" cm="1">
        <f t="array" ref="F52">D37</f>
        <v>100000</v>
      </c>
      <c r="G52" s="299" cm="1">
        <f t="array" ref="G52">F52/D52</f>
        <v>0.00724084504733954</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29.xml><?xml version="1.0" encoding="utf-8"?>
<worksheet xmlns:r="http://schemas.openxmlformats.org/officeDocument/2006/relationships" xmlns="http://schemas.openxmlformats.org/spreadsheetml/2006/main">
  <sheetPr>
    <pageSetUpPr fitToPage="1"/>
  </sheetPr>
  <dimension ref="A3:AD14"/>
  <sheetViews>
    <sheetView workbookViewId="0" showGridLines="0" defaultGridColor="1">
      <pane topLeftCell="B4" xSplit="1" ySplit="3" activePane="bottomRight" state="frozen"/>
    </sheetView>
  </sheetViews>
  <sheetFormatPr defaultColWidth="16.3333" defaultRowHeight="18" customHeight="1" outlineLevelRow="0" outlineLevelCol="0"/>
  <cols>
    <col min="1" max="1" width="16.3516" style="300" customWidth="1"/>
    <col min="2" max="2" width="20.2656" style="300" customWidth="1"/>
    <col min="3" max="3" width="13.6797" style="300" customWidth="1"/>
    <col min="4" max="4" width="18.1953" style="300" customWidth="1"/>
    <col min="5" max="5" width="14.4219" style="300" customWidth="1"/>
    <col min="6" max="6" width="6.22656" style="300" customWidth="1"/>
    <col min="7" max="7" width="5.40625" style="300" customWidth="1"/>
    <col min="8" max="8" width="16.3516" style="300" customWidth="1"/>
    <col min="9" max="9" width="13.5078" style="300" customWidth="1"/>
    <col min="10" max="10" width="7.17188" style="300" customWidth="1"/>
    <col min="11" max="11" width="12.7266" style="300" customWidth="1"/>
    <col min="12" max="12" width="15.8516" style="300" customWidth="1"/>
    <col min="13" max="14" width="15.9844" style="300" customWidth="1"/>
    <col min="15" max="16" width="15.9297" style="300" customWidth="1"/>
    <col min="17" max="17" width="13.7031" style="300" customWidth="1"/>
    <col min="18" max="20" width="18.1719" style="300" customWidth="1"/>
    <col min="21" max="22" width="20.1953" style="300" customWidth="1"/>
    <col min="23" max="24" width="18.1719" style="300" customWidth="1"/>
    <col min="25" max="26" width="18.7266" style="300" customWidth="1"/>
    <col min="27" max="30" width="18.2031" style="300" customWidth="1"/>
    <col min="31" max="16384" width="16.3516" style="300" customWidth="1"/>
  </cols>
  <sheetData>
    <row r="1" ht="409" customHeight="1"/>
    <row r="2" ht="301.05" customHeight="1"/>
    <row r="3" ht="20.55" customHeight="1">
      <c r="A3" s="7"/>
      <c r="B3" t="s" s="8">
        <v>559</v>
      </c>
      <c r="C3" s="7"/>
      <c r="D3" t="s" s="8">
        <v>665</v>
      </c>
      <c r="E3" t="s" s="8">
        <v>666</v>
      </c>
      <c r="F3" s="7"/>
      <c r="G3" s="7"/>
      <c r="H3" t="s" s="8">
        <v>566</v>
      </c>
      <c r="I3" s="7"/>
      <c r="J3" t="s" s="8">
        <v>667</v>
      </c>
      <c r="K3" t="s" s="8">
        <v>668</v>
      </c>
      <c r="L3" t="s" s="8">
        <v>669</v>
      </c>
      <c r="M3" t="s" s="8">
        <v>670</v>
      </c>
      <c r="N3" t="s" s="8">
        <v>671</v>
      </c>
      <c r="O3" t="s" s="8">
        <v>672</v>
      </c>
      <c r="P3" t="s" s="8">
        <v>673</v>
      </c>
      <c r="Q3" t="s" s="8">
        <v>674</v>
      </c>
      <c r="R3" t="s" s="8">
        <v>675</v>
      </c>
      <c r="S3" t="s" s="8">
        <v>676</v>
      </c>
      <c r="T3" s="7"/>
      <c r="U3" t="s" s="8">
        <v>677</v>
      </c>
      <c r="V3" s="7"/>
      <c r="W3" t="s" s="8">
        <v>678</v>
      </c>
      <c r="X3" s="7"/>
      <c r="Y3" t="s" s="8">
        <v>679</v>
      </c>
      <c r="Z3" s="7"/>
      <c r="AA3" t="s" s="8">
        <v>561</v>
      </c>
      <c r="AB3" s="7"/>
      <c r="AC3" t="s" s="8">
        <v>680</v>
      </c>
      <c r="AD3" s="7"/>
    </row>
    <row r="4" ht="20.55" customHeight="1">
      <c r="A4" s="301">
        <v>2017</v>
      </c>
      <c r="B4" s="302" cm="1">
        <f t="array" ref="B4">SUM('flujos - Gasto mensual'!C3:C9)</f>
        <v>10241263</v>
      </c>
      <c r="C4" s="303" cm="1">
        <f t="array" ref="C4">SUM('flujos - Gasto mensual'!B3:B9)</f>
        <v>16105</v>
      </c>
      <c r="D4" s="304" cm="1">
        <f t="array" ref="D4">SUM('net worth - resumen | depósitos'!R3:R9)</f>
        <v>8704479</v>
      </c>
      <c r="E4" s="303" cm="1">
        <f t="array" ref="E4">D4/'variables - Table 1-1'!$B8</f>
        <v>14167.4462890625</v>
      </c>
      <c r="F4" s="305" cm="1">
        <f t="array" ref="F4">D4/B4*100%</f>
        <v>0.849941945636979</v>
      </c>
      <c r="G4" s="305" cm="1">
        <f t="array" ref="G4">F4</f>
        <v>0.849941945636979</v>
      </c>
      <c r="H4" s="184" cm="1">
        <f t="array" ref="H4">B4-D4</f>
        <v>1536784</v>
      </c>
      <c r="I4" s="303" cm="1">
        <f t="array" ref="I4">H4/'variables - Table 1-1'!$B8</f>
        <v>2501.276041666670</v>
      </c>
      <c r="J4" s="306" cm="1">
        <f t="array" ref="J4">R4/'net worth - Table 1-1'!F2-1</f>
        <v>1.54656871823675</v>
      </c>
      <c r="K4" s="307" cm="1">
        <f t="array" ref="K4">R4-'net worth - Table 1-1'!F2</f>
        <v>6576929.80852427</v>
      </c>
      <c r="L4" s="308" cm="1">
        <f t="array" ref="L4">SUM('net worth - Table 1-3'!$I3:$I9)</f>
        <v>0</v>
      </c>
      <c r="M4" s="308" cm="1">
        <f t="array" ref="M4">SUM('net worth - Table 1-3'!$AO3:$AO9)</f>
        <v>18245</v>
      </c>
      <c r="N4" s="308" cm="1">
        <f t="array" ref="N4">SUM('net worth - Table 1-2'!E2:E8)</f>
        <v>1055049.56423118</v>
      </c>
      <c r="O4" s="309" cm="1">
        <f t="array" ref="O4">SUM(L4:N4)</f>
        <v>1073294.56423118</v>
      </c>
      <c r="P4" s="309" cm="1">
        <f t="array" ref="P4">SUM(O$4:O4)</f>
        <v>1073294.56423118</v>
      </c>
      <c r="Q4" s="310" cm="1">
        <f t="array" ref="Q4">'net worth - Table 1-1'!E8</f>
        <v>17626.1790806644</v>
      </c>
      <c r="R4" s="184" cm="1">
        <f t="array" ref="R4">SUM(S4,U4,W4,Y4,AA4)</f>
        <v>10829524.4271602</v>
      </c>
      <c r="S4" s="184"/>
      <c r="T4" s="309"/>
      <c r="U4" s="184" cm="1">
        <f t="array" ref="U4">'net worth - Table 1-1'!H8</f>
        <v>1894508</v>
      </c>
      <c r="V4" s="309" cm="1">
        <f t="array" ref="V4">U4</f>
        <v>1894508</v>
      </c>
      <c r="W4" s="184" cm="1">
        <f t="array" ref="W4">'net worth - Table 1-1'!I8</f>
        <v>3085682.42716018</v>
      </c>
      <c r="X4" s="309" cm="1">
        <f t="array" ref="X4">W4</f>
        <v>3085682.42716018</v>
      </c>
      <c r="Y4" s="184" cm="1">
        <f t="array" ref="Y4">'net worth - Table 1-1'!J8</f>
        <v>995738</v>
      </c>
      <c r="Z4" s="309" cm="1">
        <f t="array" ref="Z4">Y4</f>
        <v>995738</v>
      </c>
      <c r="AA4" s="184" cm="1">
        <f t="array" ref="AA4">'net worth - Table 1-1'!K8</f>
        <v>4853596</v>
      </c>
      <c r="AB4" s="309" cm="1">
        <f t="array" ref="AB4">AA4-'net worth - Table 1-1'!K2</f>
        <v>1727089</v>
      </c>
      <c r="AC4" s="309"/>
      <c r="AD4" s="309"/>
    </row>
    <row r="5" ht="20.35" customHeight="1">
      <c r="A5" s="311">
        <v>2018</v>
      </c>
      <c r="B5" s="312" cm="1">
        <f t="array" ref="B5">SUM('flujos - Gasto mensual'!C$10:C21)</f>
        <v>22378269</v>
      </c>
      <c r="C5" s="313" cm="1">
        <f t="array" ref="C5">SUM('flujos - Gasto mensual'!B10:B21)</f>
        <v>34806</v>
      </c>
      <c r="D5" s="314" cm="1">
        <f t="array" ref="D5">SUM('net worth - resumen | depósitos'!R10:R21)</f>
        <v>12524118.85</v>
      </c>
      <c r="E5" s="313" cm="1">
        <f t="array" ref="E5">D5/'variables - Table 1-1'!$B20</f>
        <v>18059.2917808219</v>
      </c>
      <c r="F5" s="315" cm="1">
        <f t="array" ref="F5">D5/B5*100%</f>
        <v>0.559655389342223</v>
      </c>
      <c r="G5" s="315" cm="1">
        <f t="array" ref="G5">_xlfn.IFERROR(SUM(D$4:D5)/SUM(B$4:B5),0)</f>
        <v>0.65079406565367</v>
      </c>
      <c r="H5" s="316" cm="1">
        <f t="array" ref="H5">B5-D5</f>
        <v>9854150.15</v>
      </c>
      <c r="I5" s="313" cm="1">
        <f t="array" ref="I5">H5/'variables - Table 1-1'!$B20</f>
        <v>14209.3008651766</v>
      </c>
      <c r="J5" s="317" cm="1">
        <f t="array" ref="J5">R5/R4-1</f>
        <v>0.832465831138444</v>
      </c>
      <c r="K5" s="318" cm="1">
        <f t="array" ref="K5">R5-R4</f>
        <v>9015209.053090001</v>
      </c>
      <c r="L5" s="319" cm="1">
        <f t="array" ref="L5">SUM('net worth - Table 1-3'!$I10:$I21)</f>
        <v>-151096</v>
      </c>
      <c r="M5" s="319" cm="1">
        <f t="array" ref="M5">SUM('net worth - Table 1-3'!$AO10:$AO21)</f>
        <v>-138147</v>
      </c>
      <c r="N5" s="319" cm="1">
        <f t="array" ref="N5">SUM('net worth - Table 1-2'!E9:E20)</f>
        <v>-2886593.5465493</v>
      </c>
      <c r="O5" s="320" cm="1">
        <f t="array" ref="O5">SUM(L5:N5)</f>
        <v>-3175836.5465493</v>
      </c>
      <c r="P5" s="320" cm="1">
        <f t="array" ref="P5">SUM(O$4:O5)</f>
        <v>-2102541.98231812</v>
      </c>
      <c r="Q5" s="321" cm="1">
        <f t="array" ref="Q5">'net worth - Table 1-1'!E20</f>
        <v>28615.333064528</v>
      </c>
      <c r="R5" s="316" cm="1">
        <f t="array" ref="R5">SUM(S5,U5,W5,Y5,AA5)</f>
        <v>19844733.4802502</v>
      </c>
      <c r="S5" s="316"/>
      <c r="T5" s="320"/>
      <c r="U5" s="316" cm="1">
        <f t="array" ref="U5">'net worth - Table 1-1'!H20</f>
        <v>4148904</v>
      </c>
      <c r="V5" s="320" cm="1">
        <f t="array" ref="V5">U5-U4</f>
        <v>2254396</v>
      </c>
      <c r="W5" s="316" cm="1">
        <f t="array" ref="W5">'net worth - Table 1-1'!I20</f>
        <v>799676.480250241</v>
      </c>
      <c r="X5" s="320" cm="1">
        <f t="array" ref="X5">W5-W4</f>
        <v>-2286005.94690994</v>
      </c>
      <c r="Y5" s="316" cm="1">
        <f t="array" ref="Y5">'net worth - Table 1-1'!J20</f>
        <v>4885955</v>
      </c>
      <c r="Z5" s="320" cm="1">
        <f t="array" ref="Z5">Y5-Y4</f>
        <v>3890217</v>
      </c>
      <c r="AA5" s="316" cm="1">
        <f t="array" ref="AA5">'net worth - Table 1-1'!K20</f>
        <v>10010198</v>
      </c>
      <c r="AB5" s="320" cm="1">
        <f t="array" ref="AB5">AA5-AA4</f>
        <v>5156602</v>
      </c>
      <c r="AC5" s="320"/>
      <c r="AD5" s="320"/>
    </row>
    <row r="6" ht="20.35" customHeight="1">
      <c r="A6" s="311">
        <v>2019</v>
      </c>
      <c r="B6" s="312" cm="1">
        <f t="array" ref="B6">SUM('flujos - Gasto mensual'!C$22:C33)</f>
        <v>30672716</v>
      </c>
      <c r="C6" s="313" cm="1">
        <f t="array" ref="C6">SUM('flujos - Gasto mensual'!B22:B33)</f>
        <v>43339</v>
      </c>
      <c r="D6" s="314" cm="1">
        <f t="array" ref="D6">SUM('net worth - resumen | depósitos'!R22:R33)</f>
        <v>16744375</v>
      </c>
      <c r="E6" s="313" cm="1">
        <f t="array" ref="E6">D6/'variables - Table 1-1'!$B32</f>
        <v>22868.5809888009</v>
      </c>
      <c r="F6" s="315" cm="1">
        <f t="array" ref="F6">D6/B6*100%</f>
        <v>0.545904542656086</v>
      </c>
      <c r="G6" s="315" cm="1">
        <f t="array" ref="G6">_xlfn.IFERROR(SUM(D$4:D6)/SUM(B$4:B6),0)</f>
        <v>0.599962460647629</v>
      </c>
      <c r="H6" s="316" cm="1">
        <f t="array" ref="H6">B6-D6</f>
        <v>13928341</v>
      </c>
      <c r="I6" s="313" cm="1">
        <f t="array" ref="I6">H6/'variables - Table 1-1'!$B32</f>
        <v>19022.5908221797</v>
      </c>
      <c r="J6" s="317" cm="1">
        <f t="array" ref="J6">R6/R5-1</f>
        <v>1.1572245577671</v>
      </c>
      <c r="K6" s="318" cm="1">
        <f t="array" ref="K6">R6-R5</f>
        <v>22964812.9256886</v>
      </c>
      <c r="L6" s="319" cm="1">
        <f t="array" ref="L6">SUM('net worth - Table 1-3'!$I$22:$I33)</f>
        <v>2962156</v>
      </c>
      <c r="M6" s="319" cm="1">
        <f t="array" ref="M6">SUM('net worth - Table 1-3'!$AO$22:$AO33)</f>
        <v>1854755</v>
      </c>
      <c r="N6" s="319" cm="1">
        <f t="array" ref="N6">SUM('net worth - Table 1-2'!E21:E32)</f>
        <v>-25196.7983702001</v>
      </c>
      <c r="O6" s="320" cm="1">
        <f t="array" ref="O6">SUM(L6:N6)</f>
        <v>4791714.2016298</v>
      </c>
      <c r="P6" s="320" cm="1">
        <f t="array" ref="P6">SUM(O$4:O6)</f>
        <v>2689172.21931168</v>
      </c>
      <c r="Q6" s="321" cm="1">
        <f t="array" ref="Q6">'net worth - Table 1-1'!E32</f>
        <v>58467.0122998345</v>
      </c>
      <c r="R6" s="316" cm="1">
        <f t="array" ref="R6">SUM(S6,U6,W6,Y6,AA6)</f>
        <v>42809546.4059388</v>
      </c>
      <c r="S6" s="316"/>
      <c r="T6" s="320"/>
      <c r="U6" s="316" cm="1">
        <f t="array" ref="U6">'net worth - Table 1-1'!H32</f>
        <v>13411060</v>
      </c>
      <c r="V6" s="320" cm="1">
        <f t="array" ref="V6">U6-U5</f>
        <v>9262156</v>
      </c>
      <c r="W6" s="316" cm="1">
        <f t="array" ref="W6">'net worth - Table 1-1'!I32</f>
        <v>1135089.40593884</v>
      </c>
      <c r="X6" s="320" cm="1">
        <f t="array" ref="X6">W6-W5</f>
        <v>335412.925688599</v>
      </c>
      <c r="Y6" s="316" cm="1">
        <f t="array" ref="Y6">'net worth - Table 1-1'!J32</f>
        <v>15116086</v>
      </c>
      <c r="Z6" s="320" cm="1">
        <f t="array" ref="Z6">Y6-Y5</f>
        <v>10230131</v>
      </c>
      <c r="AA6" s="316" cm="1">
        <f t="array" ref="AA6">'net worth - Table 1-1'!K32</f>
        <v>13147311</v>
      </c>
      <c r="AB6" s="320" cm="1">
        <f t="array" ref="AB6">AA6-AA5</f>
        <v>3137113</v>
      </c>
      <c r="AC6" s="320"/>
      <c r="AD6" s="320"/>
    </row>
    <row r="7" ht="20.35" customHeight="1">
      <c r="A7" s="311">
        <v>2020</v>
      </c>
      <c r="B7" s="312" cm="1">
        <f t="array" ref="B7">SUM('flujos - Gasto mensual'!C$34:C45)</f>
        <v>26524149</v>
      </c>
      <c r="C7" s="313" cm="1">
        <f t="array" ref="C7">SUM('flujos - Gasto mensual'!B34:B45)</f>
        <v>33090</v>
      </c>
      <c r="D7" s="314" cm="1">
        <f t="array" ref="D7">SUM('net worth - resumen | depósitos'!R34:R45)</f>
        <v>4551200</v>
      </c>
      <c r="E7" s="313" cm="1">
        <f t="array" ref="E7">D7/'variables - Table 1-1'!$B44</f>
        <v>6401.125175808720</v>
      </c>
      <c r="F7" s="315" cm="1">
        <f t="array" ref="F7">D7/B7*100%</f>
        <v>0.171587031878007</v>
      </c>
      <c r="G7" s="315" cm="1">
        <f t="array" ref="G7">_xlfn.IFERROR(SUM(D$4:D7)/SUM(B$4:B7),0)</f>
        <v>0.473456676847102</v>
      </c>
      <c r="H7" s="316" cm="1">
        <f t="array" ref="H7">B7-D7</f>
        <v>21972949</v>
      </c>
      <c r="I7" s="313" cm="1">
        <f t="array" ref="I7">H7/'variables - Table 1-1'!$B44</f>
        <v>30904.288326301</v>
      </c>
      <c r="J7" s="317" cm="1">
        <f t="array" ref="J7">R7/R6-1</f>
        <v>0.354461466122428</v>
      </c>
      <c r="K7" s="318" cm="1">
        <f t="array" ref="K7">R7-R6</f>
        <v>15174334.5830852</v>
      </c>
      <c r="L7" s="319" cm="1">
        <f t="array" ref="L7">SUM('net worth - Table 1-3'!$I$34:$I45)</f>
        <v>3079726</v>
      </c>
      <c r="M7" s="319" cm="1">
        <f t="array" ref="M7">SUM('net worth - Table 1-3'!$AO$34:$AO45)</f>
        <v>2778376</v>
      </c>
      <c r="N7" s="319" cm="1">
        <f t="array" ref="N7">SUM('net worth - Table 1-2'!E33:E44)</f>
        <v>4075278.58308512</v>
      </c>
      <c r="O7" s="320" cm="1">
        <f t="array" ref="O7">SUM(L7:N7)</f>
        <v>9933380.58308512</v>
      </c>
      <c r="P7" s="320" cm="1">
        <f t="array" ref="P7">SUM(O$4:O7)</f>
        <v>12622552.8023968</v>
      </c>
      <c r="Q7" s="321" cm="1">
        <f t="array" ref="Q7">'net worth - Table 1-1'!E44</f>
        <v>81552.5752306948</v>
      </c>
      <c r="R7" s="316" cm="1">
        <f t="array" ref="R7">SUM(S7,U7,W7,Y7,AA7)</f>
        <v>57983880.989024</v>
      </c>
      <c r="S7" s="316"/>
      <c r="T7" s="320"/>
      <c r="U7" s="316" cm="1">
        <f t="array" ref="U7">'net worth - Table 1-1'!H44</f>
        <v>13490786</v>
      </c>
      <c r="V7" s="320" cm="1">
        <f t="array" ref="V7">U7-U6</f>
        <v>79726</v>
      </c>
      <c r="W7" s="316" cm="1">
        <f t="array" ref="W7">'net worth - Table 1-1'!I44</f>
        <v>5210367.98902395</v>
      </c>
      <c r="X7" s="320" cm="1">
        <f t="array" ref="X7">W7-W6</f>
        <v>4075278.58308511</v>
      </c>
      <c r="Y7" s="316" cm="1">
        <f t="array" ref="Y7">'net worth - Table 1-1'!J44</f>
        <v>24996909</v>
      </c>
      <c r="Z7" s="320" cm="1">
        <f t="array" ref="Z7">Y7-Y6</f>
        <v>9880823</v>
      </c>
      <c r="AA7" s="316" cm="1">
        <f t="array" ref="AA7">'net worth - Table 1-1'!K44</f>
        <v>14285818</v>
      </c>
      <c r="AB7" s="320" cm="1">
        <f t="array" ref="AB7">AA7-AA6</f>
        <v>1138507</v>
      </c>
      <c r="AC7" s="320"/>
      <c r="AD7" s="320"/>
    </row>
    <row r="8" ht="20.35" customHeight="1">
      <c r="A8" s="311">
        <v>2021</v>
      </c>
      <c r="B8" s="312" cm="1">
        <f t="array" ref="B8">SUM('flujos - Gasto mensual'!C$46:C57)</f>
        <v>26312267</v>
      </c>
      <c r="C8" s="313" cm="1">
        <f t="array" ref="C8">SUM('flujos - Gasto mensual'!B46:B57)</f>
        <v>35888</v>
      </c>
      <c r="D8" s="314" cm="1">
        <f t="array" ref="D8">SUM('net worth - resumen | depósitos'!R46:R57)</f>
        <v>1698600</v>
      </c>
      <c r="E8" s="313" cm="1">
        <f t="array" ref="E8">D8/'variables - Table 1-1'!$B56</f>
        <v>1994.832648267760</v>
      </c>
      <c r="F8" s="315" cm="1">
        <f t="array" ref="F8">D8/B8*100%</f>
        <v>0.0645554410040001</v>
      </c>
      <c r="G8" s="315" cm="1">
        <f t="array" ref="G8">_xlfn.IFERROR(SUM(D$4:D8)/SUM(B$4:B8),0)</f>
        <v>0.380808418238584</v>
      </c>
      <c r="H8" s="316" cm="1">
        <f t="array" ref="H8">B8-D8</f>
        <v>24613667</v>
      </c>
      <c r="I8" s="313" cm="1">
        <f t="array" ref="I8">H8/'variables - Table 1-1'!$B56</f>
        <v>28906.2442748092</v>
      </c>
      <c r="J8" s="317" cm="1">
        <f t="array" ref="J8">R8/R7-1</f>
        <v>0.399806525806099</v>
      </c>
      <c r="K8" s="318" cm="1">
        <f t="array" ref="K8">R8-R7</f>
        <v>23182334.010976</v>
      </c>
      <c r="L8" s="319" cm="1">
        <f t="array" ref="L8">SUM('net worth - Table 1-3'!$I$46:$I57)</f>
        <v>4801646</v>
      </c>
      <c r="M8" s="319" cm="1">
        <f t="array" ref="M8">SUM('net worth - Table 1-3'!$AO$46:$AO57)</f>
        <v>7270365</v>
      </c>
      <c r="N8" s="319" cm="1">
        <f t="array" ref="N8">SUM('net worth - Table 1-2'!E45:E56)</f>
        <v>8219768.01097605</v>
      </c>
      <c r="O8" s="320" cm="1">
        <f t="array" ref="O8">SUM(L8:N8)</f>
        <v>20291779.0109761</v>
      </c>
      <c r="P8" s="320" cm="1">
        <f t="array" ref="P8">SUM(O$4:O8)</f>
        <v>32914331.8133729</v>
      </c>
      <c r="Q8" s="321" cm="1">
        <f t="array" ref="Q8">'net worth - Table 1-1'!E56</f>
        <v>95321.4503816794</v>
      </c>
      <c r="R8" s="316" cm="1">
        <f t="array" ref="R8">SUM(S8,U8,W8,Y8,AA8)</f>
        <v>81166215</v>
      </c>
      <c r="S8" s="316"/>
      <c r="T8" s="320"/>
      <c r="U8" s="316" cm="1">
        <f t="array" ref="U8">'net worth - Table 1-1'!H56</f>
        <v>20792432</v>
      </c>
      <c r="V8" s="320" cm="1">
        <f t="array" ref="V8">U8-U7</f>
        <v>7301646</v>
      </c>
      <c r="W8" s="316" cm="1">
        <f t="array" ref="W8">'net worth - Table 1-1'!I56</f>
        <v>8730136</v>
      </c>
      <c r="X8" s="320" cm="1">
        <f t="array" ref="X8">W8-W7</f>
        <v>3519768.01097605</v>
      </c>
      <c r="Y8" s="316" cm="1">
        <f t="array" ref="Y8">'net worth - Table 1-1'!J56</f>
        <v>32643647</v>
      </c>
      <c r="Z8" s="320" cm="1">
        <f t="array" ref="Z8">Y8-Y7</f>
        <v>7646738</v>
      </c>
      <c r="AA8" s="316" cm="1">
        <f t="array" ref="AA8">'net worth - Table 1-1'!K56</f>
        <v>19000000</v>
      </c>
      <c r="AB8" s="320" cm="1">
        <f t="array" ref="AB8">AA8-AA7</f>
        <v>4714182</v>
      </c>
      <c r="AC8" s="320"/>
      <c r="AD8" s="320"/>
    </row>
    <row r="9" ht="20.35" customHeight="1">
      <c r="A9" s="311">
        <v>2022</v>
      </c>
      <c r="B9" s="312" cm="1">
        <f t="array" ref="B9">SUM('flujos - Gasto mensual'!C$58:C69)</f>
        <v>14566272.3924</v>
      </c>
      <c r="C9" s="313" cm="1">
        <f t="array" ref="C9">SUM('flujos - Gasto mensual'!B58:B69)</f>
        <v>15967</v>
      </c>
      <c r="D9" s="314" cm="1">
        <f t="array" ref="D9">SUM('net worth - resumen | depósitos'!R58:R69)</f>
        <v>-5217506</v>
      </c>
      <c r="E9" s="313" cm="1">
        <f t="array" ref="E9">D9/'variables - Table 1-1'!$B68</f>
        <v>-6095.217289719630</v>
      </c>
      <c r="F9" s="315" cm="1">
        <f t="array" ref="F9">D9/B9*100%</f>
        <v>-0.358190885042233</v>
      </c>
      <c r="G9" s="315" cm="1">
        <f t="array" ref="G9">_xlfn.IFERROR(SUM(D$4:D9)/SUM(B$4:B9),0)</f>
        <v>0.29844512669481</v>
      </c>
      <c r="H9" s="316" cm="1">
        <f t="array" ref="H9">B9-D9</f>
        <v>19783778.3924</v>
      </c>
      <c r="I9" s="313" cm="1">
        <f t="array" ref="I9">H9/'variables - Table 1-1'!$B68</f>
        <v>23111.8906453271</v>
      </c>
      <c r="J9" s="317" cm="1">
        <f t="array" ref="J9">R9/R8-1</f>
        <v>-0.28892874948031</v>
      </c>
      <c r="K9" s="318" cm="1">
        <f t="array" ref="K9">R9-R8</f>
        <v>-23451253</v>
      </c>
      <c r="L9" s="319" cm="1">
        <f t="array" ref="L9">SUM('net worth - Table 1-3'!$I$58:$I69)</f>
        <v>-5987315</v>
      </c>
      <c r="M9" s="319" cm="1">
        <f t="array" ref="M9">SUM('net worth - Table 1-3'!$AO$58:$AO69)</f>
        <v>-6449282</v>
      </c>
      <c r="N9" s="319" cm="1">
        <f t="array" ref="N9">SUM('net worth - Table 1-2'!E57:E68)</f>
        <v>-5828659</v>
      </c>
      <c r="O9" s="320" cm="1">
        <f t="array" ref="O9">SUM(L9:N9)</f>
        <v>-18265256</v>
      </c>
      <c r="P9" s="320" cm="1">
        <f t="array" ref="P9">SUM(O$4:O9)</f>
        <v>14649075.8133729</v>
      </c>
      <c r="Q9" s="321" cm="1">
        <f t="array" ref="Q9">'net worth - Table 1-1'!E68</f>
        <v>67424.0210280374</v>
      </c>
      <c r="R9" s="316" cm="1">
        <f t="array" ref="R9">SUM(S9,U9,W9,Y9,AA9)</f>
        <v>57714962</v>
      </c>
      <c r="S9" s="316"/>
      <c r="T9" s="320"/>
      <c r="U9" s="316" cm="1">
        <f t="array" ref="U9">'net worth - Table 1-1'!H68</f>
        <v>18905117</v>
      </c>
      <c r="V9" s="320" cm="1">
        <f t="array" ref="V9">U9-U8</f>
        <v>-1887315</v>
      </c>
      <c r="W9" s="316" cm="1">
        <f t="array" ref="W9">'net worth - Table 1-1'!I68</f>
        <v>2901477</v>
      </c>
      <c r="X9" s="320" cm="1">
        <f t="array" ref="X9">W9-W8</f>
        <v>-5828659</v>
      </c>
      <c r="Y9" s="316" cm="1">
        <f t="array" ref="Y9">'net worth - Table 1-1'!J68</f>
        <v>28908368</v>
      </c>
      <c r="Z9" s="320" cm="1">
        <f t="array" ref="Z9">Y9-Y8</f>
        <v>-3735279</v>
      </c>
      <c r="AA9" s="316" cm="1">
        <f t="array" ref="AA9">'net worth - Table 1-1'!K68</f>
        <v>7000000</v>
      </c>
      <c r="AB9" s="320" cm="1">
        <f t="array" ref="AB9">AA9-AA8</f>
        <v>-12000000</v>
      </c>
      <c r="AC9" s="320"/>
      <c r="AD9" s="320"/>
    </row>
    <row r="10" ht="20.35" customHeight="1">
      <c r="A10" s="311">
        <v>2023</v>
      </c>
      <c r="B10" s="312" cm="1">
        <f t="array" ref="B10">SUM('flujos - Gasto mensual'!C$70:C81)</f>
        <v>45635233</v>
      </c>
      <c r="C10" s="313" cm="1">
        <f t="array" ref="C10">SUM('flujos - Gasto mensual'!B70:B81)</f>
        <v>54415</v>
      </c>
      <c r="D10" s="314" cm="1">
        <f t="array" ref="D10">SUM('net worth - resumen | depósitos'!R70:R81)</f>
        <v>10354988</v>
      </c>
      <c r="E10" s="313" cm="1">
        <f t="array" ref="E10">D10/'variables - Table 1-1'!$B80</f>
        <v>11705.3128956412</v>
      </c>
      <c r="F10" s="315" cm="1">
        <f t="array" ref="F10">D10/B10*100%</f>
        <v>0.226907749106924</v>
      </c>
      <c r="G10" s="315" cm="1">
        <f t="array" ref="G10">_xlfn.IFERROR(SUM(D$4:D10)/SUM(B$4:B10),0)</f>
        <v>0.279930853693874</v>
      </c>
      <c r="H10" s="316" cm="1">
        <f t="array" ref="H10">B10-D10</f>
        <v>35280245</v>
      </c>
      <c r="I10" s="313" cm="1">
        <f t="array" ref="I10">H10/'variables - Table 1-1'!$B80</f>
        <v>39880.9063573883</v>
      </c>
      <c r="J10" s="317" cm="1">
        <f t="array" ref="J10">R10/R9-1</f>
        <v>0.534049180414363</v>
      </c>
      <c r="K10" s="318" cm="1">
        <f t="array" ref="K10">R10-R9</f>
        <v>30822628.1537461</v>
      </c>
      <c r="L10" s="319" cm="1">
        <f t="array" ref="L10">SUM('net worth - Table 1-3'!I$70:I81)</f>
        <v>6518061.1537461</v>
      </c>
      <c r="M10" s="319" cm="1">
        <f t="array" ref="M10">SUM('net worth - Table 1-3'!$AO$70:$AO81)</f>
        <v>10330004</v>
      </c>
      <c r="N10" s="319" cm="1">
        <f t="array" ref="N10">SUM('net worth - Table 1-2'!E69:E80)</f>
        <v>3034137</v>
      </c>
      <c r="O10" s="320" cm="1">
        <f t="array" ref="O10">SUM(L10:N10)</f>
        <v>19882202.1537461</v>
      </c>
      <c r="P10" s="320" cm="1">
        <f t="array" ref="P10">SUM(O$4:O10)</f>
        <v>34531277.967119</v>
      </c>
      <c r="Q10" s="321" cm="1">
        <f t="array" ref="Q10">'net worth - Table 1-1'!E80</f>
        <v>100083.186554696</v>
      </c>
      <c r="R10" s="316" cm="1">
        <f t="array" ref="R10">SUM(S10,U10,W10,Y10,AA10)</f>
        <v>88537590.1537461</v>
      </c>
      <c r="S10" s="316">
        <v>0</v>
      </c>
      <c r="T10" s="320" cm="1">
        <f t="array" ref="T10">S10-S9</f>
        <v>0</v>
      </c>
      <c r="U10" s="316" cm="1">
        <f t="array" ref="U10">'net worth - Table 1-1'!H80</f>
        <v>25673178.1537461</v>
      </c>
      <c r="V10" s="320" cm="1">
        <f t="array" ref="V10">U10-U9</f>
        <v>6768061.1537461</v>
      </c>
      <c r="W10" s="316" cm="1">
        <f t="array" ref="W10">'net worth - Table 1-1'!I80</f>
        <v>5935614</v>
      </c>
      <c r="X10" s="320" cm="1">
        <f t="array" ref="X10">W10-W9</f>
        <v>3034137</v>
      </c>
      <c r="Y10" s="316" cm="1">
        <f t="array" ref="Y10">'net worth - Table 1-1'!J80</f>
        <v>46828798</v>
      </c>
      <c r="Z10" s="320" cm="1">
        <f t="array" ref="Z10">Y10-Y9</f>
        <v>17920430</v>
      </c>
      <c r="AA10" s="316" cm="1">
        <f t="array" ref="AA10">'net worth - Table 1-1'!K80</f>
        <v>10100000</v>
      </c>
      <c r="AB10" s="320" cm="1">
        <f t="array" ref="AB10">AA10-AA9</f>
        <v>3100000</v>
      </c>
      <c r="AC10" s="320"/>
      <c r="AD10" s="320"/>
    </row>
    <row r="11" ht="20.35" customHeight="1">
      <c r="A11" s="311">
        <v>2024</v>
      </c>
      <c r="B11" s="312" cm="1">
        <f t="array" ref="B11">SUM('flujos - Gasto mensual'!C$82:C93)</f>
        <v>45817617</v>
      </c>
      <c r="C11" s="313" cm="1">
        <f t="array" ref="C11">SUM('flujos - Gasto mensual'!B82:B93)</f>
        <v>48240</v>
      </c>
      <c r="D11" s="314" cm="1">
        <f t="array" ref="D11">SUM('net worth - resumen | depósitos'!R82:R93)</f>
        <v>102353083</v>
      </c>
      <c r="E11" s="313" cm="1">
        <f t="array" ref="E11">D11/'variables - Table 1'!$B$5</f>
        <v>106065.370984456</v>
      </c>
      <c r="F11" s="315" cm="1">
        <f t="array" ref="F11">D11/B11*100%</f>
        <v>2.2339241912123</v>
      </c>
      <c r="G11" s="315" cm="1">
        <f t="array" ref="G11">_xlfn.IFERROR(SUM(D$4:D11)/SUM(B$4:B11),0)</f>
        <v>0.682938778341076</v>
      </c>
      <c r="H11" s="316" cm="1">
        <f t="array" ref="H11">B11-D11</f>
        <v>-56535466</v>
      </c>
      <c r="I11" s="322" cm="1">
        <f t="array" ref="I11">H11/'variables - Table 1'!$B$5</f>
        <v>-58585.9751295337</v>
      </c>
      <c r="J11" s="317" cm="1">
        <f t="array" ref="J11">R11/R10-1</f>
        <v>1.43422209285059</v>
      </c>
      <c r="K11" s="318" cm="1">
        <f t="array" ref="K11">R11-R10</f>
        <v>126982567.846254</v>
      </c>
      <c r="L11" s="319" cm="1">
        <f t="array" ref="L11">SUM('net worth - Table 1-3'!I$82:I93)</f>
        <v>8397843.8462539</v>
      </c>
      <c r="M11" s="319" cm="1">
        <f t="array" ref="M11">SUM('net worth - Table 1-3'!$AO$82:$AO93)</f>
        <v>14027908</v>
      </c>
      <c r="N11" s="319" cm="1">
        <f t="array" ref="N11">SUM('net worth - Table 1-2'!E81:E92)</f>
        <v>5519852</v>
      </c>
      <c r="O11" s="320" cm="1">
        <f t="array" ref="O11">SUM(L11:N11)</f>
        <v>27945603.8462539</v>
      </c>
      <c r="P11" s="320" cm="1">
        <f t="array" ref="P11">SUM(O$4:O11)</f>
        <v>62476881.8133729</v>
      </c>
      <c r="Q11" s="321" cm="1">
        <f t="array" ref="Q11">'net worth - Table 1-1'!E92</f>
        <v>216962.961695274</v>
      </c>
      <c r="R11" s="316" cm="1">
        <f t="array" ref="R11">SUM(S11,U11,W11,Y11,AA11)</f>
        <v>215520158</v>
      </c>
      <c r="S11" s="316" cm="1">
        <f t="array" ref="S11">'net worth - Table 1-1'!G92</f>
        <v>89886057</v>
      </c>
      <c r="T11" s="320" cm="1">
        <f t="array" ref="T11">S11-S10</f>
        <v>89886057</v>
      </c>
      <c r="U11" s="316" cm="1">
        <f t="array" ref="U11">'net worth - Table 1-1'!H92</f>
        <v>31621022</v>
      </c>
      <c r="V11" s="320" cm="1">
        <f t="array" ref="V11">U11-U10</f>
        <v>5947843.8462539</v>
      </c>
      <c r="W11" s="316" cm="1">
        <f t="array" ref="W11">'net worth - Table 1-1'!I92</f>
        <v>10855466</v>
      </c>
      <c r="X11" s="320" cm="1">
        <f t="array" ref="X11">W11-W10</f>
        <v>4919852</v>
      </c>
      <c r="Y11" s="316" cm="1">
        <f t="array" ref="Y11">'net worth - Table 1-1'!J92</f>
        <v>68882160</v>
      </c>
      <c r="Z11" s="320" cm="1">
        <f t="array" ref="Z11">Y11-Y10</f>
        <v>22053362</v>
      </c>
      <c r="AA11" s="316" cm="1">
        <f t="array" ref="AA11">'net worth - Table 1-1'!K92</f>
        <v>14275453</v>
      </c>
      <c r="AB11" s="320" cm="1">
        <f t="array" ref="AB11">AA11-AA10</f>
        <v>4175453</v>
      </c>
      <c r="AC11" s="320" cm="1">
        <f t="array" ref="AC11">'depto - dividendos'!M14</f>
        <v>117412648</v>
      </c>
      <c r="AD11" s="320" cm="1">
        <f t="array" ref="AD11">-(AC11-AC10)</f>
        <v>-117412648</v>
      </c>
    </row>
    <row r="12" ht="20.35" customHeight="1">
      <c r="A12" s="311">
        <v>2025</v>
      </c>
      <c r="B12" s="312" cm="1">
        <f t="array" ref="B12">SUM('flujos - Gasto mensual'!C$94:C105)</f>
        <v>47443770</v>
      </c>
      <c r="C12" s="313" cm="1">
        <f t="array" ref="C12">SUM('flujos - Gasto mensual'!B94:B105)</f>
        <v>50262</v>
      </c>
      <c r="D12" s="314" cm="1">
        <f t="array" ref="D12">SUM('net worth - resumen | depósitos'!R94:R105)</f>
        <v>26020478.4</v>
      </c>
      <c r="E12" s="313" cm="1">
        <f t="array" ref="E12">D12/'variables - Table 1'!$B$5</f>
        <v>26964.2263212435</v>
      </c>
      <c r="F12" s="315" cm="1">
        <f t="array" ref="F12">D12/B12*100%</f>
        <v>0.548448793171369</v>
      </c>
      <c r="G12" s="315" cm="1">
        <f t="array" ref="G12">_xlfn.IFERROR(SUM(D$4:D12)/SUM(B$4:B12),0)</f>
        <v>0.6592707079865</v>
      </c>
      <c r="H12" s="316" cm="1">
        <f t="array" ref="H12">B12-D12</f>
        <v>21423291.6</v>
      </c>
      <c r="I12" s="322" cm="1">
        <f t="array" ref="I12">H12/'variables - Table 1'!$B$5</f>
        <v>22200.3021761658</v>
      </c>
      <c r="J12" s="317" cm="1">
        <f t="array" ref="J12">R12/R11-1</f>
        <v>0.00359747323496301</v>
      </c>
      <c r="K12" s="318" cm="1">
        <f t="array" ref="K12">R12-R11</f>
        <v>775328</v>
      </c>
      <c r="L12" s="319" cm="1">
        <f t="array" ref="L12">SUM('net worth - Table 1-3'!I$94:I105)</f>
        <v>-327691</v>
      </c>
      <c r="M12" s="319" cm="1">
        <f t="array" ref="M12">SUM('net worth - Table 1-3'!$AO$94:$AO105)</f>
        <v>9553411</v>
      </c>
      <c r="N12" s="319" cm="1">
        <f t="array" ref="N12">SUM('net worth - Table 1-2'!E93:E104)</f>
        <v>-2343219</v>
      </c>
      <c r="O12" s="320" cm="1">
        <f t="array" ref="O12">SUM(L12:N12)</f>
        <v>6882501</v>
      </c>
      <c r="P12" s="320" cm="1">
        <f t="array" ref="P12">SUM(O$4:O12)</f>
        <v>69359382.8133729</v>
      </c>
      <c r="Q12" s="321" cm="1">
        <f t="array" ref="Q12">'net worth - Table 1-1'!E104</f>
        <v>240344.340733827</v>
      </c>
      <c r="R12" s="316" cm="1">
        <f t="array" ref="R12">SUM(S12,U12,W12,Y12,AA12)</f>
        <v>216295486</v>
      </c>
      <c r="S12" s="316" cm="1">
        <f t="array" ref="S12">'net worth - Table 1-1'!G104</f>
        <v>122600540</v>
      </c>
      <c r="T12" s="320" cm="1">
        <f t="array" ref="T12">S12-S11</f>
        <v>32714483</v>
      </c>
      <c r="U12" s="316" cm="1">
        <f t="array" ref="U12">'net worth - Table 1-1'!H104</f>
        <v>9693331</v>
      </c>
      <c r="V12" s="320" cm="1">
        <f t="array" ref="V12">U12-U11</f>
        <v>-21927691</v>
      </c>
      <c r="W12" s="316" cm="1">
        <f t="array" ref="W12">'net worth - Table 1-1'!I104</f>
        <v>1922666</v>
      </c>
      <c r="X12" s="320" cm="1">
        <f t="array" ref="X12">W12-W11</f>
        <v>-8932800</v>
      </c>
      <c r="Y12" s="316" cm="1">
        <f t="array" ref="Y12">'net worth - Table 1-1'!J104</f>
        <v>83724577</v>
      </c>
      <c r="Z12" s="320" cm="1">
        <f t="array" ref="Z12">Y12-Y11</f>
        <v>14842417</v>
      </c>
      <c r="AA12" s="316" cm="1">
        <f t="array" ref="AA12">'net worth - Table 1-1'!K104</f>
        <v>-1645628</v>
      </c>
      <c r="AB12" s="320" cm="1">
        <f t="array" ref="AB12">AA12-AA11</f>
        <v>-15921081</v>
      </c>
      <c r="AC12" s="320" cm="1">
        <f t="array" ref="AC12">'net worth - Table 1-1'!L104</f>
        <v>98707435</v>
      </c>
      <c r="AD12" s="320" cm="1">
        <f t="array" ref="AD12">-(AC12-AC11)</f>
        <v>18705213</v>
      </c>
    </row>
    <row r="13" ht="20.55" customHeight="1">
      <c r="A13" s="323">
        <v>2026</v>
      </c>
      <c r="B13" s="324" cm="1">
        <f t="array" ref="B13">SUM('flujos - Gasto mensual'!C$106:C117)</f>
        <v>7955560</v>
      </c>
      <c r="C13" s="325" cm="1">
        <f t="array" ref="C13">SUM('flujos - Gasto mensual'!B106:B117)</f>
        <v>9018</v>
      </c>
      <c r="D13" s="326" cm="1">
        <f t="array" ref="D13">SUM('net worth - resumen | depósitos'!R106:R114)</f>
        <v>42168470</v>
      </c>
      <c r="E13" s="325" cm="1">
        <f t="array" ref="E13">D13/'variables - Table 1'!$B$5</f>
        <v>43697.896373057</v>
      </c>
      <c r="F13" s="327" cm="1">
        <f t="array" ref="F13">D13/B13*100%</f>
        <v>5.30050304441171</v>
      </c>
      <c r="G13" s="327" cm="1">
        <f t="array" ref="G13">_xlfn.IFERROR(SUM(D$4:D13)/SUM(B$4:B13),0)</f>
        <v>0.792306146460189</v>
      </c>
      <c r="H13" s="328" cm="1">
        <f t="array" ref="H13">B13-D13</f>
        <v>-34212910</v>
      </c>
      <c r="I13" s="329" cm="1">
        <f t="array" ref="I13">H13/'variables - Table 1'!$B$5</f>
        <v>-35453.792746114</v>
      </c>
      <c r="J13" s="330" cm="1">
        <f t="array" ref="J13">R13/R12-1</f>
        <v>0.242120226216834</v>
      </c>
      <c r="K13" s="331" cm="1">
        <f t="array" ref="K13">R13-R12</f>
        <v>52369512</v>
      </c>
      <c r="L13" s="332" cm="1">
        <f t="array" ref="L13">SUM('net worth - Table 1-3'!I$106:I114)</f>
        <v>1354140</v>
      </c>
      <c r="M13" s="332" cm="1">
        <f t="array" ref="M13">SUM('net worth - Table 1-3'!$AO$106:$AO114)</f>
        <v>10442965</v>
      </c>
      <c r="N13" s="332" cm="1">
        <f t="array" ref="N13">SUM('net worth - Table 1-2'!E105:E113)</f>
        <v>-229209</v>
      </c>
      <c r="O13" s="333" cm="1">
        <f t="array" ref="O13">SUM(L13:N13)</f>
        <v>11567896</v>
      </c>
      <c r="P13" s="333" cm="1">
        <f t="array" ref="P13">SUM(O$4:O13)</f>
        <v>80927278.8133729</v>
      </c>
      <c r="Q13" s="334" cm="1">
        <f t="array" ref="Q13">'net worth - net worth'!E$18</f>
        <v>302912.26</v>
      </c>
      <c r="R13" s="328" cm="1">
        <f t="array" ref="R13">SUM(S13,U13,W13,Y13,AA13)</f>
        <v>268664998</v>
      </c>
      <c r="S13" s="328" cm="1">
        <f t="array" ref="S13">'net worth - net worth'!$B$13</f>
        <v>144757881</v>
      </c>
      <c r="T13" s="333" cm="1">
        <f t="array" ref="T13">S13-S12</f>
        <v>22157341</v>
      </c>
      <c r="U13" s="328" cm="1">
        <f t="array" ref="U13">'net worth - net worth'!$B$3</f>
        <v>11447471</v>
      </c>
      <c r="V13" s="333" cm="1">
        <f t="array" ref="V13">U13-U12</f>
        <v>1754140</v>
      </c>
      <c r="W13" s="328" cm="1">
        <f t="array" ref="W13">'net worth - net worth'!$B$2</f>
        <v>1693457</v>
      </c>
      <c r="X13" s="333" cm="1">
        <f t="array" ref="X13">W13-W12</f>
        <v>-229209</v>
      </c>
      <c r="Y13" s="328" cm="1">
        <f t="array" ref="Y13">'net worth - net worth'!$B$6</f>
        <v>93254171</v>
      </c>
      <c r="Z13" s="333" cm="1">
        <f t="array" ref="Z13">Y13-Y12</f>
        <v>9529594</v>
      </c>
      <c r="AA13" s="328" cm="1">
        <f t="array" ref="AA13">'net worth - net worth'!$B$12</f>
        <v>17512018</v>
      </c>
      <c r="AB13" s="333" cm="1">
        <f t="array" ref="AB13">AA13-AA12</f>
        <v>19157646</v>
      </c>
      <c r="AC13" s="333" cm="1">
        <f t="array" ref="AC13">'net worth - net worth'!$B$15</f>
        <v>78939167</v>
      </c>
      <c r="AD13" s="333" cm="1">
        <f t="array" ref="AD13">-(AC13-AC12)</f>
        <v>19768268</v>
      </c>
    </row>
    <row r="14" ht="20.55" customHeight="1">
      <c r="A14" s="46"/>
      <c r="B14" s="79" cm="1">
        <f t="array" ref="B14">SUM(B4:B13)</f>
        <v>277547116.3924</v>
      </c>
      <c r="C14" s="335" cm="1">
        <f t="array" ref="C14">SUM(C4:C13)</f>
        <v>341130</v>
      </c>
      <c r="D14" s="79" cm="1">
        <f t="array" ref="D14">SUM(D4:D13)</f>
        <v>219902286.25</v>
      </c>
      <c r="E14" s="46"/>
      <c r="F14" s="46"/>
      <c r="G14" s="46"/>
      <c r="H14" s="79" cm="1">
        <f t="array" ref="H14">SUM(H4:H13)</f>
        <v>57644830.1424</v>
      </c>
      <c r="I14" s="46"/>
      <c r="J14" s="46"/>
      <c r="K14" s="46"/>
      <c r="L14" s="79" cm="1">
        <f t="array" ref="L14">SUM(L4:L13)</f>
        <v>20647471</v>
      </c>
      <c r="M14" s="79" cm="1">
        <f t="array" ref="M14">SUM(M4:M13)</f>
        <v>49688600</v>
      </c>
      <c r="N14" s="79" cm="1">
        <f t="array" ref="N14">SUM(N4:N13)</f>
        <v>10591207.8133728</v>
      </c>
      <c r="O14" s="79" cm="1">
        <f t="array" ref="O14">SUM(O4:O13)</f>
        <v>80927278.8133729</v>
      </c>
      <c r="P14" s="46"/>
      <c r="Q14" s="46"/>
      <c r="R14" s="46"/>
      <c r="S14" s="46"/>
      <c r="T14" s="46"/>
      <c r="U14" s="46"/>
      <c r="V14" s="46"/>
      <c r="W14" s="46"/>
      <c r="X14" s="46"/>
      <c r="Y14" s="46"/>
      <c r="Z14" s="46"/>
      <c r="AA14" s="46"/>
      <c r="AB14" s="46"/>
      <c r="AC14" s="46"/>
      <c r="AD14" s="46"/>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30.xml><?xml version="1.0" encoding="utf-8"?>
<worksheet xmlns:r="http://schemas.openxmlformats.org/officeDocument/2006/relationships" xmlns="http://schemas.openxmlformats.org/spreadsheetml/2006/main">
  <sheetPr>
    <pageSetUpPr fitToPage="1"/>
  </sheetPr>
  <dimension ref="A1:F11"/>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2" width="16.3516" style="336" customWidth="1"/>
    <col min="3" max="3" width="11.5" style="336" customWidth="1"/>
    <col min="4" max="4" width="10.5938" style="336" customWidth="1"/>
    <col min="5" max="5" width="14.6172" style="336" customWidth="1"/>
    <col min="6" max="6" width="14.5781" style="336" customWidth="1"/>
    <col min="7" max="16384" width="16.3516" style="336" customWidth="1"/>
  </cols>
  <sheetData>
    <row r="1" ht="20.55" customHeight="1">
      <c r="A1" s="337"/>
      <c r="B1" s="337"/>
      <c r="C1" s="337"/>
      <c r="D1" s="337"/>
      <c r="E1" t="s" s="338">
        <v>683</v>
      </c>
      <c r="F1" t="s" s="338">
        <v>681</v>
      </c>
    </row>
    <row r="2" ht="19.55" customHeight="1">
      <c r="A2" s="339">
        <v>10000</v>
      </c>
      <c r="B2" s="234" cm="1">
        <f t="array" ref="B2">A2*'variables - Table 1'!$B$13</f>
        <v>8869400</v>
      </c>
      <c r="C2" s="340" cm="1">
        <f t="array" ref="C2">COUNT('net worth - Table 1-1'!P2:P9)</f>
        <v>8</v>
      </c>
      <c r="D2" s="340" cm="1">
        <f t="array" ref="D2">SUM(C$2:C2)</f>
        <v>8</v>
      </c>
      <c r="E2" s="340"/>
      <c r="F2" s="340"/>
    </row>
    <row r="3" ht="19.35" customHeight="1">
      <c r="A3" s="341">
        <v>25000</v>
      </c>
      <c r="B3" s="247" cm="1">
        <f t="array" ref="B3">A3*'variables - Table 1'!$B$13</f>
        <v>22173500</v>
      </c>
      <c r="C3" s="342" cm="1">
        <f t="array" ref="C3">COUNT('net worth - Table 1-1'!P$10:P26)</f>
        <v>17</v>
      </c>
      <c r="D3" s="342" cm="1">
        <f t="array" ref="D3">SUM(C$2:C3)</f>
        <v>25</v>
      </c>
      <c r="E3" s="342"/>
      <c r="F3" s="342"/>
    </row>
    <row r="4" ht="19.35" customHeight="1">
      <c r="A4" s="341">
        <v>50000</v>
      </c>
      <c r="B4" s="247" cm="1">
        <f t="array" ref="B4">A4*'variables - Table 1'!$B$13</f>
        <v>44347000</v>
      </c>
      <c r="C4" s="342" cm="1">
        <f t="array" ref="C4">COUNT('net worth - Table 1-1'!$P$27:P43)</f>
        <v>17</v>
      </c>
      <c r="D4" s="342" cm="1">
        <f t="array" ref="D4">SUM(C$2:C4)</f>
        <v>42</v>
      </c>
      <c r="E4" s="342"/>
      <c r="F4" s="342"/>
    </row>
    <row r="5" ht="19.35" customHeight="1">
      <c r="A5" s="341">
        <v>100000</v>
      </c>
      <c r="B5" s="247" cm="1">
        <f t="array" ref="B5">A5*'variables - Table 1'!$B$13</f>
        <v>88694000</v>
      </c>
      <c r="C5" s="342" cm="1">
        <f t="array" ref="C5">COUNT('net worth - Table 1-1'!$Q$44:Q85)</f>
        <v>42</v>
      </c>
      <c r="D5" s="342" cm="1">
        <f t="array" ref="D5">SUM(C$2:C5)</f>
        <v>84</v>
      </c>
      <c r="E5" s="342"/>
      <c r="F5" s="342"/>
    </row>
    <row r="6" ht="19.35" customHeight="1">
      <c r="A6" s="343">
        <v>150000</v>
      </c>
      <c r="B6" s="247" cm="1">
        <f t="array" ref="B6">A6*'variables - Table 1'!$B$13</f>
        <v>133041000</v>
      </c>
      <c r="C6" s="344" cm="1">
        <f t="array" ref="C6">COUNT('net worth - Table 1-1'!$Q$86:Q113)</f>
        <v>28</v>
      </c>
      <c r="D6" s="344" cm="1">
        <f t="array" ref="D6">SUM(C$2:C6)</f>
        <v>112</v>
      </c>
      <c r="E6" s="345" cm="1">
        <f t="array" ref="E6">B6-'net worth - net worth'!B$17</f>
        <v>26645901</v>
      </c>
      <c r="F6" s="345"/>
    </row>
    <row r="7" ht="19.35" customHeight="1">
      <c r="A7" s="343">
        <v>200000</v>
      </c>
      <c r="B7" s="247" cm="1">
        <f t="array" ref="B7">A7*'variables - Table 1'!$B$13</f>
        <v>177388000</v>
      </c>
      <c r="C7" s="344"/>
      <c r="D7" s="344"/>
      <c r="E7" s="345" cm="1">
        <f t="array" ref="E7">B7-'net worth - net worth'!B$17</f>
        <v>70992901</v>
      </c>
      <c r="F7" s="345"/>
    </row>
    <row r="8" ht="19.35" customHeight="1">
      <c r="A8" s="343">
        <v>250000</v>
      </c>
      <c r="B8" s="247" cm="1">
        <f t="array" ref="B8">A8*'variables - Table 1'!$B$13</f>
        <v>221735000</v>
      </c>
      <c r="C8" s="247"/>
      <c r="D8" s="247"/>
      <c r="E8" s="345" cm="1">
        <f t="array" ref="E8">B8-'net worth - net worth'!B$17</f>
        <v>115339901</v>
      </c>
      <c r="F8" s="345"/>
    </row>
    <row r="9" ht="19.35" customHeight="1">
      <c r="A9" s="343">
        <v>300000</v>
      </c>
      <c r="B9" s="247" cm="1">
        <f t="array" ref="B9">A9*'variables - Table 1'!$B$13</f>
        <v>266082000</v>
      </c>
      <c r="C9" s="247"/>
      <c r="D9" s="247"/>
      <c r="E9" s="345" cm="1">
        <f t="array" ref="E9">B9-'net worth - net worth'!B$17</f>
        <v>159686901</v>
      </c>
      <c r="F9" s="345" cm="1">
        <f t="array" ref="F9">B9-'net worth - net worth'!B$18</f>
        <v>-2582998</v>
      </c>
    </row>
    <row r="10" ht="19.35" customHeight="1">
      <c r="A10" s="343">
        <v>500000</v>
      </c>
      <c r="B10" s="247" cm="1">
        <f t="array" ref="B10">A10*'variables - Table 1'!$B$13</f>
        <v>443470000</v>
      </c>
      <c r="C10" s="298"/>
      <c r="D10" s="298"/>
      <c r="E10" s="345" cm="1">
        <f t="array" ref="E10">B10-'net worth - net worth'!B$17</f>
        <v>337074901</v>
      </c>
      <c r="F10" s="345" cm="1">
        <f t="array" ref="F10">B10-'net worth - net worth'!B$18</f>
        <v>174805002</v>
      </c>
    </row>
    <row r="11" ht="19.35" customHeight="1">
      <c r="A11" s="343">
        <v>1000000</v>
      </c>
      <c r="B11" s="247" cm="1">
        <f t="array" ref="B11">A11*'variables - Table 1'!$B$13</f>
        <v>886940000</v>
      </c>
      <c r="C11" s="346"/>
      <c r="D11" s="247"/>
      <c r="E11" s="345" cm="1">
        <f t="array" ref="E11">B11-'net worth - net worth'!B$17</f>
        <v>780544901</v>
      </c>
      <c r="F11" s="345" cm="1">
        <f t="array" ref="F11">B11-'net worth - net worth'!B$18</f>
        <v>618275002</v>
      </c>
    </row>
  </sheetData>
  <conditionalFormatting sqref="B2:F9 B10:B11 E10:F10 D11:F11">
    <cfRule type="cellIs" dxfId="8" priority="1" operator="equal"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31.xml><?xml version="1.0" encoding="utf-8"?>
<worksheet xmlns:r="http://schemas.openxmlformats.org/officeDocument/2006/relationships" xmlns="http://schemas.openxmlformats.org/spreadsheetml/2006/main">
  <sheetPr>
    <pageSetUpPr fitToPage="1"/>
  </sheetPr>
  <dimension ref="A2:E435"/>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1" width="18.3516" style="347" customWidth="1"/>
    <col min="2" max="2" width="15.25" style="347" customWidth="1"/>
    <col min="3" max="5" width="16.3516" style="347" customWidth="1"/>
    <col min="6" max="16384" width="16.3516" style="347" customWidth="1"/>
  </cols>
  <sheetData>
    <row r="1" ht="28" customHeight="1">
      <c r="A1" t="s" s="90">
        <v>684</v>
      </c>
      <c r="B1" s="90"/>
      <c r="C1" s="90"/>
      <c r="D1" s="90"/>
      <c r="E1" s="90"/>
    </row>
    <row r="2" ht="20.55" customHeight="1">
      <c r="A2" s="7"/>
      <c r="B2" t="s" s="8">
        <v>686</v>
      </c>
      <c r="C2" t="s" s="8">
        <v>687</v>
      </c>
      <c r="D2" s="7"/>
      <c r="E2" s="7"/>
    </row>
    <row r="3" ht="8.75" customHeight="1" hidden="1">
      <c r="A3" s="348">
        <v>45526</v>
      </c>
      <c r="B3" s="349">
        <v>4140553</v>
      </c>
      <c r="C3" s="350"/>
      <c r="D3" s="351"/>
      <c r="E3" s="352"/>
    </row>
    <row r="4" ht="8.75" customHeight="1" hidden="1">
      <c r="A4" s="348">
        <v>45527</v>
      </c>
      <c r="B4" s="353">
        <v>4140826</v>
      </c>
      <c r="C4" s="350" cm="1">
        <f t="array" ref="C4">B3</f>
        <v>4140553</v>
      </c>
      <c r="D4" s="351"/>
      <c r="E4" s="352"/>
    </row>
    <row r="5" ht="8.75" customHeight="1" hidden="1">
      <c r="A5" s="348">
        <v>45528</v>
      </c>
      <c r="B5" s="353">
        <v>4140826</v>
      </c>
      <c r="C5" s="350"/>
      <c r="D5" s="351"/>
      <c r="E5" s="352"/>
    </row>
    <row r="6" ht="8.75" customHeight="1" hidden="1">
      <c r="A6" s="348">
        <v>45529</v>
      </c>
      <c r="B6" s="353">
        <v>4140826</v>
      </c>
      <c r="C6" s="350"/>
      <c r="D6" s="351"/>
      <c r="E6" s="352"/>
    </row>
    <row r="7" ht="8.75" customHeight="1" hidden="1">
      <c r="A7" s="348">
        <v>45530</v>
      </c>
      <c r="B7" s="349">
        <v>4142732</v>
      </c>
      <c r="C7" s="350"/>
      <c r="D7" s="354"/>
      <c r="E7" s="352"/>
    </row>
    <row r="8" ht="8.75" customHeight="1" hidden="1">
      <c r="A8" s="348">
        <v>45531</v>
      </c>
      <c r="B8" s="349">
        <v>4143367</v>
      </c>
      <c r="C8" s="350"/>
      <c r="D8" s="354"/>
      <c r="E8" s="352"/>
    </row>
    <row r="9" ht="8.75" customHeight="1" hidden="1">
      <c r="A9" s="348">
        <v>45532</v>
      </c>
      <c r="B9" s="349">
        <v>4144004</v>
      </c>
      <c r="C9" s="350"/>
      <c r="D9" s="354"/>
      <c r="E9" s="352"/>
    </row>
    <row r="10" ht="8.75" customHeight="1" hidden="1">
      <c r="A10" s="348">
        <v>45533</v>
      </c>
      <c r="B10" s="349"/>
      <c r="C10" s="350"/>
      <c r="D10" s="354"/>
      <c r="E10" s="352"/>
    </row>
    <row r="11" ht="8.75" customHeight="1" hidden="1">
      <c r="A11" s="348">
        <v>45534</v>
      </c>
      <c r="B11" s="349"/>
      <c r="C11" s="350" cm="1">
        <f t="array" ref="C11">C4+3381</f>
        <v>4143934</v>
      </c>
      <c r="D11" s="355" cm="1">
        <f t="array" ref="D11">A11-TODAY()</f>
        <v>-622</v>
      </c>
      <c r="E11" s="352"/>
    </row>
    <row r="12" ht="8.75" customHeight="1" hidden="1">
      <c r="A12" s="348">
        <v>45535</v>
      </c>
      <c r="B12" s="349"/>
      <c r="C12" s="350"/>
      <c r="D12" s="354"/>
      <c r="E12" s="352"/>
    </row>
    <row r="13" ht="8.75" customHeight="1" hidden="1">
      <c r="A13" s="348">
        <v>45536</v>
      </c>
      <c r="B13" s="349"/>
      <c r="C13" s="350"/>
      <c r="D13" s="354"/>
      <c r="E13" s="352"/>
    </row>
    <row r="14" ht="8.75" customHeight="1" hidden="1">
      <c r="A14" s="348">
        <v>45537</v>
      </c>
      <c r="B14" s="349">
        <v>4442563</v>
      </c>
      <c r="C14" s="350"/>
      <c r="D14" s="354"/>
      <c r="E14" s="352"/>
    </row>
    <row r="15" ht="8.75" customHeight="1" hidden="1">
      <c r="A15" s="348">
        <v>45538</v>
      </c>
      <c r="B15" s="349" cm="1">
        <f t="array" ref="B15">4443161+1300000</f>
        <v>5743161</v>
      </c>
      <c r="C15" s="350"/>
      <c r="D15" s="354"/>
      <c r="E15" s="352"/>
    </row>
    <row r="16" ht="8.75" customHeight="1" hidden="1">
      <c r="A16" s="348">
        <v>45539</v>
      </c>
      <c r="B16" s="349">
        <v>5743772</v>
      </c>
      <c r="C16" s="350"/>
      <c r="D16" s="354"/>
      <c r="E16" s="352"/>
    </row>
    <row r="17" ht="8.75" customHeight="1" hidden="1">
      <c r="A17" s="348">
        <v>45540</v>
      </c>
      <c r="B17" s="349"/>
      <c r="C17" s="350"/>
      <c r="D17" s="354"/>
      <c r="E17" s="352"/>
    </row>
    <row r="18" ht="8.75" customHeight="1" hidden="1">
      <c r="A18" s="348">
        <v>45541</v>
      </c>
      <c r="B18" s="349"/>
      <c r="C18" s="350"/>
      <c r="D18" s="354"/>
      <c r="E18" s="352"/>
    </row>
    <row r="19" ht="8.75" customHeight="1" hidden="1">
      <c r="A19" s="348">
        <v>45542</v>
      </c>
      <c r="B19" s="349"/>
      <c r="C19" s="350"/>
      <c r="D19" s="354"/>
      <c r="E19" s="352"/>
    </row>
    <row r="20" ht="8.75" customHeight="1" hidden="1">
      <c r="A20" s="348">
        <v>45543</v>
      </c>
      <c r="B20" s="349"/>
      <c r="C20" s="350"/>
      <c r="D20" s="354"/>
      <c r="E20" s="352"/>
    </row>
    <row r="21" ht="8.75" customHeight="1" hidden="1">
      <c r="A21" s="348">
        <v>45544</v>
      </c>
      <c r="B21" s="349">
        <v>7747397</v>
      </c>
      <c r="C21" s="350"/>
      <c r="D21" s="354"/>
      <c r="E21" s="352"/>
    </row>
    <row r="22" ht="8.75" customHeight="1" hidden="1">
      <c r="A22" s="348">
        <v>45545</v>
      </c>
      <c r="B22" s="349">
        <v>7748574</v>
      </c>
      <c r="C22" s="350"/>
      <c r="D22" s="354"/>
      <c r="E22" s="352"/>
    </row>
    <row r="23" ht="8.75" customHeight="1" hidden="1">
      <c r="A23" s="348">
        <v>45546</v>
      </c>
      <c r="B23" s="349">
        <v>7749627</v>
      </c>
      <c r="C23" s="350"/>
      <c r="D23" s="354"/>
      <c r="E23" s="352"/>
    </row>
    <row r="24" ht="8.75" customHeight="1" hidden="1">
      <c r="A24" s="348">
        <v>45547</v>
      </c>
      <c r="B24" s="349">
        <v>7750596</v>
      </c>
      <c r="C24" s="350"/>
      <c r="D24" s="354"/>
      <c r="E24" s="352"/>
    </row>
    <row r="25" ht="8.75" customHeight="1" hidden="1">
      <c r="A25" s="348">
        <v>45548</v>
      </c>
      <c r="B25" s="349"/>
      <c r="C25" s="350"/>
      <c r="D25" s="354"/>
      <c r="E25" s="352"/>
    </row>
    <row r="26" ht="8.75" customHeight="1" hidden="1">
      <c r="A26" s="348">
        <v>45549</v>
      </c>
      <c r="B26" s="349"/>
      <c r="C26" s="350"/>
      <c r="D26" s="354"/>
      <c r="E26" s="352"/>
    </row>
    <row r="27" ht="8.75" customHeight="1" hidden="1">
      <c r="A27" s="348">
        <v>45550</v>
      </c>
      <c r="B27" s="349"/>
      <c r="C27" s="350"/>
      <c r="D27" s="354"/>
      <c r="E27" s="352"/>
    </row>
    <row r="28" ht="8.75" customHeight="1" hidden="1">
      <c r="A28" s="348">
        <v>45551</v>
      </c>
      <c r="B28" s="349"/>
      <c r="C28" s="350"/>
      <c r="D28" s="354"/>
      <c r="E28" s="352"/>
    </row>
    <row r="29" ht="8.75" customHeight="1" hidden="1">
      <c r="A29" s="348">
        <v>45552</v>
      </c>
      <c r="B29" s="349">
        <v>7754222</v>
      </c>
      <c r="C29" s="350"/>
      <c r="D29" s="354"/>
      <c r="E29" s="352"/>
    </row>
    <row r="30" ht="8.75" customHeight="1" hidden="1">
      <c r="A30" s="348">
        <v>45553</v>
      </c>
      <c r="B30" s="349"/>
      <c r="C30" s="350"/>
      <c r="D30" s="354"/>
      <c r="E30" s="352"/>
    </row>
    <row r="31" ht="8.75" customHeight="1" hidden="1">
      <c r="A31" s="348">
        <v>45554</v>
      </c>
      <c r="B31" s="349"/>
      <c r="C31" s="350"/>
      <c r="D31" s="354"/>
      <c r="E31" s="352"/>
    </row>
    <row r="32" ht="8.75" customHeight="1" hidden="1">
      <c r="A32" s="348">
        <v>45555</v>
      </c>
      <c r="B32" s="349"/>
      <c r="C32" s="350"/>
      <c r="D32" s="354"/>
      <c r="E32" s="352"/>
    </row>
    <row r="33" ht="8.75" customHeight="1" hidden="1">
      <c r="A33" s="348">
        <v>45556</v>
      </c>
      <c r="B33" s="349"/>
      <c r="C33" s="350"/>
      <c r="D33" s="354"/>
      <c r="E33" s="352"/>
    </row>
    <row r="34" ht="8.75" customHeight="1" hidden="1">
      <c r="A34" s="348">
        <v>45557</v>
      </c>
      <c r="B34" s="349"/>
      <c r="C34" s="350"/>
      <c r="D34" s="354"/>
      <c r="E34" s="352"/>
    </row>
    <row r="35" ht="8.75" customHeight="1" hidden="1">
      <c r="A35" s="348">
        <v>45558</v>
      </c>
      <c r="B35" s="349">
        <v>7761907</v>
      </c>
      <c r="C35" s="350">
        <v>4452432</v>
      </c>
      <c r="D35" s="355" cm="1">
        <f t="array" ref="D35">A35-TODAY()</f>
        <v>-598</v>
      </c>
      <c r="E35" s="352"/>
    </row>
    <row r="36" ht="8.75" customHeight="1" hidden="1">
      <c r="A36" s="348">
        <v>45559</v>
      </c>
      <c r="B36" s="349">
        <v>7762848</v>
      </c>
      <c r="C36" s="350"/>
      <c r="D36" s="354"/>
      <c r="E36" s="352"/>
    </row>
    <row r="37" ht="8.75" customHeight="1" hidden="1">
      <c r="A37" s="348">
        <v>45560</v>
      </c>
      <c r="B37" s="349"/>
      <c r="C37" s="350"/>
      <c r="D37" s="354"/>
      <c r="E37" s="352"/>
    </row>
    <row r="38" ht="8.75" customHeight="1" hidden="1">
      <c r="A38" s="348">
        <v>45561</v>
      </c>
      <c r="B38" s="349">
        <v>12765558</v>
      </c>
      <c r="C38" s="350"/>
      <c r="D38" s="354"/>
      <c r="E38" s="352"/>
    </row>
    <row r="39" ht="8.75" customHeight="1" hidden="1">
      <c r="A39" s="348">
        <v>45562</v>
      </c>
      <c r="B39" s="349">
        <v>12767567</v>
      </c>
      <c r="C39" s="350"/>
      <c r="D39" s="354"/>
      <c r="E39" s="352"/>
    </row>
    <row r="40" ht="8.75" customHeight="1" hidden="1">
      <c r="A40" s="348">
        <v>45563</v>
      </c>
      <c r="B40" s="349"/>
      <c r="C40" s="350"/>
      <c r="D40" s="354"/>
      <c r="E40" s="352"/>
    </row>
    <row r="41" ht="8.75" customHeight="1" hidden="1">
      <c r="A41" s="348">
        <v>45564</v>
      </c>
      <c r="B41" s="349"/>
      <c r="C41" s="350"/>
      <c r="D41" s="354"/>
      <c r="E41" s="352"/>
    </row>
    <row r="42" ht="8.75" customHeight="1" hidden="1">
      <c r="A42" s="348">
        <v>45565</v>
      </c>
      <c r="B42" s="349">
        <v>12772416</v>
      </c>
      <c r="C42" s="350"/>
      <c r="D42" s="354"/>
      <c r="E42" s="352"/>
    </row>
    <row r="43" ht="8.75" customHeight="1" hidden="1">
      <c r="A43" s="348">
        <v>45566</v>
      </c>
      <c r="B43" s="349"/>
      <c r="C43" s="350"/>
      <c r="D43" s="354"/>
      <c r="E43" s="352"/>
    </row>
    <row r="44" ht="8.75" customHeight="1" hidden="1">
      <c r="A44" s="348">
        <v>45567</v>
      </c>
      <c r="B44" s="349">
        <v>12776432</v>
      </c>
      <c r="C44" s="350"/>
      <c r="D44" s="354"/>
      <c r="E44" s="352"/>
    </row>
    <row r="45" ht="8.75" customHeight="1" hidden="1">
      <c r="A45" s="348">
        <v>45568</v>
      </c>
      <c r="B45" s="349">
        <v>12778026</v>
      </c>
      <c r="C45" s="350"/>
      <c r="D45" s="354"/>
      <c r="E45" s="352"/>
    </row>
    <row r="46" ht="8.75" customHeight="1" hidden="1">
      <c r="A46" s="348">
        <v>45569</v>
      </c>
      <c r="B46" s="349">
        <v>12780727</v>
      </c>
      <c r="C46" s="350">
        <v>4459164</v>
      </c>
      <c r="D46" s="355" cm="1">
        <f t="array" ref="D46">A46-TODAY()</f>
        <v>-587</v>
      </c>
      <c r="E46" s="350" cm="1">
        <f t="array" ref="E46">B46-B42</f>
        <v>8311</v>
      </c>
    </row>
    <row r="47" ht="8.75" customHeight="1" hidden="1">
      <c r="A47" s="348">
        <v>45570</v>
      </c>
      <c r="B47" s="349" cm="1">
        <f t="array" ref="B47">12780727+2852410</f>
        <v>15633137</v>
      </c>
      <c r="C47" s="350"/>
      <c r="D47" s="355"/>
      <c r="E47" s="352"/>
    </row>
    <row r="48" ht="8.75" customHeight="1" hidden="1">
      <c r="A48" s="348">
        <v>45571</v>
      </c>
      <c r="B48" s="349"/>
      <c r="C48" s="350"/>
      <c r="D48" s="355"/>
      <c r="E48" s="352"/>
    </row>
    <row r="49" ht="8.75" customHeight="1" hidden="1">
      <c r="A49" s="348">
        <v>45572</v>
      </c>
      <c r="B49" s="349">
        <v>15637893</v>
      </c>
      <c r="C49" s="350"/>
      <c r="D49" s="355"/>
      <c r="E49" s="352"/>
    </row>
    <row r="50" ht="8.75" customHeight="1" hidden="1">
      <c r="A50" s="348">
        <v>45573</v>
      </c>
      <c r="B50" s="349">
        <v>15640411</v>
      </c>
      <c r="C50" s="350"/>
      <c r="D50" s="355"/>
      <c r="E50" s="352"/>
    </row>
    <row r="51" ht="8.75" customHeight="1" hidden="1">
      <c r="A51" s="348">
        <v>45574</v>
      </c>
      <c r="B51" s="349">
        <v>15642841</v>
      </c>
      <c r="C51" s="350"/>
      <c r="D51" s="355"/>
      <c r="E51" s="352"/>
    </row>
    <row r="52" ht="8.75" customHeight="1" hidden="1">
      <c r="A52" s="348">
        <v>45575</v>
      </c>
      <c r="B52" s="349">
        <v>15645126</v>
      </c>
      <c r="C52" s="350"/>
      <c r="D52" s="355"/>
      <c r="E52" s="352"/>
    </row>
    <row r="53" ht="8.75" customHeight="1" hidden="1">
      <c r="A53" s="348">
        <v>45576</v>
      </c>
      <c r="B53" s="349">
        <v>15647031</v>
      </c>
      <c r="C53" s="350"/>
      <c r="D53" s="355"/>
      <c r="E53" s="352"/>
    </row>
    <row r="54" ht="8.75" customHeight="1" hidden="1">
      <c r="A54" s="348">
        <v>45577</v>
      </c>
      <c r="B54" s="349"/>
      <c r="C54" s="350"/>
      <c r="D54" s="355"/>
      <c r="E54" s="352"/>
    </row>
    <row r="55" ht="8.75" customHeight="1" hidden="1">
      <c r="A55" s="348">
        <v>45578</v>
      </c>
      <c r="B55" s="349">
        <v>15646039</v>
      </c>
      <c r="C55" s="350"/>
      <c r="D55" s="355"/>
      <c r="E55" s="352"/>
    </row>
    <row r="56" ht="8.75" customHeight="1" hidden="1">
      <c r="A56" s="348">
        <v>45579</v>
      </c>
      <c r="B56" s="349">
        <v>15652999</v>
      </c>
      <c r="C56" s="350"/>
      <c r="D56" s="355"/>
      <c r="E56" s="352"/>
    </row>
    <row r="57" ht="8.75" customHeight="1" hidden="1">
      <c r="A57" s="348">
        <v>45580</v>
      </c>
      <c r="B57" s="349">
        <v>15655483</v>
      </c>
      <c r="C57" s="350"/>
      <c r="D57" s="355"/>
      <c r="E57" s="352"/>
    </row>
    <row r="58" ht="8.75" customHeight="1" hidden="1">
      <c r="A58" s="348">
        <v>45581</v>
      </c>
      <c r="B58" s="349">
        <v>15657563</v>
      </c>
      <c r="C58" s="350"/>
      <c r="D58" s="355"/>
      <c r="E58" s="352"/>
    </row>
    <row r="59" ht="8.75" customHeight="1" hidden="1">
      <c r="A59" s="348">
        <v>45582</v>
      </c>
      <c r="B59" s="349">
        <v>15659670</v>
      </c>
      <c r="C59" s="350"/>
      <c r="D59" s="355"/>
      <c r="E59" s="352"/>
    </row>
    <row r="60" ht="8.75" customHeight="1" hidden="1">
      <c r="A60" s="348">
        <v>45583</v>
      </c>
      <c r="B60" s="349">
        <v>15661701</v>
      </c>
      <c r="C60" s="350"/>
      <c r="D60" s="355"/>
      <c r="E60" s="352"/>
    </row>
    <row r="61" ht="8.75" customHeight="1" hidden="1">
      <c r="A61" s="348">
        <v>45584</v>
      </c>
      <c r="B61" s="349"/>
      <c r="C61" s="350"/>
      <c r="D61" s="355"/>
      <c r="E61" s="352"/>
    </row>
    <row r="62" ht="8.75" customHeight="1" hidden="1">
      <c r="A62" s="348">
        <v>45585</v>
      </c>
      <c r="B62" s="349"/>
      <c r="C62" s="350"/>
      <c r="D62" s="355"/>
      <c r="E62" s="352"/>
    </row>
    <row r="63" ht="8.75" customHeight="1" hidden="1">
      <c r="A63" s="348">
        <v>45586</v>
      </c>
      <c r="B63" s="349">
        <v>15667701</v>
      </c>
      <c r="C63" s="350"/>
      <c r="D63" s="355"/>
      <c r="E63" s="352"/>
    </row>
    <row r="64" ht="8.75" customHeight="1" hidden="1">
      <c r="A64" s="348">
        <v>45587</v>
      </c>
      <c r="B64" s="349">
        <v>15669806</v>
      </c>
      <c r="C64" s="350"/>
      <c r="D64" s="355"/>
      <c r="E64" s="352"/>
    </row>
    <row r="65" ht="8.75" customHeight="1" hidden="1">
      <c r="A65" s="348">
        <v>45588</v>
      </c>
      <c r="B65" s="349">
        <v>15671870</v>
      </c>
      <c r="C65" s="350"/>
      <c r="D65" s="355"/>
      <c r="E65" s="352"/>
    </row>
    <row r="66" ht="8.75" customHeight="1" hidden="1">
      <c r="A66" s="348">
        <v>45589</v>
      </c>
      <c r="B66" s="349">
        <v>15673872</v>
      </c>
      <c r="C66" s="350"/>
      <c r="D66" s="355"/>
      <c r="E66" s="350" cm="1">
        <f t="array" ref="E66">B66-B47</f>
        <v>40735</v>
      </c>
    </row>
    <row r="67" ht="8.75" customHeight="1" hidden="1">
      <c r="A67" s="348">
        <v>45590</v>
      </c>
      <c r="B67" s="349">
        <v>19674551</v>
      </c>
      <c r="C67" s="350"/>
      <c r="D67" s="355"/>
      <c r="E67" s="352"/>
    </row>
    <row r="68" ht="8.75" customHeight="1" hidden="1">
      <c r="A68" s="348">
        <v>45591</v>
      </c>
      <c r="B68" s="349"/>
      <c r="C68" s="350"/>
      <c r="D68" s="355"/>
      <c r="E68" s="352"/>
    </row>
    <row r="69" ht="8.75" customHeight="1" hidden="1">
      <c r="A69" s="348">
        <v>45592</v>
      </c>
      <c r="B69" s="349"/>
      <c r="C69" s="350"/>
      <c r="D69" s="355"/>
      <c r="E69" s="352"/>
    </row>
    <row r="70" ht="8.75" customHeight="1" hidden="1">
      <c r="A70" s="348">
        <v>45593</v>
      </c>
      <c r="B70" s="349">
        <v>19683509</v>
      </c>
      <c r="C70" s="350"/>
      <c r="D70" s="355"/>
      <c r="E70" s="352"/>
    </row>
    <row r="71" ht="8.75" customHeight="1" hidden="1">
      <c r="A71" s="348">
        <v>45594</v>
      </c>
      <c r="B71" s="349">
        <v>19686356</v>
      </c>
      <c r="C71" s="350"/>
      <c r="D71" s="355"/>
      <c r="E71" s="352"/>
    </row>
    <row r="72" ht="8.75" customHeight="1" hidden="1">
      <c r="A72" s="348">
        <v>45595</v>
      </c>
      <c r="B72" s="349">
        <v>19688735</v>
      </c>
      <c r="C72" s="350"/>
      <c r="D72" s="355"/>
      <c r="E72" s="350" cm="1">
        <f t="array" ref="E72">B72-B67</f>
        <v>14184</v>
      </c>
    </row>
    <row r="73" ht="8.75" customHeight="1" hidden="1">
      <c r="A73" s="348">
        <v>45596</v>
      </c>
      <c r="B73" s="349"/>
      <c r="C73" s="350"/>
      <c r="D73" s="355"/>
      <c r="E73" s="352"/>
    </row>
    <row r="74" ht="8.75" customHeight="1" hidden="1">
      <c r="A74" s="348">
        <v>45597</v>
      </c>
      <c r="B74" s="349"/>
      <c r="C74" s="350"/>
      <c r="D74" s="355"/>
      <c r="E74" s="352"/>
    </row>
    <row r="75" ht="8.75" customHeight="1" hidden="1">
      <c r="A75" s="348">
        <v>45598</v>
      </c>
      <c r="B75" s="349"/>
      <c r="C75" s="350"/>
      <c r="D75" s="355"/>
      <c r="E75" s="352"/>
    </row>
    <row r="76" ht="8.75" customHeight="1" hidden="1">
      <c r="A76" s="348">
        <v>45599</v>
      </c>
      <c r="B76" s="349">
        <v>19686225</v>
      </c>
      <c r="C76" s="350"/>
      <c r="D76" s="355"/>
      <c r="E76" s="352"/>
    </row>
    <row r="77" ht="8.75" customHeight="1" hidden="1">
      <c r="A77" s="348">
        <v>45600</v>
      </c>
      <c r="B77" s="349">
        <v>19700214</v>
      </c>
      <c r="C77" s="350"/>
      <c r="D77" s="355"/>
      <c r="E77" s="352"/>
    </row>
    <row r="78" ht="8.75" customHeight="1" hidden="1">
      <c r="A78" s="348">
        <v>45601</v>
      </c>
      <c r="B78" s="349">
        <v>19702409</v>
      </c>
      <c r="C78" s="350"/>
      <c r="D78" s="355"/>
      <c r="E78" s="352"/>
    </row>
    <row r="79" ht="8.75" customHeight="1" hidden="1">
      <c r="A79" s="348">
        <v>45602</v>
      </c>
      <c r="B79" s="349">
        <v>19705388</v>
      </c>
      <c r="C79" s="350"/>
      <c r="D79" s="355"/>
      <c r="E79" s="352"/>
    </row>
    <row r="80" ht="8.75" customHeight="1" hidden="1">
      <c r="A80" s="348">
        <v>45603</v>
      </c>
      <c r="B80" s="349">
        <v>19707807</v>
      </c>
      <c r="C80" s="350"/>
      <c r="D80" s="355"/>
      <c r="E80" s="352"/>
    </row>
    <row r="81" ht="8.75" customHeight="1" hidden="1">
      <c r="A81" s="348">
        <v>45604</v>
      </c>
      <c r="B81" s="349">
        <v>19709066</v>
      </c>
      <c r="C81" s="350"/>
      <c r="D81" s="355"/>
      <c r="E81" s="352"/>
    </row>
    <row r="82" ht="8.75" customHeight="1" hidden="1">
      <c r="A82" s="348">
        <v>45605</v>
      </c>
      <c r="B82" s="349"/>
      <c r="C82" s="350"/>
      <c r="D82" s="355"/>
      <c r="E82" s="352"/>
    </row>
    <row r="83" ht="8.75" customHeight="1" hidden="1">
      <c r="A83" s="348">
        <v>45606</v>
      </c>
      <c r="B83" s="349"/>
      <c r="C83" s="350"/>
      <c r="D83" s="355"/>
      <c r="E83" s="352"/>
    </row>
    <row r="84" ht="8.75" customHeight="1" hidden="1">
      <c r="A84" s="348">
        <v>45607</v>
      </c>
      <c r="B84" s="349">
        <v>19717719</v>
      </c>
      <c r="C84" s="350"/>
      <c r="D84" s="355"/>
      <c r="E84" s="352"/>
    </row>
    <row r="85" ht="8.75" customHeight="1" hidden="1">
      <c r="A85" s="348">
        <v>45608</v>
      </c>
      <c r="B85" s="349">
        <v>19719934</v>
      </c>
      <c r="C85" s="350"/>
      <c r="D85" s="355"/>
      <c r="E85" s="352"/>
    </row>
    <row r="86" ht="8.75" customHeight="1" hidden="1">
      <c r="A86" s="348">
        <v>45609</v>
      </c>
      <c r="B86" s="349"/>
      <c r="C86" s="350"/>
      <c r="D86" s="355"/>
      <c r="E86" s="352"/>
    </row>
    <row r="87" ht="8.75" customHeight="1" hidden="1">
      <c r="A87" s="348">
        <v>45610</v>
      </c>
      <c r="B87" s="349"/>
      <c r="C87" s="350"/>
      <c r="D87" s="355"/>
      <c r="E87" s="352"/>
    </row>
    <row r="88" ht="8.75" customHeight="1" hidden="1">
      <c r="A88" s="348">
        <v>45611</v>
      </c>
      <c r="B88" s="349"/>
      <c r="C88" s="350"/>
      <c r="D88" s="355"/>
      <c r="E88" s="352"/>
    </row>
    <row r="89" ht="8.75" customHeight="1" hidden="1">
      <c r="A89" s="348">
        <v>45612</v>
      </c>
      <c r="B89" s="349"/>
      <c r="C89" s="350"/>
      <c r="D89" s="355"/>
      <c r="E89" s="352"/>
    </row>
    <row r="90" ht="8.75" customHeight="1" hidden="1">
      <c r="A90" s="348">
        <v>45613</v>
      </c>
      <c r="B90" s="349">
        <v>225424</v>
      </c>
      <c r="C90" s="350"/>
      <c r="D90" s="355"/>
      <c r="E90" s="352"/>
    </row>
    <row r="91" ht="8.75" customHeight="1" hidden="1">
      <c r="A91" s="348">
        <v>45614</v>
      </c>
      <c r="B91" s="349">
        <v>3225424</v>
      </c>
      <c r="C91" s="350"/>
      <c r="D91" s="355"/>
      <c r="E91" s="352"/>
    </row>
    <row r="92" ht="8.75" customHeight="1" hidden="1">
      <c r="A92" s="348">
        <v>45615</v>
      </c>
      <c r="B92" s="349">
        <v>3225557</v>
      </c>
      <c r="C92" s="350"/>
      <c r="D92" s="355"/>
      <c r="E92" s="352"/>
    </row>
    <row r="93" ht="8.75" customHeight="1" hidden="1">
      <c r="A93" s="348">
        <v>45616</v>
      </c>
      <c r="B93" s="349">
        <v>3226075</v>
      </c>
      <c r="C93" s="350"/>
      <c r="D93" s="355"/>
      <c r="E93" s="352"/>
    </row>
    <row r="94" ht="8.75" customHeight="1" hidden="1">
      <c r="A94" s="348">
        <v>45617</v>
      </c>
      <c r="B94" s="349"/>
      <c r="C94" s="350"/>
      <c r="D94" s="355"/>
      <c r="E94" s="352"/>
    </row>
    <row r="95" ht="8.75" customHeight="1" hidden="1">
      <c r="A95" s="348">
        <v>45618</v>
      </c>
      <c r="B95" s="349">
        <v>6226075</v>
      </c>
      <c r="C95" s="350"/>
      <c r="D95" s="355"/>
      <c r="E95" s="352"/>
    </row>
    <row r="96" ht="8.75" customHeight="1" hidden="1">
      <c r="A96" s="348">
        <v>45619</v>
      </c>
      <c r="B96" s="349"/>
      <c r="C96" s="350"/>
      <c r="D96" s="355"/>
      <c r="E96" s="352"/>
    </row>
    <row r="97" ht="8.75" customHeight="1" hidden="1">
      <c r="A97" s="348">
        <v>45620</v>
      </c>
      <c r="B97" s="349"/>
      <c r="C97" s="350"/>
      <c r="D97" s="355"/>
      <c r="E97" s="352"/>
    </row>
    <row r="98" ht="8.75" customHeight="1" hidden="1">
      <c r="A98" s="348">
        <v>45621</v>
      </c>
      <c r="B98" s="349">
        <v>6229776</v>
      </c>
      <c r="C98" s="350"/>
      <c r="D98" s="355"/>
      <c r="E98" s="352"/>
    </row>
    <row r="99" ht="8.75" customHeight="1" hidden="1">
      <c r="A99" s="348">
        <v>45622</v>
      </c>
      <c r="B99" s="349">
        <v>6230707</v>
      </c>
      <c r="C99" s="350"/>
      <c r="D99" s="355"/>
      <c r="E99" s="352"/>
    </row>
    <row r="100" ht="8.75" customHeight="1" hidden="1">
      <c r="A100" s="348">
        <v>45623</v>
      </c>
      <c r="B100" s="349">
        <v>6231612</v>
      </c>
      <c r="C100" s="350"/>
      <c r="D100" s="355"/>
      <c r="E100" s="352"/>
    </row>
    <row r="101" ht="8.75" customHeight="1" hidden="1">
      <c r="A101" s="348">
        <v>45624</v>
      </c>
      <c r="B101" s="349">
        <v>6232241</v>
      </c>
      <c r="C101" s="350"/>
      <c r="D101" s="355"/>
      <c r="E101" s="352"/>
    </row>
    <row r="102" ht="8.75" customHeight="1" hidden="1">
      <c r="A102" s="348">
        <v>45625</v>
      </c>
      <c r="B102" s="349"/>
      <c r="C102" s="350"/>
      <c r="D102" s="355"/>
      <c r="E102" s="352"/>
    </row>
    <row r="103" ht="8.75" customHeight="1" hidden="1">
      <c r="A103" s="348">
        <v>45626</v>
      </c>
      <c r="B103" s="349"/>
      <c r="C103" s="350"/>
      <c r="D103" s="355"/>
      <c r="E103" s="352"/>
    </row>
    <row r="104" ht="8.75" customHeight="1" hidden="1">
      <c r="A104" s="348">
        <v>45627</v>
      </c>
      <c r="B104" s="349"/>
      <c r="C104" s="350"/>
      <c r="D104" s="355"/>
      <c r="E104" s="352"/>
    </row>
    <row r="105" ht="8.75" customHeight="1" hidden="1">
      <c r="A105" s="348">
        <v>45628</v>
      </c>
      <c r="B105" s="349"/>
      <c r="C105" s="350"/>
      <c r="D105" s="355"/>
      <c r="E105" s="352"/>
    </row>
    <row r="106" ht="8.75" customHeight="1" hidden="1">
      <c r="A106" s="348">
        <v>45629</v>
      </c>
      <c r="B106" s="349">
        <v>6237258</v>
      </c>
      <c r="C106" s="350"/>
      <c r="D106" s="355"/>
      <c r="E106" s="352"/>
    </row>
    <row r="107" ht="8.75" customHeight="1" hidden="1">
      <c r="A107" s="348">
        <v>45630</v>
      </c>
      <c r="B107" s="349">
        <v>6238054</v>
      </c>
      <c r="C107" s="350"/>
      <c r="D107" s="355"/>
      <c r="E107" s="352"/>
    </row>
    <row r="108" ht="8.75" customHeight="1" hidden="1">
      <c r="A108" s="348">
        <v>45631</v>
      </c>
      <c r="B108" s="349"/>
      <c r="C108" s="350"/>
      <c r="D108" s="355"/>
      <c r="E108" s="352"/>
    </row>
    <row r="109" ht="8.75" customHeight="1" hidden="1">
      <c r="A109" s="348">
        <v>45632</v>
      </c>
      <c r="B109" s="349"/>
      <c r="C109" s="350"/>
      <c r="D109" s="355"/>
      <c r="E109" s="352"/>
    </row>
    <row r="110" ht="8.75" customHeight="1" hidden="1">
      <c r="A110" s="348">
        <v>45633</v>
      </c>
      <c r="B110" s="349"/>
      <c r="C110" s="350"/>
      <c r="D110" s="355"/>
      <c r="E110" s="352"/>
    </row>
    <row r="111" ht="8.75" customHeight="1" hidden="1">
      <c r="A111" s="348">
        <v>45634</v>
      </c>
      <c r="B111" s="349"/>
      <c r="C111" s="350"/>
      <c r="D111" s="355"/>
      <c r="E111" s="352"/>
    </row>
    <row r="112" ht="8.75" customHeight="1" hidden="1">
      <c r="A112" s="348">
        <v>45635</v>
      </c>
      <c r="B112" s="349">
        <v>10242648</v>
      </c>
      <c r="C112" s="350"/>
      <c r="D112" s="355"/>
      <c r="E112" s="352"/>
    </row>
    <row r="113" ht="8.75" customHeight="1" hidden="1">
      <c r="A113" s="348">
        <v>45636</v>
      </c>
      <c r="B113" s="349">
        <v>10242648</v>
      </c>
      <c r="C113" s="350"/>
      <c r="D113" s="355"/>
      <c r="E113" s="352"/>
    </row>
    <row r="114" ht="8.75" customHeight="1" hidden="1">
      <c r="A114" s="348">
        <v>45637</v>
      </c>
      <c r="B114" s="349"/>
      <c r="C114" s="350"/>
      <c r="D114" s="355"/>
      <c r="E114" s="352"/>
    </row>
    <row r="115" ht="8.75" customHeight="1" hidden="1">
      <c r="A115" s="348">
        <v>45638</v>
      </c>
      <c r="B115" s="349"/>
      <c r="C115" s="350"/>
      <c r="D115" s="355"/>
      <c r="E115" s="352"/>
    </row>
    <row r="116" ht="8.75" customHeight="1" hidden="1">
      <c r="A116" s="348">
        <v>45639</v>
      </c>
      <c r="B116" s="349"/>
      <c r="C116" s="350"/>
      <c r="D116" s="355"/>
      <c r="E116" s="352"/>
    </row>
    <row r="117" ht="8.75" customHeight="1" hidden="1">
      <c r="A117" s="348">
        <v>45640</v>
      </c>
      <c r="B117" s="349"/>
      <c r="C117" s="350"/>
      <c r="D117" s="355"/>
      <c r="E117" s="352"/>
    </row>
    <row r="118" ht="8.75" customHeight="1" hidden="1">
      <c r="A118" s="348">
        <v>45641</v>
      </c>
      <c r="B118" s="349"/>
      <c r="C118" s="350"/>
      <c r="D118" s="355"/>
      <c r="E118" s="352"/>
    </row>
    <row r="119" ht="8.75" customHeight="1" hidden="1">
      <c r="A119" s="348">
        <v>45642</v>
      </c>
      <c r="B119" s="349"/>
      <c r="C119" s="350"/>
      <c r="D119" s="355"/>
      <c r="E119" s="352"/>
    </row>
    <row r="120" ht="8.75" customHeight="1" hidden="1">
      <c r="A120" s="348">
        <v>45643</v>
      </c>
      <c r="B120" s="349"/>
      <c r="C120" s="350"/>
      <c r="D120" s="355"/>
      <c r="E120" s="352"/>
    </row>
    <row r="121" ht="8.75" customHeight="1" hidden="1">
      <c r="A121" s="348">
        <v>45644</v>
      </c>
      <c r="B121" s="349"/>
      <c r="C121" s="350"/>
      <c r="D121" s="355"/>
      <c r="E121" s="352"/>
    </row>
    <row r="122" ht="8.75" customHeight="1" hidden="1">
      <c r="A122" s="348">
        <v>45645</v>
      </c>
      <c r="B122" s="349">
        <v>15253418</v>
      </c>
      <c r="C122" s="350"/>
      <c r="D122" s="355"/>
      <c r="E122" s="352"/>
    </row>
    <row r="123" ht="8.75" customHeight="1" hidden="1">
      <c r="A123" s="348">
        <v>45646</v>
      </c>
      <c r="B123" s="349"/>
      <c r="C123" s="350"/>
      <c r="D123" s="355"/>
      <c r="E123" s="352"/>
    </row>
    <row r="124" ht="8.75" customHeight="1" hidden="1">
      <c r="A124" s="348">
        <v>45647</v>
      </c>
      <c r="B124" s="349"/>
      <c r="C124" s="350"/>
      <c r="D124" s="355"/>
      <c r="E124" s="352"/>
    </row>
    <row r="125" ht="8.75" customHeight="1" hidden="1">
      <c r="A125" s="348">
        <v>45648</v>
      </c>
      <c r="B125" s="349"/>
      <c r="C125" s="350"/>
      <c r="D125" s="355"/>
      <c r="E125" s="352"/>
    </row>
    <row r="126" ht="8.75" customHeight="1" hidden="1">
      <c r="A126" s="348">
        <v>45649</v>
      </c>
      <c r="B126" s="349">
        <v>15261131</v>
      </c>
      <c r="C126" s="350"/>
      <c r="D126" s="355"/>
      <c r="E126" s="352"/>
    </row>
    <row r="127" ht="8.75" customHeight="1" hidden="1">
      <c r="A127" s="348">
        <v>45650</v>
      </c>
      <c r="B127" s="349"/>
      <c r="C127" s="350"/>
      <c r="D127" s="355"/>
      <c r="E127" s="352"/>
    </row>
    <row r="128" ht="8.75" customHeight="1" hidden="1">
      <c r="A128" s="348">
        <v>45651</v>
      </c>
      <c r="B128" s="349"/>
      <c r="C128" s="350"/>
      <c r="D128" s="355"/>
      <c r="E128" s="352"/>
    </row>
    <row r="129" ht="8.75" customHeight="1" hidden="1">
      <c r="A129" s="348">
        <v>45652</v>
      </c>
      <c r="B129" s="349"/>
      <c r="C129" s="350"/>
      <c r="D129" s="355"/>
      <c r="E129" s="352"/>
    </row>
    <row r="130" ht="8.75" customHeight="1" hidden="1">
      <c r="A130" s="348">
        <v>45653</v>
      </c>
      <c r="B130" s="349"/>
      <c r="C130" s="350"/>
      <c r="D130" s="355"/>
      <c r="E130" s="352"/>
    </row>
    <row r="131" ht="8.75" customHeight="1" hidden="1">
      <c r="A131" s="348">
        <v>45654</v>
      </c>
      <c r="B131" s="349"/>
      <c r="C131" s="350"/>
      <c r="D131" s="355"/>
      <c r="E131" s="352"/>
    </row>
    <row r="132" ht="8.75" customHeight="1" hidden="1">
      <c r="A132" s="348">
        <v>45655</v>
      </c>
      <c r="B132" s="349"/>
      <c r="C132" s="350"/>
      <c r="D132" s="355"/>
      <c r="E132" s="352"/>
    </row>
    <row r="133" ht="8.75" customHeight="1" hidden="1">
      <c r="A133" s="348">
        <v>45656</v>
      </c>
      <c r="B133" s="349">
        <v>15275453</v>
      </c>
      <c r="C133" s="350"/>
      <c r="D133" s="355"/>
      <c r="E133" s="352"/>
    </row>
    <row r="134" ht="8.75" customHeight="1" hidden="1">
      <c r="A134" s="348">
        <v>45657</v>
      </c>
      <c r="B134" s="349">
        <v>15274709</v>
      </c>
      <c r="C134" s="350"/>
      <c r="D134" s="355"/>
      <c r="E134" s="352"/>
    </row>
    <row r="135" ht="8.75" customHeight="1" hidden="1">
      <c r="A135" s="348">
        <v>45658</v>
      </c>
      <c r="B135" s="349"/>
      <c r="C135" s="350"/>
      <c r="D135" s="355"/>
      <c r="E135" s="352"/>
    </row>
    <row r="136" ht="8.75" customHeight="1" hidden="1">
      <c r="A136" s="348">
        <v>45659</v>
      </c>
      <c r="B136" s="349">
        <v>15282653</v>
      </c>
      <c r="C136" s="350"/>
      <c r="D136" s="355"/>
      <c r="E136" s="352"/>
    </row>
    <row r="137" ht="8.75" customHeight="1" hidden="1">
      <c r="A137" s="348">
        <v>45660</v>
      </c>
      <c r="B137" s="349"/>
      <c r="C137" s="350"/>
      <c r="D137" s="355"/>
      <c r="E137" s="352"/>
    </row>
    <row r="138" ht="8.75" customHeight="1" hidden="1">
      <c r="A138" s="348">
        <v>45661</v>
      </c>
      <c r="B138" s="349"/>
      <c r="C138" s="350"/>
      <c r="D138" s="355"/>
      <c r="E138" s="352"/>
    </row>
    <row r="139" ht="8.75" customHeight="1" hidden="1">
      <c r="A139" s="348">
        <v>45662</v>
      </c>
      <c r="B139" s="349"/>
      <c r="C139" s="350"/>
      <c r="D139" s="355"/>
      <c r="E139" s="352"/>
    </row>
    <row r="140" ht="8.75" customHeight="1" hidden="1">
      <c r="A140" s="348">
        <v>45663</v>
      </c>
      <c r="B140" s="349">
        <v>15292237</v>
      </c>
      <c r="C140" s="350"/>
      <c r="D140" s="355"/>
      <c r="E140" s="352"/>
    </row>
    <row r="141" ht="8.75" customHeight="1" hidden="1">
      <c r="A141" s="348">
        <v>45664</v>
      </c>
      <c r="B141" s="349">
        <v>15294720</v>
      </c>
      <c r="C141" s="350"/>
      <c r="D141" s="355"/>
      <c r="E141" s="352"/>
    </row>
    <row r="142" ht="8.75" customHeight="1" hidden="1">
      <c r="A142" s="348">
        <v>45665</v>
      </c>
      <c r="B142" s="349">
        <v>20296077</v>
      </c>
      <c r="C142" s="350"/>
      <c r="D142" s="355"/>
      <c r="E142" s="352"/>
    </row>
    <row r="143" ht="8.75" customHeight="1" hidden="1">
      <c r="A143" s="348">
        <v>45666</v>
      </c>
      <c r="B143" s="349">
        <v>25297429</v>
      </c>
      <c r="C143" s="350"/>
      <c r="D143" s="355"/>
      <c r="E143" s="352"/>
    </row>
    <row r="144" ht="8.75" customHeight="1" hidden="1">
      <c r="A144" s="348">
        <v>45667</v>
      </c>
      <c r="B144" s="349">
        <v>29300339</v>
      </c>
      <c r="C144" s="350"/>
      <c r="D144" s="355"/>
      <c r="E144" s="352"/>
    </row>
    <row r="145" ht="8.75" customHeight="1" hidden="1">
      <c r="A145" s="348">
        <v>45668</v>
      </c>
      <c r="B145" s="349"/>
      <c r="C145" s="350"/>
      <c r="D145" s="355"/>
      <c r="E145" s="352"/>
    </row>
    <row r="146" ht="8.75" customHeight="1" hidden="1">
      <c r="A146" s="348">
        <v>45669</v>
      </c>
      <c r="B146" s="349"/>
      <c r="C146" s="350"/>
      <c r="D146" s="355"/>
      <c r="E146" s="352"/>
    </row>
    <row r="147" ht="8.75" customHeight="1" hidden="1">
      <c r="A147" s="348">
        <v>45670</v>
      </c>
      <c r="B147" s="349">
        <v>29310435</v>
      </c>
      <c r="C147" s="350"/>
      <c r="D147" s="355"/>
      <c r="E147" s="352"/>
    </row>
    <row r="148" ht="8.75" customHeight="1" hidden="1">
      <c r="A148" s="348">
        <v>45671</v>
      </c>
      <c r="B148" s="349">
        <v>33314635</v>
      </c>
      <c r="C148" s="350"/>
      <c r="D148" s="355"/>
      <c r="E148" s="352"/>
    </row>
    <row r="149" ht="8.75" customHeight="1" hidden="1">
      <c r="A149" s="348">
        <v>45672</v>
      </c>
      <c r="B149" s="349">
        <v>33319732</v>
      </c>
      <c r="C149" s="350"/>
      <c r="D149" s="355"/>
      <c r="E149" s="352"/>
    </row>
    <row r="150" ht="8.75" customHeight="1" hidden="1">
      <c r="A150" s="348">
        <v>45673</v>
      </c>
      <c r="B150" s="349">
        <v>33325849</v>
      </c>
      <c r="C150" s="350"/>
      <c r="D150" s="355"/>
      <c r="E150" s="352"/>
    </row>
    <row r="151" ht="8.75" customHeight="1" hidden="1">
      <c r="A151" s="348">
        <v>45674</v>
      </c>
      <c r="B151" s="349">
        <v>33325303</v>
      </c>
      <c r="C151" s="350"/>
      <c r="D151" s="355"/>
      <c r="E151" s="352"/>
    </row>
    <row r="152" ht="8.75" customHeight="1" hidden="1">
      <c r="A152" s="348">
        <v>45675</v>
      </c>
      <c r="B152" s="349"/>
      <c r="C152" s="350"/>
      <c r="D152" s="355"/>
      <c r="E152" s="352"/>
    </row>
    <row r="153" ht="8.75" customHeight="1" hidden="1">
      <c r="A153" s="348">
        <v>45676</v>
      </c>
      <c r="B153" s="349"/>
      <c r="C153" s="350"/>
      <c r="D153" s="355"/>
      <c r="E153" s="352"/>
    </row>
    <row r="154" ht="8.75" customHeight="1" hidden="1">
      <c r="A154" s="348">
        <v>45677</v>
      </c>
      <c r="B154" s="349">
        <v>33339338</v>
      </c>
      <c r="C154" s="350"/>
      <c r="D154" s="355"/>
      <c r="E154" s="352"/>
    </row>
    <row r="155" ht="8.75" customHeight="1" hidden="1">
      <c r="A155" s="348">
        <v>45678</v>
      </c>
      <c r="B155" s="349">
        <v>35841124</v>
      </c>
      <c r="C155" s="350">
        <v>2500000</v>
      </c>
      <c r="D155" s="355"/>
      <c r="E155" s="352"/>
    </row>
    <row r="156" ht="8.75" customHeight="1" hidden="1">
      <c r="A156" s="348">
        <v>45679</v>
      </c>
      <c r="B156" s="349">
        <v>35848171</v>
      </c>
      <c r="C156" s="350"/>
      <c r="D156" s="355"/>
      <c r="E156" s="352"/>
    </row>
    <row r="157" ht="8.75" customHeight="1" hidden="1">
      <c r="A157" s="348">
        <v>45680</v>
      </c>
      <c r="B157" s="349">
        <v>35851464</v>
      </c>
      <c r="C157" s="350"/>
      <c r="D157" s="355"/>
      <c r="E157" s="352"/>
    </row>
    <row r="158" ht="8.75" customHeight="1" hidden="1">
      <c r="A158" s="348">
        <v>45681</v>
      </c>
      <c r="B158" s="349"/>
      <c r="C158" s="350"/>
      <c r="D158" s="355"/>
      <c r="E158" s="352"/>
    </row>
    <row r="159" ht="8.75" customHeight="1" hidden="1">
      <c r="A159" s="348">
        <v>45682</v>
      </c>
      <c r="B159" s="349"/>
      <c r="C159" s="350"/>
      <c r="D159" s="355"/>
      <c r="E159" s="352"/>
    </row>
    <row r="160" ht="8.75" customHeight="1" hidden="1">
      <c r="A160" s="348">
        <v>45683</v>
      </c>
      <c r="B160" s="349"/>
      <c r="C160" s="350"/>
      <c r="D160" s="355"/>
      <c r="E160" s="352"/>
    </row>
    <row r="161" ht="8.75" customHeight="1" hidden="1">
      <c r="A161" s="348">
        <v>45684</v>
      </c>
      <c r="B161" s="349">
        <v>35868765</v>
      </c>
      <c r="C161" s="350"/>
      <c r="D161" s="355"/>
      <c r="E161" s="352"/>
    </row>
    <row r="162" ht="8.75" customHeight="1" hidden="1">
      <c r="A162" s="348">
        <v>45685</v>
      </c>
      <c r="B162" s="349">
        <v>35873132</v>
      </c>
      <c r="C162" s="350"/>
      <c r="D162" s="355"/>
      <c r="E162" s="352"/>
    </row>
    <row r="163" ht="8.75" customHeight="1" hidden="1">
      <c r="A163" s="348">
        <v>45686</v>
      </c>
      <c r="B163" s="349">
        <v>35876533</v>
      </c>
      <c r="C163" s="350"/>
      <c r="D163" s="355"/>
      <c r="E163" s="352"/>
    </row>
    <row r="164" ht="8.75" customHeight="1" hidden="1">
      <c r="A164" s="348">
        <v>45687</v>
      </c>
      <c r="B164" s="349">
        <v>35882284</v>
      </c>
      <c r="C164" s="350"/>
      <c r="D164" s="355"/>
      <c r="E164" s="352"/>
    </row>
    <row r="165" ht="8.75" customHeight="1" hidden="1">
      <c r="A165" s="348">
        <v>45688</v>
      </c>
      <c r="B165" s="349"/>
      <c r="C165" s="350"/>
      <c r="D165" s="355"/>
      <c r="E165" s="352"/>
    </row>
    <row r="166" ht="8.75" customHeight="1" hidden="1">
      <c r="A166" s="348">
        <v>45689</v>
      </c>
      <c r="B166" s="349"/>
      <c r="C166" s="350"/>
      <c r="D166" s="355"/>
      <c r="E166" s="352"/>
    </row>
    <row r="167" ht="8.75" customHeight="1" hidden="1">
      <c r="A167" s="348">
        <v>45690</v>
      </c>
      <c r="B167" s="349"/>
      <c r="C167" s="350"/>
      <c r="D167" s="355"/>
      <c r="E167" s="352"/>
    </row>
    <row r="168" ht="8.75" customHeight="1" hidden="1">
      <c r="A168" s="348">
        <v>45691</v>
      </c>
      <c r="B168" s="349">
        <v>35900278</v>
      </c>
      <c r="C168" s="350"/>
      <c r="D168" s="355"/>
      <c r="E168" s="352"/>
    </row>
    <row r="169" ht="8.75" customHeight="1" hidden="1">
      <c r="A169" s="348">
        <v>45692</v>
      </c>
      <c r="B169" s="349">
        <v>35903764</v>
      </c>
      <c r="C169" s="350"/>
      <c r="D169" s="355"/>
      <c r="E169" s="352"/>
    </row>
    <row r="170" ht="8.75" customHeight="1" hidden="1">
      <c r="A170" s="348">
        <v>45693</v>
      </c>
      <c r="B170" s="349">
        <v>35907547</v>
      </c>
      <c r="C170" s="350"/>
      <c r="D170" s="355"/>
      <c r="E170" s="352"/>
    </row>
    <row r="171" ht="8.75" customHeight="1" hidden="1">
      <c r="A171" s="348">
        <v>45694</v>
      </c>
      <c r="B171" s="349">
        <v>35912226</v>
      </c>
      <c r="C171" s="350"/>
      <c r="D171" s="355"/>
      <c r="E171" s="352"/>
    </row>
    <row r="172" ht="8.75" customHeight="1" hidden="1">
      <c r="A172" s="348">
        <v>45695</v>
      </c>
      <c r="B172" s="349">
        <v>35915566</v>
      </c>
      <c r="C172" s="350"/>
      <c r="D172" s="355"/>
      <c r="E172" s="352"/>
    </row>
    <row r="173" ht="8.75" customHeight="1" hidden="1">
      <c r="A173" s="348">
        <v>45696</v>
      </c>
      <c r="B173" s="349"/>
      <c r="C173" s="350"/>
      <c r="D173" s="355"/>
      <c r="E173" s="352"/>
    </row>
    <row r="174" ht="8.75" customHeight="1" hidden="1">
      <c r="A174" s="348">
        <v>45697</v>
      </c>
      <c r="B174" s="349"/>
      <c r="C174" s="350"/>
      <c r="D174" s="355"/>
      <c r="E174" s="352"/>
    </row>
    <row r="175" ht="8.75" customHeight="1" hidden="1">
      <c r="A175" s="348">
        <v>45698</v>
      </c>
      <c r="B175" s="349">
        <v>32928554</v>
      </c>
      <c r="C175" s="350"/>
      <c r="D175" s="355"/>
      <c r="E175" s="352"/>
    </row>
    <row r="176" ht="8.75" customHeight="1" hidden="1">
      <c r="A176" s="348">
        <v>45699</v>
      </c>
      <c r="B176" s="349">
        <v>32932110</v>
      </c>
      <c r="C176" s="350"/>
      <c r="D176" s="355"/>
      <c r="E176" s="352"/>
    </row>
    <row r="177" ht="8.75" customHeight="1" hidden="1">
      <c r="A177" s="348">
        <v>45700</v>
      </c>
      <c r="B177" s="349">
        <v>32936878</v>
      </c>
      <c r="C177" s="350"/>
      <c r="D177" s="355"/>
      <c r="E177" s="352"/>
    </row>
    <row r="178" ht="8.75" customHeight="1" hidden="1">
      <c r="A178" s="348">
        <v>45701</v>
      </c>
      <c r="B178" s="349">
        <v>32940485</v>
      </c>
      <c r="C178" s="350"/>
      <c r="D178" s="355"/>
      <c r="E178" s="352"/>
    </row>
    <row r="179" ht="8.75" customHeight="1" hidden="1">
      <c r="A179" s="348">
        <v>45702</v>
      </c>
      <c r="B179" s="349">
        <v>32944534</v>
      </c>
      <c r="C179" s="350"/>
      <c r="D179" s="355"/>
      <c r="E179" s="352"/>
    </row>
    <row r="180" ht="8.75" customHeight="1" hidden="1">
      <c r="A180" s="348">
        <v>45703</v>
      </c>
      <c r="B180" s="349"/>
      <c r="C180" s="350"/>
      <c r="D180" s="355"/>
      <c r="E180" s="352"/>
    </row>
    <row r="181" ht="8.75" customHeight="1" hidden="1">
      <c r="A181" s="348">
        <v>45704</v>
      </c>
      <c r="B181" s="349"/>
      <c r="C181" s="350"/>
      <c r="D181" s="355"/>
      <c r="E181" s="352"/>
    </row>
    <row r="182" ht="8.75" customHeight="1" hidden="1">
      <c r="A182" s="348">
        <v>45705</v>
      </c>
      <c r="B182" s="349">
        <v>32958729</v>
      </c>
      <c r="C182" s="350"/>
      <c r="D182" s="355"/>
      <c r="E182" s="352"/>
    </row>
    <row r="183" ht="8.75" customHeight="1" hidden="1">
      <c r="A183" s="348">
        <v>45706</v>
      </c>
      <c r="B183" s="349">
        <v>32963286</v>
      </c>
      <c r="C183" s="350"/>
      <c r="D183" s="355"/>
      <c r="E183" s="352"/>
    </row>
    <row r="184" ht="8.75" customHeight="1" hidden="1">
      <c r="A184" s="348">
        <v>45707</v>
      </c>
      <c r="B184" s="349">
        <v>32967844</v>
      </c>
      <c r="C184" s="350"/>
      <c r="D184" s="355"/>
      <c r="E184" s="352"/>
    </row>
    <row r="185" ht="8.75" customHeight="1" hidden="1">
      <c r="A185" s="348">
        <v>45708</v>
      </c>
      <c r="B185" s="349">
        <v>30971812</v>
      </c>
      <c r="C185" s="350">
        <v>-2000000</v>
      </c>
      <c r="D185" s="355"/>
      <c r="E185" s="352"/>
    </row>
    <row r="186" ht="8.75" customHeight="1" hidden="1">
      <c r="A186" s="348">
        <v>45709</v>
      </c>
      <c r="B186" s="349">
        <v>30975596</v>
      </c>
      <c r="C186" s="350"/>
      <c r="D186" s="355"/>
      <c r="E186" s="352"/>
    </row>
    <row r="187" ht="8.75" customHeight="1" hidden="1">
      <c r="A187" s="348">
        <v>45710</v>
      </c>
      <c r="B187" s="356"/>
      <c r="C187" s="350"/>
      <c r="D187" s="355"/>
      <c r="E187" s="352"/>
    </row>
    <row r="188" ht="8.75" customHeight="1" hidden="1">
      <c r="A188" s="348">
        <v>45711</v>
      </c>
      <c r="B188" s="349"/>
      <c r="C188" s="350"/>
      <c r="D188" s="355"/>
      <c r="E188" s="352"/>
    </row>
    <row r="189" ht="8.75" customHeight="1" hidden="1">
      <c r="A189" s="348">
        <v>45712</v>
      </c>
      <c r="B189" s="349"/>
      <c r="C189" s="350"/>
      <c r="D189" s="355"/>
      <c r="E189" s="352"/>
    </row>
    <row r="190" ht="8.75" customHeight="1" hidden="1">
      <c r="A190" s="348">
        <v>45713</v>
      </c>
      <c r="B190" s="349">
        <v>30991679</v>
      </c>
      <c r="C190" s="350"/>
      <c r="D190" s="355"/>
      <c r="E190" s="352"/>
    </row>
    <row r="191" ht="8.75" customHeight="1" hidden="1">
      <c r="A191" s="348">
        <v>45714</v>
      </c>
      <c r="B191" s="349"/>
      <c r="C191" s="350"/>
      <c r="D191" s="355"/>
      <c r="E191" s="352"/>
    </row>
    <row r="192" ht="8.75" customHeight="1" hidden="1">
      <c r="A192" s="348">
        <v>45715</v>
      </c>
      <c r="B192" s="349">
        <v>20997819</v>
      </c>
      <c r="C192" s="350"/>
      <c r="D192" s="355"/>
      <c r="E192" s="352"/>
    </row>
    <row r="193" ht="8.75" customHeight="1" hidden="1">
      <c r="A193" s="348">
        <v>45716</v>
      </c>
      <c r="B193" s="349">
        <v>21000880</v>
      </c>
      <c r="C193" s="350"/>
      <c r="D193" s="355"/>
      <c r="E193" s="352"/>
    </row>
    <row r="194" ht="8.75" customHeight="1" hidden="1">
      <c r="A194" s="348">
        <v>45717</v>
      </c>
      <c r="B194" s="349"/>
      <c r="C194" s="350"/>
      <c r="D194" s="355"/>
      <c r="E194" s="352"/>
    </row>
    <row r="195" ht="8.75" customHeight="1" hidden="1">
      <c r="A195" s="348">
        <v>45718</v>
      </c>
      <c r="B195" s="349">
        <v>21000228</v>
      </c>
      <c r="C195" s="350"/>
      <c r="D195" s="355"/>
      <c r="E195" s="352"/>
    </row>
    <row r="196" ht="8.75" customHeight="1" hidden="1">
      <c r="A196" s="348">
        <v>45719</v>
      </c>
      <c r="B196" s="349">
        <v>21010307</v>
      </c>
      <c r="C196" s="350"/>
      <c r="D196" s="355"/>
      <c r="E196" s="352"/>
    </row>
    <row r="197" ht="8.75" customHeight="1" hidden="1">
      <c r="A197" s="348">
        <v>45720</v>
      </c>
      <c r="B197" s="349">
        <v>21014725</v>
      </c>
      <c r="C197" s="350"/>
      <c r="D197" s="355"/>
      <c r="E197" s="352"/>
    </row>
    <row r="198" ht="8.75" customHeight="1" hidden="1">
      <c r="A198" s="348">
        <v>45721</v>
      </c>
      <c r="B198" s="349">
        <v>21017510</v>
      </c>
      <c r="C198" s="350"/>
      <c r="D198" s="355"/>
      <c r="E198" s="352"/>
    </row>
    <row r="199" ht="8.75" customHeight="1" hidden="1">
      <c r="A199" s="348">
        <v>45722</v>
      </c>
      <c r="B199" s="349">
        <v>21020270</v>
      </c>
      <c r="C199" s="350">
        <v>-2000000</v>
      </c>
      <c r="D199" s="355"/>
      <c r="E199" s="352"/>
    </row>
    <row r="200" ht="8.75" customHeight="1" hidden="1">
      <c r="A200" s="348">
        <v>45723</v>
      </c>
      <c r="B200" s="349">
        <v>19021758</v>
      </c>
      <c r="C200" s="350"/>
      <c r="D200" s="355"/>
      <c r="E200" s="352"/>
    </row>
    <row r="201" ht="8.75" customHeight="1" hidden="1">
      <c r="A201" s="348">
        <v>45724</v>
      </c>
      <c r="B201" s="349"/>
      <c r="C201" s="350">
        <v>-3400000</v>
      </c>
      <c r="D201" s="355"/>
      <c r="E201" s="352"/>
    </row>
    <row r="202" ht="8.75" customHeight="1" hidden="1">
      <c r="A202" s="348">
        <v>45725</v>
      </c>
      <c r="B202" s="349">
        <v>15621758</v>
      </c>
      <c r="C202" s="350"/>
      <c r="D202" s="355"/>
      <c r="E202" s="352"/>
    </row>
    <row r="203" ht="8.75" customHeight="1" hidden="1">
      <c r="A203" s="348">
        <v>45726</v>
      </c>
      <c r="B203" s="349">
        <v>15629557</v>
      </c>
      <c r="C203" s="350"/>
      <c r="D203" s="355"/>
      <c r="E203" s="352"/>
    </row>
    <row r="204" ht="8.75" customHeight="1" hidden="1">
      <c r="A204" s="348">
        <v>45727</v>
      </c>
      <c r="B204" s="349">
        <v>15631125</v>
      </c>
      <c r="C204" s="350"/>
      <c r="D204" s="355"/>
      <c r="E204" s="352"/>
    </row>
    <row r="205" ht="8.75" customHeight="1" hidden="1">
      <c r="A205" s="348">
        <v>45728</v>
      </c>
      <c r="B205" s="349">
        <v>15632262</v>
      </c>
      <c r="C205" s="350"/>
      <c r="D205" s="355"/>
      <c r="E205" s="352"/>
    </row>
    <row r="206" ht="8.75" customHeight="1" hidden="1">
      <c r="A206" s="348">
        <v>45729</v>
      </c>
      <c r="B206" s="349">
        <v>15633980</v>
      </c>
      <c r="C206" s="350"/>
      <c r="D206" s="355"/>
      <c r="E206" s="352"/>
    </row>
    <row r="207" ht="8.75" customHeight="1" hidden="1">
      <c r="A207" s="348">
        <v>45730</v>
      </c>
      <c r="B207" s="349"/>
      <c r="C207" s="350"/>
      <c r="D207" s="355"/>
      <c r="E207" s="352"/>
    </row>
    <row r="208" ht="8.75" customHeight="1" hidden="1">
      <c r="A208" s="348">
        <v>45731</v>
      </c>
      <c r="B208" s="349"/>
      <c r="C208" s="350"/>
      <c r="D208" s="355"/>
      <c r="E208" s="352"/>
    </row>
    <row r="209" ht="8.75" customHeight="1" hidden="1">
      <c r="A209" s="348">
        <v>45732</v>
      </c>
      <c r="B209" s="349"/>
      <c r="C209" s="350">
        <v>-4400000</v>
      </c>
      <c r="D209" s="355"/>
      <c r="E209" s="352"/>
    </row>
    <row r="210" ht="8.75" customHeight="1" hidden="1">
      <c r="A210" s="348">
        <v>45733</v>
      </c>
      <c r="B210" s="349"/>
      <c r="C210" s="350"/>
      <c r="D210" s="355"/>
      <c r="E210" s="352"/>
    </row>
    <row r="211" ht="8.75" customHeight="1" hidden="1">
      <c r="A211" s="348">
        <v>45734</v>
      </c>
      <c r="B211" s="349"/>
      <c r="C211" s="350"/>
      <c r="D211" s="355"/>
      <c r="E211" s="352"/>
    </row>
    <row r="212" ht="8.75" customHeight="1" hidden="1">
      <c r="A212" s="348">
        <v>45735</v>
      </c>
      <c r="B212" s="349">
        <v>10993063</v>
      </c>
      <c r="C212" s="350"/>
      <c r="D212" s="355"/>
      <c r="E212" s="352"/>
    </row>
    <row r="213" ht="8.75" customHeight="1" hidden="1">
      <c r="A213" s="348">
        <v>45736</v>
      </c>
      <c r="B213" s="349">
        <v>10995540</v>
      </c>
      <c r="C213" s="350"/>
      <c r="D213" s="355"/>
      <c r="E213" s="352"/>
    </row>
    <row r="214" ht="8.75" customHeight="1" hidden="1">
      <c r="A214" s="348">
        <v>45737</v>
      </c>
      <c r="B214" s="349">
        <v>10996616</v>
      </c>
      <c r="C214" s="350"/>
      <c r="D214" s="355"/>
      <c r="E214" s="352"/>
    </row>
    <row r="215" ht="8.75" customHeight="1" hidden="1">
      <c r="A215" s="348">
        <v>45738</v>
      </c>
      <c r="B215" s="349"/>
      <c r="C215" s="350"/>
      <c r="D215" s="355"/>
      <c r="E215" s="352"/>
    </row>
    <row r="216" ht="8.75" customHeight="1" hidden="1">
      <c r="A216" s="348">
        <v>45739</v>
      </c>
      <c r="B216" s="349"/>
      <c r="C216" s="350"/>
      <c r="D216" s="355"/>
      <c r="E216" s="352"/>
    </row>
    <row r="217" ht="8.75" customHeight="1" hidden="1">
      <c r="A217" s="348">
        <v>45740</v>
      </c>
      <c r="B217" s="349">
        <v>11000702</v>
      </c>
      <c r="C217" s="350"/>
      <c r="D217" s="355"/>
      <c r="E217" s="352"/>
    </row>
    <row r="218" ht="8.75" customHeight="1" hidden="1">
      <c r="A218" s="348">
        <v>45741</v>
      </c>
      <c r="B218" s="349">
        <v>11001620</v>
      </c>
      <c r="C218" s="350"/>
      <c r="D218" s="355"/>
      <c r="E218" s="352"/>
    </row>
    <row r="219" ht="8.75" customHeight="1" hidden="1">
      <c r="A219" s="348">
        <v>45742</v>
      </c>
      <c r="B219" s="349">
        <v>11003497</v>
      </c>
      <c r="C219" s="350"/>
      <c r="D219" s="355"/>
      <c r="E219" s="352"/>
    </row>
    <row r="220" ht="8.75" customHeight="1" hidden="1">
      <c r="A220" s="348">
        <v>45743</v>
      </c>
      <c r="B220" s="349">
        <v>11005469</v>
      </c>
      <c r="C220" s="350"/>
      <c r="D220" s="355"/>
      <c r="E220" s="352"/>
    </row>
    <row r="221" ht="8.75" customHeight="1" hidden="1">
      <c r="A221" s="348">
        <v>45744</v>
      </c>
      <c r="B221" s="349">
        <v>17507222</v>
      </c>
      <c r="C221" s="350"/>
      <c r="D221" s="355"/>
      <c r="E221" s="352"/>
    </row>
    <row r="222" ht="8.75" customHeight="1" hidden="1">
      <c r="A222" s="348">
        <v>45745</v>
      </c>
      <c r="B222" s="349"/>
      <c r="C222" s="350"/>
      <c r="D222" s="355"/>
      <c r="E222" s="352"/>
    </row>
    <row r="223" ht="8.75" customHeight="1" hidden="1">
      <c r="A223" s="348">
        <v>45746</v>
      </c>
      <c r="B223" s="349"/>
      <c r="C223" s="350"/>
      <c r="D223" s="355"/>
      <c r="E223" s="352"/>
    </row>
    <row r="224" ht="8.75" customHeight="1" hidden="1">
      <c r="A224" s="348">
        <v>45747</v>
      </c>
      <c r="B224" s="349">
        <v>17512382</v>
      </c>
      <c r="C224" s="350"/>
      <c r="D224" s="355"/>
      <c r="E224" s="352"/>
    </row>
    <row r="225" ht="8.75" customHeight="1" hidden="1">
      <c r="A225" s="348">
        <v>45748</v>
      </c>
      <c r="B225" s="349">
        <v>17515112</v>
      </c>
      <c r="C225" s="350"/>
      <c r="D225" s="355"/>
      <c r="E225" s="352"/>
    </row>
    <row r="226" ht="8.75" customHeight="1" hidden="1">
      <c r="A226" s="348">
        <v>45749</v>
      </c>
      <c r="B226" s="349">
        <v>17518634</v>
      </c>
      <c r="C226" s="350"/>
      <c r="D226" s="355"/>
      <c r="E226" s="352"/>
    </row>
    <row r="227" ht="8.75" customHeight="1" hidden="1">
      <c r="A227" s="348">
        <v>45750</v>
      </c>
      <c r="B227" s="349"/>
      <c r="C227" s="350"/>
      <c r="D227" s="355"/>
      <c r="E227" s="352"/>
    </row>
    <row r="228" ht="8.75" customHeight="1" hidden="1">
      <c r="A228" s="348">
        <v>45751</v>
      </c>
      <c r="B228" s="349"/>
      <c r="C228" s="350"/>
      <c r="D228" s="355"/>
      <c r="E228" s="352"/>
    </row>
    <row r="229" ht="8.75" customHeight="1" hidden="1">
      <c r="A229" s="348">
        <v>45752</v>
      </c>
      <c r="B229" s="349"/>
      <c r="C229" s="350"/>
      <c r="D229" s="355"/>
      <c r="E229" s="352"/>
    </row>
    <row r="230" ht="8.75" customHeight="1" hidden="1">
      <c r="A230" s="348">
        <v>45753</v>
      </c>
      <c r="B230" s="349"/>
      <c r="C230" s="350"/>
      <c r="D230" s="355"/>
      <c r="E230" s="352"/>
    </row>
    <row r="231" ht="8.75" customHeight="1" hidden="1">
      <c r="A231" s="348">
        <v>45754</v>
      </c>
      <c r="B231" s="349">
        <v>17529869</v>
      </c>
      <c r="C231" s="350"/>
      <c r="D231" s="355"/>
      <c r="E231" s="352"/>
    </row>
    <row r="232" ht="8.75" customHeight="1" hidden="1">
      <c r="A232" s="348">
        <v>45755</v>
      </c>
      <c r="B232" s="349">
        <v>17533406</v>
      </c>
      <c r="C232" s="350">
        <v>-4400000</v>
      </c>
      <c r="D232" s="355"/>
      <c r="E232" s="352"/>
    </row>
    <row r="233" ht="8.75" customHeight="1" hidden="1">
      <c r="A233" s="348">
        <v>45756</v>
      </c>
      <c r="B233" s="349">
        <v>13133762</v>
      </c>
      <c r="C233" s="350"/>
      <c r="D233" s="355"/>
      <c r="E233" s="352"/>
    </row>
    <row r="234" ht="8.75" customHeight="1" hidden="1">
      <c r="A234" s="348">
        <v>45757</v>
      </c>
      <c r="B234" s="349">
        <v>13135900</v>
      </c>
      <c r="C234" s="350"/>
      <c r="D234" s="355"/>
      <c r="E234" s="352"/>
    </row>
    <row r="235" ht="8.75" customHeight="1" hidden="1">
      <c r="A235" s="348">
        <v>45758</v>
      </c>
      <c r="B235" s="349">
        <v>12737416</v>
      </c>
      <c r="C235" s="350"/>
      <c r="D235" s="355"/>
      <c r="E235" s="352"/>
    </row>
    <row r="236" ht="8.75" customHeight="1" hidden="1">
      <c r="A236" s="348">
        <v>45759</v>
      </c>
      <c r="B236" s="349"/>
      <c r="C236" s="350"/>
      <c r="D236" s="355"/>
      <c r="E236" s="352"/>
    </row>
    <row r="237" ht="8.75" customHeight="1" hidden="1">
      <c r="A237" s="348">
        <v>45760</v>
      </c>
      <c r="B237" s="349"/>
      <c r="C237" s="350"/>
      <c r="D237" s="355"/>
      <c r="E237" s="352"/>
    </row>
    <row r="238" ht="8.75" customHeight="1" hidden="1">
      <c r="A238" s="348">
        <v>45761</v>
      </c>
      <c r="B238" s="349">
        <v>12741515</v>
      </c>
      <c r="C238" s="350"/>
      <c r="D238" s="355"/>
      <c r="E238" s="352"/>
    </row>
    <row r="239" ht="8.75" customHeight="1" hidden="1">
      <c r="A239" s="348">
        <v>45762</v>
      </c>
      <c r="B239" s="349"/>
      <c r="C239" s="350"/>
      <c r="D239" s="355"/>
      <c r="E239" s="352"/>
    </row>
    <row r="240" ht="8.75" customHeight="1" hidden="1">
      <c r="A240" s="348">
        <v>45763</v>
      </c>
      <c r="B240" s="349">
        <v>12744068</v>
      </c>
      <c r="C240" s="350">
        <v>1100000</v>
      </c>
      <c r="D240" s="355"/>
      <c r="E240" s="352"/>
    </row>
    <row r="241" ht="8.75" customHeight="1" hidden="1">
      <c r="A241" s="348">
        <v>45764</v>
      </c>
      <c r="B241" s="349">
        <v>13844763</v>
      </c>
      <c r="C241" s="350"/>
      <c r="D241" s="355"/>
      <c r="E241" s="352"/>
    </row>
    <row r="242" ht="8.75" customHeight="1" hidden="1">
      <c r="A242" s="348">
        <v>45765</v>
      </c>
      <c r="B242" s="349"/>
      <c r="C242" s="350"/>
      <c r="D242" s="355"/>
      <c r="E242" s="352"/>
    </row>
    <row r="243" ht="8.75" customHeight="1" hidden="1">
      <c r="A243" s="348">
        <v>45766</v>
      </c>
      <c r="B243" s="349"/>
      <c r="C243" s="350"/>
      <c r="D243" s="355"/>
      <c r="E243" s="352"/>
    </row>
    <row r="244" ht="8.75" customHeight="1" hidden="1">
      <c r="A244" s="348">
        <v>45767</v>
      </c>
      <c r="B244" s="349">
        <v>13844763</v>
      </c>
      <c r="C244" s="350"/>
      <c r="D244" s="355"/>
      <c r="E244" s="352"/>
    </row>
    <row r="245" ht="8.75" customHeight="1" hidden="1">
      <c r="A245" s="348">
        <v>45768</v>
      </c>
      <c r="B245" s="349">
        <v>13852038</v>
      </c>
      <c r="C245" s="350"/>
      <c r="D245" s="355"/>
      <c r="E245" s="352"/>
    </row>
    <row r="246" ht="8.75" customHeight="1" hidden="1">
      <c r="A246" s="348">
        <v>45769</v>
      </c>
      <c r="B246" s="349">
        <v>13853883</v>
      </c>
      <c r="C246" s="350"/>
      <c r="D246" s="355"/>
      <c r="E246" s="352"/>
    </row>
    <row r="247" ht="8.75" customHeight="1" hidden="1">
      <c r="A247" s="348">
        <v>45770</v>
      </c>
      <c r="B247" s="349">
        <v>13856017</v>
      </c>
      <c r="C247" s="350"/>
      <c r="D247" s="355"/>
      <c r="E247" s="352"/>
    </row>
    <row r="248" ht="8.75" customHeight="1" hidden="1">
      <c r="A248" s="348">
        <v>45771</v>
      </c>
      <c r="B248" s="349">
        <v>13857283</v>
      </c>
      <c r="C248" s="350"/>
      <c r="D248" s="355"/>
      <c r="E248" s="352"/>
    </row>
    <row r="249" ht="8.75" customHeight="1" hidden="1">
      <c r="A249" s="348">
        <v>45772</v>
      </c>
      <c r="B249" s="349">
        <v>13858530</v>
      </c>
      <c r="C249" s="350"/>
      <c r="D249" s="355"/>
      <c r="E249" s="352"/>
    </row>
    <row r="250" ht="8.75" customHeight="1" hidden="1">
      <c r="A250" s="348">
        <v>45773</v>
      </c>
      <c r="B250" s="349"/>
      <c r="C250" s="350"/>
      <c r="D250" s="355"/>
      <c r="E250" s="352"/>
    </row>
    <row r="251" ht="8.75" customHeight="1" hidden="1">
      <c r="A251" s="348">
        <v>45774</v>
      </c>
      <c r="B251" s="349"/>
      <c r="C251" s="350"/>
      <c r="D251" s="355"/>
      <c r="E251" s="352"/>
    </row>
    <row r="252" ht="8.75" customHeight="1" hidden="1">
      <c r="A252" s="348">
        <v>45775</v>
      </c>
      <c r="B252" s="349">
        <v>13863893</v>
      </c>
      <c r="C252" s="350"/>
      <c r="D252" s="355"/>
      <c r="E252" s="352"/>
    </row>
    <row r="253" ht="8.75" customHeight="1" hidden="1">
      <c r="A253" s="348">
        <v>45776</v>
      </c>
      <c r="B253" s="349"/>
      <c r="C253" s="350"/>
      <c r="D253" s="355"/>
      <c r="E253" s="352"/>
    </row>
    <row r="254" ht="8.75" customHeight="1" hidden="1">
      <c r="A254" s="348">
        <v>45777</v>
      </c>
      <c r="B254" s="349">
        <v>13867816</v>
      </c>
      <c r="C254" s="350"/>
      <c r="D254" s="355"/>
      <c r="E254" s="352"/>
    </row>
    <row r="255" ht="8.75" customHeight="1" hidden="1">
      <c r="A255" s="348">
        <v>45778</v>
      </c>
      <c r="B255" s="349"/>
      <c r="C255" s="350"/>
      <c r="D255" s="355"/>
      <c r="E255" s="352"/>
    </row>
    <row r="256" ht="8.75" customHeight="1" hidden="1">
      <c r="A256" s="348">
        <v>45779</v>
      </c>
      <c r="B256" s="349">
        <v>13870980</v>
      </c>
      <c r="C256" s="350"/>
      <c r="D256" s="355"/>
      <c r="E256" s="352"/>
    </row>
    <row r="257" ht="8.75" customHeight="1" hidden="1">
      <c r="A257" s="348">
        <v>45780</v>
      </c>
      <c r="B257" s="349"/>
      <c r="C257" s="350"/>
      <c r="D257" s="355"/>
      <c r="E257" s="352"/>
    </row>
    <row r="258" ht="8.75" customHeight="1" hidden="1">
      <c r="A258" s="348">
        <v>45781</v>
      </c>
      <c r="B258" s="349"/>
      <c r="C258" s="350"/>
      <c r="D258" s="355"/>
      <c r="E258" s="352"/>
    </row>
    <row r="259" ht="8.75" customHeight="1" hidden="1">
      <c r="A259" s="348">
        <v>45782</v>
      </c>
      <c r="B259" s="349">
        <v>13875850</v>
      </c>
      <c r="C259" s="350"/>
      <c r="D259" s="355"/>
      <c r="E259" s="352"/>
    </row>
    <row r="260" ht="8.75" customHeight="1" hidden="1">
      <c r="A260" s="348">
        <v>45783</v>
      </c>
      <c r="B260" s="349">
        <v>13877765</v>
      </c>
      <c r="C260" s="350"/>
      <c r="D260" s="355"/>
      <c r="E260" s="352"/>
    </row>
    <row r="261" ht="8.75" customHeight="1" hidden="1">
      <c r="A261" s="348">
        <v>45784</v>
      </c>
      <c r="B261" s="349">
        <v>12879488</v>
      </c>
      <c r="C261" s="350">
        <v>-1000000</v>
      </c>
      <c r="D261" s="355"/>
      <c r="E261" s="352"/>
    </row>
    <row r="262" ht="8.75" customHeight="1" hidden="1">
      <c r="A262" s="348">
        <v>45785</v>
      </c>
      <c r="B262" s="349">
        <v>12881269</v>
      </c>
      <c r="C262" s="350"/>
      <c r="D262" s="355"/>
      <c r="E262" s="352"/>
    </row>
    <row r="263" ht="8.75" customHeight="1" hidden="1">
      <c r="A263" s="348">
        <v>45786</v>
      </c>
      <c r="B263" s="349">
        <v>12881738</v>
      </c>
      <c r="C263" s="350"/>
      <c r="D263" s="355"/>
      <c r="E263" s="352"/>
    </row>
    <row r="264" ht="8.75" customHeight="1" hidden="1">
      <c r="A264" s="348">
        <v>45787</v>
      </c>
      <c r="B264" s="349"/>
      <c r="C264" s="350"/>
      <c r="D264" s="355"/>
      <c r="E264" s="352"/>
    </row>
    <row r="265" ht="8.75" customHeight="1" hidden="1">
      <c r="A265" s="348">
        <v>45788</v>
      </c>
      <c r="B265" s="349"/>
      <c r="C265" s="350"/>
      <c r="D265" s="355"/>
      <c r="E265" s="352"/>
    </row>
    <row r="266" ht="8.75" customHeight="1" hidden="1">
      <c r="A266" s="348">
        <v>45789</v>
      </c>
      <c r="B266" s="349">
        <v>12886709</v>
      </c>
      <c r="C266" s="350"/>
      <c r="D266" s="355"/>
      <c r="E266" s="352"/>
    </row>
    <row r="267" ht="8.75" customHeight="1" hidden="1">
      <c r="A267" s="348">
        <v>45790</v>
      </c>
      <c r="B267" s="349">
        <v>12888501</v>
      </c>
      <c r="C267" s="350"/>
      <c r="D267" s="355"/>
      <c r="E267" s="352"/>
    </row>
    <row r="268" ht="8.75" customHeight="1" hidden="1">
      <c r="A268" s="348">
        <v>45791</v>
      </c>
      <c r="B268" s="349">
        <v>12889824</v>
      </c>
      <c r="C268" s="350"/>
      <c r="D268" s="355"/>
      <c r="E268" s="352"/>
    </row>
    <row r="269" ht="8.75" customHeight="1" hidden="1">
      <c r="A269" s="348">
        <v>45792</v>
      </c>
      <c r="B269" s="349">
        <v>12891300</v>
      </c>
      <c r="C269" s="350"/>
      <c r="D269" s="355"/>
      <c r="E269" s="352"/>
    </row>
    <row r="270" ht="8.75" customHeight="1" hidden="1">
      <c r="A270" s="348">
        <v>45793</v>
      </c>
      <c r="B270" s="349">
        <v>12891995</v>
      </c>
      <c r="C270" s="350"/>
      <c r="D270" s="355"/>
      <c r="E270" s="352"/>
    </row>
    <row r="271" ht="8.75" customHeight="1" hidden="1">
      <c r="A271" s="348">
        <v>45794</v>
      </c>
      <c r="B271" s="349"/>
      <c r="C271" s="350"/>
      <c r="D271" s="355"/>
      <c r="E271" s="352"/>
    </row>
    <row r="272" ht="8.75" customHeight="1" hidden="1">
      <c r="A272" s="348">
        <v>45795</v>
      </c>
      <c r="B272" s="349"/>
      <c r="C272" s="350"/>
      <c r="D272" s="355"/>
      <c r="E272" s="352"/>
    </row>
    <row r="273" ht="8.75" customHeight="1" hidden="1">
      <c r="A273" s="348">
        <v>45796</v>
      </c>
      <c r="B273" s="349"/>
      <c r="C273" s="350"/>
      <c r="D273" s="355"/>
      <c r="E273" s="352"/>
    </row>
    <row r="274" ht="8.75" customHeight="1" hidden="1">
      <c r="A274" s="348">
        <v>45797</v>
      </c>
      <c r="B274" s="349">
        <v>12898159</v>
      </c>
      <c r="C274" s="350"/>
      <c r="D274" s="355"/>
      <c r="E274" s="352"/>
    </row>
    <row r="275" ht="8.75" customHeight="1" hidden="1">
      <c r="A275" s="348">
        <v>45798</v>
      </c>
      <c r="B275" s="349"/>
      <c r="C275" s="350"/>
      <c r="D275" s="355"/>
      <c r="E275" s="352"/>
    </row>
    <row r="276" ht="8.75" customHeight="1" hidden="1">
      <c r="A276" s="348">
        <v>45799</v>
      </c>
      <c r="B276" s="349">
        <v>12901002</v>
      </c>
      <c r="C276" s="350"/>
      <c r="D276" s="355"/>
      <c r="E276" s="352"/>
    </row>
    <row r="277" ht="8.75" customHeight="1" hidden="1">
      <c r="A277" s="348">
        <v>45800</v>
      </c>
      <c r="B277" s="349">
        <v>12902314</v>
      </c>
      <c r="C277" s="350"/>
      <c r="D277" s="355"/>
      <c r="E277" s="352"/>
    </row>
    <row r="278" ht="8.75" customHeight="1" hidden="1">
      <c r="A278" s="348">
        <v>45801</v>
      </c>
      <c r="B278" s="349"/>
      <c r="C278" s="350"/>
      <c r="D278" s="355"/>
      <c r="E278" s="352"/>
    </row>
    <row r="279" ht="8.75" customHeight="1" hidden="1">
      <c r="A279" s="348">
        <v>45802</v>
      </c>
      <c r="B279" s="349"/>
      <c r="C279" s="350"/>
      <c r="D279" s="355"/>
      <c r="E279" s="352"/>
    </row>
    <row r="280" ht="8.75" customHeight="1" hidden="1">
      <c r="A280" s="348">
        <v>45803</v>
      </c>
      <c r="B280" s="349">
        <v>12907245</v>
      </c>
      <c r="C280" s="350"/>
      <c r="D280" s="355"/>
      <c r="E280" s="352"/>
    </row>
    <row r="281" ht="8.75" customHeight="1" hidden="1">
      <c r="A281" s="348">
        <v>45804</v>
      </c>
      <c r="B281" s="349"/>
      <c r="C281" s="350"/>
      <c r="D281" s="355"/>
      <c r="E281" s="352"/>
    </row>
    <row r="282" ht="8.75" customHeight="1" hidden="1">
      <c r="A282" s="348">
        <v>45805</v>
      </c>
      <c r="B282" s="349">
        <v>12910367</v>
      </c>
      <c r="C282" s="350"/>
      <c r="D282" s="355"/>
      <c r="E282" s="352"/>
    </row>
    <row r="283" ht="8.75" customHeight="1" hidden="1">
      <c r="A283" s="348">
        <v>45806</v>
      </c>
      <c r="B283" s="349">
        <v>12912145</v>
      </c>
      <c r="C283" s="350"/>
      <c r="D283" s="355"/>
      <c r="E283" s="352"/>
    </row>
    <row r="284" ht="8.75" customHeight="1" hidden="1">
      <c r="A284" s="348">
        <v>45807</v>
      </c>
      <c r="B284" s="349">
        <v>12913339</v>
      </c>
      <c r="C284" s="350"/>
      <c r="D284" s="355"/>
      <c r="E284" s="352"/>
    </row>
    <row r="285" ht="8.75" customHeight="1" hidden="1">
      <c r="A285" s="348">
        <v>45808</v>
      </c>
      <c r="B285" s="349"/>
      <c r="C285" s="350"/>
      <c r="D285" s="355"/>
      <c r="E285" s="352"/>
    </row>
    <row r="286" ht="8.75" customHeight="1" hidden="1">
      <c r="A286" s="348">
        <v>45809</v>
      </c>
      <c r="B286" s="349">
        <v>12913339</v>
      </c>
      <c r="C286" s="350"/>
      <c r="D286" s="355"/>
      <c r="E286" s="352"/>
    </row>
    <row r="287" ht="8.75" customHeight="1" hidden="1">
      <c r="A287" s="348">
        <v>45810</v>
      </c>
      <c r="B287" s="349"/>
      <c r="C287" s="350"/>
      <c r="D287" s="355"/>
      <c r="E287" s="352"/>
    </row>
    <row r="288" ht="8.75" customHeight="1" hidden="1">
      <c r="A288" s="348">
        <v>45811</v>
      </c>
      <c r="B288" s="349"/>
      <c r="C288" s="350"/>
      <c r="D288" s="355"/>
      <c r="E288" s="352"/>
    </row>
    <row r="289" ht="8.75" customHeight="1" hidden="1">
      <c r="A289" s="348">
        <v>45812</v>
      </c>
      <c r="B289" s="349">
        <v>12921903</v>
      </c>
      <c r="C289" s="350"/>
      <c r="D289" s="355"/>
      <c r="E289" s="352"/>
    </row>
    <row r="290" ht="8.75" customHeight="1" hidden="1">
      <c r="A290" s="348">
        <v>45813</v>
      </c>
      <c r="B290" s="349">
        <v>12923556</v>
      </c>
      <c r="C290" s="350"/>
      <c r="D290" s="355"/>
      <c r="E290" s="352"/>
    </row>
    <row r="291" ht="8.75" customHeight="1" hidden="1">
      <c r="A291" s="348">
        <v>45814</v>
      </c>
      <c r="B291" s="349"/>
      <c r="C291" s="350"/>
      <c r="D291" s="355"/>
      <c r="E291" s="352"/>
    </row>
    <row r="292" ht="8.75" customHeight="1" hidden="1">
      <c r="A292" s="348">
        <v>45815</v>
      </c>
      <c r="B292" s="349"/>
      <c r="C292" s="350"/>
      <c r="D292" s="355"/>
      <c r="E292" s="352"/>
    </row>
    <row r="293" ht="8.75" customHeight="1" hidden="1">
      <c r="A293" s="348">
        <v>45816</v>
      </c>
      <c r="B293" s="349">
        <v>11624084</v>
      </c>
      <c r="C293" s="350"/>
      <c r="D293" s="355"/>
      <c r="E293" s="352"/>
    </row>
    <row r="294" ht="8.75" customHeight="1" hidden="1">
      <c r="A294" s="348">
        <v>45817</v>
      </c>
      <c r="B294" s="349">
        <v>11627712</v>
      </c>
      <c r="C294" s="350"/>
      <c r="D294" s="355"/>
      <c r="E294" s="352"/>
    </row>
    <row r="295" ht="8.75" customHeight="1" hidden="1">
      <c r="A295" s="348">
        <v>45818</v>
      </c>
      <c r="B295" s="349"/>
      <c r="C295" s="350"/>
      <c r="D295" s="355"/>
      <c r="E295" s="352"/>
    </row>
    <row r="296" ht="8.75" customHeight="1" hidden="1">
      <c r="A296" s="348">
        <v>45819</v>
      </c>
      <c r="B296" s="349">
        <v>11630294</v>
      </c>
      <c r="C296" s="350"/>
      <c r="D296" s="355"/>
      <c r="E296" s="352"/>
    </row>
    <row r="297" ht="8.75" customHeight="1" hidden="1">
      <c r="A297" s="348">
        <v>45820</v>
      </c>
      <c r="B297" s="349"/>
      <c r="C297" s="350"/>
      <c r="D297" s="355"/>
      <c r="E297" s="352"/>
    </row>
    <row r="298" ht="8.75" customHeight="1" hidden="1">
      <c r="A298" s="348">
        <v>45821</v>
      </c>
      <c r="B298" s="349"/>
      <c r="C298" s="350"/>
      <c r="D298" s="355"/>
      <c r="E298" s="352"/>
    </row>
    <row r="299" ht="8.75" customHeight="1" hidden="1">
      <c r="A299" s="348">
        <v>45822</v>
      </c>
      <c r="B299" s="349"/>
      <c r="C299" s="350"/>
      <c r="D299" s="355"/>
      <c r="E299" s="352"/>
    </row>
    <row r="300" ht="8.75" customHeight="1" hidden="1">
      <c r="A300" s="348">
        <v>45823</v>
      </c>
      <c r="B300" s="349"/>
      <c r="C300" s="350"/>
      <c r="D300" s="355"/>
      <c r="E300" s="352"/>
    </row>
    <row r="301" ht="8.75" customHeight="1" hidden="1">
      <c r="A301" s="348">
        <v>45824</v>
      </c>
      <c r="B301" s="349">
        <v>11636926</v>
      </c>
      <c r="C301" s="350"/>
      <c r="D301" s="355"/>
      <c r="E301" s="352"/>
    </row>
    <row r="302" ht="8.75" customHeight="1" hidden="1">
      <c r="A302" s="348">
        <v>45825</v>
      </c>
      <c r="B302" s="349">
        <v>11637738</v>
      </c>
      <c r="C302" s="350">
        <v>250000</v>
      </c>
      <c r="D302" s="355"/>
      <c r="E302" s="352"/>
    </row>
    <row r="303" ht="8.75" customHeight="1" hidden="1">
      <c r="A303" s="348">
        <v>45826</v>
      </c>
      <c r="B303" s="349">
        <v>11889195</v>
      </c>
      <c r="C303" s="350"/>
      <c r="D303" s="355"/>
      <c r="E303" s="352"/>
    </row>
    <row r="304" ht="8.75" customHeight="1" hidden="1">
      <c r="A304" s="348">
        <v>45827</v>
      </c>
      <c r="B304" s="349">
        <v>11889837</v>
      </c>
      <c r="C304" s="350"/>
      <c r="D304" s="355"/>
      <c r="E304" s="352"/>
    </row>
    <row r="305" ht="8.75" customHeight="1" hidden="1">
      <c r="A305" s="348">
        <v>45828</v>
      </c>
      <c r="B305" s="349"/>
      <c r="C305" s="350"/>
      <c r="D305" s="355"/>
      <c r="E305" s="352"/>
    </row>
    <row r="306" ht="8.75" customHeight="1" hidden="1">
      <c r="A306" s="348">
        <v>45829</v>
      </c>
      <c r="B306" s="349"/>
      <c r="C306" s="350"/>
      <c r="D306" s="355"/>
      <c r="E306" s="352"/>
    </row>
    <row r="307" ht="8.75" customHeight="1" hidden="1">
      <c r="A307" s="348">
        <v>45830</v>
      </c>
      <c r="B307" s="349"/>
      <c r="C307" s="350"/>
      <c r="D307" s="355"/>
      <c r="E307" s="352"/>
    </row>
    <row r="308" ht="8.75" customHeight="1" hidden="1">
      <c r="A308" s="348">
        <v>45831</v>
      </c>
      <c r="B308" s="349">
        <v>11895700</v>
      </c>
      <c r="C308" s="350"/>
      <c r="D308" s="355"/>
      <c r="E308" s="352"/>
    </row>
    <row r="309" ht="8.75" customHeight="1" hidden="1">
      <c r="A309" s="348">
        <v>45832</v>
      </c>
      <c r="B309" s="349">
        <v>11897347</v>
      </c>
      <c r="C309" s="350"/>
      <c r="D309" s="355"/>
      <c r="E309" s="352"/>
    </row>
    <row r="310" ht="8.75" customHeight="1" hidden="1">
      <c r="A310" s="348">
        <v>45833</v>
      </c>
      <c r="B310" s="349">
        <v>11898710</v>
      </c>
      <c r="C310" s="350"/>
      <c r="D310" s="355"/>
      <c r="E310" s="352"/>
    </row>
    <row r="311" ht="8.75" customHeight="1" hidden="1">
      <c r="A311" s="348">
        <v>45834</v>
      </c>
      <c r="B311" s="349"/>
      <c r="C311" s="350"/>
      <c r="D311" s="355"/>
      <c r="E311" s="352"/>
    </row>
    <row r="312" ht="8.75" customHeight="1" hidden="1">
      <c r="A312" s="348">
        <v>45835</v>
      </c>
      <c r="B312" s="349">
        <v>11900951</v>
      </c>
      <c r="C312" s="350"/>
      <c r="D312" s="355"/>
      <c r="E312" s="352"/>
    </row>
    <row r="313" ht="8.75" customHeight="1" hidden="1">
      <c r="A313" s="348">
        <v>45836</v>
      </c>
      <c r="B313" s="349"/>
      <c r="C313" s="350"/>
      <c r="D313" s="355"/>
      <c r="E313" s="352"/>
    </row>
    <row r="314" ht="8.75" customHeight="1" hidden="1">
      <c r="A314" s="348">
        <v>45837</v>
      </c>
      <c r="B314" s="349"/>
      <c r="C314" s="350"/>
      <c r="D314" s="355"/>
      <c r="E314" s="352"/>
    </row>
    <row r="315" ht="8.75" customHeight="1" hidden="1">
      <c r="A315" s="348">
        <v>45838</v>
      </c>
      <c r="B315" s="349"/>
      <c r="C315" s="350"/>
      <c r="D315" s="355"/>
      <c r="E315" s="352"/>
    </row>
    <row r="316" ht="8.75" customHeight="1" hidden="1">
      <c r="A316" s="348">
        <v>45839</v>
      </c>
      <c r="B316" s="349"/>
      <c r="C316" s="350"/>
      <c r="D316" s="355"/>
      <c r="E316" s="352"/>
    </row>
    <row r="317" ht="8.75" customHeight="1" hidden="1">
      <c r="A317" s="348">
        <v>45840</v>
      </c>
      <c r="B317" s="349"/>
      <c r="C317" s="350"/>
      <c r="D317" s="355"/>
      <c r="E317" s="352"/>
    </row>
    <row r="318" ht="8.75" customHeight="1" hidden="1">
      <c r="A318" s="348">
        <v>45841</v>
      </c>
      <c r="B318" s="349"/>
      <c r="C318" s="350"/>
      <c r="D318" s="355"/>
      <c r="E318" s="352"/>
    </row>
    <row r="319" ht="8.75" customHeight="1" hidden="1">
      <c r="A319" s="348">
        <v>45842</v>
      </c>
      <c r="B319" s="349"/>
      <c r="C319" s="350"/>
      <c r="D319" s="355"/>
      <c r="E319" s="352"/>
    </row>
    <row r="320" ht="8.75" customHeight="1" hidden="1">
      <c r="A320" s="348">
        <v>45843</v>
      </c>
      <c r="B320" s="349"/>
      <c r="C320" s="350"/>
      <c r="D320" s="355"/>
      <c r="E320" s="352"/>
    </row>
    <row r="321" ht="8.75" customHeight="1" hidden="1">
      <c r="A321" s="348">
        <v>45844</v>
      </c>
      <c r="B321" s="349"/>
      <c r="C321" s="350"/>
      <c r="D321" s="355"/>
      <c r="E321" s="352"/>
    </row>
    <row r="322" ht="8.75" customHeight="1" hidden="1">
      <c r="A322" s="348">
        <v>45845</v>
      </c>
      <c r="B322" s="349"/>
      <c r="C322" s="350"/>
      <c r="D322" s="355"/>
      <c r="E322" s="352"/>
    </row>
    <row r="323" ht="8.75" customHeight="1" hidden="1">
      <c r="A323" s="348">
        <v>45846</v>
      </c>
      <c r="B323" s="349"/>
      <c r="C323" s="350"/>
      <c r="D323" s="355"/>
      <c r="E323" s="352"/>
    </row>
    <row r="324" ht="8.75" customHeight="1" hidden="1">
      <c r="A324" s="348">
        <v>45847</v>
      </c>
      <c r="B324" s="349"/>
      <c r="C324" s="350"/>
      <c r="D324" s="355"/>
      <c r="E324" s="352"/>
    </row>
    <row r="325" ht="8.75" customHeight="1" hidden="1">
      <c r="A325" s="348">
        <v>45848</v>
      </c>
      <c r="B325" s="349"/>
      <c r="C325" s="350"/>
      <c r="D325" s="355"/>
      <c r="E325" s="352"/>
    </row>
    <row r="326" ht="8.75" customHeight="1" hidden="1">
      <c r="A326" s="348">
        <v>45849</v>
      </c>
      <c r="B326" s="349"/>
      <c r="C326" s="350"/>
      <c r="D326" s="355"/>
      <c r="E326" s="352"/>
    </row>
    <row r="327" ht="8.75" customHeight="1" hidden="1">
      <c r="A327" s="348">
        <v>45850</v>
      </c>
      <c r="B327" s="349"/>
      <c r="C327" s="350"/>
      <c r="D327" s="355"/>
      <c r="E327" s="352"/>
    </row>
    <row r="328" ht="8.75" customHeight="1" hidden="1">
      <c r="A328" s="348">
        <v>45851</v>
      </c>
      <c r="B328" s="349"/>
      <c r="C328" s="350"/>
      <c r="D328" s="355"/>
      <c r="E328" s="352"/>
    </row>
    <row r="329" ht="8.75" customHeight="1" hidden="1">
      <c r="A329" s="348">
        <v>45852</v>
      </c>
      <c r="B329" s="349"/>
      <c r="C329" s="350"/>
      <c r="D329" s="355"/>
      <c r="E329" s="352"/>
    </row>
    <row r="330" ht="8.75" customHeight="1" hidden="1">
      <c r="A330" s="348">
        <v>45853</v>
      </c>
      <c r="B330" s="349">
        <v>8920155</v>
      </c>
      <c r="C330" s="350"/>
      <c r="D330" s="355"/>
      <c r="E330" s="352"/>
    </row>
    <row r="331" ht="8.75" customHeight="1" hidden="1">
      <c r="A331" s="348">
        <v>45854</v>
      </c>
      <c r="B331" s="349">
        <v>8920155</v>
      </c>
      <c r="C331" s="350"/>
      <c r="D331" s="355"/>
      <c r="E331" s="352"/>
    </row>
    <row r="332" ht="8.75" customHeight="1" hidden="1">
      <c r="A332" s="348">
        <v>45855</v>
      </c>
      <c r="B332" s="349">
        <v>8922431</v>
      </c>
      <c r="C332" s="350"/>
      <c r="D332" s="355"/>
      <c r="E332" s="352"/>
    </row>
    <row r="333" ht="8.75" customHeight="1" hidden="1">
      <c r="A333" s="348">
        <v>45856</v>
      </c>
      <c r="B333" s="349">
        <v>9622977</v>
      </c>
      <c r="C333" s="350"/>
      <c r="D333" s="355"/>
      <c r="E333" s="352"/>
    </row>
    <row r="334" ht="8.75" customHeight="1" hidden="1">
      <c r="A334" s="348">
        <v>45857</v>
      </c>
      <c r="B334" s="349"/>
      <c r="C334" s="350"/>
      <c r="D334" s="355"/>
      <c r="E334" s="352"/>
    </row>
    <row r="335" ht="8.75" customHeight="1" hidden="1">
      <c r="A335" s="348">
        <v>45858</v>
      </c>
      <c r="B335" s="349"/>
      <c r="C335" s="350"/>
      <c r="D335" s="355"/>
      <c r="E335" s="352"/>
    </row>
    <row r="336" ht="8.75" customHeight="1" hidden="1">
      <c r="A336" s="348">
        <v>45859</v>
      </c>
      <c r="B336" s="349">
        <v>9626546</v>
      </c>
      <c r="C336" s="350"/>
      <c r="D336" s="355"/>
      <c r="E336" s="352"/>
    </row>
    <row r="337" ht="8.75" customHeight="1" hidden="1">
      <c r="A337" s="348">
        <v>45860</v>
      </c>
      <c r="B337" s="349"/>
      <c r="C337" s="350"/>
      <c r="D337" s="355"/>
      <c r="E337" s="352"/>
    </row>
    <row r="338" ht="8.75" customHeight="1" hidden="1">
      <c r="A338" s="348">
        <v>45861</v>
      </c>
      <c r="B338" s="349">
        <v>9629229</v>
      </c>
      <c r="C338" t="s" s="357">
        <v>688</v>
      </c>
      <c r="D338" s="355"/>
      <c r="E338" s="352"/>
    </row>
    <row r="339" ht="8.75" customHeight="1" hidden="1">
      <c r="A339" s="348">
        <v>45862</v>
      </c>
      <c r="B339" s="349">
        <v>9630614</v>
      </c>
      <c r="C339" s="350"/>
      <c r="D339" s="355"/>
      <c r="E339" s="352"/>
    </row>
    <row r="340" ht="8.75" customHeight="1" hidden="1">
      <c r="A340" s="348">
        <v>45863</v>
      </c>
      <c r="B340" s="349">
        <v>9631093</v>
      </c>
      <c r="C340" s="350"/>
      <c r="D340" s="355"/>
      <c r="E340" s="352"/>
    </row>
    <row r="341" ht="8.75" customHeight="1" hidden="1">
      <c r="A341" s="348">
        <v>45864</v>
      </c>
      <c r="B341" s="349"/>
      <c r="C341" s="350"/>
      <c r="D341" s="355"/>
      <c r="E341" s="352"/>
    </row>
    <row r="342" ht="8.75" customHeight="1" hidden="1">
      <c r="A342" s="348">
        <v>45865</v>
      </c>
      <c r="B342" s="349"/>
      <c r="C342" s="350"/>
      <c r="D342" s="355"/>
      <c r="E342" s="352"/>
    </row>
    <row r="343" ht="8.75" customHeight="1" hidden="1">
      <c r="A343" s="348">
        <v>45866</v>
      </c>
      <c r="B343" s="349">
        <v>7634821</v>
      </c>
      <c r="C343" s="350"/>
      <c r="D343" s="355"/>
      <c r="E343" s="352"/>
    </row>
    <row r="344" ht="8.75" customHeight="1" hidden="1">
      <c r="A344" s="348">
        <v>45867</v>
      </c>
      <c r="B344" s="349">
        <v>7636234</v>
      </c>
      <c r="C344" s="350">
        <v>-2000000</v>
      </c>
      <c r="D344" s="355"/>
      <c r="E344" s="352"/>
    </row>
    <row r="345" ht="8.75" customHeight="1" hidden="1">
      <c r="A345" s="348">
        <v>45868</v>
      </c>
      <c r="B345" s="349">
        <v>7637487</v>
      </c>
      <c r="C345" s="350"/>
      <c r="D345" s="355"/>
      <c r="E345" s="352"/>
    </row>
    <row r="346" ht="8.75" customHeight="1" hidden="1">
      <c r="A346" s="348">
        <v>45869</v>
      </c>
      <c r="B346" s="349">
        <v>7638617</v>
      </c>
      <c r="C346" s="350"/>
      <c r="D346" s="355"/>
      <c r="E346" s="352"/>
    </row>
    <row r="347" ht="8.75" customHeight="1" hidden="1">
      <c r="A347" s="348">
        <v>45870</v>
      </c>
      <c r="B347" s="349">
        <v>7639191</v>
      </c>
      <c r="C347" s="350"/>
      <c r="D347" s="355"/>
      <c r="E347" s="352"/>
    </row>
    <row r="348" ht="8.75" customHeight="1" hidden="1">
      <c r="A348" s="348">
        <v>45871</v>
      </c>
      <c r="B348" s="349"/>
      <c r="C348" s="350"/>
      <c r="D348" s="355"/>
      <c r="E348" s="352"/>
    </row>
    <row r="349" ht="8.75" customHeight="1" hidden="1">
      <c r="A349" s="348">
        <v>45872</v>
      </c>
      <c r="B349" s="349"/>
      <c r="C349" s="350"/>
      <c r="D349" s="355"/>
      <c r="E349" s="352"/>
    </row>
    <row r="350" ht="8.75" customHeight="1" hidden="1">
      <c r="A350" s="348">
        <v>45873</v>
      </c>
      <c r="B350" s="349"/>
      <c r="C350" s="352"/>
      <c r="D350" s="355"/>
      <c r="E350" s="352"/>
    </row>
    <row r="351" ht="8.75" customHeight="1" hidden="1">
      <c r="A351" s="348">
        <v>45874</v>
      </c>
      <c r="B351" s="349">
        <v>3442711</v>
      </c>
      <c r="C351" s="350">
        <v>-4200000</v>
      </c>
      <c r="D351" s="355"/>
      <c r="E351" s="352"/>
    </row>
    <row r="352" ht="8.75" customHeight="1" hidden="1">
      <c r="A352" s="348">
        <v>45875</v>
      </c>
      <c r="B352" s="349"/>
      <c r="C352" s="350"/>
      <c r="D352" s="355"/>
      <c r="E352" s="352"/>
    </row>
    <row r="353" ht="8.75" customHeight="1" hidden="1">
      <c r="A353" s="348">
        <v>45876</v>
      </c>
      <c r="B353" s="349">
        <v>3393967</v>
      </c>
      <c r="C353" s="350"/>
      <c r="D353" s="355"/>
      <c r="E353" s="352"/>
    </row>
    <row r="354" ht="8.75" customHeight="1" hidden="1">
      <c r="A354" s="348">
        <v>45877</v>
      </c>
      <c r="B354" s="349">
        <v>3394324</v>
      </c>
      <c r="C354" s="350">
        <v>-50000</v>
      </c>
      <c r="D354" s="355"/>
      <c r="E354" s="352"/>
    </row>
    <row r="355" ht="8.75" customHeight="1" hidden="1">
      <c r="A355" s="348">
        <v>45878</v>
      </c>
      <c r="B355" s="349"/>
      <c r="C355" s="350"/>
      <c r="D355" s="355"/>
      <c r="E355" s="352"/>
    </row>
    <row r="356" ht="8.75" customHeight="1" hidden="1">
      <c r="A356" s="348">
        <v>45879</v>
      </c>
      <c r="B356" s="349"/>
      <c r="C356" s="350"/>
      <c r="D356" s="355"/>
      <c r="E356" s="352"/>
    </row>
    <row r="357" ht="8.75" customHeight="1" hidden="1">
      <c r="A357" s="348">
        <v>45880</v>
      </c>
      <c r="B357" s="349">
        <v>3395593</v>
      </c>
      <c r="C357" s="350"/>
      <c r="D357" s="355"/>
      <c r="E357" s="352"/>
    </row>
    <row r="358" ht="8.75" customHeight="1" hidden="1">
      <c r="A358" s="348">
        <v>45881</v>
      </c>
      <c r="B358" s="349">
        <v>3395970</v>
      </c>
      <c r="C358" s="350"/>
      <c r="D358" s="355"/>
      <c r="E358" s="352"/>
    </row>
    <row r="359" ht="8.75" customHeight="1" hidden="1">
      <c r="A359" s="348">
        <v>45882</v>
      </c>
      <c r="B359" s="349">
        <v>3396409</v>
      </c>
      <c r="C359" s="350"/>
      <c r="D359" s="355"/>
      <c r="E359" s="352"/>
    </row>
    <row r="360" ht="8.75" customHeight="1" hidden="1">
      <c r="A360" s="348">
        <v>45883</v>
      </c>
      <c r="B360" s="349">
        <v>3346853</v>
      </c>
      <c r="C360" s="350"/>
      <c r="D360" s="355"/>
      <c r="E360" s="352"/>
    </row>
    <row r="361" ht="8.75" customHeight="1" hidden="1">
      <c r="A361" s="348">
        <v>45884</v>
      </c>
      <c r="B361" s="349"/>
      <c r="C361" s="350">
        <v>-50000</v>
      </c>
      <c r="D361" s="355"/>
      <c r="E361" s="352"/>
    </row>
    <row r="362" ht="8.75" customHeight="1" hidden="1">
      <c r="A362" s="348">
        <v>45885</v>
      </c>
      <c r="B362" s="349"/>
      <c r="C362" s="350"/>
      <c r="D362" s="355"/>
      <c r="E362" s="352"/>
    </row>
    <row r="363" ht="8.75" customHeight="1" hidden="1">
      <c r="A363" s="348">
        <v>45886</v>
      </c>
      <c r="B363" s="349"/>
      <c r="C363" s="350"/>
      <c r="D363" s="355"/>
      <c r="E363" s="352"/>
    </row>
    <row r="364" ht="8.75" customHeight="1" hidden="1">
      <c r="A364" s="348">
        <v>45887</v>
      </c>
      <c r="B364" s="349">
        <v>3348473</v>
      </c>
      <c r="C364" s="350"/>
      <c r="D364" s="355"/>
      <c r="E364" s="352"/>
    </row>
    <row r="365" ht="8.75" customHeight="1" hidden="1">
      <c r="A365" s="348">
        <v>45888</v>
      </c>
      <c r="B365" s="349">
        <v>3348886</v>
      </c>
      <c r="C365" s="350"/>
      <c r="D365" s="355"/>
      <c r="E365" s="352"/>
    </row>
    <row r="366" ht="8.75" customHeight="1" hidden="1">
      <c r="A366" s="348">
        <v>45889</v>
      </c>
      <c r="B366" s="349">
        <v>3349305</v>
      </c>
      <c r="C366" s="350"/>
      <c r="D366" s="355"/>
      <c r="E366" s="352"/>
    </row>
    <row r="367" ht="20.55" customHeight="1">
      <c r="A367" s="358">
        <v>45890</v>
      </c>
      <c r="B367" s="81">
        <v>3349745</v>
      </c>
      <c r="C367" s="48"/>
      <c r="D367" s="64"/>
      <c r="E367" s="82"/>
    </row>
    <row r="368" ht="20.35" customHeight="1">
      <c r="A368" s="359">
        <v>45891</v>
      </c>
      <c r="B368" s="83"/>
      <c r="C368" s="26"/>
      <c r="D368" s="68"/>
      <c r="E368" s="32"/>
    </row>
    <row r="369" ht="20.35" customHeight="1">
      <c r="A369" s="359">
        <v>45892</v>
      </c>
      <c r="B369" s="83"/>
      <c r="C369" s="26"/>
      <c r="D369" s="68"/>
      <c r="E369" s="32"/>
    </row>
    <row r="370" ht="20.35" customHeight="1">
      <c r="A370" s="359">
        <v>45893</v>
      </c>
      <c r="B370" s="83"/>
      <c r="C370" s="26">
        <v>-100000</v>
      </c>
      <c r="D370" s="68"/>
      <c r="E370" s="32"/>
    </row>
    <row r="371" ht="20.35" customHeight="1">
      <c r="A371" s="359">
        <v>45894</v>
      </c>
      <c r="B371" s="83">
        <v>3251283</v>
      </c>
      <c r="C371" s="26"/>
      <c r="D371" s="68"/>
      <c r="E371" s="32"/>
    </row>
    <row r="372" ht="20.35" customHeight="1">
      <c r="A372" s="359">
        <v>45895</v>
      </c>
      <c r="B372" s="83">
        <v>3251672</v>
      </c>
      <c r="C372" s="26"/>
      <c r="D372" s="68"/>
      <c r="E372" s="32"/>
    </row>
    <row r="373" ht="20.35" customHeight="1">
      <c r="A373" s="359">
        <v>45896</v>
      </c>
      <c r="B373" s="83">
        <v>3252088</v>
      </c>
      <c r="C373" s="26"/>
      <c r="D373" s="68"/>
      <c r="E373" s="32"/>
    </row>
    <row r="374" ht="20.35" customHeight="1">
      <c r="A374" s="359">
        <v>45897</v>
      </c>
      <c r="B374" s="83"/>
      <c r="C374" s="26"/>
      <c r="D374" s="68"/>
      <c r="E374" s="32"/>
    </row>
    <row r="375" ht="20.35" customHeight="1">
      <c r="A375" s="359">
        <v>45898</v>
      </c>
      <c r="B375" s="83"/>
      <c r="C375" s="26"/>
      <c r="D375" s="68"/>
      <c r="E375" s="32"/>
    </row>
    <row r="376" ht="20.35" customHeight="1">
      <c r="A376" s="359">
        <v>45899</v>
      </c>
      <c r="B376" s="83"/>
      <c r="C376" s="26"/>
      <c r="D376" s="68"/>
      <c r="E376" s="32"/>
    </row>
    <row r="377" ht="20.35" customHeight="1">
      <c r="A377" s="359">
        <v>45900</v>
      </c>
      <c r="B377" s="83"/>
      <c r="C377" s="26"/>
      <c r="D377" s="68"/>
      <c r="E377" s="32"/>
    </row>
    <row r="378" ht="20.35" customHeight="1">
      <c r="A378" s="359">
        <v>45901</v>
      </c>
      <c r="B378" s="83">
        <v>3254038</v>
      </c>
      <c r="C378" s="26"/>
      <c r="D378" s="68"/>
      <c r="E378" s="32"/>
    </row>
    <row r="379" ht="20.35" customHeight="1">
      <c r="A379" s="359">
        <v>45902</v>
      </c>
      <c r="B379" s="83">
        <v>3254442</v>
      </c>
      <c r="C379" s="26"/>
      <c r="D379" s="68"/>
      <c r="E379" s="32"/>
    </row>
    <row r="380" ht="20.35" customHeight="1">
      <c r="A380" s="359">
        <v>45903</v>
      </c>
      <c r="B380" s="83">
        <v>3554947</v>
      </c>
      <c r="C380" s="26"/>
      <c r="D380" s="68"/>
      <c r="E380" s="32"/>
    </row>
    <row r="381" ht="20.35" customHeight="1">
      <c r="A381" s="359">
        <v>45904</v>
      </c>
      <c r="B381" s="83">
        <v>3555236</v>
      </c>
      <c r="C381" s="26">
        <v>300000</v>
      </c>
      <c r="D381" s="68"/>
      <c r="E381" s="32"/>
    </row>
    <row r="382" ht="20.35" customHeight="1">
      <c r="A382" s="359">
        <v>45905</v>
      </c>
      <c r="B382" s="83">
        <v>3555581</v>
      </c>
      <c r="C382" s="26"/>
      <c r="D382" s="68"/>
      <c r="E382" s="32"/>
    </row>
    <row r="383" ht="20.35" customHeight="1">
      <c r="A383" s="359">
        <v>45906</v>
      </c>
      <c r="B383" s="83"/>
      <c r="C383" s="26"/>
      <c r="D383" s="68"/>
      <c r="E383" s="32"/>
    </row>
    <row r="384" ht="20.35" customHeight="1">
      <c r="A384" s="359">
        <v>45907</v>
      </c>
      <c r="B384" s="83">
        <v>3705236</v>
      </c>
      <c r="C384" s="26">
        <v>150000</v>
      </c>
      <c r="D384" s="68"/>
      <c r="E384" s="32"/>
    </row>
    <row r="385" ht="20.35" customHeight="1">
      <c r="A385" s="359">
        <v>45908</v>
      </c>
      <c r="B385" s="83">
        <v>3707000</v>
      </c>
      <c r="C385" s="26"/>
      <c r="D385" s="68"/>
      <c r="E385" s="32"/>
    </row>
    <row r="386" ht="20.35" customHeight="1">
      <c r="A386" s="359">
        <v>45909</v>
      </c>
      <c r="B386" s="83"/>
      <c r="C386" s="26"/>
      <c r="D386" s="68"/>
      <c r="E386" s="32"/>
    </row>
    <row r="387" ht="20.35" customHeight="1">
      <c r="A387" s="359">
        <v>45910</v>
      </c>
      <c r="B387" s="83"/>
      <c r="C387" s="26"/>
      <c r="D387" s="68"/>
      <c r="E387" s="32"/>
    </row>
    <row r="388" ht="20.35" customHeight="1">
      <c r="A388" s="359">
        <v>45911</v>
      </c>
      <c r="B388" s="83">
        <v>3708126</v>
      </c>
      <c r="C388" s="26"/>
      <c r="D388" s="68"/>
      <c r="E388" s="32"/>
    </row>
    <row r="389" ht="20.35" customHeight="1">
      <c r="A389" s="359">
        <v>45912</v>
      </c>
      <c r="B389" s="83">
        <v>3708413</v>
      </c>
      <c r="C389" s="26"/>
      <c r="D389" s="68"/>
      <c r="E389" s="32"/>
    </row>
    <row r="390" ht="20.35" customHeight="1">
      <c r="A390" s="359">
        <v>45913</v>
      </c>
      <c r="B390" s="83"/>
      <c r="C390" s="26"/>
      <c r="D390" s="68"/>
      <c r="E390" s="32"/>
    </row>
    <row r="391" ht="20.35" customHeight="1">
      <c r="A391" s="359">
        <v>45914</v>
      </c>
      <c r="B391" s="83">
        <v>3509729</v>
      </c>
      <c r="C391" s="26">
        <v>-200000</v>
      </c>
      <c r="D391" s="68"/>
      <c r="E391" s="32"/>
    </row>
    <row r="392" ht="20.35" customHeight="1">
      <c r="A392" s="359">
        <v>45915</v>
      </c>
      <c r="B392" s="83"/>
      <c r="C392" s="26"/>
      <c r="D392" s="68"/>
      <c r="E392" s="32"/>
    </row>
    <row r="393" ht="20.35" customHeight="1">
      <c r="A393" s="359">
        <v>45916</v>
      </c>
      <c r="B393" s="83">
        <v>3510175</v>
      </c>
      <c r="C393" s="26"/>
      <c r="D393" s="68"/>
      <c r="E393" s="32"/>
    </row>
    <row r="394" ht="20.35" customHeight="1">
      <c r="A394" s="359">
        <v>45917</v>
      </c>
      <c r="B394" s="83"/>
      <c r="C394" s="26"/>
      <c r="D394" s="68"/>
      <c r="E394" s="32"/>
    </row>
    <row r="395" ht="20.35" customHeight="1">
      <c r="A395" s="359">
        <v>45918</v>
      </c>
      <c r="B395" s="83"/>
      <c r="C395" s="26"/>
      <c r="D395" s="68"/>
      <c r="E395" s="32"/>
    </row>
    <row r="396" ht="20.35" customHeight="1">
      <c r="A396" s="359">
        <v>45919</v>
      </c>
      <c r="B396" s="83"/>
      <c r="C396" s="26"/>
      <c r="D396" s="68"/>
      <c r="E396" s="32"/>
    </row>
    <row r="397" ht="20.35" customHeight="1">
      <c r="A397" s="359">
        <v>45920</v>
      </c>
      <c r="B397" s="83"/>
      <c r="C397" s="26"/>
      <c r="D397" s="68"/>
      <c r="E397" s="32"/>
    </row>
    <row r="398" ht="20.35" customHeight="1">
      <c r="A398" s="359">
        <v>45921</v>
      </c>
      <c r="B398" s="83"/>
      <c r="C398" s="26"/>
      <c r="D398" s="68"/>
      <c r="E398" s="32"/>
    </row>
    <row r="399" ht="20.35" customHeight="1">
      <c r="A399" s="359">
        <v>45922</v>
      </c>
      <c r="B399" s="83">
        <v>3512467</v>
      </c>
      <c r="C399" s="26"/>
      <c r="D399" s="68"/>
      <c r="E399" s="32"/>
    </row>
    <row r="400" ht="20.35" customHeight="1">
      <c r="A400" s="359">
        <v>45923</v>
      </c>
      <c r="B400" s="83">
        <v>3512984</v>
      </c>
      <c r="C400" s="26"/>
      <c r="D400" s="68"/>
      <c r="E400" s="32"/>
    </row>
    <row r="401" ht="20.35" customHeight="1">
      <c r="A401" s="359">
        <v>45924</v>
      </c>
      <c r="B401" s="83"/>
      <c r="C401" s="26"/>
      <c r="D401" s="68"/>
      <c r="E401" s="32"/>
    </row>
    <row r="402" ht="20.35" customHeight="1">
      <c r="A402" s="359">
        <v>45925</v>
      </c>
      <c r="B402" s="83"/>
      <c r="C402" s="26"/>
      <c r="D402" s="68"/>
      <c r="E402" s="32"/>
    </row>
    <row r="403" ht="20.35" customHeight="1">
      <c r="A403" s="359">
        <v>45926</v>
      </c>
      <c r="B403" s="83"/>
      <c r="C403" s="26"/>
      <c r="D403" s="68"/>
      <c r="E403" s="32"/>
    </row>
    <row r="404" ht="20.35" customHeight="1">
      <c r="A404" s="359">
        <v>45927</v>
      </c>
      <c r="B404" s="83"/>
      <c r="C404" s="26"/>
      <c r="D404" s="68"/>
      <c r="E404" s="32"/>
    </row>
    <row r="405" ht="20.35" customHeight="1">
      <c r="A405" s="359">
        <v>45928</v>
      </c>
      <c r="B405" s="83"/>
      <c r="C405" s="26"/>
      <c r="D405" s="68"/>
      <c r="E405" s="32"/>
    </row>
    <row r="406" ht="20.35" customHeight="1">
      <c r="A406" s="359">
        <v>45929</v>
      </c>
      <c r="B406" s="83"/>
      <c r="C406" s="26"/>
      <c r="D406" s="68"/>
      <c r="E406" s="32"/>
    </row>
    <row r="407" ht="20.35" customHeight="1">
      <c r="A407" s="359">
        <v>45930</v>
      </c>
      <c r="B407" s="83"/>
      <c r="C407" s="26"/>
      <c r="D407" s="68"/>
      <c r="E407" s="32"/>
    </row>
    <row r="408" ht="20.35" customHeight="1">
      <c r="A408" s="359">
        <v>45931</v>
      </c>
      <c r="B408" s="83"/>
      <c r="C408" s="26"/>
      <c r="D408" s="68"/>
      <c r="E408" s="32"/>
    </row>
    <row r="409" ht="20.35" customHeight="1">
      <c r="A409" s="359">
        <v>45932</v>
      </c>
      <c r="B409" s="83"/>
      <c r="C409" s="26"/>
      <c r="D409" s="68"/>
      <c r="E409" s="32"/>
    </row>
    <row r="410" ht="20.35" customHeight="1">
      <c r="A410" s="359">
        <v>45933</v>
      </c>
      <c r="B410" s="83"/>
      <c r="C410" s="26"/>
      <c r="D410" s="68"/>
      <c r="E410" s="32"/>
    </row>
    <row r="411" ht="20.35" customHeight="1">
      <c r="A411" s="359">
        <v>45934</v>
      </c>
      <c r="B411" s="83"/>
      <c r="C411" s="26"/>
      <c r="D411" s="68"/>
      <c r="E411" s="32"/>
    </row>
    <row r="412" ht="20.35" customHeight="1">
      <c r="A412" s="359">
        <v>45935</v>
      </c>
      <c r="B412" s="83"/>
      <c r="C412" s="26"/>
      <c r="D412" s="68"/>
      <c r="E412" s="32"/>
    </row>
    <row r="413" ht="20.35" customHeight="1">
      <c r="A413" s="359">
        <v>45936</v>
      </c>
      <c r="B413" s="83"/>
      <c r="C413" s="26"/>
      <c r="D413" s="68"/>
      <c r="E413" s="32"/>
    </row>
    <row r="414" ht="20.35" customHeight="1">
      <c r="A414" s="359">
        <v>45937</v>
      </c>
      <c r="B414" s="83"/>
      <c r="C414" s="26"/>
      <c r="D414" s="68"/>
      <c r="E414" s="32"/>
    </row>
    <row r="415" ht="20.35" customHeight="1">
      <c r="A415" s="359">
        <v>45938</v>
      </c>
      <c r="B415" s="83"/>
      <c r="C415" s="26"/>
      <c r="D415" s="68"/>
      <c r="E415" s="32"/>
    </row>
    <row r="416" ht="20.35" customHeight="1">
      <c r="A416" s="359">
        <v>45939</v>
      </c>
      <c r="B416" s="83"/>
      <c r="C416" s="26"/>
      <c r="D416" s="68"/>
      <c r="E416" s="32"/>
    </row>
    <row r="417" ht="20.35" customHeight="1">
      <c r="A417" s="359">
        <v>45940</v>
      </c>
      <c r="B417" s="83"/>
      <c r="C417" s="26"/>
      <c r="D417" s="68"/>
      <c r="E417" s="32"/>
    </row>
    <row r="418" ht="20.35" customHeight="1">
      <c r="A418" s="359">
        <v>45941</v>
      </c>
      <c r="B418" s="83"/>
      <c r="C418" s="26"/>
      <c r="D418" s="68"/>
      <c r="E418" s="32"/>
    </row>
    <row r="419" ht="20.35" customHeight="1">
      <c r="A419" s="359">
        <v>45942</v>
      </c>
      <c r="B419" s="83"/>
      <c r="C419" s="26"/>
      <c r="D419" s="68"/>
      <c r="E419" s="32"/>
    </row>
    <row r="420" ht="20.35" customHeight="1">
      <c r="A420" s="359">
        <v>45943</v>
      </c>
      <c r="B420" s="83"/>
      <c r="C420" s="26"/>
      <c r="D420" s="68"/>
      <c r="E420" s="32"/>
    </row>
    <row r="421" ht="20.35" customHeight="1">
      <c r="A421" s="359">
        <v>45944</v>
      </c>
      <c r="B421" s="83"/>
      <c r="C421" s="26"/>
      <c r="D421" s="68"/>
      <c r="E421" s="32"/>
    </row>
    <row r="422" ht="20.35" customHeight="1">
      <c r="A422" s="359">
        <v>45945</v>
      </c>
      <c r="B422" s="83"/>
      <c r="C422" s="26"/>
      <c r="D422" s="68"/>
      <c r="E422" s="32"/>
    </row>
    <row r="423" ht="20.35" customHeight="1">
      <c r="A423" s="359">
        <v>45946</v>
      </c>
      <c r="B423" s="83"/>
      <c r="C423" s="26"/>
      <c r="D423" s="68"/>
      <c r="E423" s="32"/>
    </row>
    <row r="424" ht="20.35" customHeight="1">
      <c r="A424" s="359">
        <v>45947</v>
      </c>
      <c r="B424" s="83"/>
      <c r="C424" s="26"/>
      <c r="D424" s="68"/>
      <c r="E424" s="32"/>
    </row>
    <row r="425" ht="20.35" customHeight="1">
      <c r="A425" s="359">
        <v>45948</v>
      </c>
      <c r="B425" s="83"/>
      <c r="C425" s="26"/>
      <c r="D425" s="68"/>
      <c r="E425" s="32"/>
    </row>
    <row r="426" ht="20.35" customHeight="1">
      <c r="A426" s="359">
        <v>45949</v>
      </c>
      <c r="B426" s="83"/>
      <c r="C426" s="26"/>
      <c r="D426" s="68"/>
      <c r="E426" s="32"/>
    </row>
    <row r="427" ht="20.35" customHeight="1">
      <c r="A427" s="359">
        <v>45950</v>
      </c>
      <c r="B427" s="83"/>
      <c r="C427" s="26"/>
      <c r="D427" s="68"/>
      <c r="E427" s="32"/>
    </row>
    <row r="428" ht="20.35" customHeight="1">
      <c r="A428" s="359">
        <v>45951</v>
      </c>
      <c r="B428" s="83"/>
      <c r="C428" s="26"/>
      <c r="D428" s="68"/>
      <c r="E428" s="32"/>
    </row>
    <row r="429" ht="20.35" customHeight="1">
      <c r="A429" s="359">
        <v>45952</v>
      </c>
      <c r="B429" s="83"/>
      <c r="C429" s="26"/>
      <c r="D429" s="68"/>
      <c r="E429" s="32"/>
    </row>
    <row r="430" ht="20.35" customHeight="1">
      <c r="A430" s="359">
        <v>45953</v>
      </c>
      <c r="B430" s="83"/>
      <c r="C430" s="26"/>
      <c r="D430" s="68"/>
      <c r="E430" s="32"/>
    </row>
    <row r="431" ht="20.35" customHeight="1">
      <c r="A431" s="359">
        <v>45954</v>
      </c>
      <c r="B431" s="83"/>
      <c r="C431" s="26"/>
      <c r="D431" s="68"/>
      <c r="E431" s="32"/>
    </row>
    <row r="432" ht="20.35" customHeight="1">
      <c r="A432" s="359">
        <v>45955</v>
      </c>
      <c r="B432" s="83"/>
      <c r="C432" s="26"/>
      <c r="D432" s="68"/>
      <c r="E432" s="32"/>
    </row>
    <row r="433" ht="20.35" customHeight="1">
      <c r="A433" s="359">
        <v>45956</v>
      </c>
      <c r="B433" s="83"/>
      <c r="C433" s="26"/>
      <c r="D433" s="68"/>
      <c r="E433" s="32"/>
    </row>
    <row r="434" ht="20.35" customHeight="1">
      <c r="A434" s="359">
        <v>45957</v>
      </c>
      <c r="B434" s="83"/>
      <c r="C434" s="26"/>
      <c r="D434" s="68"/>
      <c r="E434" s="32"/>
    </row>
    <row r="435" ht="20.35" customHeight="1">
      <c r="A435" s="359">
        <v>45958</v>
      </c>
      <c r="B435" s="83"/>
      <c r="C435" s="26"/>
      <c r="D435" s="68"/>
      <c r="E435" s="32"/>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2:G18"/>
  <sheetViews>
    <sheetView workbookViewId="0" showGridLines="0" defaultGridColor="1">
      <pane topLeftCell="B1" xSplit="1" ySplit="0" activePane="topRight" state="frozen"/>
    </sheetView>
  </sheetViews>
  <sheetFormatPr defaultColWidth="16.3333" defaultRowHeight="18" customHeight="1" outlineLevelRow="0" outlineLevelCol="0"/>
  <cols>
    <col min="1" max="1" width="16.4141" style="360" customWidth="1"/>
    <col min="2" max="2" width="16.7109" style="360" customWidth="1"/>
    <col min="3" max="4" hidden="1" width="16.3333" style="360" customWidth="1"/>
    <col min="5" max="5" width="13.0781" style="360" customWidth="1"/>
    <col min="6" max="7" width="11.0234" style="360" customWidth="1"/>
    <col min="8" max="16384" width="16.3516" style="360" customWidth="1"/>
  </cols>
  <sheetData>
    <row r="1" ht="28" customHeight="1">
      <c r="A1" t="s" s="90">
        <v>681</v>
      </c>
      <c r="B1" s="90"/>
      <c r="C1" s="90"/>
      <c r="D1" s="90"/>
      <c r="E1" s="90"/>
      <c r="F1" s="90"/>
      <c r="G1" s="90"/>
    </row>
    <row r="2" ht="20.35" customHeight="1">
      <c r="A2" t="s" s="17">
        <v>690</v>
      </c>
      <c r="B2" s="238" cm="1">
        <f t="array" ref="B2">'net worth - resumen | depósitos'!N$116</f>
        <v>1693457</v>
      </c>
      <c r="C2" s="247"/>
      <c r="D2" s="247"/>
      <c r="E2" s="343" cm="1">
        <f t="array" ref="E2">ROUND(B2/'variables - Table 1'!$B$13,2)</f>
        <v>1909.33</v>
      </c>
      <c r="F2" s="361" cm="1">
        <f t="array" ref="F2">B2/B$18</f>
        <v>0.00630322897514175</v>
      </c>
      <c r="G2" s="361" cm="1">
        <f t="array" ref="G2">SUM(F2:F6)</f>
        <v>0.396013994349945</v>
      </c>
    </row>
    <row r="3" ht="20.35" customHeight="1">
      <c r="A3" t="s" s="17">
        <v>691</v>
      </c>
      <c r="B3" s="238" cm="1">
        <f t="array" ref="B3">'net worth - resumen | depósitos'!H$116</f>
        <v>11447471</v>
      </c>
      <c r="C3" s="32"/>
      <c r="D3" s="361"/>
      <c r="E3" s="343" cm="1">
        <f t="array" ref="E3">ROUND(B3/'variables - Table 1'!$B$13,2)</f>
        <v>12906.7</v>
      </c>
      <c r="F3" s="361" cm="1">
        <f t="array" ref="F3">B3/B$18</f>
        <v>0.0426087174928533</v>
      </c>
      <c r="G3" s="362" cm="1">
        <f t="array" ref="G3">SUM(F3:F6)</f>
        <v>0.389710765374803</v>
      </c>
    </row>
    <row r="4" ht="8.35" customHeight="1" hidden="1">
      <c r="A4" s="28"/>
      <c r="B4" s="238"/>
      <c r="C4" s="247" cm="1">
        <f t="array" ref="C4">'net worth - brokerage'!F$117</f>
        <v>10361465</v>
      </c>
      <c r="D4" s="361" cm="1">
        <f t="array" ref="D4">C4/B$18</f>
        <v>0.0385664864315522</v>
      </c>
      <c r="E4" s="343" cm="1">
        <f t="array" ref="E4">C4/'variables - Table 1'!$B$13</f>
        <v>11682.2614833021</v>
      </c>
      <c r="F4" s="361" cm="1">
        <f t="array" ref="F4">B4/B$18</f>
        <v>0</v>
      </c>
      <c r="G4" s="362"/>
    </row>
    <row r="5" ht="8.35" customHeight="1" hidden="1">
      <c r="A5" s="28"/>
      <c r="B5" s="238"/>
      <c r="C5" s="247" cm="1">
        <f t="array" ref="C5">'net worth - brokerage'!J$117</f>
        <v>1086006</v>
      </c>
      <c r="D5" s="361" cm="1">
        <f t="array" ref="D5">C5/B$18</f>
        <v>0.00404223106130111</v>
      </c>
      <c r="E5" s="343" cm="1">
        <f t="array" ref="E5">C5/'variables - Table 1'!$B$13</f>
        <v>1224.441337632760</v>
      </c>
      <c r="F5" s="361" cm="1">
        <f t="array" ref="F5">B5/B$18</f>
        <v>0</v>
      </c>
      <c r="G5" s="362"/>
    </row>
    <row r="6" ht="20.35" customHeight="1">
      <c r="A6" t="s" s="17">
        <v>692</v>
      </c>
      <c r="B6" s="238" cm="1">
        <f t="array" ref="B6">'net worth - resumen | depósitos'!E$116</f>
        <v>93254171</v>
      </c>
      <c r="C6" s="32"/>
      <c r="D6" s="32"/>
      <c r="E6" s="343" cm="1">
        <f t="array" ref="E6">ROUND(B6/'variables - Table 1'!$B$13,2)</f>
        <v>105141.47</v>
      </c>
      <c r="F6" s="361" cm="1">
        <f t="array" ref="F6">B6/B$18</f>
        <v>0.34710204788195</v>
      </c>
      <c r="G6" s="361"/>
    </row>
    <row r="7" ht="8.35" customHeight="1" hidden="1">
      <c r="A7" s="28"/>
      <c r="B7" s="363"/>
      <c r="C7" s="364" cm="1">
        <f t="array" ref="C7">'net worth - retiro'!O$118</f>
        <v>1294075</v>
      </c>
      <c r="D7" s="361" cm="1">
        <f t="array" ref="D7">C7/B$18</f>
        <v>0.00481668624358726</v>
      </c>
      <c r="E7" s="343" cm="1">
        <f t="array" ref="E7">B6/'variables - Table 1'!$B$13</f>
        <v>105141.465037094</v>
      </c>
      <c r="F7" s="361"/>
      <c r="G7" s="361"/>
    </row>
    <row r="8" ht="8.35" customHeight="1" hidden="1">
      <c r="A8" s="28"/>
      <c r="B8" s="238"/>
      <c r="C8" s="247" cm="1">
        <f t="array" ref="C8">'net worth - retiro'!K$118</f>
        <v>19827694</v>
      </c>
      <c r="D8" s="361" cm="1">
        <f t="array" ref="D8">C8/B$18</f>
        <v>0.0738008082467073</v>
      </c>
      <c r="E8" s="343" cm="1">
        <f t="array" ref="E8">C8/'variables - Table 1'!$B$13</f>
        <v>22355.1694590389</v>
      </c>
      <c r="F8" s="361"/>
      <c r="G8" s="361"/>
    </row>
    <row r="9" ht="8.35" customHeight="1" hidden="1">
      <c r="A9" s="28"/>
      <c r="B9" s="238"/>
      <c r="C9" s="247" cm="1">
        <f t="array" ref="C9">'net worth - retiro'!D$118</f>
        <v>28084955</v>
      </c>
      <c r="D9" s="361" cm="1">
        <f t="array" ref="D9">C9/B$18</f>
        <v>0.104535221219997</v>
      </c>
      <c r="E9" s="343" cm="1">
        <f t="array" ref="E9">C9/'variables - Table 1'!$B$13</f>
        <v>31664.9998872528</v>
      </c>
      <c r="F9" s="361"/>
      <c r="G9" s="361"/>
    </row>
    <row r="10" ht="8.35" customHeight="1" hidden="1">
      <c r="A10" s="28"/>
      <c r="B10" s="363"/>
      <c r="C10" s="247" cm="1">
        <f t="array" ref="C10">'net worth - retiro'!F$118</f>
        <v>44047447</v>
      </c>
      <c r="D10" s="361" cm="1">
        <f t="array" ref="D10">C10/B$18</f>
        <v>0.163949332171659</v>
      </c>
      <c r="E10" s="343" cm="1">
        <f t="array" ref="E10">C10/'variables - Table 1'!$B$13</f>
        <v>49662.2623852797</v>
      </c>
      <c r="F10" s="361"/>
      <c r="G10" s="361"/>
    </row>
    <row r="11" ht="20.35" customHeight="1">
      <c r="A11" s="28"/>
      <c r="B11" s="29"/>
      <c r="C11" s="298"/>
      <c r="D11" s="298"/>
      <c r="E11" s="32"/>
      <c r="F11" s="361"/>
      <c r="G11" s="361"/>
    </row>
    <row r="12" ht="20.35" customHeight="1">
      <c r="A12" t="s" s="17">
        <v>693</v>
      </c>
      <c r="B12" s="238" cm="1">
        <f t="array" ref="B12">'net worth - resumen | depósitos'!K$116</f>
        <v>17512018</v>
      </c>
      <c r="C12" s="298"/>
      <c r="D12" s="298"/>
      <c r="E12" s="343" cm="1">
        <f t="array" ref="E12">ROUND(B12/'variables - Table 1'!$B$13,2)</f>
        <v>19744.31</v>
      </c>
      <c r="F12" s="361" cm="1">
        <f t="array" ref="F12">B12/B$18</f>
        <v>0.06518161327438721</v>
      </c>
      <c r="G12" s="361" cm="1">
        <f t="array" ref="G12">F12</f>
        <v>0.06518161327438721</v>
      </c>
    </row>
    <row r="13" ht="20.35" customHeight="1">
      <c r="A13" t="s" s="17">
        <v>694</v>
      </c>
      <c r="B13" s="238" cm="1">
        <f t="array" ref="B13">'depto - dividendos'!C$164</f>
        <v>144757881</v>
      </c>
      <c r="C13" s="298"/>
      <c r="D13" s="298"/>
      <c r="E13" s="343" cm="1">
        <f t="array" ref="E13">ROUND(B13/'variables - Table 1'!$B$13,2)</f>
        <v>163210.46</v>
      </c>
      <c r="F13" s="361" cm="1">
        <f t="array" ref="F13">B13/B$18</f>
        <v>0.538804392375668</v>
      </c>
      <c r="G13" s="361" cm="1">
        <f t="array" ref="G13">SUM(F13)</f>
        <v>0.538804392375668</v>
      </c>
    </row>
    <row r="14" ht="20.55" customHeight="1">
      <c r="A14" s="84"/>
      <c r="B14" s="85"/>
      <c r="C14" s="262"/>
      <c r="D14" s="262"/>
      <c r="E14" s="73"/>
      <c r="F14" s="73"/>
      <c r="G14" s="73"/>
    </row>
    <row r="15" ht="20.55" customHeight="1">
      <c r="A15" t="s" s="45">
        <v>680</v>
      </c>
      <c r="B15" s="365" cm="1">
        <f t="array" ref="B15">'flujos - Table 3'!L$17+'depto - dividendos'!C$163</f>
        <v>78939167</v>
      </c>
      <c r="C15" s="366"/>
      <c r="D15" s="366"/>
      <c r="E15" s="367" cm="1">
        <f t="array" ref="E15">ROUND(B$15/'variables - Table 1'!B13,2)</f>
        <v>89001.7</v>
      </c>
      <c r="F15" s="368" cm="1">
        <f t="array" ref="F15">B15/'presupuesto - Ingreso líquido'!$B$40</f>
        <v>1.65208627589454</v>
      </c>
      <c r="G15" s="369"/>
    </row>
    <row r="16" ht="20.35" customHeight="1">
      <c r="A16" t="s" s="50">
        <v>695</v>
      </c>
      <c r="B16" s="370" cm="1">
        <f t="array" ref="B16">SUM(B12,B2,B3,'net worth - balances'!B9:B10*0.85)</f>
        <v>84946815.84999999</v>
      </c>
      <c r="C16" s="371"/>
      <c r="D16" s="371"/>
      <c r="E16" s="372" cm="1">
        <f t="array" ref="E16">ROUND(B16/'variables - Table 1'!$B$13,2)</f>
        <v>95775.149999999994</v>
      </c>
      <c r="F16" s="373" cm="1">
        <f t="array" ref="F16">B16/'presupuesto - Ingreso líquido'!$B$40</f>
        <v>1.77781795755111</v>
      </c>
      <c r="G16" s="374"/>
    </row>
    <row r="17" ht="20.35" customHeight="1">
      <c r="A17" t="s" s="50">
        <v>683</v>
      </c>
      <c r="B17" s="370" cm="1">
        <f t="array" ref="B17">SUM(B2,B3,B6)</f>
        <v>106395099</v>
      </c>
      <c r="C17" s="371"/>
      <c r="D17" s="371"/>
      <c r="E17" s="372" cm="1">
        <f t="array" ref="E17">ROUND(B17/'variables - Table 1'!$B$13,2)</f>
        <v>119957.49</v>
      </c>
      <c r="F17" s="373" cm="1">
        <f t="array" ref="F17">B17/'presupuesto - Ingreso líquido'!$B$40</f>
        <v>2.22670050319052</v>
      </c>
      <c r="G17" s="374"/>
    </row>
    <row r="18" ht="20.35" customHeight="1">
      <c r="A18" t="s" s="50">
        <v>681</v>
      </c>
      <c r="B18" s="375" cm="1">
        <f t="array" ref="B18">SUM(B2,B3,B6,B12,B13)</f>
        <v>268664998</v>
      </c>
      <c r="C18" s="376"/>
      <c r="D18" s="376"/>
      <c r="E18" s="377" cm="1">
        <f t="array" ref="E18">ROUND(B$18/'variables - Table 1'!$B$13,2)</f>
        <v>302912.26</v>
      </c>
      <c r="F18" s="378" cm="1">
        <f t="array" ref="F18">B18/'presupuesto - Ingreso líquido'!$B$40</f>
        <v>5.62278236365268</v>
      </c>
      <c r="G18" s="374"/>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2:B12"/>
  <sheetViews>
    <sheetView workbookViewId="0" showGridLines="0" defaultGridColor="1">
      <pane topLeftCell="B1" xSplit="1" ySplit="0" activePane="topRight" state="frozen"/>
    </sheetView>
  </sheetViews>
  <sheetFormatPr defaultColWidth="16.3333" defaultRowHeight="18" customHeight="1" outlineLevelRow="0" outlineLevelCol="0"/>
  <cols>
    <col min="1" max="1" width="21.8516" style="379" customWidth="1"/>
    <col min="2" max="2" width="16.3516" style="379" customWidth="1"/>
    <col min="3" max="16384" width="16.3516" style="379" customWidth="1"/>
  </cols>
  <sheetData>
    <row r="1" ht="28" customHeight="1">
      <c r="A1" t="s" s="90">
        <v>696</v>
      </c>
      <c r="B1" s="90"/>
    </row>
    <row r="2" ht="20.35" customHeight="1">
      <c r="A2" t="s" s="102">
        <v>698</v>
      </c>
      <c r="B2" s="363" cm="1">
        <f t="array" ref="B2">238528+2772870+9346+60000-2800000</f>
        <v>280744</v>
      </c>
    </row>
    <row r="3" ht="20.35" customHeight="1">
      <c r="A3" t="s" s="102">
        <v>699</v>
      </c>
      <c r="B3" s="363" cm="1">
        <f t="array" ref="B3">'net worth - dap'!C$12</f>
        <v>27351662</v>
      </c>
    </row>
    <row r="4" ht="20.35" customHeight="1">
      <c r="A4" s="28"/>
      <c r="B4" s="380"/>
    </row>
    <row r="5" ht="20.35" customHeight="1">
      <c r="A5" s="28"/>
      <c r="B5" s="29"/>
    </row>
    <row r="6" ht="20.35" customHeight="1">
      <c r="A6" t="s" s="102">
        <v>558</v>
      </c>
      <c r="B6" s="381">
        <v>0</v>
      </c>
    </row>
    <row r="7" ht="20.35" customHeight="1">
      <c r="A7" t="s" s="102">
        <v>700</v>
      </c>
      <c r="B7" s="382">
        <v>0</v>
      </c>
    </row>
    <row r="8" ht="20.55" customHeight="1">
      <c r="A8" t="s" s="383">
        <v>701</v>
      </c>
      <c r="B8" s="384" cm="1">
        <f t="array" ref="B8">B6*'variables - Table 1'!B13+B7*'variables - Table 1'!B14</f>
        <v>0</v>
      </c>
    </row>
    <row r="9" ht="20.55" customHeight="1">
      <c r="A9" t="s" s="86">
        <v>702</v>
      </c>
      <c r="B9" s="366" cm="1">
        <f t="array" ref="B9">3000000*0</f>
        <v>0</v>
      </c>
    </row>
    <row r="10" ht="20.35" customHeight="1">
      <c r="A10" t="s" s="56">
        <v>703</v>
      </c>
      <c r="B10" s="247" cm="1">
        <f t="array" ref="B10">('flujos - Gasto mensual'!A119-IF('flujos - Table 2-1'!B$10&lt;0,'flujos - Table 2-1'!B$10,0))*0</f>
        <v>0</v>
      </c>
    </row>
    <row r="11" ht="20.35" customHeight="1">
      <c r="A11" t="s" s="56">
        <v>704</v>
      </c>
      <c r="B11" s="247" cm="1">
        <f t="array" ref="B11">'flujos - Table 3'!L$17+'flujos - Table 2'!C18-'presupuesto - Ingreso líquido'!B35*0</f>
        <v>10120388</v>
      </c>
    </row>
    <row r="12" ht="20.35" customHeight="1">
      <c r="A12" t="s" s="56">
        <v>705</v>
      </c>
      <c r="B12" s="375" cm="1">
        <f t="array" ref="B12">SUM($B$2:$B$3)-$B$10-B$11</f>
        <v>17512018</v>
      </c>
    </row>
  </sheetData>
  <mergeCells count="1">
    <mergeCell ref="A1:B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34.xml><?xml version="1.0" encoding="utf-8"?>
<worksheet xmlns:r="http://schemas.openxmlformats.org/officeDocument/2006/relationships" xmlns="http://schemas.openxmlformats.org/spreadsheetml/2006/main">
  <sheetPr>
    <pageSetUpPr fitToPage="1"/>
  </sheetPr>
  <dimension ref="A2:D12"/>
  <sheetViews>
    <sheetView workbookViewId="0" showGridLines="0" defaultGridColor="1">
      <pane topLeftCell="B1" xSplit="1" ySplit="0" activePane="topRight" state="frozen"/>
    </sheetView>
  </sheetViews>
  <sheetFormatPr defaultColWidth="16.3333" defaultRowHeight="18" customHeight="1" outlineLevelRow="0" outlineLevelCol="0"/>
  <cols>
    <col min="1" max="2" width="16.3516" style="385" customWidth="1"/>
    <col min="3" max="4" width="13.6406" style="385" customWidth="1"/>
    <col min="5" max="16384" width="16.3516" style="385" customWidth="1"/>
  </cols>
  <sheetData>
    <row r="1" ht="28" customHeight="1">
      <c r="A1" t="s" s="90">
        <v>706</v>
      </c>
      <c r="B1" s="90"/>
      <c r="C1" s="90"/>
      <c r="D1" s="90"/>
    </row>
    <row r="2" ht="20.35" customHeight="1">
      <c r="A2" s="28"/>
      <c r="B2" s="238"/>
      <c r="C2" s="343"/>
      <c r="D2" s="343"/>
    </row>
    <row r="3" ht="20.35" customHeight="1">
      <c r="A3" s="28"/>
      <c r="B3" s="238"/>
      <c r="C3" s="343"/>
      <c r="D3" s="343"/>
    </row>
    <row r="4" ht="20.35" customHeight="1">
      <c r="A4" t="s" s="17">
        <v>708</v>
      </c>
      <c r="B4" s="238">
        <v>27351662</v>
      </c>
      <c r="C4" s="386" cm="1">
        <f t="array" ref="C4">ROUND(B4/'variables - Table 1'!B$2,2)</f>
        <v>673.51</v>
      </c>
      <c r="D4" s="387" cm="1">
        <f t="array" ref="D4">B4/'variables - Table 1'!$B$13</f>
        <v>30838.2325749205</v>
      </c>
    </row>
    <row r="5" ht="20.35" customHeight="1">
      <c r="A5" t="s" s="17">
        <v>709</v>
      </c>
      <c r="B5" s="388">
        <v>10361465</v>
      </c>
      <c r="C5" s="386" cm="1">
        <f t="array" ref="C5">ROUND(B5/'variables - Table 1'!B$2,2)</f>
        <v>255.14</v>
      </c>
      <c r="D5" s="387" cm="1">
        <f t="array" ref="D5">B5/'variables - Table 1'!$B$13</f>
        <v>11682.2614833021</v>
      </c>
    </row>
    <row r="6" ht="20.35" customHeight="1">
      <c r="A6" t="s" s="17">
        <v>710</v>
      </c>
      <c r="B6" s="238" cm="1">
        <f t="array" ref="B6">'net worth - brokerage'!J$117</f>
        <v>1086006</v>
      </c>
      <c r="C6" s="386" cm="1">
        <f t="array" ref="C6">ROUND(B6/'variables - Table 1'!B$2,2)</f>
        <v>26.74</v>
      </c>
      <c r="D6" s="387" cm="1">
        <f t="array" ref="D6">B6/'variables - Table 1'!$B$13</f>
        <v>1224.441337632760</v>
      </c>
    </row>
    <row r="7" ht="20.35" customHeight="1">
      <c r="A7" t="s" s="101">
        <v>687</v>
      </c>
      <c r="B7" s="363"/>
      <c r="C7" s="386" cm="1">
        <f t="array" ref="C7">ROUND(B7/'variables - Table 1'!B$2,2)</f>
        <v>0</v>
      </c>
      <c r="D7" s="387" cm="1">
        <f t="array" ref="D7">B7/'variables - Table 1'!$B$13</f>
        <v>0</v>
      </c>
    </row>
    <row r="8" ht="20.35" customHeight="1">
      <c r="A8" t="s" s="101">
        <v>711</v>
      </c>
      <c r="B8" s="363" cm="1">
        <f t="array" ref="B8">'net worth - cash and cash equiv'!D$118</f>
        <v>0</v>
      </c>
      <c r="C8" s="386" cm="1">
        <f t="array" ref="C8">ROUND(B8/'variables - Table 1'!B$2,2)</f>
        <v>0</v>
      </c>
      <c r="D8" s="387" cm="1">
        <f t="array" ref="D8">B8/'variables - Table 1'!$B$13</f>
        <v>0</v>
      </c>
    </row>
    <row r="9" ht="20.35" customHeight="1">
      <c r="A9" t="s" s="17">
        <v>712</v>
      </c>
      <c r="B9" s="363">
        <v>44047447</v>
      </c>
      <c r="C9" s="386" cm="1">
        <f t="array" ref="C9">ROUND(B9/'variables - Table 1'!B$2,2)</f>
        <v>1084.63</v>
      </c>
      <c r="D9" s="387" cm="1">
        <f t="array" ref="D9">B9/'variables - Table 1'!$B$13</f>
        <v>49662.2623852797</v>
      </c>
    </row>
    <row r="10" ht="20.35" customHeight="1">
      <c r="A10" t="s" s="17">
        <v>713</v>
      </c>
      <c r="B10" s="363">
        <v>19827694</v>
      </c>
      <c r="C10" s="386" cm="1">
        <f t="array" ref="C10">ROUND(B10/'variables - Table 1'!B$2,2)</f>
        <v>488.24</v>
      </c>
      <c r="D10" s="387" cm="1">
        <f t="array" ref="D10">B10/'variables - Table 1'!$B$13</f>
        <v>22355.1694590389</v>
      </c>
    </row>
    <row r="11" ht="20.35" customHeight="1">
      <c r="A11" t="s" s="17">
        <v>714</v>
      </c>
      <c r="B11" s="238">
        <v>28084955</v>
      </c>
      <c r="C11" s="386" cm="1">
        <f t="array" ref="C11">ROUND(B11/'variables - Table 1'!B$2,2)</f>
        <v>691.5700000000001</v>
      </c>
      <c r="D11" s="387" cm="1">
        <f t="array" ref="D11">B11/'variables - Table 1'!$B$13</f>
        <v>31664.9998872528</v>
      </c>
    </row>
    <row r="12" ht="20.35" customHeight="1">
      <c r="A12" t="s" s="17">
        <v>715</v>
      </c>
      <c r="B12" s="238">
        <v>1294075</v>
      </c>
      <c r="C12" s="386" cm="1">
        <f t="array" ref="C12">ROUND(B12/'variables - Table 1'!B$2,2)</f>
        <v>31.87</v>
      </c>
      <c r="D12" s="387" cm="1">
        <f t="array" ref="D12">B12/'variables - Table 1'!$B$13</f>
        <v>1459.033305522360</v>
      </c>
    </row>
  </sheetData>
  <mergeCells count="1">
    <mergeCell ref="A1:D1"/>
  </mergeCells>
  <conditionalFormatting sqref="C2:D3">
    <cfRule type="cellIs" dxfId="9" priority="1" operator="equal"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E66"/>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3516" style="389" customWidth="1"/>
    <col min="2" max="2" width="5.67188" style="389" customWidth="1"/>
    <col min="3" max="5" width="16.3516" style="389" customWidth="1"/>
    <col min="6" max="16384" width="16.3516" style="389" customWidth="1"/>
  </cols>
  <sheetData>
    <row r="1" ht="20.55" customHeight="1">
      <c r="A1" s="7"/>
      <c r="B1" s="7"/>
      <c r="C1" t="s" s="8">
        <v>717</v>
      </c>
      <c r="D1" s="7"/>
      <c r="E1" s="7"/>
    </row>
    <row r="2" ht="20.55" customHeight="1">
      <c r="A2" t="s" s="10">
        <v>718</v>
      </c>
      <c r="B2" s="390">
        <v>42838</v>
      </c>
      <c r="C2" s="48">
        <v>60000</v>
      </c>
      <c r="D2" s="49"/>
      <c r="E2" s="82"/>
    </row>
    <row r="3" ht="20.35" customHeight="1">
      <c r="A3" t="s" s="17">
        <v>719</v>
      </c>
      <c r="B3" s="391">
        <v>43267</v>
      </c>
      <c r="C3" s="26">
        <v>100000</v>
      </c>
      <c r="D3" s="54"/>
      <c r="E3" s="32"/>
    </row>
    <row r="4" ht="20.35" customHeight="1">
      <c r="A4" t="s" s="17">
        <v>720</v>
      </c>
      <c r="B4" s="392">
        <v>42705</v>
      </c>
      <c r="C4" s="26">
        <v>320000</v>
      </c>
      <c r="D4" s="54"/>
      <c r="E4" s="32"/>
    </row>
    <row r="5" ht="20.35" customHeight="1">
      <c r="A5" s="28"/>
      <c r="B5" s="29"/>
      <c r="C5" s="26"/>
      <c r="D5" s="54"/>
      <c r="E5" s="32"/>
    </row>
    <row r="6" ht="20.35" customHeight="1">
      <c r="A6" s="28"/>
      <c r="B6" s="29"/>
      <c r="C6" s="26"/>
      <c r="D6" s="54"/>
      <c r="E6" s="32"/>
    </row>
    <row r="7" ht="20.35" customHeight="1">
      <c r="A7" s="28"/>
      <c r="B7" s="29"/>
      <c r="C7" s="26"/>
      <c r="D7" s="54"/>
      <c r="E7" s="32"/>
    </row>
    <row r="8" ht="20.35" customHeight="1">
      <c r="A8" s="28"/>
      <c r="B8" s="29"/>
      <c r="C8" s="26"/>
      <c r="D8" s="54"/>
      <c r="E8" s="32"/>
    </row>
    <row r="9" ht="20.35" customHeight="1">
      <c r="A9" t="s" s="17">
        <v>721</v>
      </c>
      <c r="B9" s="391">
        <v>42811</v>
      </c>
      <c r="C9" s="26">
        <v>49900</v>
      </c>
      <c r="D9" s="54"/>
      <c r="E9" s="32"/>
    </row>
    <row r="10" ht="20.35" customHeight="1">
      <c r="A10" t="s" s="17">
        <v>722</v>
      </c>
      <c r="B10" s="391">
        <v>42933</v>
      </c>
      <c r="C10" s="26"/>
      <c r="D10" s="54"/>
      <c r="E10" s="393">
        <v>315</v>
      </c>
    </row>
    <row r="11" ht="20.35" customHeight="1">
      <c r="A11" t="s" s="17">
        <v>723</v>
      </c>
      <c r="B11" s="391">
        <v>42933</v>
      </c>
      <c r="C11" s="26"/>
      <c r="D11" s="54"/>
      <c r="E11" s="394">
        <v>59</v>
      </c>
    </row>
    <row r="12" ht="20.35" customHeight="1">
      <c r="A12" s="28"/>
      <c r="B12" s="29"/>
      <c r="C12" s="26"/>
      <c r="D12" s="54"/>
      <c r="E12" s="32"/>
    </row>
    <row r="13" ht="20.35" customHeight="1">
      <c r="A13" t="s" s="17">
        <v>724</v>
      </c>
      <c r="B13" s="391">
        <v>42995</v>
      </c>
      <c r="C13" s="26"/>
      <c r="D13" s="395">
        <v>449</v>
      </c>
      <c r="E13" s="32"/>
    </row>
    <row r="14" ht="20.35" customHeight="1">
      <c r="A14" s="28"/>
      <c r="B14" s="29"/>
      <c r="C14" s="26"/>
      <c r="D14" s="395"/>
      <c r="E14" s="32"/>
    </row>
    <row r="15" ht="20.35" customHeight="1">
      <c r="A15" s="28"/>
      <c r="B15" s="29"/>
      <c r="C15" s="26"/>
      <c r="D15" s="395"/>
      <c r="E15" s="32"/>
    </row>
    <row r="16" ht="20.35" customHeight="1">
      <c r="A16" t="s" s="17">
        <v>725</v>
      </c>
      <c r="B16" s="391">
        <v>43118</v>
      </c>
      <c r="C16" s="30">
        <v>63000</v>
      </c>
      <c r="D16" s="395"/>
      <c r="E16" s="32"/>
    </row>
    <row r="17" ht="20.35" customHeight="1">
      <c r="A17" s="28"/>
      <c r="B17" s="29"/>
      <c r="C17" s="30"/>
      <c r="D17" s="395"/>
      <c r="E17" s="32"/>
    </row>
    <row r="18" ht="20.35" customHeight="1">
      <c r="A18" t="s" s="17">
        <v>726</v>
      </c>
      <c r="B18" s="391">
        <v>43149</v>
      </c>
      <c r="C18" s="30">
        <v>169900</v>
      </c>
      <c r="D18" s="395"/>
      <c r="E18" s="32"/>
    </row>
    <row r="19" ht="20.35" customHeight="1">
      <c r="A19" t="s" s="17">
        <v>727</v>
      </c>
      <c r="B19" s="391">
        <v>43238</v>
      </c>
      <c r="C19" s="30">
        <v>249990</v>
      </c>
      <c r="D19" s="395"/>
      <c r="E19" s="32"/>
    </row>
    <row r="20" ht="20.35" customHeight="1">
      <c r="A20" t="s" s="17">
        <v>728</v>
      </c>
      <c r="B20" s="391">
        <v>43238</v>
      </c>
      <c r="C20" s="30"/>
      <c r="D20" s="395">
        <v>66</v>
      </c>
      <c r="E20" s="32"/>
    </row>
    <row r="21" ht="20.35" customHeight="1">
      <c r="A21" t="s" s="17">
        <v>729</v>
      </c>
      <c r="B21" s="391">
        <v>43238</v>
      </c>
      <c r="C21" s="30">
        <v>36990</v>
      </c>
      <c r="D21" s="395"/>
      <c r="E21" s="32"/>
    </row>
    <row r="22" ht="20.35" customHeight="1">
      <c r="A22" t="s" s="17">
        <v>730</v>
      </c>
      <c r="B22" s="391">
        <v>43299</v>
      </c>
      <c r="C22" s="30"/>
      <c r="D22" s="395">
        <v>100</v>
      </c>
      <c r="E22" s="32"/>
    </row>
    <row r="23" ht="20.35" customHeight="1">
      <c r="A23" t="s" s="17">
        <v>731</v>
      </c>
      <c r="B23" s="391">
        <v>43361</v>
      </c>
      <c r="C23" s="30"/>
      <c r="D23" s="395">
        <v>149</v>
      </c>
      <c r="E23" s="32"/>
    </row>
    <row r="24" ht="20.35" customHeight="1">
      <c r="A24" t="s" s="17">
        <v>732</v>
      </c>
      <c r="B24" s="391">
        <v>43391</v>
      </c>
      <c r="C24" s="30"/>
      <c r="D24" s="395">
        <v>59</v>
      </c>
      <c r="E24" s="32"/>
    </row>
    <row r="25" ht="20.35" customHeight="1">
      <c r="A25" s="28"/>
      <c r="B25" s="29"/>
      <c r="C25" s="26"/>
      <c r="D25" s="395"/>
      <c r="E25" s="32"/>
    </row>
    <row r="26" ht="20.35" customHeight="1">
      <c r="A26" s="28"/>
      <c r="B26" s="29"/>
      <c r="C26" s="26"/>
      <c r="D26" s="395"/>
      <c r="E26" s="32"/>
    </row>
    <row r="27" ht="20.35" customHeight="1">
      <c r="A27" s="28"/>
      <c r="B27" s="29"/>
      <c r="C27" s="26"/>
      <c r="D27" s="395"/>
      <c r="E27" s="32"/>
    </row>
    <row r="28" ht="20.35" customHeight="1">
      <c r="A28" s="28"/>
      <c r="B28" s="29"/>
      <c r="C28" s="26"/>
      <c r="D28" s="395"/>
      <c r="E28" s="32"/>
    </row>
    <row r="29" ht="20.35" customHeight="1">
      <c r="A29" t="s" s="17">
        <v>733</v>
      </c>
      <c r="B29" s="391">
        <v>43515</v>
      </c>
      <c r="C29" s="26">
        <v>89990</v>
      </c>
      <c r="D29" s="395"/>
      <c r="E29" s="32"/>
    </row>
    <row r="30" ht="20.35" customHeight="1">
      <c r="A30" t="s" s="17">
        <v>734</v>
      </c>
      <c r="B30" s="391">
        <v>43515</v>
      </c>
      <c r="C30" s="26">
        <v>129990</v>
      </c>
      <c r="D30" s="395"/>
      <c r="E30" s="32"/>
    </row>
    <row r="31" ht="20.35" customHeight="1">
      <c r="A31" t="s" s="17">
        <v>735</v>
      </c>
      <c r="B31" s="391">
        <v>43665</v>
      </c>
      <c r="C31" s="26" cm="1">
        <f t="array" ref="C31">371490</f>
        <v>371490</v>
      </c>
      <c r="D31" s="395"/>
      <c r="E31" s="32"/>
    </row>
    <row r="32" ht="20.35" customHeight="1">
      <c r="A32" t="s" s="17">
        <v>736</v>
      </c>
      <c r="B32" s="391">
        <v>43665</v>
      </c>
      <c r="C32" s="30">
        <v>328980</v>
      </c>
      <c r="D32" s="395"/>
      <c r="E32" s="32"/>
    </row>
    <row r="33" ht="20.35" customHeight="1">
      <c r="A33" t="s" s="17">
        <v>737</v>
      </c>
      <c r="B33" s="391">
        <v>43665</v>
      </c>
      <c r="C33" s="26">
        <v>370000</v>
      </c>
      <c r="D33" s="395"/>
      <c r="E33" s="32"/>
    </row>
    <row r="34" ht="20.35" customHeight="1">
      <c r="A34" t="s" s="17">
        <v>738</v>
      </c>
      <c r="B34" s="391">
        <v>43665</v>
      </c>
      <c r="C34" s="26">
        <v>400000</v>
      </c>
      <c r="D34" s="395"/>
      <c r="E34" s="32"/>
    </row>
    <row r="35" ht="20.35" customHeight="1">
      <c r="A35" t="s" s="17">
        <v>739</v>
      </c>
      <c r="B35" s="391">
        <v>43757</v>
      </c>
      <c r="C35" s="26">
        <v>156980</v>
      </c>
      <c r="D35" s="395"/>
      <c r="E35" s="32"/>
    </row>
    <row r="36" ht="20.35" customHeight="1">
      <c r="A36" s="28"/>
      <c r="B36" s="29"/>
      <c r="C36" s="26"/>
      <c r="D36" s="395"/>
      <c r="E36" s="32"/>
    </row>
    <row r="37" ht="20.35" customHeight="1">
      <c r="A37" t="s" s="17">
        <v>740</v>
      </c>
      <c r="B37" s="392">
        <v>43891</v>
      </c>
      <c r="C37" s="26">
        <v>1549990</v>
      </c>
      <c r="D37" s="395"/>
      <c r="E37" s="32"/>
    </row>
    <row r="38" ht="20.35" customHeight="1">
      <c r="A38" t="s" s="17">
        <v>741</v>
      </c>
      <c r="B38" s="392">
        <v>43891</v>
      </c>
      <c r="C38" s="26"/>
      <c r="D38" s="60">
        <v>119</v>
      </c>
      <c r="E38" s="32"/>
    </row>
    <row r="39" ht="20.35" customHeight="1">
      <c r="A39" t="s" s="17">
        <v>742</v>
      </c>
      <c r="B39" s="392">
        <v>43983</v>
      </c>
      <c r="C39" s="26">
        <v>349990</v>
      </c>
      <c r="D39" s="395"/>
      <c r="E39" s="32"/>
    </row>
    <row r="40" ht="20.35" customHeight="1">
      <c r="A40" t="s" s="17">
        <v>743</v>
      </c>
      <c r="B40" s="392">
        <v>44075</v>
      </c>
      <c r="C40" s="26">
        <v>492980</v>
      </c>
      <c r="D40" s="395"/>
      <c r="E40" s="32"/>
    </row>
    <row r="41" ht="20.35" customHeight="1">
      <c r="A41" t="s" s="17">
        <v>744</v>
      </c>
      <c r="B41" s="392">
        <v>44105</v>
      </c>
      <c r="C41" s="26">
        <v>49990</v>
      </c>
      <c r="D41" s="395"/>
      <c r="E41" s="32"/>
    </row>
    <row r="42" ht="20.35" customHeight="1">
      <c r="A42" t="s" s="17">
        <v>745</v>
      </c>
      <c r="B42" s="392">
        <v>44136</v>
      </c>
      <c r="C42" s="26">
        <v>124899</v>
      </c>
      <c r="D42" s="395"/>
      <c r="E42" s="32"/>
    </row>
    <row r="43" ht="20.35" customHeight="1">
      <c r="A43" t="s" s="17">
        <v>746</v>
      </c>
      <c r="B43" s="392">
        <v>44166</v>
      </c>
      <c r="C43" s="26">
        <v>179990</v>
      </c>
      <c r="D43" s="395"/>
      <c r="E43" s="32"/>
    </row>
    <row r="44" ht="20.35" customHeight="1">
      <c r="A44" t="s" s="17">
        <v>747</v>
      </c>
      <c r="B44" s="392">
        <v>44166</v>
      </c>
      <c r="C44" s="26">
        <v>323980</v>
      </c>
      <c r="D44" s="395"/>
      <c r="E44" s="32"/>
    </row>
    <row r="45" ht="20.35" customHeight="1">
      <c r="A45" s="28"/>
      <c r="B45" s="29"/>
      <c r="C45" s="26"/>
      <c r="D45" s="395"/>
      <c r="E45" s="32"/>
    </row>
    <row r="46" ht="32.35" customHeight="1">
      <c r="A46" t="s" s="17">
        <v>748</v>
      </c>
      <c r="B46" s="392">
        <v>44774</v>
      </c>
      <c r="C46" s="26"/>
      <c r="D46" s="395"/>
      <c r="E46" s="68" cm="1">
        <f t="array" ref="E46">300+100</f>
        <v>400</v>
      </c>
    </row>
    <row r="47" ht="20.35" customHeight="1">
      <c r="A47" s="28"/>
      <c r="B47" s="29"/>
      <c r="C47" s="26"/>
      <c r="D47" s="395"/>
      <c r="E47" s="32"/>
    </row>
    <row r="48" ht="20.35" customHeight="1">
      <c r="A48" s="28"/>
      <c r="B48" s="29"/>
      <c r="C48" s="26"/>
      <c r="D48" s="395"/>
      <c r="E48" s="32"/>
    </row>
    <row r="49" ht="20.35" customHeight="1">
      <c r="A49" s="28"/>
      <c r="B49" s="29"/>
      <c r="C49" s="26"/>
      <c r="D49" s="395"/>
      <c r="E49" s="32"/>
    </row>
    <row r="50" ht="20.35" customHeight="1">
      <c r="A50" s="28"/>
      <c r="B50" s="29"/>
      <c r="C50" s="26"/>
      <c r="D50" s="395"/>
      <c r="E50" s="32"/>
    </row>
    <row r="51" ht="20.35" customHeight="1">
      <c r="A51" s="28"/>
      <c r="B51" s="29"/>
      <c r="C51" s="26"/>
      <c r="D51" s="395"/>
      <c r="E51" s="32"/>
    </row>
    <row r="52" ht="20.35" customHeight="1">
      <c r="A52" s="28"/>
      <c r="B52" s="29"/>
      <c r="C52" s="26"/>
      <c r="D52" s="395"/>
      <c r="E52" s="32"/>
    </row>
    <row r="53" ht="20.35" customHeight="1">
      <c r="A53" s="28"/>
      <c r="B53" s="29"/>
      <c r="C53" s="26"/>
      <c r="D53" s="395"/>
      <c r="E53" s="32"/>
    </row>
    <row r="54" ht="20.35" customHeight="1">
      <c r="A54" s="28"/>
      <c r="B54" s="29"/>
      <c r="C54" s="26"/>
      <c r="D54" s="395"/>
      <c r="E54" s="32"/>
    </row>
    <row r="55" ht="20.35" customHeight="1">
      <c r="A55" s="28"/>
      <c r="B55" s="29"/>
      <c r="C55" s="26"/>
      <c r="D55" s="395"/>
      <c r="E55" s="32"/>
    </row>
    <row r="56" ht="20.35" customHeight="1">
      <c r="A56" s="28"/>
      <c r="B56" s="29"/>
      <c r="C56" s="26"/>
      <c r="D56" s="395"/>
      <c r="E56" s="32"/>
    </row>
    <row r="57" ht="20.35" customHeight="1">
      <c r="A57" s="28"/>
      <c r="B57" s="29"/>
      <c r="C57" s="26"/>
      <c r="D57" s="395"/>
      <c r="E57" s="32"/>
    </row>
    <row r="58" ht="20.35" customHeight="1">
      <c r="A58" s="28"/>
      <c r="B58" s="29"/>
      <c r="C58" s="26"/>
      <c r="D58" s="395"/>
      <c r="E58" s="32"/>
    </row>
    <row r="59" ht="20.35" customHeight="1">
      <c r="A59" s="28"/>
      <c r="B59" s="29"/>
      <c r="C59" s="26"/>
      <c r="D59" s="54"/>
      <c r="E59" s="32"/>
    </row>
    <row r="60" ht="20.35" customHeight="1">
      <c r="A60" t="s" s="17">
        <v>749</v>
      </c>
      <c r="B60" s="29"/>
      <c r="C60" s="26"/>
      <c r="D60" s="54"/>
      <c r="E60" s="32"/>
    </row>
    <row r="61" ht="20.35" customHeight="1">
      <c r="A61" s="28"/>
      <c r="B61" s="29"/>
      <c r="C61" s="26"/>
      <c r="D61" s="54"/>
      <c r="E61" s="32"/>
    </row>
    <row r="62" ht="20.35" customHeight="1">
      <c r="A62" t="s" s="17">
        <v>750</v>
      </c>
      <c r="B62" s="29"/>
      <c r="C62" s="26"/>
      <c r="D62" s="54"/>
      <c r="E62" s="32"/>
    </row>
    <row r="63" ht="20.35" customHeight="1">
      <c r="A63" t="s" s="17">
        <v>751</v>
      </c>
      <c r="B63" s="29"/>
      <c r="C63" s="26"/>
      <c r="D63" s="54"/>
      <c r="E63" s="32"/>
    </row>
    <row r="64" ht="20.35" customHeight="1">
      <c r="A64" t="s" s="17">
        <v>752</v>
      </c>
      <c r="B64" s="29"/>
      <c r="C64" s="26"/>
      <c r="D64" s="54"/>
      <c r="E64" s="32"/>
    </row>
    <row r="65" ht="20.55" customHeight="1">
      <c r="A65" s="84"/>
      <c r="B65" s="85"/>
      <c r="C65" s="44"/>
      <c r="D65" s="396"/>
      <c r="E65" s="73"/>
    </row>
    <row r="66" ht="20.55" customHeight="1">
      <c r="A66" s="46"/>
      <c r="B66" s="46"/>
      <c r="C66" s="79" cm="1">
        <f t="array" ref="C66">SUM(C2:C65)</f>
        <v>5969029</v>
      </c>
      <c r="D66" s="335" cm="1">
        <f t="array" ref="D66">SUM(D2:D65)</f>
        <v>942</v>
      </c>
      <c r="E66" s="397" cm="1">
        <f t="array" ref="E66">SUM(E2:E65)</f>
        <v>774</v>
      </c>
    </row>
  </sheetData>
  <conditionalFormatting sqref="C31 C39:C58">
    <cfRule type="cellIs" dxfId="10" priority="1" operator="equal"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36.xml><?xml version="1.0" encoding="utf-8"?>
<worksheet xmlns:r="http://schemas.openxmlformats.org/officeDocument/2006/relationships" xmlns="http://schemas.openxmlformats.org/spreadsheetml/2006/main">
  <sheetPr>
    <pageSetUpPr fitToPage="1"/>
  </sheetPr>
  <dimension ref="A2:V118"/>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2" width="16.3516" style="398" customWidth="1"/>
    <col min="3" max="3" width="7.17188" style="398" customWidth="1"/>
    <col min="4" max="4" width="1.40625" style="398" customWidth="1"/>
    <col min="5" max="5" width="16.3516" style="398" customWidth="1"/>
    <col min="6" max="6" width="7.22656" style="398" customWidth="1"/>
    <col min="7" max="7" width="1.40625" style="398" customWidth="1"/>
    <col min="8" max="8" width="16.3516" style="398" customWidth="1"/>
    <col min="9" max="9" width="7.22656" style="398" customWidth="1"/>
    <col min="10" max="10" width="1.40625" style="398" customWidth="1"/>
    <col min="11" max="11" width="16.3516" style="398" customWidth="1"/>
    <col min="12" max="12" width="7.22656" style="398" customWidth="1"/>
    <col min="13" max="13" width="1.40625" style="398" customWidth="1"/>
    <col min="14" max="14" width="16.3516" style="398" customWidth="1"/>
    <col min="15" max="15" width="7.22656" style="398" customWidth="1"/>
    <col min="16" max="16" width="9.60938" style="398" customWidth="1"/>
    <col min="17" max="18" width="16.3516" style="398" customWidth="1"/>
    <col min="19" max="19" width="12.3203" style="398" customWidth="1"/>
    <col min="20" max="20" width="8.17188" style="398" customWidth="1"/>
    <col min="21" max="22" hidden="1" width="16.3333" style="398" customWidth="1"/>
    <col min="23" max="16384" width="16.3516" style="398" customWidth="1"/>
  </cols>
  <sheetData>
    <row r="1" ht="28" customHeight="1">
      <c r="A1" t="s" s="90">
        <v>753</v>
      </c>
      <c r="B1" s="90"/>
      <c r="C1" s="90"/>
      <c r="D1" s="90"/>
      <c r="E1" s="90"/>
      <c r="F1" s="90"/>
      <c r="G1" s="90"/>
      <c r="H1" s="90"/>
      <c r="I1" s="90"/>
      <c r="J1" s="90"/>
      <c r="K1" s="90"/>
      <c r="L1" s="90"/>
      <c r="M1" s="90"/>
      <c r="N1" s="90"/>
      <c r="O1" s="90"/>
      <c r="P1" s="90"/>
      <c r="Q1" s="90"/>
      <c r="R1" s="90"/>
      <c r="S1" s="90"/>
      <c r="T1" s="90"/>
      <c r="U1" s="90"/>
      <c r="V1" s="90"/>
    </row>
    <row r="2" ht="20.55" customHeight="1">
      <c r="A2" s="7"/>
      <c r="B2" t="s" s="8">
        <v>694</v>
      </c>
      <c r="C2" s="7"/>
      <c r="D2" s="7"/>
      <c r="E2" t="s" s="8">
        <v>692</v>
      </c>
      <c r="F2" s="399" cm="1">
        <f t="array" ref="F2">E$116/'presupuesto - Ingreso líquido'!B40</f>
        <v>1.95167927321836</v>
      </c>
      <c r="G2" s="7"/>
      <c r="H2" t="s" s="8">
        <v>691</v>
      </c>
      <c r="I2" s="7"/>
      <c r="J2" s="7"/>
      <c r="K2" t="s" s="8">
        <v>693</v>
      </c>
      <c r="L2" s="7"/>
      <c r="M2" s="7"/>
      <c r="N2" t="s" s="8">
        <v>690</v>
      </c>
      <c r="O2" s="7"/>
      <c r="P2" s="7"/>
      <c r="Q2" t="s" s="8">
        <v>599</v>
      </c>
      <c r="R2" t="s" s="8">
        <v>755</v>
      </c>
      <c r="S2" s="7"/>
      <c r="T2" s="7"/>
      <c r="U2" t="s" s="8">
        <v>756</v>
      </c>
      <c r="V2" s="7"/>
    </row>
    <row r="3" ht="8.75" customHeight="1" hidden="1">
      <c r="A3" s="400">
        <v>42887</v>
      </c>
      <c r="B3" s="401"/>
      <c r="C3" s="402"/>
      <c r="D3" s="402"/>
      <c r="E3" s="402" cm="1">
        <f t="array" ref="E3">'net worth - retiro'!B5</f>
        <v>131724</v>
      </c>
      <c r="F3" s="403" cm="1">
        <f t="array" ref="F3">E3/'flujos - Gasto mensual'!C3</f>
        <v>0.106053872314113</v>
      </c>
      <c r="G3" s="404"/>
      <c r="H3" s="350" cm="1">
        <f t="array" ref="H3">'net worth - brokerage'!B4</f>
        <v>1000000</v>
      </c>
      <c r="I3" s="403"/>
      <c r="J3" s="404"/>
      <c r="K3" s="350" cm="1">
        <f t="array" ref="K3">'net worth - cash and cash equiv'!D5+'net worth - cash and cash equiv'!D4</f>
        <v>2811698</v>
      </c>
      <c r="L3" s="403" cm="1">
        <f t="array" ref="L3">K3/'flujos - Gasto mensual'!$C3</f>
        <v>2.26375953264286</v>
      </c>
      <c r="M3" s="404"/>
      <c r="N3" s="402"/>
      <c r="O3" s="403"/>
      <c r="P3" s="404"/>
      <c r="Q3" s="405" cm="1">
        <f t="array" ref="Q3">R3-B3</f>
        <v>3943422</v>
      </c>
      <c r="R3" s="350" cm="1">
        <f t="array" ref="R3">K3+H3+N3+E3</f>
        <v>3943422</v>
      </c>
      <c r="S3" s="406" cm="1">
        <f t="array" ref="S3">R3/'variables - Table 1-1'!B2</f>
        <v>5932.634271099740</v>
      </c>
      <c r="T3" s="403" cm="1">
        <f t="array" ref="T3">_xlfn.IFERROR(R3/'flujos - Gasto mensual'!$C3,0)</f>
        <v>3.1749352682022</v>
      </c>
      <c r="U3" s="350" cm="1">
        <f t="array" ref="U3">E3+H3+K3</f>
        <v>3943422</v>
      </c>
      <c r="V3" s="403" cm="1">
        <f t="array" ref="V3">F3+O3+I3+L3</f>
        <v>2.36981340495697</v>
      </c>
    </row>
    <row r="4" ht="8.75" customHeight="1" hidden="1">
      <c r="A4" s="400">
        <v>42917</v>
      </c>
      <c r="B4" s="401"/>
      <c r="C4" s="402"/>
      <c r="D4" s="402"/>
      <c r="E4" s="402" cm="1">
        <f t="array" ref="E4">'net worth - retiro'!B6</f>
        <v>139702</v>
      </c>
      <c r="F4" s="403" cm="1">
        <f t="array" ref="F4">E4/'flujos - Gasto mensual'!C4</f>
        <v>0.100304211065184</v>
      </c>
      <c r="G4" s="404"/>
      <c r="H4" s="350" cm="1">
        <f t="array" ref="H4">'net worth - brokerage'!B5</f>
        <v>0</v>
      </c>
      <c r="I4" s="403"/>
      <c r="J4" s="404"/>
      <c r="K4" s="350" cm="1">
        <f t="array" ref="K4">'net worth - cash and cash equiv'!D6</f>
        <v>53188</v>
      </c>
      <c r="L4" s="403" cm="1">
        <f t="array" ref="L4">K4/'flujos - Gasto mensual'!$C4</f>
        <v>0.0381882892022663</v>
      </c>
      <c r="M4" s="404"/>
      <c r="N4" s="402"/>
      <c r="O4" s="403"/>
      <c r="P4" s="404"/>
      <c r="Q4" s="405" cm="1">
        <f t="array" ref="Q4">R4-B4</f>
        <v>192890</v>
      </c>
      <c r="R4" s="350" cm="1">
        <f t="array" ref="R4">K4+H4+N4+E4</f>
        <v>192890</v>
      </c>
      <c r="S4" s="406" cm="1">
        <f t="array" ref="S4">R4/'variables - Table 1-1'!B3</f>
        <v>295.300061236987</v>
      </c>
      <c r="T4" s="403" cm="1">
        <f t="array" ref="T4">_xlfn.IFERROR(R4/'flujos - Gasto mensual'!$C4,0)</f>
        <v>0.13849250026745</v>
      </c>
      <c r="U4" s="350" cm="1">
        <f t="array" ref="U4">E4+H4+K4</f>
        <v>192890</v>
      </c>
      <c r="V4" s="403" cm="1">
        <f t="array" ref="V4">F4+O4+I4+L4</f>
        <v>0.13849250026745</v>
      </c>
    </row>
    <row r="5" ht="8.75" customHeight="1" hidden="1">
      <c r="A5" s="400">
        <v>42948</v>
      </c>
      <c r="B5" s="401"/>
      <c r="C5" s="402"/>
      <c r="D5" s="402"/>
      <c r="E5" s="402" cm="1">
        <f t="array" ref="E5">'net worth - retiro'!B7</f>
        <v>149219</v>
      </c>
      <c r="F5" s="403" cm="1">
        <f t="array" ref="F5">E5/'flujos - Gasto mensual'!C5</f>
        <v>0.104319260182591</v>
      </c>
      <c r="G5" s="404"/>
      <c r="H5" s="350" cm="1">
        <f t="array" ref="H5">'net worth - brokerage'!B6</f>
        <v>0</v>
      </c>
      <c r="I5" s="403"/>
      <c r="J5" s="404"/>
      <c r="K5" s="350" cm="1">
        <f t="array" ref="K5">'net worth - cash and cash equiv'!D7</f>
        <v>53212</v>
      </c>
      <c r="L5" s="403" cm="1">
        <f t="array" ref="L5">K5/'flujos - Gasto mensual'!$C5</f>
        <v>0.0372006009478421</v>
      </c>
      <c r="M5" s="404"/>
      <c r="N5" s="402"/>
      <c r="O5" s="403"/>
      <c r="P5" s="404"/>
      <c r="Q5" s="405" cm="1">
        <f t="array" ref="Q5">R5-B5</f>
        <v>202431</v>
      </c>
      <c r="R5" s="350" cm="1">
        <f t="array" ref="R5">K5+H5+N5+E5</f>
        <v>202431</v>
      </c>
      <c r="S5" s="406" cm="1">
        <f t="array" ref="S5">R5/'variables - Table 1-1'!B4</f>
        <v>320.606588533418</v>
      </c>
      <c r="T5" s="403" cm="1">
        <f t="array" ref="T5">_xlfn.IFERROR(R5/'flujos - Gasto mensual'!$C5,0)</f>
        <v>0.141519861130434</v>
      </c>
      <c r="U5" s="350" cm="1">
        <f t="array" ref="U5">E5+H5+K5</f>
        <v>202431</v>
      </c>
      <c r="V5" s="403" cm="1">
        <f t="array" ref="V5">F5+O5+I5+L5</f>
        <v>0.141519861130433</v>
      </c>
    </row>
    <row r="6" ht="8.75" customHeight="1" hidden="1">
      <c r="A6" s="400">
        <v>42979</v>
      </c>
      <c r="B6" s="401"/>
      <c r="C6" s="402"/>
      <c r="D6" s="402"/>
      <c r="E6" s="402" cm="1">
        <f t="array" ref="E6">'net worth - retiro'!B8</f>
        <v>148639</v>
      </c>
      <c r="F6" s="403" cm="1">
        <f t="array" ref="F6">E6/'flujos - Gasto mensual'!C6</f>
        <v>0.100720306824958</v>
      </c>
      <c r="G6" s="404"/>
      <c r="H6" s="350" cm="1">
        <f t="array" ref="H6">'net worth - brokerage'!B7</f>
        <v>0</v>
      </c>
      <c r="I6" s="403"/>
      <c r="J6" s="404"/>
      <c r="K6" s="350" cm="1">
        <f t="array" ref="K6">'net worth - cash and cash equiv'!D8</f>
        <v>353306</v>
      </c>
      <c r="L6" s="403" cm="1">
        <f t="array" ref="L6">K6/'flujos - Gasto mensual'!$C6</f>
        <v>0.23940613649916</v>
      </c>
      <c r="M6" s="404"/>
      <c r="N6" s="402"/>
      <c r="O6" s="403"/>
      <c r="P6" s="404"/>
      <c r="Q6" s="405" cm="1">
        <f t="array" ref="Q6">R6-B6</f>
        <v>501945</v>
      </c>
      <c r="R6" s="350" cm="1">
        <f t="array" ref="R6">K6+H6+N6+E6</f>
        <v>501945</v>
      </c>
      <c r="S6" s="406" cm="1">
        <f t="array" ref="S6">R6/'variables - Table 1-1'!B5</f>
        <v>789.966949952786</v>
      </c>
      <c r="T6" s="403" cm="1">
        <f t="array" ref="T6">_xlfn.IFERROR(R6/'flujos - Gasto mensual'!$C6,0)</f>
        <v>0.340126443324118</v>
      </c>
      <c r="U6" s="350" cm="1">
        <f t="array" ref="U6">E6+H6+K6</f>
        <v>501945</v>
      </c>
      <c r="V6" s="403" cm="1">
        <f t="array" ref="V6">F6+O6+I6+L6</f>
        <v>0.340126443324118</v>
      </c>
    </row>
    <row r="7" ht="8.75" customHeight="1" hidden="1">
      <c r="A7" s="400">
        <v>43009</v>
      </c>
      <c r="B7" s="401"/>
      <c r="C7" s="402"/>
      <c r="D7" s="402"/>
      <c r="E7" s="402" cm="1">
        <f t="array" ref="E7">'net worth - retiro'!B9</f>
        <v>156386</v>
      </c>
      <c r="F7" s="403" cm="1">
        <f t="array" ref="F7">E7/'flujos - Gasto mensual'!C7</f>
        <v>0.0940053595065118</v>
      </c>
      <c r="G7" s="404"/>
      <c r="H7" s="350" cm="1">
        <f t="array" ref="H7">'net worth - brokerage'!B8</f>
        <v>200000</v>
      </c>
      <c r="I7" s="403" cm="1">
        <f t="array" ref="I7">H7/'flujos - Gasto mensual'!$C7</f>
        <v>0.120222218749136</v>
      </c>
      <c r="J7" s="404"/>
      <c r="K7" s="350" cm="1">
        <f t="array" ref="K7">'net worth - cash and cash equiv'!D9</f>
        <v>653266</v>
      </c>
      <c r="L7" s="403" cm="1">
        <f t="array" ref="L7">K7/'flujos - Gasto mensual'!$C7</f>
        <v>0.392685439766865</v>
      </c>
      <c r="M7" s="404"/>
      <c r="N7" s="402"/>
      <c r="O7" s="403"/>
      <c r="P7" s="404"/>
      <c r="Q7" s="405" cm="1">
        <f t="array" ref="Q7">R7-B7</f>
        <v>1009652</v>
      </c>
      <c r="R7" s="350" cm="1">
        <f t="array" ref="R7">K7+H7+N7+E7</f>
        <v>1009652</v>
      </c>
      <c r="S7" s="406" cm="1">
        <f t="array" ref="S7">R7/'variables - Table 1-1'!B6</f>
        <v>1625.796270651510</v>
      </c>
      <c r="T7" s="403" cm="1">
        <f t="array" ref="T7">_xlfn.IFERROR(R7/'flujos - Gasto mensual'!$C7,0)</f>
        <v>0.606913018022513</v>
      </c>
      <c r="U7" s="350" cm="1">
        <f t="array" ref="U7">E7+H7+K7</f>
        <v>1009652</v>
      </c>
      <c r="V7" s="403" cm="1">
        <f t="array" ref="V7">F7+O7+I7+L7</f>
        <v>0.606913018022513</v>
      </c>
    </row>
    <row r="8" ht="8.75" customHeight="1" hidden="1">
      <c r="A8" s="400">
        <v>43040</v>
      </c>
      <c r="B8" s="401"/>
      <c r="C8" s="402"/>
      <c r="D8" s="402"/>
      <c r="E8" s="402" cm="1">
        <f t="array" ref="E8">'net worth - retiro'!B10</f>
        <v>148639</v>
      </c>
      <c r="F8" s="403" cm="1">
        <f t="array" ref="F8">E8/'flujos - Gasto mensual'!C8</f>
        <v>0.104245157308572</v>
      </c>
      <c r="G8" s="404"/>
      <c r="H8" s="350" cm="1">
        <f t="array" ref="H8">'net worth - brokerage'!B9</f>
        <v>350000</v>
      </c>
      <c r="I8" s="403" cm="1">
        <f t="array" ref="I8">H8/'flujos - Gasto mensual'!$C8</f>
        <v>0.245465894267319</v>
      </c>
      <c r="J8" s="404"/>
      <c r="K8" s="350" cm="1">
        <f t="array" ref="K8">'net worth - cash and cash equiv'!D10</f>
        <v>553462</v>
      </c>
      <c r="L8" s="403" cm="1">
        <f t="array" ref="L8">K8/'flujos - Gasto mensual'!$C8</f>
        <v>0.388160127922797</v>
      </c>
      <c r="M8" s="404"/>
      <c r="N8" s="402" cm="1">
        <f t="array" ref="N8">'net worth - criptomonedas'!B10</f>
        <v>940418</v>
      </c>
      <c r="O8" s="403" cm="1">
        <f t="array" ref="O8">N8/'flujos - Gasto mensual'!$C8</f>
        <v>0.65954441530024</v>
      </c>
      <c r="P8" s="404"/>
      <c r="Q8" s="405" cm="1">
        <f t="array" ref="Q8">R8-B8</f>
        <v>1992519</v>
      </c>
      <c r="R8" s="350" cm="1">
        <f t="array" ref="R8">K8+H8+N8+E8</f>
        <v>1992519</v>
      </c>
      <c r="S8" s="406" cm="1">
        <f t="array" ref="S8">R8/'variables - Table 1-1'!B7</f>
        <v>3094.934762348560</v>
      </c>
      <c r="T8" s="403" cm="1">
        <f t="array" ref="T8">_xlfn.IFERROR(R8/'flujos - Gasto mensual'!$C8,0)</f>
        <v>1.39741559479893</v>
      </c>
      <c r="U8" s="350" cm="1">
        <f t="array" ref="U8">E8+H8+K8</f>
        <v>1052101</v>
      </c>
      <c r="V8" s="403" cm="1">
        <f t="array" ref="V8">F8+O8+I8+L8</f>
        <v>1.39741559479893</v>
      </c>
    </row>
    <row r="9" ht="8.75" customHeight="1" hidden="1">
      <c r="A9" s="400">
        <v>43070</v>
      </c>
      <c r="B9" s="401"/>
      <c r="C9" s="402"/>
      <c r="D9" s="402"/>
      <c r="E9" s="402" cm="1">
        <f t="array" ref="E9">'net worth - retiro'!B11</f>
        <v>148649</v>
      </c>
      <c r="F9" s="403" cm="1">
        <f t="array" ref="F9">E9/'flujos - Gasto mensual'!C9</f>
        <v>0.09228162816554809</v>
      </c>
      <c r="G9" s="404"/>
      <c r="H9" s="350" cm="1">
        <f t="array" ref="H9">'net worth - brokerage'!B10</f>
        <v>200000</v>
      </c>
      <c r="I9" s="403" cm="1">
        <f t="array" ref="I9">H9/'flujos - Gasto mensual'!$C9</f>
        <v>0.124160442607146</v>
      </c>
      <c r="J9" s="404"/>
      <c r="K9" s="350" cm="1">
        <f t="array" ref="K9">'net worth - cash and cash equiv'!D11</f>
        <v>60655</v>
      </c>
      <c r="L9" s="403" cm="1">
        <f t="array" ref="L9">K9/'flujos - Gasto mensual'!$C9</f>
        <v>0.0376547582316821</v>
      </c>
      <c r="M9" s="404"/>
      <c r="N9" s="402" cm="1">
        <f t="array" ref="N9">'net worth - criptomonedas'!B11</f>
        <v>452316</v>
      </c>
      <c r="O9" s="403" cm="1">
        <f t="array" ref="O9">N9/'flujos - Gasto mensual'!$C9</f>
        <v>0.280798773791469</v>
      </c>
      <c r="P9" s="404"/>
      <c r="Q9" s="405" cm="1">
        <f t="array" ref="Q9">R9-B9</f>
        <v>861620</v>
      </c>
      <c r="R9" s="350" cm="1">
        <f t="array" ref="R9">K9+H9+N9+E9</f>
        <v>861620</v>
      </c>
      <c r="S9" s="406" cm="1">
        <f t="array" ref="S9">R9/'variables - Table 1-1'!B8</f>
        <v>1402.376302083330</v>
      </c>
      <c r="T9" s="403" cm="1">
        <f t="array" ref="T9">_xlfn.IFERROR(R9/'flujos - Gasto mensual'!$C9,0)</f>
        <v>0.534895602795845</v>
      </c>
      <c r="U9" s="350" cm="1">
        <f t="array" ref="U9">E9+H9+K9</f>
        <v>409304</v>
      </c>
      <c r="V9" s="403" cm="1">
        <f t="array" ref="V9">F9+O9+I9+L9</f>
        <v>0.534895602795845</v>
      </c>
    </row>
    <row r="10" ht="8.75" customHeight="1" hidden="1">
      <c r="A10" s="400">
        <v>43101</v>
      </c>
      <c r="B10" s="401"/>
      <c r="C10" s="402"/>
      <c r="D10" s="402"/>
      <c r="E10" s="402" cm="1">
        <f t="array" ref="E10">'net worth - retiro'!B12</f>
        <v>149740</v>
      </c>
      <c r="F10" s="403" cm="1">
        <f t="array" ref="F10">E10/'flujos - Gasto mensual'!C10</f>
        <v>0.101857640105272</v>
      </c>
      <c r="G10" s="404"/>
      <c r="H10" s="350" cm="1">
        <f t="array" ref="H10">'net worth - brokerage'!B11</f>
        <v>0</v>
      </c>
      <c r="I10" s="403" cm="1">
        <f t="array" ref="I10">H10/'flujos - Gasto mensual'!$C10</f>
        <v>0</v>
      </c>
      <c r="J10" s="404"/>
      <c r="K10" s="350" cm="1">
        <f t="array" ref="K10">'net worth - cash and cash equiv'!D12</f>
        <v>146404</v>
      </c>
      <c r="L10" s="403" cm="1">
        <f t="array" ref="L10">K10/'flujos - Gasto mensual'!$C10</f>
        <v>0.0995883928273828</v>
      </c>
      <c r="M10" s="404"/>
      <c r="N10" s="402" cm="1">
        <f t="array" ref="N10">'net worth - criptomonedas'!B12</f>
        <v>254436.85</v>
      </c>
      <c r="O10" s="403" cm="1">
        <f t="array" ref="O10">N10/'flujos - Gasto mensual'!$C10</f>
        <v>0.17307557831454</v>
      </c>
      <c r="P10" s="404"/>
      <c r="Q10" s="405" cm="1">
        <f t="array" ref="Q10">R10-B10</f>
        <v>550580.85</v>
      </c>
      <c r="R10" s="350" cm="1">
        <f t="array" ref="R10">K10+H10+N10+E10</f>
        <v>550580.85</v>
      </c>
      <c r="S10" s="406" cm="1">
        <f t="array" ref="S10">R10/'variables - Table 1-1'!B9</f>
        <v>907.949950527704</v>
      </c>
      <c r="T10" s="403" cm="1">
        <f t="array" ref="T10">_xlfn.IFERROR(R10/'flujos - Gasto mensual'!$C10,0)</f>
        <v>0.374521611247195</v>
      </c>
      <c r="U10" s="350" cm="1">
        <f t="array" ref="U10">E10+H10+K10</f>
        <v>296144</v>
      </c>
      <c r="V10" s="403" cm="1">
        <f t="array" ref="V10">F10+O10+I10+L10</f>
        <v>0.374521611247195</v>
      </c>
    </row>
    <row r="11" ht="8.75" customHeight="1" hidden="1">
      <c r="A11" s="400">
        <v>43132</v>
      </c>
      <c r="B11" s="401"/>
      <c r="C11" s="402"/>
      <c r="D11" s="402"/>
      <c r="E11" s="402" cm="1">
        <f t="array" ref="E11">'net worth - retiro'!B13</f>
        <v>142283</v>
      </c>
      <c r="F11" s="403" cm="1">
        <f t="array" ref="F11">E11/'flujos - Gasto mensual'!C11</f>
        <v>0.0966851316787305</v>
      </c>
      <c r="G11" s="404"/>
      <c r="H11" s="350" cm="1">
        <f t="array" ref="H11">'net worth - brokerage'!B12</f>
        <v>200000</v>
      </c>
      <c r="I11" s="403" cm="1">
        <f t="array" ref="I11">H11/'flujos - Gasto mensual'!$C11</f>
        <v>0.135905388105017</v>
      </c>
      <c r="J11" s="404"/>
      <c r="K11" s="350" cm="1">
        <f t="array" ref="K11">'net worth - cash and cash equiv'!D13</f>
        <v>200000</v>
      </c>
      <c r="L11" s="403" cm="1">
        <f t="array" ref="L11">K11/'flujos - Gasto mensual'!$C11</f>
        <v>0.135905388105017</v>
      </c>
      <c r="M11" s="404"/>
      <c r="N11" s="402" cm="1">
        <f t="array" ref="N11">'net worth - criptomonedas'!B13</f>
        <v>271169</v>
      </c>
      <c r="O11" s="403" cm="1">
        <f t="array" ref="O11">N11/'flujos - Gasto mensual'!$C11</f>
        <v>0.184266640935247</v>
      </c>
      <c r="P11" s="404"/>
      <c r="Q11" s="405" cm="1">
        <f t="array" ref="Q11">R11-B11</f>
        <v>813452</v>
      </c>
      <c r="R11" s="350" cm="1">
        <f t="array" ref="R11">K11+H11+N11+E11</f>
        <v>813452</v>
      </c>
      <c r="S11" s="406" cm="1">
        <f t="array" ref="S11">R11/'variables - Table 1-1'!B10</f>
        <v>1375.235841081990</v>
      </c>
      <c r="T11" s="403" cm="1">
        <f t="array" ref="T11">_xlfn.IFERROR(R11/'flujos - Gasto mensual'!$C11,0)</f>
        <v>0.552762548824011</v>
      </c>
      <c r="U11" s="350" cm="1">
        <f t="array" ref="U11">E11+H11+K11</f>
        <v>542283</v>
      </c>
      <c r="V11" s="403" cm="1">
        <f t="array" ref="V11">F11+O11+I11+L11</f>
        <v>0.552762548824012</v>
      </c>
    </row>
    <row r="12" ht="8.75" customHeight="1" hidden="1">
      <c r="A12" s="400">
        <v>43160</v>
      </c>
      <c r="B12" s="401"/>
      <c r="C12" s="402"/>
      <c r="D12" s="402"/>
      <c r="E12" s="402" cm="1">
        <f t="array" ref="E12">'net worth - retiro'!B14</f>
        <v>192283</v>
      </c>
      <c r="F12" s="403" cm="1">
        <f t="array" ref="F12">E12/'flujos - Gasto mensual'!C12</f>
        <v>0.08753290171503179</v>
      </c>
      <c r="G12" s="404"/>
      <c r="H12" s="350" cm="1">
        <f t="array" ref="H12">'net worth - brokerage'!B13</f>
        <v>150000</v>
      </c>
      <c r="I12" s="403" cm="1">
        <f t="array" ref="I12">H12/'flujos - Gasto mensual'!$C12</f>
        <v>0.0682844310586727</v>
      </c>
      <c r="J12" s="404"/>
      <c r="K12" s="350" cm="1">
        <f t="array" ref="K12">'net worth - cash and cash equiv'!D14</f>
        <v>403934</v>
      </c>
      <c r="L12" s="403" cm="1">
        <f t="array" ref="L12">K12/'flujos - Gasto mensual'!$C12</f>
        <v>0.183882689168359</v>
      </c>
      <c r="M12" s="404"/>
      <c r="N12" s="402" cm="1">
        <f t="array" ref="N12">'net worth - criptomonedas'!B14</f>
        <v>200000</v>
      </c>
      <c r="O12" s="403" cm="1">
        <f t="array" ref="O12">N12/'flujos - Gasto mensual'!$C12</f>
        <v>0.09104590807823031</v>
      </c>
      <c r="P12" s="404"/>
      <c r="Q12" s="405" cm="1">
        <f t="array" ref="Q12">R12-B12</f>
        <v>946217</v>
      </c>
      <c r="R12" s="350" cm="1">
        <f t="array" ref="R12">K12+H12+N12+E12</f>
        <v>946217</v>
      </c>
      <c r="S12" s="406" cm="1">
        <f t="array" ref="S12">R12/'variables - Table 1-1'!B11</f>
        <v>1568.142194232680</v>
      </c>
      <c r="T12" s="403" cm="1">
        <f t="array" ref="T12">_xlfn.IFERROR(R12/'flujos - Gasto mensual'!$C12,0)</f>
        <v>0.430745930020294</v>
      </c>
      <c r="U12" s="350" cm="1">
        <f t="array" ref="U12">E12+H12+K12</f>
        <v>746217</v>
      </c>
      <c r="V12" s="403" cm="1">
        <f t="array" ref="V12">F12+O12+I12+L12</f>
        <v>0.430745930020294</v>
      </c>
    </row>
    <row r="13" ht="8.75" customHeight="1" hidden="1">
      <c r="A13" s="400">
        <v>43191</v>
      </c>
      <c r="B13" s="401"/>
      <c r="C13" s="402"/>
      <c r="D13" s="402"/>
      <c r="E13" s="402" cm="1">
        <f t="array" ref="E13">'net worth - retiro'!B15</f>
        <v>561344</v>
      </c>
      <c r="F13" s="403" cm="1">
        <f t="array" ref="F13">E13/'flujos - Gasto mensual'!C13</f>
        <v>0.201189191901453</v>
      </c>
      <c r="G13" s="404"/>
      <c r="H13" s="350" cm="1">
        <f t="array" ref="H13">'net worth - brokerage'!B14</f>
        <v>250000</v>
      </c>
      <c r="I13" s="403" cm="1">
        <f t="array" ref="I13">H13/'flujos - Gasto mensual'!$C13</f>
        <v>0.08960155978395271</v>
      </c>
      <c r="J13" s="404"/>
      <c r="K13" s="350" cm="1">
        <f t="array" ref="K13">'net worth - cash and cash equiv'!D15</f>
        <v>254042</v>
      </c>
      <c r="L13" s="403" cm="1">
        <f t="array" ref="L13">K13/'flujos - Gasto mensual'!$C13</f>
        <v>0.09105023780253969</v>
      </c>
      <c r="M13" s="404"/>
      <c r="N13" s="402" cm="1">
        <f t="array" ref="N13">'net worth - criptomonedas'!B15</f>
        <v>450000</v>
      </c>
      <c r="O13" s="403" cm="1">
        <f t="array" ref="O13">N13/'flujos - Gasto mensual'!$C13</f>
        <v>0.161282807611115</v>
      </c>
      <c r="P13" s="404"/>
      <c r="Q13" s="405" cm="1">
        <f t="array" ref="Q13">R13-B13</f>
        <v>1515386</v>
      </c>
      <c r="R13" s="350" cm="1">
        <f t="array" ref="R13">K13+H13+N13+E13</f>
        <v>1515386</v>
      </c>
      <c r="S13" s="406" cm="1">
        <f t="array" ref="S13">R13/'variables - Table 1-1'!B12</f>
        <v>2501.875515931980</v>
      </c>
      <c r="T13" s="403" cm="1">
        <f t="array" ref="T13">_xlfn.IFERROR(R13/'flujos - Gasto mensual'!$C13,0)</f>
        <v>0.54312379709906</v>
      </c>
      <c r="U13" s="350" cm="1">
        <f t="array" ref="U13">E13+H13+K13</f>
        <v>1065386</v>
      </c>
      <c r="V13" s="403" cm="1">
        <f t="array" ref="V13">F13+O13+I13+L13</f>
        <v>0.54312379709906</v>
      </c>
    </row>
    <row r="14" ht="8.75" customHeight="1" hidden="1">
      <c r="A14" s="400">
        <v>43221</v>
      </c>
      <c r="B14" s="401"/>
      <c r="C14" s="402"/>
      <c r="D14" s="402"/>
      <c r="E14" s="402" cm="1">
        <f t="array" ref="E14">'net worth - retiro'!B16</f>
        <v>42379</v>
      </c>
      <c r="F14" s="403" cm="1">
        <f t="array" ref="F14">E14/'flujos - Gasto mensual'!C14</f>
        <v>0.0484297112661731</v>
      </c>
      <c r="G14" s="404"/>
      <c r="H14" s="350" cm="1">
        <f t="array" ref="H14">'net worth - brokerage'!B15</f>
        <v>0</v>
      </c>
      <c r="I14" s="403" cm="1">
        <f t="array" ref="I14">H14/'flujos - Gasto mensual'!$C14</f>
        <v>0</v>
      </c>
      <c r="J14" s="404"/>
      <c r="K14" s="350" cm="1">
        <f t="array" ref="K14">'net worth - cash and cash equiv'!D16</f>
        <v>54157</v>
      </c>
      <c r="L14" s="403" cm="1">
        <f t="array" ref="L14">K14/'flujos - Gasto mensual'!$C14</f>
        <v>0.0618893289846891</v>
      </c>
      <c r="M14" s="404"/>
      <c r="N14" s="402" cm="1">
        <f t="array" ref="N14">'net worth - criptomonedas'!B16</f>
        <v>0</v>
      </c>
      <c r="O14" s="403" cm="1">
        <f t="array" ref="O14">N14/'flujos - Gasto mensual'!$C14</f>
        <v>0</v>
      </c>
      <c r="P14" s="404"/>
      <c r="Q14" s="405" cm="1">
        <f t="array" ref="Q14">R14-B14</f>
        <v>96536</v>
      </c>
      <c r="R14" s="350" cm="1">
        <f t="array" ref="R14">K14+H14+N14+E14</f>
        <v>96536</v>
      </c>
      <c r="S14" s="406" cm="1">
        <f t="array" ref="S14">R14/'variables - Table 1-1'!B13</f>
        <v>153.915816326531</v>
      </c>
      <c r="T14" s="403" cm="1">
        <f t="array" ref="T14">_xlfn.IFERROR(R14/'flujos - Gasto mensual'!$C14,0)</f>
        <v>0.110319040250862</v>
      </c>
      <c r="U14" s="350" cm="1">
        <f t="array" ref="U14">E14+H14+K14</f>
        <v>96536</v>
      </c>
      <c r="V14" s="403" cm="1">
        <f t="array" ref="V14">F14+O14+I14+L14</f>
        <v>0.110319040250862</v>
      </c>
    </row>
    <row r="15" ht="8.75" customHeight="1" hidden="1">
      <c r="A15" s="400">
        <v>43252</v>
      </c>
      <c r="B15" s="401"/>
      <c r="C15" s="402"/>
      <c r="D15" s="402"/>
      <c r="E15" s="402" cm="1">
        <f t="array" ref="E15">'net worth - retiro'!B17</f>
        <v>532842</v>
      </c>
      <c r="F15" s="403" cm="1">
        <f t="array" ref="F15">E15/'flujos - Gasto mensual'!C15</f>
        <v>0.321630674194131</v>
      </c>
      <c r="G15" s="404"/>
      <c r="H15" s="350" cm="1">
        <f t="array" ref="H15">'net worth - brokerage'!B16</f>
        <v>150000</v>
      </c>
      <c r="I15" s="403" cm="1">
        <f t="array" ref="I15">H15/'flujos - Gasto mensual'!$C15</f>
        <v>0.0905420389705008</v>
      </c>
      <c r="J15" s="404"/>
      <c r="K15" s="350" cm="1">
        <f t="array" ref="K15">'net worth - cash and cash equiv'!D17</f>
        <v>688185</v>
      </c>
      <c r="L15" s="403" cm="1">
        <f t="array" ref="L15">K15/'flujos - Gasto mensual'!$C15</f>
        <v>0.415397820592761</v>
      </c>
      <c r="M15" s="404"/>
      <c r="N15" s="402" cm="1">
        <f t="array" ref="N15">'net worth - criptomonedas'!B17</f>
        <v>0</v>
      </c>
      <c r="O15" s="403" cm="1">
        <f t="array" ref="O15">N15/'flujos - Gasto mensual'!$C15</f>
        <v>0</v>
      </c>
      <c r="P15" s="404"/>
      <c r="Q15" s="405" cm="1">
        <f t="array" ref="Q15">R15-B15</f>
        <v>1371027</v>
      </c>
      <c r="R15" s="350" cm="1">
        <f t="array" ref="R15">K15+H15+N15+E15</f>
        <v>1371027</v>
      </c>
      <c r="S15" s="406" cm="1">
        <f t="array" ref="S15">R15/'variables - Table 1-1'!B14</f>
        <v>2112.522342064710</v>
      </c>
      <c r="T15" s="403" cm="1">
        <f t="array" ref="T15">_xlfn.IFERROR(R15/'flujos - Gasto mensual'!$C15,0)</f>
        <v>0.827570533757392</v>
      </c>
      <c r="U15" s="350" cm="1">
        <f t="array" ref="U15">E15+H15+K15</f>
        <v>1371027</v>
      </c>
      <c r="V15" s="403" cm="1">
        <f t="array" ref="V15">F15+O15+I15+L15</f>
        <v>0.827570533757393</v>
      </c>
    </row>
    <row r="16" ht="8.75" customHeight="1" hidden="1">
      <c r="A16" s="400">
        <v>43282</v>
      </c>
      <c r="B16" s="401"/>
      <c r="C16" s="402"/>
      <c r="D16" s="402"/>
      <c r="E16" s="402" cm="1">
        <f t="array" ref="E16">'net worth - retiro'!B18</f>
        <v>432842</v>
      </c>
      <c r="F16" s="403" cm="1">
        <f t="array" ref="F16">E16/'flujos - Gasto mensual'!C16</f>
        <v>0.256610579060759</v>
      </c>
      <c r="G16" s="404"/>
      <c r="H16" s="350" cm="1">
        <f t="array" ref="H16">'net worth - brokerage'!B17</f>
        <v>150000</v>
      </c>
      <c r="I16" s="403" cm="1">
        <f t="array" ref="I16">H16/'flujos - Gasto mensual'!$C16</f>
        <v>0.0889275690878284</v>
      </c>
      <c r="J16" s="404"/>
      <c r="K16" s="350" cm="1">
        <f t="array" ref="K16">'net worth - cash and cash equiv'!D18</f>
        <v>354405</v>
      </c>
      <c r="L16" s="403" cm="1">
        <f t="array" ref="L16">K16/'flujos - Gasto mensual'!$C16</f>
        <v>0.210109167483812</v>
      </c>
      <c r="M16" s="404"/>
      <c r="N16" s="402" cm="1">
        <f t="array" ref="N16">'net worth - criptomonedas'!B18</f>
        <v>0</v>
      </c>
      <c r="O16" s="403" cm="1">
        <f t="array" ref="O16">N16/'flujos - Gasto mensual'!$C16</f>
        <v>0</v>
      </c>
      <c r="P16" s="404"/>
      <c r="Q16" s="405" cm="1">
        <f t="array" ref="Q16">R16-B16</f>
        <v>937247</v>
      </c>
      <c r="R16" s="350" cm="1">
        <f t="array" ref="R16">K16+H16+N16+E16</f>
        <v>937247</v>
      </c>
      <c r="S16" s="406" cm="1">
        <f t="array" ref="S16">R16/'variables - Table 1-1'!B15</f>
        <v>1468.808964112210</v>
      </c>
      <c r="T16" s="403" cm="1">
        <f t="array" ref="T16">_xlfn.IFERROR(R16/'flujos - Gasto mensual'!$C16,0)</f>
        <v>0.5556473156324</v>
      </c>
      <c r="U16" s="350" cm="1">
        <f t="array" ref="U16">E16+H16+K16</f>
        <v>937247</v>
      </c>
      <c r="V16" s="403" cm="1">
        <f t="array" ref="V16">F16+O16+I16+L16</f>
        <v>0.555647315632399</v>
      </c>
    </row>
    <row r="17" ht="8.75" customHeight="1" hidden="1">
      <c r="A17" s="400">
        <v>43313</v>
      </c>
      <c r="B17" s="401"/>
      <c r="C17" s="402"/>
      <c r="D17" s="402"/>
      <c r="E17" s="402" cm="1">
        <f t="array" ref="E17">'net worth - retiro'!B19</f>
        <v>434029</v>
      </c>
      <c r="F17" s="403" cm="1">
        <f t="array" ref="F17">E17/'flujos - Gasto mensual'!C17</f>
        <v>0.260604826991572</v>
      </c>
      <c r="G17" s="404"/>
      <c r="H17" s="350" cm="1">
        <f t="array" ref="H17">'net worth - brokerage'!B18</f>
        <v>0</v>
      </c>
      <c r="I17" s="403" cm="1">
        <f t="array" ref="I17">H17/'flujos - Gasto mensual'!$C17</f>
        <v>0</v>
      </c>
      <c r="J17" s="404"/>
      <c r="K17" s="350" cm="1">
        <f t="array" ref="K17">'net worth - cash and cash equiv'!D19</f>
        <v>354575</v>
      </c>
      <c r="L17" s="403" cm="1">
        <f t="array" ref="L17">K17/'flujos - Gasto mensual'!$C17</f>
        <v>0.212898116325261</v>
      </c>
      <c r="M17" s="404"/>
      <c r="N17" s="402" cm="1">
        <f t="array" ref="N17">'net worth - criptomonedas'!B19</f>
        <v>0</v>
      </c>
      <c r="O17" s="403" cm="1">
        <f t="array" ref="O17">N17/'flujos - Gasto mensual'!$C17</f>
        <v>0</v>
      </c>
      <c r="P17" s="404"/>
      <c r="Q17" s="405" cm="1">
        <f t="array" ref="Q17">R17-B17</f>
        <v>788604</v>
      </c>
      <c r="R17" s="350" cm="1">
        <f t="array" ref="R17">K17+H17+N17+E17</f>
        <v>788604</v>
      </c>
      <c r="S17" s="406" cm="1">
        <f t="array" ref="S17">R17/'variables - Table 1-1'!B16</f>
        <v>1161.419734904270</v>
      </c>
      <c r="T17" s="403" cm="1">
        <f t="array" ref="T17">_xlfn.IFERROR(R17/'flujos - Gasto mensual'!$C17,0)</f>
        <v>0.473502943316833</v>
      </c>
      <c r="U17" s="350" cm="1">
        <f t="array" ref="U17">E17+H17+K17</f>
        <v>788604</v>
      </c>
      <c r="V17" s="403" cm="1">
        <f t="array" ref="V17">F17+O17+I17+L17</f>
        <v>0.473502943316833</v>
      </c>
    </row>
    <row r="18" ht="8.75" customHeight="1" hidden="1">
      <c r="A18" s="400">
        <v>43344</v>
      </c>
      <c r="B18" s="401"/>
      <c r="C18" s="402"/>
      <c r="D18" s="402"/>
      <c r="E18" s="402" cm="1">
        <f t="array" ref="E18">'net worth - retiro'!B20</f>
        <v>434029</v>
      </c>
      <c r="F18" s="403" cm="1">
        <f t="array" ref="F18">E18/'flujos - Gasto mensual'!C18</f>
        <v>0.256154376406099</v>
      </c>
      <c r="G18" s="404"/>
      <c r="H18" s="350" cm="1">
        <f t="array" ref="H18">'net worth - brokerage'!B19</f>
        <v>150000</v>
      </c>
      <c r="I18" s="403" cm="1">
        <f t="array" ref="I18">H18/'flujos - Gasto mensual'!$C18</f>
        <v>0.0885267031947517</v>
      </c>
      <c r="J18" s="404"/>
      <c r="K18" s="350" cm="1">
        <f t="array" ref="K18">'net worth - cash and cash equiv'!D20</f>
        <v>354715</v>
      </c>
      <c r="L18" s="403" cm="1">
        <f t="array" ref="L18">K18/'flujos - Gasto mensual'!$C18</f>
        <v>0.209344996824842</v>
      </c>
      <c r="M18" s="404"/>
      <c r="N18" s="402" cm="1">
        <f t="array" ref="N18">'net worth - criptomonedas'!B20</f>
        <v>0</v>
      </c>
      <c r="O18" s="403" cm="1">
        <f t="array" ref="O18">N18/'flujos - Gasto mensual'!$C18</f>
        <v>0</v>
      </c>
      <c r="P18" s="404"/>
      <c r="Q18" s="405" cm="1">
        <f t="array" ref="Q18">R18-B18</f>
        <v>938744</v>
      </c>
      <c r="R18" s="350" cm="1">
        <f t="array" ref="R18">K18+H18+N18+E18</f>
        <v>938744</v>
      </c>
      <c r="S18" s="406" cm="1">
        <f t="array" ref="S18">R18/'variables - Table 1-1'!B17</f>
        <v>1423.633606308770</v>
      </c>
      <c r="T18" s="403" cm="1">
        <f t="array" ref="T18">_xlfn.IFERROR(R18/'flujos - Gasto mensual'!$C18,0)</f>
        <v>0.554026076425693</v>
      </c>
      <c r="U18" s="350" cm="1">
        <f t="array" ref="U18">E18+H18+K18</f>
        <v>938744</v>
      </c>
      <c r="V18" s="403" cm="1">
        <f t="array" ref="V18">F18+O18+I18+L18</f>
        <v>0.554026076425693</v>
      </c>
    </row>
    <row r="19" ht="8.75" customHeight="1" hidden="1">
      <c r="A19" s="400">
        <v>43374</v>
      </c>
      <c r="B19" s="401"/>
      <c r="C19" s="402"/>
      <c r="D19" s="402"/>
      <c r="E19" s="402" cm="1">
        <f t="array" ref="E19">'net worth - retiro'!B21</f>
        <v>428918</v>
      </c>
      <c r="F19" s="403" cm="1">
        <f t="array" ref="F19">E19/'flujos - Gasto mensual'!C19</f>
        <v>0.211899256975733</v>
      </c>
      <c r="G19" s="404"/>
      <c r="H19" s="350" cm="1">
        <f t="array" ref="H19">'net worth - brokerage'!B20</f>
        <v>250000</v>
      </c>
      <c r="I19" s="403" cm="1">
        <f t="array" ref="I19">H19/'flujos - Gasto mensual'!$C19</f>
        <v>0.123508023081179</v>
      </c>
      <c r="J19" s="404"/>
      <c r="K19" s="350" cm="1">
        <f t="array" ref="K19">'net worth - cash and cash equiv'!D21</f>
        <v>704864</v>
      </c>
      <c r="L19" s="403" cm="1">
        <f t="array" ref="L19">K19/'flujos - Gasto mensual'!$C19</f>
        <v>0.34822543672437</v>
      </c>
      <c r="M19" s="404"/>
      <c r="N19" s="402" cm="1">
        <f t="array" ref="N19">'net worth - criptomonedas'!B21</f>
        <v>0</v>
      </c>
      <c r="O19" s="403" cm="1">
        <f t="array" ref="O19">N19/'flujos - Gasto mensual'!$C19</f>
        <v>0</v>
      </c>
      <c r="P19" s="404"/>
      <c r="Q19" s="405" cm="1">
        <f t="array" ref="Q19">R19-B19</f>
        <v>1383782</v>
      </c>
      <c r="R19" s="350" cm="1">
        <f t="array" ref="R19">K19+H19+N19+E19</f>
        <v>1383782</v>
      </c>
      <c r="S19" s="406" cm="1">
        <f t="array" ref="S19">R19/'variables - Table 1-1'!B18</f>
        <v>1996.799422799420</v>
      </c>
      <c r="T19" s="403" cm="1">
        <f t="array" ref="T19">_xlfn.IFERROR(R19/'flujos - Gasto mensual'!$C19,0)</f>
        <v>0.683632716781282</v>
      </c>
      <c r="U19" s="350" cm="1">
        <f t="array" ref="U19">E19+H19+K19</f>
        <v>1383782</v>
      </c>
      <c r="V19" s="403" cm="1">
        <f t="array" ref="V19">F19+O19+I19+L19</f>
        <v>0.683632716781282</v>
      </c>
    </row>
    <row r="20" ht="8.75" customHeight="1" hidden="1">
      <c r="A20" s="400">
        <v>43405</v>
      </c>
      <c r="B20" s="401"/>
      <c r="C20" s="402"/>
      <c r="D20" s="402"/>
      <c r="E20" s="402" cm="1">
        <f t="array" ref="E20">'net worth - retiro'!B22</f>
        <v>262687</v>
      </c>
      <c r="F20" s="403" cm="1">
        <f t="array" ref="F20">E20/'flujos - Gasto mensual'!C20</f>
        <v>0.108381654331644</v>
      </c>
      <c r="G20" s="404"/>
      <c r="H20" s="350" cm="1">
        <f t="array" ref="H20">'net worth - brokerage'!B21</f>
        <v>450000</v>
      </c>
      <c r="I20" s="403" cm="1">
        <f t="array" ref="I20">H20/'flujos - Gasto mensual'!$C20</f>
        <v>0.185664857603306</v>
      </c>
      <c r="J20" s="404"/>
      <c r="K20" s="350" cm="1">
        <f t="array" ref="K20">'net worth - cash and cash equiv'!D22</f>
        <v>867128</v>
      </c>
      <c r="L20" s="403" cm="1">
        <f t="array" ref="L20">K20/'flujos - Gasto mensual'!$C20</f>
        <v>0.357767103652977</v>
      </c>
      <c r="M20" s="404"/>
      <c r="N20" s="402" cm="1">
        <f t="array" ref="N20">'net worth - criptomonedas'!B22</f>
        <v>0</v>
      </c>
      <c r="O20" s="403" cm="1">
        <f t="array" ref="O20">N20/'flujos - Gasto mensual'!$C20</f>
        <v>0</v>
      </c>
      <c r="P20" s="404"/>
      <c r="Q20" s="405" cm="1">
        <f t="array" ref="Q20">R20-B20</f>
        <v>1579815</v>
      </c>
      <c r="R20" s="350" cm="1">
        <f t="array" ref="R20">K20+H20+N20+E20</f>
        <v>1579815</v>
      </c>
      <c r="S20" s="406" cm="1">
        <f t="array" ref="S20">R20/'variables - Table 1-1'!B19</f>
        <v>2357.9328358209</v>
      </c>
      <c r="T20" s="403" cm="1">
        <f t="array" ref="T20">_xlfn.IFERROR(R20/'flujos - Gasto mensual'!$C20,0)</f>
        <v>0.6518136155879261</v>
      </c>
      <c r="U20" s="350" cm="1">
        <f t="array" ref="U20">E20+H20+K20</f>
        <v>1579815</v>
      </c>
      <c r="V20" s="403" cm="1">
        <f t="array" ref="V20">F20+O20+I20+L20</f>
        <v>0.6518136155879271</v>
      </c>
    </row>
    <row r="21" ht="8.75" customHeight="1" hidden="1">
      <c r="A21" s="400">
        <v>43435</v>
      </c>
      <c r="B21" s="401"/>
      <c r="C21" s="402"/>
      <c r="D21" s="402"/>
      <c r="E21" s="402" cm="1">
        <f t="array" ref="E21">'net worth - retiro'!B23</f>
        <v>347596</v>
      </c>
      <c r="F21" s="403" cm="1">
        <f t="array" ref="F21">E21/'flujos - Gasto mensual'!C21</f>
        <v>0.143428990897766</v>
      </c>
      <c r="G21" s="404"/>
      <c r="H21" s="350" cm="1">
        <f t="array" ref="H21">'net worth - brokerage'!B22</f>
        <v>600000</v>
      </c>
      <c r="I21" s="403" cm="1">
        <f t="array" ref="I21">H21/'flujos - Gasto mensual'!$C21</f>
        <v>0.247578782663378</v>
      </c>
      <c r="J21" s="404"/>
      <c r="K21" s="350" cm="1">
        <f t="array" ref="K21">'net worth - cash and cash equiv'!D23</f>
        <v>655132</v>
      </c>
      <c r="L21" s="403" cm="1">
        <f t="array" ref="L21">K21/'flujos - Gasto mensual'!$C21</f>
        <v>0.270327971739707</v>
      </c>
      <c r="M21" s="404"/>
      <c r="N21" s="402" cm="1">
        <f t="array" ref="N21">'net worth - criptomonedas'!B23</f>
        <v>0</v>
      </c>
      <c r="O21" s="403" cm="1">
        <f t="array" ref="O21">N21/'flujos - Gasto mensual'!$C21</f>
        <v>0</v>
      </c>
      <c r="P21" s="404"/>
      <c r="Q21" s="405" cm="1">
        <f t="array" ref="Q21">R21-B21</f>
        <v>1602728</v>
      </c>
      <c r="R21" s="350" cm="1">
        <f t="array" ref="R21">K21+H21+N21+E21</f>
        <v>1602728</v>
      </c>
      <c r="S21" s="406" cm="1">
        <f t="array" ref="S21">R21/'variables - Table 1-1'!B20</f>
        <v>2311.071377072820</v>
      </c>
      <c r="T21" s="403" cm="1">
        <f t="array" ref="T21">_xlfn.IFERROR(R21/'flujos - Gasto mensual'!$C21,0)</f>
        <v>0.661335745300852</v>
      </c>
      <c r="U21" s="350" cm="1">
        <f t="array" ref="U21">E21+H21+K21</f>
        <v>1602728</v>
      </c>
      <c r="V21" s="403" cm="1">
        <f t="array" ref="V21">F21+O21+I21+L21</f>
        <v>0.661335745300851</v>
      </c>
    </row>
    <row r="22" ht="8.75" customHeight="1" hidden="1">
      <c r="A22" s="400">
        <v>43466</v>
      </c>
      <c r="B22" s="401"/>
      <c r="C22" s="402"/>
      <c r="D22" s="402"/>
      <c r="E22" s="402" cm="1">
        <f t="array" ref="E22">'net worth - retiro'!B24</f>
        <v>263630</v>
      </c>
      <c r="F22" s="403" cm="1">
        <f t="array" ref="F22">E22/'flujos - Gasto mensual'!C22</f>
        <v>0.10876969318142</v>
      </c>
      <c r="G22" s="404"/>
      <c r="H22" s="350" cm="1">
        <f t="array" ref="H22">'net worth - brokerage'!B23</f>
        <v>300000</v>
      </c>
      <c r="I22" s="403" cm="1">
        <f t="array" ref="I22">H22/'flujos - Gasto mensual'!$C22</f>
        <v>0.123775397164306</v>
      </c>
      <c r="J22" s="404"/>
      <c r="K22" s="350" cm="1">
        <f t="array" ref="K22">'net worth - cash and cash equiv'!D24</f>
        <v>100000</v>
      </c>
      <c r="L22" s="403" cm="1">
        <f t="array" ref="L22">K22/'flujos - Gasto mensual'!$C22</f>
        <v>0.0412584657214352</v>
      </c>
      <c r="M22" s="404"/>
      <c r="N22" s="402" cm="1">
        <f t="array" ref="N22">'net worth - criptomonedas'!B24</f>
        <v>0</v>
      </c>
      <c r="O22" s="403" cm="1">
        <f t="array" ref="O22">N22/'flujos - Gasto mensual'!$C22</f>
        <v>0</v>
      </c>
      <c r="P22" s="404"/>
      <c r="Q22" s="405" cm="1">
        <f t="array" ref="Q22">R22-B22</f>
        <v>663630</v>
      </c>
      <c r="R22" s="350" cm="1">
        <f t="array" ref="R22">K22+H22+N22+E22</f>
        <v>663630</v>
      </c>
      <c r="S22" s="406" cm="1">
        <f t="array" ref="S22">R22/'variables - Table 1-1'!B21</f>
        <v>1000.346698824240</v>
      </c>
      <c r="T22" s="403" cm="1">
        <f t="array" ref="T22">_xlfn.IFERROR(R22/'flujos - Gasto mensual'!$C22,0)</f>
        <v>0.273803556067161</v>
      </c>
      <c r="U22" s="350" cm="1">
        <f t="array" ref="U22">E22+H22+K22</f>
        <v>663630</v>
      </c>
      <c r="V22" s="403" cm="1">
        <f t="array" ref="V22">F22+O22+I22+L22</f>
        <v>0.273803556067161</v>
      </c>
    </row>
    <row r="23" ht="8.75" customHeight="1" hidden="1">
      <c r="A23" s="400">
        <v>43497</v>
      </c>
      <c r="B23" s="401"/>
      <c r="C23" s="402"/>
      <c r="D23" s="402"/>
      <c r="E23" s="402" cm="1">
        <f t="array" ref="E23">'net worth - retiro'!B25</f>
        <v>265490</v>
      </c>
      <c r="F23" s="403" cm="1">
        <f t="array" ref="F23">E23/'flujos - Gasto mensual'!C23</f>
        <v>0.109453105513882</v>
      </c>
      <c r="G23" s="404"/>
      <c r="H23" s="350" cm="1">
        <f t="array" ref="H23">'net worth - brokerage'!B24</f>
        <v>700000</v>
      </c>
      <c r="I23" s="403" cm="1">
        <f t="array" ref="I23">H23/'flujos - Gasto mensual'!$C23</f>
        <v>0.288587795622123</v>
      </c>
      <c r="J23" s="404"/>
      <c r="K23" s="350" cm="1">
        <f t="array" ref="K23">'net worth - cash and cash equiv'!D25</f>
        <v>110206</v>
      </c>
      <c r="L23" s="403" cm="1">
        <f t="array" ref="L23">K23/'flujos - Gasto mensual'!$C23</f>
        <v>0.0454344380061881</v>
      </c>
      <c r="M23" s="404"/>
      <c r="N23" s="402" cm="1">
        <f t="array" ref="N23">'net worth - criptomonedas'!B25</f>
        <v>0</v>
      </c>
      <c r="O23" s="403" cm="1">
        <f t="array" ref="O23">N23/'flujos - Gasto mensual'!$C23</f>
        <v>0</v>
      </c>
      <c r="P23" s="404"/>
      <c r="Q23" s="405" cm="1">
        <f t="array" ref="Q23">R23-B23</f>
        <v>1075696</v>
      </c>
      <c r="R23" s="350" cm="1">
        <f t="array" ref="R23">K23+H23+N23+E23</f>
        <v>1075696</v>
      </c>
      <c r="S23" s="406" cm="1">
        <f t="array" ref="S23">R23/'variables - Table 1-1'!B22</f>
        <v>1658.233389856640</v>
      </c>
      <c r="T23" s="403" cm="1">
        <f t="array" ref="T23">_xlfn.IFERROR(R23/'flujos - Gasto mensual'!$C23,0)</f>
        <v>0.443475339142193</v>
      </c>
      <c r="U23" s="350" cm="1">
        <f t="array" ref="U23">E23+H23+K23</f>
        <v>1075696</v>
      </c>
      <c r="V23" s="403" cm="1">
        <f t="array" ref="V23">F23+O23+I23+L23</f>
        <v>0.443475339142193</v>
      </c>
    </row>
    <row r="24" ht="8.75" customHeight="1" hidden="1">
      <c r="A24" s="400">
        <v>43525</v>
      </c>
      <c r="B24" s="401"/>
      <c r="C24" s="402"/>
      <c r="D24" s="402"/>
      <c r="E24" s="402" cm="1">
        <f t="array" ref="E24">'net worth - retiro'!B26</f>
        <v>265490</v>
      </c>
      <c r="F24" s="403" cm="1">
        <f t="array" ref="F24">E24/'flujos - Gasto mensual'!C24</f>
        <v>0.0908414666026133</v>
      </c>
      <c r="G24" s="404"/>
      <c r="H24" s="350" cm="1">
        <f t="array" ref="H24">'net worth - brokerage'!B25</f>
        <v>1100000</v>
      </c>
      <c r="I24" s="403" cm="1">
        <f t="array" ref="I24">H24/'flujos - Gasto mensual'!$C24</f>
        <v>0.376381834580868</v>
      </c>
      <c r="J24" s="404"/>
      <c r="K24" s="350" cm="1">
        <f t="array" ref="K24">'net worth - cash and cash equiv'!D26</f>
        <v>405132</v>
      </c>
      <c r="L24" s="403" cm="1">
        <f t="array" ref="L24">K24/'flujos - Gasto mensual'!$C24</f>
        <v>0.138622114006742</v>
      </c>
      <c r="M24" s="404"/>
      <c r="N24" s="402" cm="1">
        <f t="array" ref="N24">'net worth - criptomonedas'!B26</f>
        <v>0</v>
      </c>
      <c r="O24" s="403" cm="1">
        <f t="array" ref="O24">N24/'flujos - Gasto mensual'!$C24</f>
        <v>0</v>
      </c>
      <c r="P24" s="404"/>
      <c r="Q24" s="405" cm="1">
        <f t="array" ref="Q24">R24-B24</f>
        <v>1770622</v>
      </c>
      <c r="R24" s="350" cm="1">
        <f t="array" ref="R24">K24+H24+N24+E24</f>
        <v>1770622</v>
      </c>
      <c r="S24" s="406" cm="1">
        <f t="array" ref="S24">R24/'variables - Table 1-1'!B23</f>
        <v>2595.839319747840</v>
      </c>
      <c r="T24" s="403" cm="1">
        <f t="array" ref="T24">_xlfn.IFERROR(R24/'flujos - Gasto mensual'!$C24,0)</f>
        <v>0.6058454151902229</v>
      </c>
      <c r="U24" s="350" cm="1">
        <f t="array" ref="U24">E24+H24+K24</f>
        <v>1770622</v>
      </c>
      <c r="V24" s="403" cm="1">
        <f t="array" ref="V24">F24+O24+I24+L24</f>
        <v>0.6058454151902229</v>
      </c>
    </row>
    <row r="25" ht="8.75" customHeight="1" hidden="1">
      <c r="A25" s="400">
        <v>43556</v>
      </c>
      <c r="B25" s="401"/>
      <c r="C25" s="402"/>
      <c r="D25" s="402"/>
      <c r="E25" s="402" cm="1">
        <f t="array" ref="E25">'net worth - retiro'!B27</f>
        <v>266005</v>
      </c>
      <c r="F25" s="403" cm="1">
        <f t="array" ref="F25">E25/'flujos - Gasto mensual'!C25</f>
        <v>0.10945023276253</v>
      </c>
      <c r="G25" s="404"/>
      <c r="H25" s="350" cm="1">
        <f t="array" ref="H25">'net worth - brokerage'!B26</f>
        <v>700000</v>
      </c>
      <c r="I25" s="403" cm="1">
        <f t="array" ref="I25">H25/'flujos - Gasto mensual'!$C25</f>
        <v>0.288021514384206</v>
      </c>
      <c r="J25" s="404"/>
      <c r="K25" s="350" cm="1">
        <f t="array" ref="K25">'net worth - cash and cash equiv'!D27</f>
        <v>500000</v>
      </c>
      <c r="L25" s="403" cm="1">
        <f t="array" ref="L25">K25/'flujos - Gasto mensual'!$C25</f>
        <v>0.205729653131576</v>
      </c>
      <c r="M25" s="404"/>
      <c r="N25" s="402" cm="1">
        <f t="array" ref="N25">'net worth - criptomonedas'!B27</f>
        <v>0</v>
      </c>
      <c r="O25" s="403" cm="1">
        <f t="array" ref="O25">N25/'flujos - Gasto mensual'!$C25</f>
        <v>0</v>
      </c>
      <c r="P25" s="404"/>
      <c r="Q25" s="405" cm="1">
        <f t="array" ref="Q25">R25-B25</f>
        <v>1466005</v>
      </c>
      <c r="R25" s="350" cm="1">
        <f t="array" ref="R25">K25+H25+N25+E25</f>
        <v>1466005</v>
      </c>
      <c r="S25" s="406" cm="1">
        <f t="array" ref="S25">R25/'variables - Table 1-1'!B24</f>
        <v>2161.802872563190</v>
      </c>
      <c r="T25" s="403" cm="1">
        <f t="array" ref="T25">_xlfn.IFERROR(R25/'flujos - Gasto mensual'!$C25,0)</f>
        <v>0.603201400278311</v>
      </c>
      <c r="U25" s="350" cm="1">
        <f t="array" ref="U25">E25+H25+K25</f>
        <v>1466005</v>
      </c>
      <c r="V25" s="403" cm="1">
        <f t="array" ref="V25">F25+O25+I25+L25</f>
        <v>0.603201400278312</v>
      </c>
    </row>
    <row r="26" ht="8.75" customHeight="1" hidden="1">
      <c r="A26" s="400">
        <v>43586</v>
      </c>
      <c r="B26" s="401"/>
      <c r="C26" s="402"/>
      <c r="D26" s="402"/>
      <c r="E26" s="402" cm="1">
        <f t="array" ref="E26">'net worth - retiro'!B28</f>
        <v>266223</v>
      </c>
      <c r="F26" s="403" cm="1">
        <f t="array" ref="F26">E26/'flujos - Gasto mensual'!C26</f>
        <v>0.109539930891295</v>
      </c>
      <c r="G26" s="404"/>
      <c r="H26" s="350" cm="1">
        <f t="array" ref="H26">'net worth - brokerage'!B27</f>
        <v>1000000</v>
      </c>
      <c r="I26" s="403" cm="1">
        <f t="array" ref="I26">H26/'flujos - Gasto mensual'!$C26</f>
        <v>0.411459306263151</v>
      </c>
      <c r="J26" s="404"/>
      <c r="K26" s="350" cm="1">
        <f t="array" ref="K26">'net worth - cash and cash equiv'!D28</f>
        <v>175168</v>
      </c>
      <c r="L26" s="403" cm="1">
        <f t="array" ref="L26">K26/'flujos - Gasto mensual'!$C26</f>
        <v>0.07207450375950369</v>
      </c>
      <c r="M26" s="404"/>
      <c r="N26" s="402" cm="1">
        <f t="array" ref="N26">'net worth - criptomonedas'!B28</f>
        <v>0</v>
      </c>
      <c r="O26" s="403" cm="1">
        <f t="array" ref="O26">N26/'flujos - Gasto mensual'!$C26</f>
        <v>0</v>
      </c>
      <c r="P26" s="404"/>
      <c r="Q26" s="405" cm="1">
        <f t="array" ref="Q26">R26-B26</f>
        <v>1441391</v>
      </c>
      <c r="R26" s="350" cm="1">
        <f t="array" ref="R26">K26+H26+N26+E26</f>
        <v>1441391</v>
      </c>
      <c r="S26" s="406" cm="1">
        <f t="array" ref="S26">R26/'variables - Table 1-1'!B25</f>
        <v>2031.158051970010</v>
      </c>
      <c r="T26" s="403" cm="1">
        <f t="array" ref="T26">_xlfn.IFERROR(R26/'flujos - Gasto mensual'!$C26,0)</f>
        <v>0.59307374091395</v>
      </c>
      <c r="U26" s="350" cm="1">
        <f t="array" ref="U26">E26+H26+K26</f>
        <v>1441391</v>
      </c>
      <c r="V26" s="403" cm="1">
        <f t="array" ref="V26">F26+O26+I26+L26</f>
        <v>0.59307374091395</v>
      </c>
    </row>
    <row r="27" ht="8.75" customHeight="1" hidden="1">
      <c r="A27" s="400">
        <v>43617</v>
      </c>
      <c r="B27" s="401"/>
      <c r="C27" s="402"/>
      <c r="D27" s="402"/>
      <c r="E27" s="402" cm="1">
        <f t="array" ref="E27">'net worth - retiro'!B29</f>
        <v>666223</v>
      </c>
      <c r="F27" s="403" cm="1">
        <f t="array" ref="F27">E27/'flujos - Gasto mensual'!C27</f>
        <v>0.274076176724076</v>
      </c>
      <c r="G27" s="404"/>
      <c r="H27" s="350" cm="1">
        <f t="array" ref="H27">'net worth - brokerage'!B28</f>
        <v>1000000</v>
      </c>
      <c r="I27" s="403" cm="1">
        <f t="array" ref="I27">H27/'flujos - Gasto mensual'!$C27</f>
        <v>0.411388043829282</v>
      </c>
      <c r="J27" s="404"/>
      <c r="K27" s="350" cm="1">
        <f t="array" ref="K27">'net worth - cash and cash equiv'!D29</f>
        <v>139517</v>
      </c>
      <c r="L27" s="403" cm="1">
        <f t="array" ref="L27">K27/'flujos - Gasto mensual'!$C27</f>
        <v>0.05739562571093</v>
      </c>
      <c r="M27" s="404"/>
      <c r="N27" s="402" cm="1">
        <f t="array" ref="N27">'net worth - criptomonedas'!B29</f>
        <v>0</v>
      </c>
      <c r="O27" s="403" cm="1">
        <f t="array" ref="O27">N27/'flujos - Gasto mensual'!$C27</f>
        <v>0</v>
      </c>
      <c r="P27" s="404"/>
      <c r="Q27" s="405" cm="1">
        <f t="array" ref="Q27">R27-B27</f>
        <v>1805740</v>
      </c>
      <c r="R27" s="350" cm="1">
        <f t="array" ref="R27">K27+H27+N27+E27</f>
        <v>1805740</v>
      </c>
      <c r="S27" s="406" cm="1">
        <f t="array" ref="S27">R27/'variables - Table 1-1'!B26</f>
        <v>2654.836290927270</v>
      </c>
      <c r="T27" s="403" cm="1">
        <f t="array" ref="T27">_xlfn.IFERROR(R27/'flujos - Gasto mensual'!$C27,0)</f>
        <v>0.742859846264288</v>
      </c>
      <c r="U27" s="350" cm="1">
        <f t="array" ref="U27">E27+H27+K27</f>
        <v>1805740</v>
      </c>
      <c r="V27" s="403" cm="1">
        <f t="array" ref="V27">F27+O27+I27+L27</f>
        <v>0.742859846264288</v>
      </c>
    </row>
    <row r="28" ht="8.75" customHeight="1" hidden="1">
      <c r="A28" s="400">
        <v>43647</v>
      </c>
      <c r="B28" s="401"/>
      <c r="C28" s="402"/>
      <c r="D28" s="402"/>
      <c r="E28" s="402" cm="1">
        <f t="array" ref="E28">'net worth - retiro'!B30</f>
        <v>966223</v>
      </c>
      <c r="F28" s="403" cm="1">
        <f t="array" ref="F28">E28/'flujos - Gasto mensual'!C28</f>
        <v>0.397492589872861</v>
      </c>
      <c r="G28" s="404"/>
      <c r="H28" s="350" cm="1">
        <f t="array" ref="H28">'net worth - brokerage'!B29</f>
        <v>300000</v>
      </c>
      <c r="I28" s="403" cm="1">
        <f t="array" ref="I28">H28/'flujos - Gasto mensual'!$C28</f>
        <v>0.123416413148785</v>
      </c>
      <c r="J28" s="404"/>
      <c r="K28" s="350" cm="1">
        <f t="array" ref="K28">'net worth - cash and cash equiv'!D30</f>
        <v>279534</v>
      </c>
      <c r="L28" s="403" cm="1">
        <f t="array" ref="L28">K28/'flujos - Gasto mensual'!$C28</f>
        <v>0.114996945443775</v>
      </c>
      <c r="M28" s="404"/>
      <c r="N28" s="402" cm="1">
        <f t="array" ref="N28">'net worth - criptomonedas'!B30</f>
        <v>0</v>
      </c>
      <c r="O28" s="403" cm="1">
        <f t="array" ref="O28">N28/'flujos - Gasto mensual'!$C28</f>
        <v>0</v>
      </c>
      <c r="P28" s="404"/>
      <c r="Q28" s="405" cm="1">
        <f t="array" ref="Q28">R28-B28</f>
        <v>1545757</v>
      </c>
      <c r="R28" s="350" cm="1">
        <f t="array" ref="R28">K28+H28+N28+E28</f>
        <v>1545757</v>
      </c>
      <c r="S28" s="406" cm="1">
        <f t="array" ref="S28">R28/'variables - Table 1-1'!B27</f>
        <v>2211.383404864090</v>
      </c>
      <c r="T28" s="403" cm="1">
        <f t="array" ref="T28">_xlfn.IFERROR(R28/'flujos - Gasto mensual'!$C28,0)</f>
        <v>0.63590594846542</v>
      </c>
      <c r="U28" s="350" cm="1">
        <f t="array" ref="U28">E28+H28+K28</f>
        <v>1545757</v>
      </c>
      <c r="V28" s="403" cm="1">
        <f t="array" ref="V28">F28+O28+I28+L28</f>
        <v>0.635905948465421</v>
      </c>
    </row>
    <row r="29" ht="8.75" customHeight="1" hidden="1">
      <c r="A29" s="400">
        <v>43678</v>
      </c>
      <c r="B29" s="401"/>
      <c r="C29" s="402"/>
      <c r="D29" s="402"/>
      <c r="E29" s="402" cm="1">
        <f t="array" ref="E29">'net worth - retiro'!B31</f>
        <v>1066223</v>
      </c>
      <c r="F29" s="403" cm="1">
        <f t="array" ref="F29">E29/'flujos - Gasto mensual'!C29</f>
        <v>0.356431456620566</v>
      </c>
      <c r="G29" s="404"/>
      <c r="H29" s="350" cm="1">
        <f t="array" ref="H29">'net worth - brokerage'!B30</f>
        <v>0</v>
      </c>
      <c r="I29" s="403" cm="1">
        <f t="array" ref="I29">H29/'flujos - Gasto mensual'!$C29</f>
        <v>0</v>
      </c>
      <c r="J29" s="404"/>
      <c r="K29" s="350" cm="1">
        <f t="array" ref="K29">'net worth - cash and cash equiv'!D31</f>
        <v>559826</v>
      </c>
      <c r="L29" s="403" cm="1">
        <f t="array" ref="L29">K29/'flujos - Gasto mensual'!$C29</f>
        <v>0.187146212972394</v>
      </c>
      <c r="M29" s="404"/>
      <c r="N29" s="402" cm="1">
        <f t="array" ref="N29">'net worth - criptomonedas'!B31</f>
        <v>0</v>
      </c>
      <c r="O29" s="403" cm="1">
        <f t="array" ref="O29">N29/'flujos - Gasto mensual'!$C29</f>
        <v>0</v>
      </c>
      <c r="P29" s="404"/>
      <c r="Q29" s="405" cm="1">
        <f t="array" ref="Q29">R29-B29</f>
        <v>1626049</v>
      </c>
      <c r="R29" s="350" cm="1">
        <f t="array" ref="R29">K29+H29+N29+E29</f>
        <v>1626049</v>
      </c>
      <c r="S29" s="406" cm="1">
        <f t="array" ref="S29">R29/'variables - Table 1-1'!B28</f>
        <v>2255.769657621660</v>
      </c>
      <c r="T29" s="403" cm="1">
        <f t="array" ref="T29">_xlfn.IFERROR(R29/'flujos - Gasto mensual'!$C29,0)</f>
        <v>0.5435776695929611</v>
      </c>
      <c r="U29" s="350" cm="1">
        <f t="array" ref="U29">E29+H29+K29</f>
        <v>1626049</v>
      </c>
      <c r="V29" s="403" cm="1">
        <f t="array" ref="V29">F29+O29+I29+L29</f>
        <v>0.5435776695929601</v>
      </c>
    </row>
    <row r="30" ht="8.75" customHeight="1" hidden="1">
      <c r="A30" s="400">
        <v>43709</v>
      </c>
      <c r="B30" s="401"/>
      <c r="C30" s="402"/>
      <c r="D30" s="402"/>
      <c r="E30" s="402" cm="1">
        <f t="array" ref="E30">'net worth - retiro'!B32</f>
        <v>266223</v>
      </c>
      <c r="F30" s="403" cm="1">
        <f t="array" ref="F30">E30/'flujos - Gasto mensual'!C30</f>
        <v>0.106850054002377</v>
      </c>
      <c r="G30" s="404"/>
      <c r="H30" s="350" cm="1">
        <f t="array" ref="H30">'net worth - brokerage'!B31</f>
        <v>600000</v>
      </c>
      <c r="I30" s="403" cm="1">
        <f t="array" ref="I30">H30/'flujos - Gasto mensual'!$C30</f>
        <v>0.240813274590949</v>
      </c>
      <c r="J30" s="404"/>
      <c r="K30" s="350" cm="1">
        <f t="array" ref="K30">'net worth - cash and cash equiv'!D32</f>
        <v>0</v>
      </c>
      <c r="L30" s="403" cm="1">
        <f t="array" ref="L30">K30/'flujos - Gasto mensual'!$C30</f>
        <v>0</v>
      </c>
      <c r="M30" s="404"/>
      <c r="N30" s="402" cm="1">
        <f t="array" ref="N30">'net worth - criptomonedas'!B32</f>
        <v>0</v>
      </c>
      <c r="O30" s="403" cm="1">
        <f t="array" ref="O30">N30/'flujos - Gasto mensual'!$C30</f>
        <v>0</v>
      </c>
      <c r="P30" s="404"/>
      <c r="Q30" s="405" cm="1">
        <f t="array" ref="Q30">R30-B30</f>
        <v>866223</v>
      </c>
      <c r="R30" s="350" cm="1">
        <f t="array" ref="R30">K30+H30+N30+E30</f>
        <v>866223</v>
      </c>
      <c r="S30" s="406" cm="1">
        <f t="array" ref="S30">R30/'variables - Table 1-1'!B29</f>
        <v>1193.161062824560</v>
      </c>
      <c r="T30" s="403" cm="1">
        <f t="array" ref="T30">_xlfn.IFERROR(R30/'flujos - Gasto mensual'!$C30,0)</f>
        <v>0.347663328593325</v>
      </c>
      <c r="U30" s="350" cm="1">
        <f t="array" ref="U30">E30+H30+K30</f>
        <v>866223</v>
      </c>
      <c r="V30" s="403" cm="1">
        <f t="array" ref="V30">F30+O30+I30+L30</f>
        <v>0.347663328593326</v>
      </c>
    </row>
    <row r="31" ht="8.75" customHeight="1" hidden="1">
      <c r="A31" s="400">
        <v>43739</v>
      </c>
      <c r="B31" s="401"/>
      <c r="C31" s="402"/>
      <c r="D31" s="402"/>
      <c r="E31" s="402" cm="1">
        <f t="array" ref="E31">'net worth - retiro'!B33</f>
        <v>266223</v>
      </c>
      <c r="F31" s="403" cm="1">
        <f t="array" ref="F31">E31/'flujos - Gasto mensual'!C31</f>
        <v>0.109478938433904</v>
      </c>
      <c r="G31" s="404"/>
      <c r="H31" s="350" cm="1">
        <f t="array" ref="H31">'net worth - brokerage'!B32</f>
        <v>300000</v>
      </c>
      <c r="I31" s="403" cm="1">
        <f t="array" ref="I31">H31/'flujos - Gasto mensual'!$C31</f>
        <v>0.123369061013403</v>
      </c>
      <c r="J31" s="404"/>
      <c r="K31" s="350" cm="1">
        <f t="array" ref="K31">'net worth - cash and cash equiv'!D33</f>
        <v>0</v>
      </c>
      <c r="L31" s="403" cm="1">
        <f t="array" ref="L31">K31/'flujos - Gasto mensual'!$C31</f>
        <v>0</v>
      </c>
      <c r="M31" s="404"/>
      <c r="N31" s="402" cm="1">
        <f t="array" ref="N31">'net worth - criptomonedas'!B33</f>
        <v>0</v>
      </c>
      <c r="O31" s="403" cm="1">
        <f t="array" ref="O31">N31/'flujos - Gasto mensual'!$C31</f>
        <v>0</v>
      </c>
      <c r="P31" s="404"/>
      <c r="Q31" s="405" cm="1">
        <f t="array" ref="Q31">R31-B31</f>
        <v>566223</v>
      </c>
      <c r="R31" s="350" cm="1">
        <f t="array" ref="R31">K31+H31+N31+E31</f>
        <v>566223</v>
      </c>
      <c r="S31" s="406" cm="1">
        <f t="array" ref="S31">R31/'variables - Table 1-1'!B30</f>
        <v>763.342755420599</v>
      </c>
      <c r="T31" s="403" cm="1">
        <f t="array" ref="T31">_xlfn.IFERROR(R31/'flujos - Gasto mensual'!$C31,0)</f>
        <v>0.232847999447307</v>
      </c>
      <c r="U31" s="350" cm="1">
        <f t="array" ref="U31">E31+H31+K31</f>
        <v>566223</v>
      </c>
      <c r="V31" s="403" cm="1">
        <f t="array" ref="V31">F31+O31+I31+L31</f>
        <v>0.232847999447307</v>
      </c>
    </row>
    <row r="32" ht="8.75" customHeight="1" hidden="1">
      <c r="A32" s="400">
        <v>43770</v>
      </c>
      <c r="B32" s="401"/>
      <c r="C32" s="402"/>
      <c r="D32" s="402"/>
      <c r="E32" s="402" cm="1">
        <f t="array" ref="E32">'net worth - retiro'!B34</f>
        <v>351143</v>
      </c>
      <c r="F32" s="403" cm="1">
        <f t="array" ref="F32">E32/'flujos - Gasto mensual'!C32</f>
        <v>0.123995638260983</v>
      </c>
      <c r="G32" s="404"/>
      <c r="H32" s="350" cm="1">
        <f t="array" ref="H32">'net worth - brokerage'!B33</f>
        <v>300000</v>
      </c>
      <c r="I32" s="403" cm="1">
        <f t="array" ref="I32">H32/'flujos - Gasto mensual'!$C32</f>
        <v>0.105936018882036</v>
      </c>
      <c r="J32" s="404"/>
      <c r="K32" s="350" cm="1">
        <f t="array" ref="K32">'net worth - cash and cash equiv'!D34</f>
        <v>282073</v>
      </c>
      <c r="L32" s="403" cm="1">
        <f t="array" ref="L32">K32/'flujos - Gasto mensual'!$C32</f>
        <v>0.0996056355137085</v>
      </c>
      <c r="M32" s="404"/>
      <c r="N32" s="402" cm="1">
        <f t="array" ref="N32">'net worth - criptomonedas'!B34</f>
        <v>0</v>
      </c>
      <c r="O32" s="403" cm="1">
        <f t="array" ref="O32">N32/'flujos - Gasto mensual'!$C32</f>
        <v>0</v>
      </c>
      <c r="P32" s="404"/>
      <c r="Q32" s="405" cm="1">
        <f t="array" ref="Q32">R32-B32</f>
        <v>933216</v>
      </c>
      <c r="R32" s="350" cm="1">
        <f t="array" ref="R32">K32+H32+N32+E32</f>
        <v>933216</v>
      </c>
      <c r="S32" s="406" cm="1">
        <f t="array" ref="S32">R32/'variables - Table 1-1'!B31</f>
        <v>1126.528247223560</v>
      </c>
      <c r="T32" s="403" cm="1">
        <f t="array" ref="T32">_xlfn.IFERROR(R32/'flujos - Gasto mensual'!$C32,0)</f>
        <v>0.329537292656727</v>
      </c>
      <c r="U32" s="350" cm="1">
        <f t="array" ref="U32">E32+H32+K32</f>
        <v>933216</v>
      </c>
      <c r="V32" s="403" cm="1">
        <f t="array" ref="V32">F32+O32+I32+L32</f>
        <v>0.329537292656728</v>
      </c>
    </row>
    <row r="33" ht="8.75" customHeight="1" hidden="1">
      <c r="A33" s="400">
        <v>43800</v>
      </c>
      <c r="B33" s="401"/>
      <c r="C33" s="402"/>
      <c r="D33" s="402"/>
      <c r="E33" s="402" cm="1">
        <f t="array" ref="E33">'net worth - retiro'!B35</f>
        <v>2700823</v>
      </c>
      <c r="F33" s="403" cm="1">
        <f t="array" ref="F33">E33/'flujos - Gasto mensual'!C33</f>
        <v>1.11058235172692</v>
      </c>
      <c r="G33" s="404"/>
      <c r="H33" s="350" cm="1">
        <f t="array" ref="H33">'net worth - brokerage'!B34</f>
        <v>0</v>
      </c>
      <c r="I33" s="403" cm="1">
        <f t="array" ref="I33">H33/'flujos - Gasto mensual'!$C33</f>
        <v>0</v>
      </c>
      <c r="J33" s="404"/>
      <c r="K33" s="350" cm="1">
        <f t="array" ref="K33">'net worth - cash and cash equiv'!D35</f>
        <v>283000</v>
      </c>
      <c r="L33" s="403" cm="1">
        <f t="array" ref="L33">K33/'flujos - Gasto mensual'!$C33</f>
        <v>0.116370012229131</v>
      </c>
      <c r="M33" s="404"/>
      <c r="N33" s="402" cm="1">
        <f t="array" ref="N33">'net worth - criptomonedas'!B35</f>
        <v>0</v>
      </c>
      <c r="O33" s="403" cm="1">
        <f t="array" ref="O33">N33/'flujos - Gasto mensual'!$C33</f>
        <v>0</v>
      </c>
      <c r="P33" s="404"/>
      <c r="Q33" s="405" cm="1">
        <f t="array" ref="Q33">R33-B33</f>
        <v>2983823</v>
      </c>
      <c r="R33" s="350" cm="1">
        <f t="array" ref="R33">K33+H33+N33+E33</f>
        <v>2983823</v>
      </c>
      <c r="S33" s="406" cm="1">
        <f t="array" ref="S33">R33/'variables - Table 1-1'!B32</f>
        <v>4075.147500682870</v>
      </c>
      <c r="T33" s="403" cm="1">
        <f t="array" ref="T33">_xlfn.IFERROR(R33/'flujos - Gasto mensual'!$C33,0)</f>
        <v>1.22695236395605</v>
      </c>
      <c r="U33" s="350" cm="1">
        <f t="array" ref="U33">E33+H33+K33</f>
        <v>2983823</v>
      </c>
      <c r="V33" s="403" cm="1">
        <f t="array" ref="V33">F33+O33+I33+L33</f>
        <v>1.22695236395605</v>
      </c>
    </row>
    <row r="34" ht="8.75" customHeight="1" hidden="1">
      <c r="A34" s="400">
        <v>43831</v>
      </c>
      <c r="B34" s="401"/>
      <c r="C34" s="402"/>
      <c r="D34" s="402"/>
      <c r="E34" s="402" cm="1">
        <f t="array" ref="E34">'net worth - retiro'!B36</f>
        <v>266223</v>
      </c>
      <c r="F34" s="403" cm="1">
        <f t="array" ref="F34">E34/'flujos - Gasto mensual'!C34</f>
        <v>0.109440413979538</v>
      </c>
      <c r="G34" s="404"/>
      <c r="H34" s="350" cm="1">
        <f t="array" ref="H34">'net worth - brokerage'!B35</f>
        <v>0</v>
      </c>
      <c r="I34" s="403" cm="1">
        <f t="array" ref="I34">H34/'flujos - Gasto mensual'!$C34</f>
        <v>0</v>
      </c>
      <c r="J34" s="404"/>
      <c r="K34" s="350" cm="1">
        <f t="array" ref="K34">'net worth - cash and cash equiv'!D36</f>
        <v>300000</v>
      </c>
      <c r="L34" s="403" cm="1">
        <f t="array" ref="L34">K34/'flujos - Gasto mensual'!$C34</f>
        <v>0.12332564877513</v>
      </c>
      <c r="M34" s="404"/>
      <c r="N34" s="402" cm="1">
        <f t="array" ref="N34">'net worth - criptomonedas'!B36</f>
        <v>0</v>
      </c>
      <c r="O34" s="403" cm="1">
        <f t="array" ref="O34">N34/'flujos - Gasto mensual'!$C34</f>
        <v>0</v>
      </c>
      <c r="P34" s="404"/>
      <c r="Q34" s="405" cm="1">
        <f t="array" ref="Q34">R34-B34</f>
        <v>566223</v>
      </c>
      <c r="R34" s="350" cm="1">
        <f t="array" ref="R34">K34+H34+N34+E34</f>
        <v>566223</v>
      </c>
      <c r="S34" s="406" cm="1">
        <f t="array" ref="S34">R34/'variables - Table 1-1'!B33</f>
        <v>710.621234939759</v>
      </c>
      <c r="T34" s="403" cm="1">
        <f t="array" ref="T34">_xlfn.IFERROR(R34/'flujos - Gasto mensual'!$C34,0)</f>
        <v>0.232766062754667</v>
      </c>
      <c r="U34" s="350" cm="1">
        <f t="array" ref="U34">E34+H34+K34</f>
        <v>566223</v>
      </c>
      <c r="V34" s="403" cm="1">
        <f t="array" ref="V34">F34+O34+I34+L34</f>
        <v>0.232766062754668</v>
      </c>
    </row>
    <row r="35" ht="8.75" customHeight="1" hidden="1">
      <c r="A35" s="400">
        <v>43862</v>
      </c>
      <c r="B35" s="401"/>
      <c r="C35" s="402"/>
      <c r="D35" s="402"/>
      <c r="E35" s="402" cm="1">
        <f t="array" ref="E35">'net worth - retiro'!B37</f>
        <v>266223</v>
      </c>
      <c r="F35" s="403" cm="1">
        <f t="array" ref="F35">E35/'flujos - Gasto mensual'!C35</f>
        <v>0.104695679257771</v>
      </c>
      <c r="G35" s="404"/>
      <c r="H35" s="350" cm="1">
        <f t="array" ref="H35">'net worth - brokerage'!B36</f>
        <v>0</v>
      </c>
      <c r="I35" s="403" cm="1">
        <f t="array" ref="I35">H35/'flujos - Gasto mensual'!$C35</f>
        <v>0</v>
      </c>
      <c r="J35" s="404"/>
      <c r="K35" s="350" cm="1">
        <f t="array" ref="K35">'net worth - cash and cash equiv'!D37</f>
        <v>300000</v>
      </c>
      <c r="L35" s="403" cm="1">
        <f t="array" ref="L35">K35/'flujos - Gasto mensual'!$C35</f>
        <v>0.11797892660413</v>
      </c>
      <c r="M35" s="404"/>
      <c r="N35" s="402" cm="1">
        <f t="array" ref="N35">'net worth - criptomonedas'!B37</f>
        <v>0</v>
      </c>
      <c r="O35" s="403" cm="1">
        <f t="array" ref="O35">N35/'flujos - Gasto mensual'!$C35</f>
        <v>0</v>
      </c>
      <c r="P35" s="404"/>
      <c r="Q35" s="405" cm="1">
        <f t="array" ref="Q35">R35-B35</f>
        <v>566223</v>
      </c>
      <c r="R35" s="350" cm="1">
        <f t="array" ref="R35">K35+H35+N35+E35</f>
        <v>566223</v>
      </c>
      <c r="S35" s="406" cm="1">
        <f t="array" ref="S35">R35/'variables - Table 1-1'!B34</f>
        <v>695.605651105651</v>
      </c>
      <c r="T35" s="403" cm="1">
        <f t="array" ref="T35">_xlfn.IFERROR(R35/'flujos - Gasto mensual'!$C35,0)</f>
        <v>0.222674605861901</v>
      </c>
      <c r="U35" s="350" cm="1">
        <f t="array" ref="U35">E35+H35+K35</f>
        <v>566223</v>
      </c>
      <c r="V35" s="403" cm="1">
        <f t="array" ref="V35">F35+O35+I35+L35</f>
        <v>0.222674605861901</v>
      </c>
    </row>
    <row r="36" ht="8.75" customHeight="1" hidden="1">
      <c r="A36" s="400">
        <v>43891</v>
      </c>
      <c r="B36" s="401"/>
      <c r="C36" s="402"/>
      <c r="D36" s="402"/>
      <c r="E36" s="402" cm="1">
        <f t="array" ref="E36">'net worth - retiro'!B38</f>
        <v>666223</v>
      </c>
      <c r="F36" s="403" cm="1">
        <f t="array" ref="F36">E36/'flujos - Gasto mensual'!C36</f>
        <v>0.07469687536333861</v>
      </c>
      <c r="G36" s="404"/>
      <c r="H36" s="350" cm="1">
        <f t="array" ref="H36">'net worth - brokerage'!B37</f>
        <v>0</v>
      </c>
      <c r="I36" s="403" cm="1">
        <f t="array" ref="I36">H36/'flujos - Gasto mensual'!$C36</f>
        <v>0</v>
      </c>
      <c r="J36" s="404"/>
      <c r="K36" s="350" cm="1">
        <f t="array" ref="K36">'net worth - cash and cash equiv'!D38</f>
        <v>0</v>
      </c>
      <c r="L36" s="403" cm="1">
        <f t="array" ref="L36">K36/'flujos - Gasto mensual'!$C36</f>
        <v>0</v>
      </c>
      <c r="M36" s="404"/>
      <c r="N36" s="402" cm="1">
        <f t="array" ref="N36">'net worth - criptomonedas'!B38</f>
        <v>0</v>
      </c>
      <c r="O36" s="403" cm="1">
        <f t="array" ref="O36">N36/'flujos - Gasto mensual'!$C36</f>
        <v>0</v>
      </c>
      <c r="P36" s="404"/>
      <c r="Q36" s="405" cm="1">
        <f t="array" ref="Q36">R36-B36</f>
        <v>666223</v>
      </c>
      <c r="R36" s="350" cm="1">
        <f t="array" ref="R36">K36+H36+N36+E36</f>
        <v>666223</v>
      </c>
      <c r="S36" s="406" cm="1">
        <f t="array" ref="S36">R36/'variables - Table 1-1'!B35</f>
        <v>775.399208566108</v>
      </c>
      <c r="T36" s="403" cm="1">
        <f t="array" ref="T36">_xlfn.IFERROR(R36/'flujos - Gasto mensual'!$C36,0)</f>
        <v>0.07469687536333861</v>
      </c>
      <c r="U36" s="350" cm="1">
        <f t="array" ref="U36">E36+H36+K36</f>
        <v>666223</v>
      </c>
      <c r="V36" s="403" cm="1">
        <f t="array" ref="V36">F36+O36+I36+L36</f>
        <v>0.07469687536333861</v>
      </c>
    </row>
    <row r="37" ht="8.75" customHeight="1" hidden="1">
      <c r="A37" s="400">
        <v>43922</v>
      </c>
      <c r="B37" s="401"/>
      <c r="C37" s="402"/>
      <c r="D37" s="402"/>
      <c r="E37" s="402" cm="1">
        <f t="array" ref="E37">'net worth - retiro'!B39</f>
        <v>620974</v>
      </c>
      <c r="F37" s="403" cm="1">
        <f t="array" ref="F37">E37/'flujos - Gasto mensual'!C37</f>
        <v>1.59947145686784</v>
      </c>
      <c r="G37" s="404"/>
      <c r="H37" s="350" cm="1">
        <f t="array" ref="H37">'net worth - brokerage'!B38</f>
        <v>0</v>
      </c>
      <c r="I37" s="403" cm="1">
        <f t="array" ref="I37">H37/'flujos - Gasto mensual'!$C37</f>
        <v>0</v>
      </c>
      <c r="J37" s="404"/>
      <c r="K37" s="350" cm="1">
        <f t="array" ref="K37">'net worth - cash and cash equiv'!D39</f>
        <v>0</v>
      </c>
      <c r="L37" s="403" cm="1">
        <f t="array" ref="L37">K37/'flujos - Gasto mensual'!$C37</f>
        <v>0</v>
      </c>
      <c r="M37" s="404"/>
      <c r="N37" s="402" cm="1">
        <f t="array" ref="N37">'net worth - criptomonedas'!B39</f>
        <v>0</v>
      </c>
      <c r="O37" s="403" cm="1">
        <f t="array" ref="O37">N37/'flujos - Gasto mensual'!$C37</f>
        <v>0</v>
      </c>
      <c r="P37" s="404"/>
      <c r="Q37" s="405" cm="1">
        <f t="array" ref="Q37">R37-B37</f>
        <v>620974</v>
      </c>
      <c r="R37" s="350" cm="1">
        <f t="array" ref="R37">K37+H37+N37+E37</f>
        <v>620974</v>
      </c>
      <c r="S37" s="406" cm="1">
        <f t="array" ref="S37">R37/'variables - Table 1-1'!B36</f>
        <v>744.4838748351521</v>
      </c>
      <c r="T37" s="403" cm="1">
        <f t="array" ref="T37">_xlfn.IFERROR(R37/'flujos - Gasto mensual'!$C37,0)</f>
        <v>1.59947145686784</v>
      </c>
      <c r="U37" s="350" cm="1">
        <f t="array" ref="U37">E37+H37+K37</f>
        <v>620974</v>
      </c>
      <c r="V37" s="403" cm="1">
        <f t="array" ref="V37">F37+O37+I37+L37</f>
        <v>1.59947145686784</v>
      </c>
    </row>
    <row r="38" ht="8.75" customHeight="1" hidden="1">
      <c r="A38" s="400">
        <v>43952</v>
      </c>
      <c r="B38" s="401"/>
      <c r="C38" s="402"/>
      <c r="D38" s="402"/>
      <c r="E38" s="402" cm="1">
        <f t="array" ref="E38">'net worth - retiro'!B40</f>
        <v>400000</v>
      </c>
      <c r="F38" s="403" cm="1">
        <f t="array" ref="F38">_xlfn.IFERROR(E38/'flujos - Gasto mensual'!C38,0)</f>
        <v>0</v>
      </c>
      <c r="G38" s="404"/>
      <c r="H38" s="350" cm="1">
        <f t="array" ref="H38">'net worth - brokerage'!B39</f>
        <v>0</v>
      </c>
      <c r="I38" s="403" cm="1">
        <f t="array" ref="I38">_xlfn.IFERROR(H38/'flujos - Gasto mensual'!$C38,0)</f>
        <v>0</v>
      </c>
      <c r="J38" s="404"/>
      <c r="K38" s="350" cm="1">
        <f t="array" ref="K38">'net worth - cash and cash equiv'!D40</f>
        <v>150000</v>
      </c>
      <c r="L38" s="403" cm="1">
        <f t="array" ref="L38">_xlfn.IFERROR(K38/'flujos - Gasto mensual'!$C38,0)</f>
        <v>0</v>
      </c>
      <c r="M38" s="404"/>
      <c r="N38" s="402" cm="1">
        <f t="array" ref="N38">'net worth - criptomonedas'!B40</f>
        <v>0</v>
      </c>
      <c r="O38" s="403" cm="1">
        <f t="array" ref="O38">_xlfn.IFERROR(N38/'flujos - Gasto mensual'!$C38,0)</f>
        <v>0</v>
      </c>
      <c r="P38" s="404"/>
      <c r="Q38" s="405" cm="1">
        <f t="array" ref="Q38">R38-B38</f>
        <v>550000</v>
      </c>
      <c r="R38" s="350" cm="1">
        <f t="array" ref="R38">K38+H38+N38+E38</f>
        <v>550000</v>
      </c>
      <c r="S38" s="406" cm="1">
        <f t="array" ref="S38">R38/'variables - Table 1-1'!B37</f>
        <v>680.608835540156</v>
      </c>
      <c r="T38" s="403" cm="1">
        <f t="array" ref="T38">_xlfn.IFERROR(R38/'flujos - Gasto mensual'!$C38,0)</f>
        <v>0</v>
      </c>
      <c r="U38" s="350" cm="1">
        <f t="array" ref="U38">E38+H38+K38</f>
        <v>550000</v>
      </c>
      <c r="V38" s="403" cm="1">
        <f t="array" ref="V38">F38+O38+I38+L38</f>
        <v>0</v>
      </c>
    </row>
    <row r="39" ht="8.75" customHeight="1" hidden="1">
      <c r="A39" s="400">
        <v>43983</v>
      </c>
      <c r="B39" s="401"/>
      <c r="C39" s="402"/>
      <c r="D39" s="402"/>
      <c r="E39" s="402" cm="1">
        <f t="array" ref="E39">'net worth - retiro'!B41</f>
        <v>0</v>
      </c>
      <c r="F39" s="403" cm="1">
        <f t="array" ref="F39">_xlfn.IFERROR(E39/'flujos - Gasto mensual'!C39,0)</f>
        <v>0</v>
      </c>
      <c r="G39" s="404"/>
      <c r="H39" s="350" cm="1">
        <f t="array" ref="H39">'net worth - brokerage'!B40</f>
        <v>0</v>
      </c>
      <c r="I39" s="403" cm="1">
        <f t="array" ref="I39">_xlfn.IFERROR(H39/'flujos - Gasto mensual'!$C39,0)</f>
        <v>0</v>
      </c>
      <c r="J39" s="404"/>
      <c r="K39" s="350" cm="1">
        <f t="array" ref="K39">'net worth - cash and cash equiv'!D41</f>
        <v>0</v>
      </c>
      <c r="L39" s="403" cm="1">
        <f t="array" ref="L39">_xlfn.IFERROR(K39/'flujos - Gasto mensual'!$C39,0)</f>
        <v>0</v>
      </c>
      <c r="M39" s="404"/>
      <c r="N39" s="402" cm="1">
        <f t="array" ref="N39">'net worth - criptomonedas'!B41</f>
        <v>0</v>
      </c>
      <c r="O39" s="403" cm="1">
        <f t="array" ref="O39">_xlfn.IFERROR(N39/'flujos - Gasto mensual'!$C39,0)</f>
        <v>0</v>
      </c>
      <c r="P39" s="404"/>
      <c r="Q39" s="405" cm="1">
        <f t="array" ref="Q39">R39-B39</f>
        <v>0</v>
      </c>
      <c r="R39" s="350" cm="1">
        <f t="array" ref="R39">K39+H39+N39+E39</f>
        <v>0</v>
      </c>
      <c r="S39" s="406" cm="1">
        <f t="array" ref="S39">R39/'variables - Table 1-1'!B38</f>
        <v>0</v>
      </c>
      <c r="T39" s="403" cm="1">
        <f t="array" ref="T39">_xlfn.IFERROR(R39/'flujos - Gasto mensual'!$C39,0)</f>
        <v>0</v>
      </c>
      <c r="U39" s="350" cm="1">
        <f t="array" ref="U39">E39+H39+K39</f>
        <v>0</v>
      </c>
      <c r="V39" s="403" cm="1">
        <f t="array" ref="V39">F39+O39+I39+L39</f>
        <v>0</v>
      </c>
    </row>
    <row r="40" ht="8.75" customHeight="1" hidden="1">
      <c r="A40" s="400">
        <v>44013</v>
      </c>
      <c r="B40" s="401"/>
      <c r="C40" s="402"/>
      <c r="D40" s="402"/>
      <c r="E40" s="402" cm="1">
        <f t="array" ref="E40">'net worth - retiro'!B42</f>
        <v>50131</v>
      </c>
      <c r="F40" s="403" cm="1">
        <f t="array" ref="F40">_xlfn.IFERROR(E40/'flujos - Gasto mensual'!C40,0)</f>
        <v>0</v>
      </c>
      <c r="G40" s="404"/>
      <c r="H40" s="350" cm="1">
        <f t="array" ref="H40">'net worth - brokerage'!B41</f>
        <v>0</v>
      </c>
      <c r="I40" s="403" cm="1">
        <f t="array" ref="I40">_xlfn.IFERROR(H40/'flujos - Gasto mensual'!$C40,0)</f>
        <v>0</v>
      </c>
      <c r="J40" s="404"/>
      <c r="K40" s="350" cm="1">
        <f t="array" ref="K40">'net worth - cash and cash equiv'!D42</f>
        <v>0</v>
      </c>
      <c r="L40" s="403" cm="1">
        <f t="array" ref="L40">_xlfn.IFERROR(K40/'flujos - Gasto mensual'!$C40,0)</f>
        <v>0</v>
      </c>
      <c r="M40" s="404"/>
      <c r="N40" s="402" cm="1">
        <f t="array" ref="N40">'net worth - criptomonedas'!B42</f>
        <v>0</v>
      </c>
      <c r="O40" s="403" cm="1">
        <f t="array" ref="O40">_xlfn.IFERROR(N40/'flujos - Gasto mensual'!$C40,0)</f>
        <v>0</v>
      </c>
      <c r="P40" s="404"/>
      <c r="Q40" s="405" cm="1">
        <f t="array" ref="Q40">R40-B40</f>
        <v>50131</v>
      </c>
      <c r="R40" s="350" cm="1">
        <f t="array" ref="R40">K40+H40+N40+E40</f>
        <v>50131</v>
      </c>
      <c r="S40" s="406" cm="1">
        <f t="array" ref="S40">R40/'variables - Table 1-1'!B39</f>
        <v>65.8751642575558</v>
      </c>
      <c r="T40" s="403" cm="1">
        <f t="array" ref="T40">_xlfn.IFERROR(R40/'flujos - Gasto mensual'!$C40,0)</f>
        <v>0</v>
      </c>
      <c r="U40" s="350" cm="1">
        <f t="array" ref="U40">E40+H40+K40</f>
        <v>50131</v>
      </c>
      <c r="V40" s="403" cm="1">
        <f t="array" ref="V40">F40+O40+I40+L40</f>
        <v>0</v>
      </c>
    </row>
    <row r="41" ht="8.75" customHeight="1" hidden="1">
      <c r="A41" s="400">
        <v>44044</v>
      </c>
      <c r="B41" s="401"/>
      <c r="C41" s="402"/>
      <c r="D41" s="402"/>
      <c r="E41" s="402" cm="1">
        <f t="array" ref="E41">'net worth - retiro'!B43</f>
        <v>278001</v>
      </c>
      <c r="F41" s="403" cm="1">
        <f t="array" ref="F41">_xlfn.IFERROR(E41/'flujos - Gasto mensual'!C41,0)</f>
        <v>0.110000557914492</v>
      </c>
      <c r="G41" s="404"/>
      <c r="H41" s="350" cm="1">
        <f t="array" ref="H41">'net worth - brokerage'!B42</f>
        <v>0</v>
      </c>
      <c r="I41" s="403" cm="1">
        <f t="array" ref="I41">_xlfn.IFERROR(H41/'flujos - Gasto mensual'!$C41,0)</f>
        <v>0</v>
      </c>
      <c r="J41" s="404"/>
      <c r="K41" s="350" cm="1">
        <f t="array" ref="K41">'net worth - cash and cash equiv'!D43</f>
        <v>0</v>
      </c>
      <c r="L41" s="403" cm="1">
        <f t="array" ref="L41">_xlfn.IFERROR(K41/'flujos - Gasto mensual'!$C41,0)</f>
        <v>0</v>
      </c>
      <c r="M41" s="404"/>
      <c r="N41" s="402" cm="1">
        <f t="array" ref="N41">'net worth - criptomonedas'!B43</f>
        <v>0</v>
      </c>
      <c r="O41" s="403" cm="1">
        <f t="array" ref="O41">_xlfn.IFERROR(N41/'flujos - Gasto mensual'!$C41,0)</f>
        <v>0</v>
      </c>
      <c r="P41" s="404"/>
      <c r="Q41" s="405" cm="1">
        <f t="array" ref="Q41">R41-B41</f>
        <v>278001</v>
      </c>
      <c r="R41" s="350" cm="1">
        <f t="array" ref="R41">K41+H41+N41+E41</f>
        <v>278001</v>
      </c>
      <c r="S41" s="406" cm="1">
        <f t="array" ref="S41">R41/'variables - Table 1-1'!B40</f>
        <v>356.869062901155</v>
      </c>
      <c r="T41" s="403" cm="1">
        <f t="array" ref="T41">_xlfn.IFERROR(R41/'flujos - Gasto mensual'!$C41,0)</f>
        <v>0.110000557914492</v>
      </c>
      <c r="U41" s="350" cm="1">
        <f t="array" ref="U41">E41+H41+K41</f>
        <v>278001</v>
      </c>
      <c r="V41" s="403" cm="1">
        <f t="array" ref="V41">F41+O41+I41+L41</f>
        <v>0.110000557914492</v>
      </c>
    </row>
    <row r="42" ht="8.75" customHeight="1" hidden="1">
      <c r="A42" s="400">
        <v>44075</v>
      </c>
      <c r="B42" s="401"/>
      <c r="C42" s="402"/>
      <c r="D42" s="402"/>
      <c r="E42" s="402" cm="1">
        <f t="array" ref="E42">'net worth - retiro'!B44</f>
        <v>278001</v>
      </c>
      <c r="F42" s="403" cm="1">
        <f t="array" ref="F42">_xlfn.IFERROR(E42/'flujos - Gasto mensual'!C42,0)</f>
        <v>0.114536528369113</v>
      </c>
      <c r="G42" s="404"/>
      <c r="H42" s="350" cm="1">
        <f t="array" ref="H42">'net worth - brokerage'!B43</f>
        <v>-3000000</v>
      </c>
      <c r="I42" s="403" cm="1">
        <f t="array" ref="I42">_xlfn.IFERROR(H42/'flujos - Gasto mensual'!$C42,0)</f>
        <v>-1.23600125577728</v>
      </c>
      <c r="J42" s="404"/>
      <c r="K42" s="350" cm="1">
        <f t="array" ref="K42">'net worth - cash and cash equiv'!D44</f>
        <v>0</v>
      </c>
      <c r="L42" s="403" cm="1">
        <f t="array" ref="L42">_xlfn.IFERROR(K42/'flujos - Gasto mensual'!$C42,0)</f>
        <v>0</v>
      </c>
      <c r="M42" s="404"/>
      <c r="N42" s="402" cm="1">
        <f t="array" ref="N42">'net worth - criptomonedas'!B44</f>
        <v>0</v>
      </c>
      <c r="O42" s="403" cm="1">
        <f t="array" ref="O42">_xlfn.IFERROR(N42/'flujos - Gasto mensual'!$C42,0)</f>
        <v>0</v>
      </c>
      <c r="P42" s="404"/>
      <c r="Q42" s="405" cm="1">
        <f t="array" ref="Q42">R42-B42</f>
        <v>-2721999</v>
      </c>
      <c r="R42" s="350" cm="1">
        <f t="array" ref="R42">K42+H42+N42+E42</f>
        <v>-2721999</v>
      </c>
      <c r="S42" s="406" cm="1">
        <f t="array" ref="S42">R42/'variables - Table 1-1'!B41</f>
        <v>-3471.494707307740</v>
      </c>
      <c r="T42" s="403" cm="1">
        <f t="array" ref="T42">_xlfn.IFERROR(R42/'flujos - Gasto mensual'!$C42,0)</f>
        <v>-1.12146472740816</v>
      </c>
      <c r="U42" s="350" cm="1">
        <f t="array" ref="U42">E42+H42+K42</f>
        <v>-2721999</v>
      </c>
      <c r="V42" s="403" cm="1">
        <f t="array" ref="V42">F42+O42+I42+L42</f>
        <v>-1.12146472740817</v>
      </c>
    </row>
    <row r="43" ht="8.75" customHeight="1" hidden="1">
      <c r="A43" s="400">
        <v>44105</v>
      </c>
      <c r="B43" s="401"/>
      <c r="C43" s="402"/>
      <c r="D43" s="402"/>
      <c r="E43" s="402" cm="1">
        <f t="array" ref="E43">'net worth - retiro'!B45</f>
        <v>878001</v>
      </c>
      <c r="F43" s="403" cm="1">
        <f t="array" ref="F43">_xlfn.IFERROR(E43/'flujos - Gasto mensual'!C43,0)</f>
        <v>0.36194271500424</v>
      </c>
      <c r="G43" s="404"/>
      <c r="H43" s="350" cm="1">
        <f t="array" ref="H43">'net worth - brokerage'!B44</f>
        <v>0</v>
      </c>
      <c r="I43" s="403" cm="1">
        <f t="array" ref="I43">_xlfn.IFERROR(H43/'flujos - Gasto mensual'!$C43,0)</f>
        <v>0</v>
      </c>
      <c r="J43" s="404"/>
      <c r="K43" s="350" cm="1">
        <f t="array" ref="K43">'net worth - cash and cash equiv'!D45</f>
        <v>0</v>
      </c>
      <c r="L43" s="403" cm="1">
        <f t="array" ref="L43">_xlfn.IFERROR(K43/'flujos - Gasto mensual'!$C43,0)</f>
        <v>0</v>
      </c>
      <c r="M43" s="404"/>
      <c r="N43" s="402" cm="1">
        <f t="array" ref="N43">'net worth - criptomonedas'!B45</f>
        <v>0</v>
      </c>
      <c r="O43" s="403" cm="1">
        <f t="array" ref="O43">_xlfn.IFERROR(N43/'flujos - Gasto mensual'!$C43,0)</f>
        <v>0</v>
      </c>
      <c r="P43" s="404"/>
      <c r="Q43" s="405" cm="1">
        <f t="array" ref="Q43">R43-B43</f>
        <v>878001</v>
      </c>
      <c r="R43" s="350" cm="1">
        <f t="array" ref="R43">K43+H43+N43+E43</f>
        <v>878001</v>
      </c>
      <c r="S43" s="406" cm="1">
        <f t="array" ref="S43">R43/'variables - Table 1-1'!B42</f>
        <v>1138.044069993520</v>
      </c>
      <c r="T43" s="403" cm="1">
        <f t="array" ref="T43">_xlfn.IFERROR(R43/'flujos - Gasto mensual'!$C43,0)</f>
        <v>0.36194271500424</v>
      </c>
      <c r="U43" s="350" cm="1">
        <f t="array" ref="U43">E43+H43+K43</f>
        <v>878001</v>
      </c>
      <c r="V43" s="403" cm="1">
        <f t="array" ref="V43">F43+O43+I43+L43</f>
        <v>0.36194271500424</v>
      </c>
    </row>
    <row r="44" ht="8.75" customHeight="1" hidden="1">
      <c r="A44" s="400">
        <v>44136</v>
      </c>
      <c r="B44" s="401"/>
      <c r="C44" s="402"/>
      <c r="D44" s="402"/>
      <c r="E44" s="402" cm="1">
        <f t="array" ref="E44">'net worth - retiro'!B46</f>
        <v>2278001</v>
      </c>
      <c r="F44" s="403" cm="1">
        <f t="array" ref="F44">_xlfn.IFERROR(E44/'flujos - Gasto mensual'!C44,0)</f>
        <v>0.9390379935100051</v>
      </c>
      <c r="G44" s="404"/>
      <c r="H44" s="350" cm="1">
        <f t="array" ref="H44">'net worth - brokerage'!B45</f>
        <v>0</v>
      </c>
      <c r="I44" s="403" cm="1">
        <f t="array" ref="I44">_xlfn.IFERROR(H44/'flujos - Gasto mensual'!$C44,0)</f>
        <v>0</v>
      </c>
      <c r="J44" s="404"/>
      <c r="K44" s="350" cm="1">
        <f t="array" ref="K44">'net worth - cash and cash equiv'!D46</f>
        <v>0</v>
      </c>
      <c r="L44" s="403" cm="1">
        <f t="array" ref="L44">_xlfn.IFERROR(K44/'flujos - Gasto mensual'!$C44,0)</f>
        <v>0</v>
      </c>
      <c r="M44" s="404"/>
      <c r="N44" s="402" cm="1">
        <f t="array" ref="N44">'net worth - criptomonedas'!B46</f>
        <v>0</v>
      </c>
      <c r="O44" s="403" cm="1">
        <f t="array" ref="O44">_xlfn.IFERROR(N44/'flujos - Gasto mensual'!$C44,0)</f>
        <v>0</v>
      </c>
      <c r="P44" s="404"/>
      <c r="Q44" s="405" cm="1">
        <f t="array" ref="Q44">R44-B44</f>
        <v>2278001</v>
      </c>
      <c r="R44" s="350" cm="1">
        <f t="array" ref="R44">K44+H44+N44+E44</f>
        <v>2278001</v>
      </c>
      <c r="S44" s="406" cm="1">
        <f t="array" ref="S44">R44/'variables - Table 1-1'!B43</f>
        <v>2965.374902369170</v>
      </c>
      <c r="T44" s="403" cm="1">
        <f t="array" ref="T44">_xlfn.IFERROR(R44/'flujos - Gasto mensual'!$C44,0)</f>
        <v>0.9390379935100051</v>
      </c>
      <c r="U44" s="350" cm="1">
        <f t="array" ref="U44">E44+H44+K44</f>
        <v>2278001</v>
      </c>
      <c r="V44" s="403" cm="1">
        <f t="array" ref="V44">F44+O44+I44+L44</f>
        <v>0.9390379935100051</v>
      </c>
    </row>
    <row r="45" ht="8.75" customHeight="1" hidden="1">
      <c r="A45" s="400">
        <v>44166</v>
      </c>
      <c r="B45" s="401"/>
      <c r="C45" s="402"/>
      <c r="D45" s="402"/>
      <c r="E45" s="402" cm="1">
        <f t="array" ref="E45">'net worth - retiro'!B47</f>
        <v>819422</v>
      </c>
      <c r="F45" s="403" cm="1">
        <f t="array" ref="F45">_xlfn.IFERROR(E45/'flujos - Gasto mensual'!C45,0)</f>
        <v>0.336471293536016</v>
      </c>
      <c r="G45" s="404"/>
      <c r="H45" s="350" cm="1">
        <f t="array" ref="H45">'net worth - brokerage'!B46</f>
        <v>0</v>
      </c>
      <c r="I45" s="403" cm="1">
        <f t="array" ref="I45">_xlfn.IFERROR(H45/'flujos - Gasto mensual'!$C45,0)</f>
        <v>0</v>
      </c>
      <c r="J45" s="404"/>
      <c r="K45" s="350" cm="1">
        <f t="array" ref="K45">'net worth - cash and cash equiv'!D47</f>
        <v>0</v>
      </c>
      <c r="L45" s="403" cm="1">
        <f t="array" ref="L45">_xlfn.IFERROR(K45/'flujos - Gasto mensual'!$C45,0)</f>
        <v>0</v>
      </c>
      <c r="M45" s="404"/>
      <c r="N45" s="402" cm="1">
        <f t="array" ref="N45">'net worth - criptomonedas'!B47</f>
        <v>0</v>
      </c>
      <c r="O45" s="403" cm="1">
        <f t="array" ref="O45">_xlfn.IFERROR(N45/'flujos - Gasto mensual'!$C45,0)</f>
        <v>0</v>
      </c>
      <c r="P45" s="404"/>
      <c r="Q45" s="405" cm="1">
        <f t="array" ref="Q45">R45-B45</f>
        <v>819422</v>
      </c>
      <c r="R45" s="350" cm="1">
        <f t="array" ref="R45">K45+H45+N45+E45</f>
        <v>819422</v>
      </c>
      <c r="S45" s="406" cm="1">
        <f t="array" ref="S45">R45/'variables - Table 1-1'!B44</f>
        <v>1152.492264416320</v>
      </c>
      <c r="T45" s="403" cm="1">
        <f t="array" ref="T45">_xlfn.IFERROR(R45/'flujos - Gasto mensual'!$C45,0)</f>
        <v>0.336471293536016</v>
      </c>
      <c r="U45" s="350" cm="1">
        <f t="array" ref="U45">E45+H45+K45</f>
        <v>819422</v>
      </c>
      <c r="V45" s="403" cm="1">
        <f t="array" ref="V45">F45+O45+I45+L45</f>
        <v>0.336471293536016</v>
      </c>
    </row>
    <row r="46" ht="8.75" customHeight="1" hidden="1">
      <c r="A46" s="400">
        <v>44197</v>
      </c>
      <c r="B46" s="401"/>
      <c r="C46" s="402"/>
      <c r="D46" s="402"/>
      <c r="E46" s="402" cm="1">
        <f t="array" ref="E46">'net worth - retiro'!B48</f>
        <v>278053</v>
      </c>
      <c r="F46" s="403" cm="1">
        <f t="array" ref="F46">_xlfn.IFERROR(E46/'flujos - Gasto mensual'!C46,0)</f>
        <v>0.08806145898258361</v>
      </c>
      <c r="G46" s="404"/>
      <c r="H46" s="350" cm="1">
        <f t="array" ref="H46">'net worth - brokerage'!B47</f>
        <v>0</v>
      </c>
      <c r="I46" s="403" cm="1">
        <f t="array" ref="I46">_xlfn.IFERROR(H46/'flujos - Gasto mensual'!$C46,0)</f>
        <v>0</v>
      </c>
      <c r="J46" s="404"/>
      <c r="K46" s="350" cm="1">
        <f t="array" ref="K46">'net worth - cash and cash equiv'!D48</f>
        <v>400000</v>
      </c>
      <c r="L46" s="403" cm="1">
        <f t="array" ref="L46">_xlfn.IFERROR(K46/'flujos - Gasto mensual'!$C46,0)</f>
        <v>0.126682983434933</v>
      </c>
      <c r="M46" s="404"/>
      <c r="N46" s="402" cm="1">
        <f t="array" ref="N46">'net worth - criptomonedas'!B48</f>
        <v>-2200000</v>
      </c>
      <c r="O46" s="403" cm="1">
        <f t="array" ref="O46">_xlfn.IFERROR(N46/'flujos - Gasto mensual'!$C46,0)</f>
        <v>-0.696756408892132</v>
      </c>
      <c r="P46" s="404"/>
      <c r="Q46" s="405" cm="1">
        <f t="array" ref="Q46">R46-B46</f>
        <v>-1521947</v>
      </c>
      <c r="R46" s="350" cm="1">
        <f t="array" ref="R46">K46+H46+N46+E46</f>
        <v>-1521947</v>
      </c>
      <c r="S46" s="406" cm="1">
        <f t="array" ref="S46">R46/'variables - Table 1-1'!B45</f>
        <v>-2069.268524813050</v>
      </c>
      <c r="T46" s="403" cm="1">
        <f t="array" ref="T46">_xlfn.IFERROR(R46/'flujos - Gasto mensual'!$C46,0)</f>
        <v>-0.482011966474615</v>
      </c>
      <c r="U46" s="350" cm="1">
        <f t="array" ref="U46">E46+H46+K46</f>
        <v>678053</v>
      </c>
      <c r="V46" s="403" cm="1">
        <f t="array" ref="V46">F46+O46+I46+L46</f>
        <v>-0.482011966474615</v>
      </c>
    </row>
    <row r="47" ht="8.75" customHeight="1" hidden="1">
      <c r="A47" s="400">
        <v>44228</v>
      </c>
      <c r="B47" s="401"/>
      <c r="C47" s="402"/>
      <c r="D47" s="402"/>
      <c r="E47" s="402" cm="1">
        <f t="array" ref="E47">'net worth - retiro'!B49</f>
        <v>102304</v>
      </c>
      <c r="F47" s="403" cm="1">
        <f t="array" ref="F47">_xlfn.IFERROR(E47/'flujos - Gasto mensual'!C47,0)</f>
        <v>0.0241379798504117</v>
      </c>
      <c r="G47" s="404"/>
      <c r="H47" s="350" cm="1">
        <f t="array" ref="H47">'net worth - brokerage'!B48</f>
        <v>0</v>
      </c>
      <c r="I47" s="403" cm="1">
        <f t="array" ref="I47">_xlfn.IFERROR(H47/'flujos - Gasto mensual'!$C47,0)</f>
        <v>0</v>
      </c>
      <c r="J47" s="404"/>
      <c r="K47" s="350" cm="1">
        <f t="array" ref="K47">'net worth - cash and cash equiv'!D49</f>
        <v>1000000</v>
      </c>
      <c r="L47" s="403" cm="1">
        <f t="array" ref="L47">_xlfn.IFERROR(K47/'flujos - Gasto mensual'!$C47,0)</f>
        <v>0.235943656654791</v>
      </c>
      <c r="M47" s="404"/>
      <c r="N47" s="402" cm="1">
        <f t="array" ref="N47">'net worth - criptomonedas'!B49</f>
        <v>-1500000</v>
      </c>
      <c r="O47" s="403" cm="1">
        <f t="array" ref="O47">_xlfn.IFERROR(N47/'flujos - Gasto mensual'!$C47,0)</f>
        <v>-0.353915484982186</v>
      </c>
      <c r="P47" s="404"/>
      <c r="Q47" s="405" cm="1">
        <f t="array" ref="Q47">R47-B47</f>
        <v>-397696</v>
      </c>
      <c r="R47" s="350" cm="1">
        <f t="array" ref="R47">K47+H47+N47+E47</f>
        <v>-397696</v>
      </c>
      <c r="S47" s="406" cm="1">
        <f t="array" ref="S47">R47/'variables - Table 1-1'!B46</f>
        <v>-555.829489867226</v>
      </c>
      <c r="T47" s="403" cm="1">
        <f t="array" ref="T47">_xlfn.IFERROR(R47/'flujos - Gasto mensual'!$C47,0)</f>
        <v>-0.0938338484769837</v>
      </c>
      <c r="U47" s="350" cm="1">
        <f t="array" ref="U47">E47+H47+K47</f>
        <v>1102304</v>
      </c>
      <c r="V47" s="403" cm="1">
        <f t="array" ref="V47">F47+O47+I47+L47</f>
        <v>-0.0938338484769833</v>
      </c>
    </row>
    <row r="48" ht="8.75" customHeight="1" hidden="1">
      <c r="A48" s="400">
        <v>44256</v>
      </c>
      <c r="B48" s="401"/>
      <c r="C48" s="402"/>
      <c r="D48" s="402"/>
      <c r="E48" s="402" cm="1">
        <f t="array" ref="E48">'net worth - retiro'!B50</f>
        <v>230355</v>
      </c>
      <c r="F48" s="403" cm="1">
        <f t="array" ref="F48">_xlfn.IFERROR(E48/'flujos - Gasto mensual'!C48,0)</f>
        <v>0.0741546361817839</v>
      </c>
      <c r="G48" s="404"/>
      <c r="H48" s="350" cm="1">
        <f t="array" ref="H48">'net worth - brokerage'!B49</f>
        <v>0</v>
      </c>
      <c r="I48" s="403" cm="1">
        <f t="array" ref="I48">_xlfn.IFERROR(H48/'flujos - Gasto mensual'!$C48,0)</f>
        <v>0</v>
      </c>
      <c r="J48" s="404"/>
      <c r="K48" s="350" cm="1">
        <f t="array" ref="K48">'net worth - cash and cash equiv'!D50</f>
        <v>1500000</v>
      </c>
      <c r="L48" s="403" cm="1">
        <f t="array" ref="L48">_xlfn.IFERROR(K48/'flujos - Gasto mensual'!$C48,0)</f>
        <v>0.482871890224548</v>
      </c>
      <c r="M48" s="404"/>
      <c r="N48" s="402" cm="1">
        <f t="array" ref="N48">'net worth - criptomonedas'!B50</f>
        <v>0</v>
      </c>
      <c r="O48" s="403" cm="1">
        <f t="array" ref="O48">_xlfn.IFERROR(N48/'flujos - Gasto mensual'!$C48,0)</f>
        <v>0</v>
      </c>
      <c r="P48" s="404"/>
      <c r="Q48" s="405" cm="1">
        <f t="array" ref="Q48">R48-B48</f>
        <v>1730355</v>
      </c>
      <c r="R48" s="350" cm="1">
        <f t="array" ref="R48">K48+H48+N48+E48</f>
        <v>1730355</v>
      </c>
      <c r="S48" s="406" cm="1">
        <f t="array" ref="S48">R48/'variables - Table 1-1'!B47</f>
        <v>2374.252195389680</v>
      </c>
      <c r="T48" s="403" cm="1">
        <f t="array" ref="T48">_xlfn.IFERROR(R48/'flujos - Gasto mensual'!$C48,0)</f>
        <v>0.557026526406332</v>
      </c>
      <c r="U48" s="350" cm="1">
        <f t="array" ref="U48">E48+H48+K48</f>
        <v>1730355</v>
      </c>
      <c r="V48" s="403" cm="1">
        <f t="array" ref="V48">F48+O48+I48+L48</f>
        <v>0.557026526406332</v>
      </c>
    </row>
    <row r="49" ht="8.75" customHeight="1" hidden="1">
      <c r="A49" s="400">
        <v>44287</v>
      </c>
      <c r="B49" s="401"/>
      <c r="C49" s="402"/>
      <c r="D49" s="402"/>
      <c r="E49" s="402" cm="1">
        <f t="array" ref="E49">'net worth - retiro'!B51</f>
        <v>0</v>
      </c>
      <c r="F49" s="403" cm="1">
        <f t="array" ref="F49">_xlfn.IFERROR(E49/'flujos - Gasto mensual'!C49,0)</f>
        <v>0</v>
      </c>
      <c r="G49" s="404"/>
      <c r="H49" s="350" cm="1">
        <f t="array" ref="H49">'net worth - brokerage'!B50</f>
        <v>600000</v>
      </c>
      <c r="I49" s="403" cm="1">
        <f t="array" ref="I49">_xlfn.IFERROR(H49/'flujos - Gasto mensual'!$C49,0)</f>
        <v>0.193148756089819</v>
      </c>
      <c r="J49" s="404"/>
      <c r="K49" s="350" cm="1">
        <f t="array" ref="K49">'net worth - cash and cash equiv'!D51</f>
        <v>814182</v>
      </c>
      <c r="L49" s="403" cm="1">
        <f t="array" ref="L49">_xlfn.IFERROR(K49/'flujos - Gasto mensual'!$C49,0)</f>
        <v>0.262097067551202</v>
      </c>
      <c r="M49" s="404"/>
      <c r="N49" s="402" cm="1">
        <f t="array" ref="N49">'net worth - criptomonedas'!B51</f>
        <v>0</v>
      </c>
      <c r="O49" s="403" cm="1">
        <f t="array" ref="O49">_xlfn.IFERROR(N49/'flujos - Gasto mensual'!$C49,0)</f>
        <v>0</v>
      </c>
      <c r="P49" s="404"/>
      <c r="Q49" s="405" cm="1">
        <f t="array" ref="Q49">R49-B49</f>
        <v>1414182</v>
      </c>
      <c r="R49" s="350" cm="1">
        <f t="array" ref="R49">K49+H49+N49+E49</f>
        <v>1414182</v>
      </c>
      <c r="S49" s="406" cm="1">
        <f t="array" ref="S49">R49/'variables - Table 1-1'!B48</f>
        <v>1994.896318239530</v>
      </c>
      <c r="T49" s="403" cm="1">
        <f t="array" ref="T49">_xlfn.IFERROR(R49/'flujos - Gasto mensual'!$C49,0)</f>
        <v>0.455245823641021</v>
      </c>
      <c r="U49" s="350" cm="1">
        <f t="array" ref="U49">E49+H49+K49</f>
        <v>1414182</v>
      </c>
      <c r="V49" s="403" cm="1">
        <f t="array" ref="V49">F49+O49+I49+L49</f>
        <v>0.455245823641021</v>
      </c>
    </row>
    <row r="50" ht="8.75" customHeight="1" hidden="1">
      <c r="A50" s="400">
        <v>44317</v>
      </c>
      <c r="B50" s="401"/>
      <c r="C50" s="402"/>
      <c r="D50" s="402"/>
      <c r="E50" s="402" cm="1">
        <f t="array" ref="E50">'net worth - retiro'!B52</f>
        <v>-1020863</v>
      </c>
      <c r="F50" s="403" cm="1">
        <f t="array" ref="F50">_xlfn.IFERROR(E50/'flujos - Gasto mensual'!C50,0)</f>
        <v>-0.297907451866607</v>
      </c>
      <c r="G50" s="404"/>
      <c r="H50" s="350" cm="1">
        <f t="array" ref="H50">'net worth - brokerage'!B51</f>
        <v>600000</v>
      </c>
      <c r="I50" s="403" cm="1">
        <f t="array" ref="I50">_xlfn.IFERROR(H50/'flujos - Gasto mensual'!$C50,0)</f>
        <v>0.175091536396132</v>
      </c>
      <c r="J50" s="404"/>
      <c r="K50" s="350" cm="1">
        <f t="array" ref="K50">'net worth - cash and cash equiv'!D52</f>
        <v>1000000</v>
      </c>
      <c r="L50" s="403" cm="1">
        <f t="array" ref="L50">_xlfn.IFERROR(K50/'flujos - Gasto mensual'!$C50,0)</f>
        <v>0.291819227326886</v>
      </c>
      <c r="M50" s="404"/>
      <c r="N50" s="402" cm="1">
        <f t="array" ref="N50">'net worth - criptomonedas'!B52</f>
        <v>-1000000</v>
      </c>
      <c r="O50" s="403" cm="1">
        <f t="array" ref="O50">_xlfn.IFERROR(N50/'flujos - Gasto mensual'!$C50,0)</f>
        <v>-0.291819227326886</v>
      </c>
      <c r="P50" s="404"/>
      <c r="Q50" s="405" cm="1">
        <f t="array" ref="Q50">R50-B50</f>
        <v>-420863</v>
      </c>
      <c r="R50" s="350" cm="1">
        <f t="array" ref="R50">K50+H50+N50+E50</f>
        <v>-420863</v>
      </c>
      <c r="S50" s="406" cm="1">
        <f t="array" ref="S50">R50/'variables - Table 1-1'!B49</f>
        <v>-581.302486187845</v>
      </c>
      <c r="T50" s="403" cm="1">
        <f t="array" ref="T50">_xlfn.IFERROR(R50/'flujos - Gasto mensual'!$C50,0)</f>
        <v>-0.122815915470475</v>
      </c>
      <c r="U50" s="350" cm="1">
        <f t="array" ref="U50">E50+H50+K50</f>
        <v>579137</v>
      </c>
      <c r="V50" s="403" cm="1">
        <f t="array" ref="V50">F50+O50+I50+L50</f>
        <v>-0.122815915470475</v>
      </c>
    </row>
    <row r="51" ht="8.75" customHeight="1" hidden="1">
      <c r="A51" s="400">
        <v>44348</v>
      </c>
      <c r="B51" s="401"/>
      <c r="C51" s="402"/>
      <c r="D51" s="402"/>
      <c r="E51" s="402" cm="1">
        <f t="array" ref="E51">'net worth - retiro'!B53</f>
        <v>0</v>
      </c>
      <c r="F51" s="403" cm="1">
        <f t="array" ref="F51">_xlfn.IFERROR(E51/'flujos - Gasto mensual'!C51,0)</f>
        <v>0</v>
      </c>
      <c r="G51" s="404"/>
      <c r="H51" s="350" cm="1">
        <f t="array" ref="H51">'net worth - brokerage'!B52</f>
        <v>700000</v>
      </c>
      <c r="I51" s="403" cm="1">
        <f t="array" ref="I51">_xlfn.IFERROR(H51/'flujos - Gasto mensual'!$C51,0)</f>
        <v>0.217589635273145</v>
      </c>
      <c r="J51" s="404"/>
      <c r="K51" s="350" cm="1">
        <f t="array" ref="K51">'net worth - cash and cash equiv'!D53</f>
        <v>1000000</v>
      </c>
      <c r="L51" s="403" cm="1">
        <f t="array" ref="L51">_xlfn.IFERROR(K51/'flujos - Gasto mensual'!$C51,0)</f>
        <v>0.310842336104493</v>
      </c>
      <c r="M51" s="404"/>
      <c r="N51" s="402" cm="1">
        <f t="array" ref="N51">'net worth - criptomonedas'!B53</f>
        <v>0</v>
      </c>
      <c r="O51" s="403" cm="1">
        <f t="array" ref="O51">_xlfn.IFERROR(N51/'flujos - Gasto mensual'!$C51,0)</f>
        <v>0</v>
      </c>
      <c r="P51" s="404"/>
      <c r="Q51" s="405" cm="1">
        <f t="array" ref="Q51">R51-B51</f>
        <v>1700000</v>
      </c>
      <c r="R51" s="350" cm="1">
        <f t="array" ref="R51">K51+H51+N51+E51</f>
        <v>1700000</v>
      </c>
      <c r="S51" s="406" cm="1">
        <f t="array" ref="S51">R51/'variables - Table 1-1'!B50</f>
        <v>2337.733773377340</v>
      </c>
      <c r="T51" s="403" cm="1">
        <f t="array" ref="T51">_xlfn.IFERROR(R51/'flujos - Gasto mensual'!$C51,0)</f>
        <v>0.528431971377638</v>
      </c>
      <c r="U51" s="350" cm="1">
        <f t="array" ref="U51">E51+H51+K51</f>
        <v>1700000</v>
      </c>
      <c r="V51" s="403" cm="1">
        <f t="array" ref="V51">F51+O51+I51+L51</f>
        <v>0.528431971377638</v>
      </c>
    </row>
    <row r="52" ht="8.75" customHeight="1" hidden="1">
      <c r="A52" s="400">
        <v>44378</v>
      </c>
      <c r="B52" s="401"/>
      <c r="C52" s="402"/>
      <c r="D52" s="402"/>
      <c r="E52" s="402" cm="1">
        <f t="array" ref="E52">'net worth - retiro'!B54</f>
        <v>0</v>
      </c>
      <c r="F52" s="403" cm="1">
        <f t="array" ref="F52">_xlfn.IFERROR(E52/'flujos - Gasto mensual'!C52,0)</f>
        <v>0</v>
      </c>
      <c r="G52" s="404"/>
      <c r="H52" s="350" cm="1">
        <f t="array" ref="H52">'net worth - brokerage'!B53</f>
        <v>600000</v>
      </c>
      <c r="I52" s="403" cm="1">
        <f t="array" ref="I52">_xlfn.IFERROR(H52/'flujos - Gasto mensual'!$C52,0)</f>
        <v>0.183561908701202</v>
      </c>
      <c r="J52" s="404"/>
      <c r="K52" s="350" cm="1">
        <f t="array" ref="K52">'net worth - cash and cash equiv'!D54</f>
        <v>27729</v>
      </c>
      <c r="L52" s="403" cm="1">
        <f t="array" ref="L52">_xlfn.IFERROR(K52/'flujos - Gasto mensual'!$C52,0)</f>
        <v>0.00848331361062603</v>
      </c>
      <c r="M52" s="404"/>
      <c r="N52" s="402" cm="1">
        <f t="array" ref="N52">'net worth - criptomonedas'!B54</f>
        <v>0</v>
      </c>
      <c r="O52" s="403" cm="1">
        <f t="array" ref="O52">_xlfn.IFERROR(N52/'flujos - Gasto mensual'!$C52,0)</f>
        <v>0</v>
      </c>
      <c r="P52" s="404"/>
      <c r="Q52" s="405" cm="1">
        <f t="array" ref="Q52">R52-B52</f>
        <v>627729</v>
      </c>
      <c r="R52" s="350" cm="1">
        <f t="array" ref="R52">K52+H52+N52+E52</f>
        <v>627729</v>
      </c>
      <c r="S52" s="406" cm="1">
        <f t="array" ref="S52">R52/'variables - Table 1-1'!B51</f>
        <v>826.198373213299</v>
      </c>
      <c r="T52" s="403" cm="1">
        <f t="array" ref="T52">_xlfn.IFERROR(R52/'flujos - Gasto mensual'!$C52,0)</f>
        <v>0.192045222311828</v>
      </c>
      <c r="U52" s="350" cm="1">
        <f t="array" ref="U52">E52+H52+K52</f>
        <v>627729</v>
      </c>
      <c r="V52" s="403" cm="1">
        <f t="array" ref="V52">F52+O52+I52+L52</f>
        <v>0.192045222311828</v>
      </c>
    </row>
    <row r="53" ht="8.75" customHeight="1" hidden="1">
      <c r="A53" s="400">
        <v>44409</v>
      </c>
      <c r="B53" s="401"/>
      <c r="C53" s="402"/>
      <c r="D53" s="402"/>
      <c r="E53" s="402" cm="1">
        <f t="array" ref="E53">'net worth - retiro'!B55</f>
        <v>0</v>
      </c>
      <c r="F53" s="403" cm="1">
        <f t="array" ref="F53">_xlfn.IFERROR(E53/'flujos - Gasto mensual'!C53,0)</f>
        <v>0</v>
      </c>
      <c r="G53" s="404"/>
      <c r="H53" s="350" cm="1">
        <f t="array" ref="H53">'net worth - brokerage'!B54</f>
        <v>0</v>
      </c>
      <c r="I53" s="403" cm="1">
        <f t="array" ref="I53">_xlfn.IFERROR(H53/'flujos - Gasto mensual'!$C53,0)</f>
        <v>0</v>
      </c>
      <c r="J53" s="404"/>
      <c r="K53" s="350" cm="1">
        <f t="array" ref="K53">'net worth - cash and cash equiv'!D55</f>
        <v>0</v>
      </c>
      <c r="L53" s="403" cm="1">
        <f t="array" ref="L53">_xlfn.IFERROR(K53/'flujos - Gasto mensual'!$C53,0)</f>
        <v>0</v>
      </c>
      <c r="M53" s="404"/>
      <c r="N53" s="402" cm="1">
        <f t="array" ref="N53">'net worth - criptomonedas'!B55</f>
        <v>0</v>
      </c>
      <c r="O53" s="403" cm="1">
        <f t="array" ref="O53">_xlfn.IFERROR(N53/'flujos - Gasto mensual'!$C53,0)</f>
        <v>0</v>
      </c>
      <c r="P53" s="404"/>
      <c r="Q53" s="405" cm="1">
        <f t="array" ref="Q53">R53-B53</f>
        <v>0</v>
      </c>
      <c r="R53" s="350" cm="1">
        <f t="array" ref="R53">K53+H53+N53+E53</f>
        <v>0</v>
      </c>
      <c r="S53" s="406" cm="1">
        <f t="array" ref="S53">R53/'variables - Table 1-1'!B52</f>
        <v>0</v>
      </c>
      <c r="T53" s="403" cm="1">
        <f t="array" ref="T53">_xlfn.IFERROR(R53/'flujos - Gasto mensual'!$C53,0)</f>
        <v>0</v>
      </c>
      <c r="U53" s="350" cm="1">
        <f t="array" ref="U53">E53+H53+K53</f>
        <v>0</v>
      </c>
      <c r="V53" s="403" cm="1">
        <f t="array" ref="V53">F53+O53+I53+L53</f>
        <v>0</v>
      </c>
    </row>
    <row r="54" ht="8.75" customHeight="1" hidden="1">
      <c r="A54" s="400">
        <v>44440</v>
      </c>
      <c r="B54" s="401"/>
      <c r="C54" s="402"/>
      <c r="D54" s="402"/>
      <c r="E54" s="402" cm="1">
        <f t="array" ref="E54">'net worth - retiro'!B56</f>
        <v>0</v>
      </c>
      <c r="F54" s="403" cm="1">
        <f t="array" ref="F54">_xlfn.IFERROR(E54/'flujos - Gasto mensual'!C54,0)</f>
        <v>0</v>
      </c>
      <c r="G54" s="404"/>
      <c r="H54" s="350" cm="1">
        <f t="array" ref="H54">'net worth - brokerage'!B55</f>
        <v>0</v>
      </c>
      <c r="I54" s="403" cm="1">
        <f t="array" ref="I54">_xlfn.IFERROR(H54/'flujos - Gasto mensual'!$C54,0)</f>
        <v>0</v>
      </c>
      <c r="J54" s="404"/>
      <c r="K54" s="350" cm="1">
        <f t="array" ref="K54">'net worth - cash and cash equiv'!D56</f>
        <v>0</v>
      </c>
      <c r="L54" s="403" cm="1">
        <f t="array" ref="L54">_xlfn.IFERROR(K54/'flujos - Gasto mensual'!$C54,0)</f>
        <v>0</v>
      </c>
      <c r="M54" s="404"/>
      <c r="N54" s="402" cm="1">
        <f t="array" ref="N54">'net worth - criptomonedas'!B56</f>
        <v>0</v>
      </c>
      <c r="O54" s="403" cm="1">
        <f t="array" ref="O54">_xlfn.IFERROR(N54/'flujos - Gasto mensual'!$C54,0)</f>
        <v>0</v>
      </c>
      <c r="P54" s="404"/>
      <c r="Q54" s="405" cm="1">
        <f t="array" ref="Q54">R54-B54</f>
        <v>0</v>
      </c>
      <c r="R54" s="350" cm="1">
        <f t="array" ref="R54">K54+H54+N54+E54</f>
        <v>0</v>
      </c>
      <c r="S54" s="406" cm="1">
        <f t="array" ref="S54">R54/'variables - Table 1-1'!B53</f>
        <v>0</v>
      </c>
      <c r="T54" s="403" cm="1">
        <f t="array" ref="T54">_xlfn.IFERROR(R54/'flujos - Gasto mensual'!$C54,0)</f>
        <v>0</v>
      </c>
      <c r="U54" s="350" cm="1">
        <f t="array" ref="U54">E54+H54+K54</f>
        <v>0</v>
      </c>
      <c r="V54" s="403" cm="1">
        <f t="array" ref="V54">F54+O54+I54+L54</f>
        <v>0</v>
      </c>
    </row>
    <row r="55" ht="8.75" customHeight="1" hidden="1">
      <c r="A55" s="400">
        <v>44470</v>
      </c>
      <c r="B55" s="401"/>
      <c r="C55" s="402"/>
      <c r="D55" s="402"/>
      <c r="E55" s="402" cm="1">
        <f t="array" ref="E55">'net worth - retiro'!B57</f>
        <v>0</v>
      </c>
      <c r="F55" s="403" cm="1">
        <f t="array" ref="F55">_xlfn.IFERROR(E55/'flujos - Gasto mensual'!C55,0)</f>
        <v>0</v>
      </c>
      <c r="G55" s="404"/>
      <c r="H55" s="350" cm="1">
        <f t="array" ref="H55">'net worth - brokerage'!B56</f>
        <v>0</v>
      </c>
      <c r="I55" s="403" cm="1">
        <f t="array" ref="I55">_xlfn.IFERROR(H55/'flujos - Gasto mensual'!$C55,0)</f>
        <v>0</v>
      </c>
      <c r="J55" s="404"/>
      <c r="K55" s="350" cm="1">
        <f t="array" ref="K55">'net worth - cash and cash equiv'!D57</f>
        <v>0</v>
      </c>
      <c r="L55" s="403" cm="1">
        <f t="array" ref="L55">_xlfn.IFERROR(K55/'flujos - Gasto mensual'!$C55,0)</f>
        <v>0</v>
      </c>
      <c r="M55" s="404"/>
      <c r="N55" s="402" cm="1">
        <f t="array" ref="N55">'net worth - criptomonedas'!B57</f>
        <v>0</v>
      </c>
      <c r="O55" s="403" cm="1">
        <f t="array" ref="O55">_xlfn.IFERROR(N55/'flujos - Gasto mensual'!$C55,0)</f>
        <v>0</v>
      </c>
      <c r="P55" s="404"/>
      <c r="Q55" s="405" cm="1">
        <f t="array" ref="Q55">R55-B55</f>
        <v>0</v>
      </c>
      <c r="R55" s="350" cm="1">
        <f t="array" ref="R55">K55+H55+N55+E55</f>
        <v>0</v>
      </c>
      <c r="S55" s="406" cm="1">
        <f t="array" ref="S55">R55/'variables - Table 1-1'!B54</f>
        <v>0</v>
      </c>
      <c r="T55" s="403" cm="1">
        <f t="array" ref="T55">_xlfn.IFERROR(R55/'flujos - Gasto mensual'!$C55,0)</f>
        <v>0</v>
      </c>
      <c r="U55" s="350" cm="1">
        <f t="array" ref="U55">E55+H55+K55</f>
        <v>0</v>
      </c>
      <c r="V55" s="403" cm="1">
        <f t="array" ref="V55">F55+O55+I55+L55</f>
        <v>0</v>
      </c>
    </row>
    <row r="56" ht="8.75" customHeight="1" hidden="1">
      <c r="A56" s="400">
        <v>44501</v>
      </c>
      <c r="B56" s="401"/>
      <c r="C56" s="402"/>
      <c r="D56" s="402"/>
      <c r="E56" s="402" cm="1">
        <f t="array" ref="E56">'net worth - retiro'!B58</f>
        <v>0</v>
      </c>
      <c r="F56" s="403" cm="1">
        <f t="array" ref="F56">_xlfn.IFERROR(E56/'flujos - Gasto mensual'!C56,0)</f>
        <v>0</v>
      </c>
      <c r="G56" s="404"/>
      <c r="H56" s="350" cm="1">
        <f t="array" ref="H56">'net worth - brokerage'!B57</f>
        <v>0</v>
      </c>
      <c r="I56" s="403" cm="1">
        <f t="array" ref="I56">_xlfn.IFERROR(H56/'flujos - Gasto mensual'!$C56,0)</f>
        <v>0</v>
      </c>
      <c r="J56" s="404"/>
      <c r="K56" s="350" cm="1">
        <f t="array" ref="K56">'net worth - cash and cash equiv'!D58</f>
        <v>-800000</v>
      </c>
      <c r="L56" s="403" cm="1">
        <f t="array" ref="L56">_xlfn.IFERROR(K56/'flujos - Gasto mensual'!$C56,0)</f>
        <v>0</v>
      </c>
      <c r="M56" s="404"/>
      <c r="N56" s="402" cm="1">
        <f t="array" ref="N56">'net worth - criptomonedas'!B58</f>
        <v>0</v>
      </c>
      <c r="O56" s="403" cm="1">
        <f t="array" ref="O56">_xlfn.IFERROR(N56/'flujos - Gasto mensual'!$C56,0)</f>
        <v>0</v>
      </c>
      <c r="P56" s="404"/>
      <c r="Q56" s="405" cm="1">
        <f t="array" ref="Q56">R56-B56</f>
        <v>-800000</v>
      </c>
      <c r="R56" s="350" cm="1">
        <f t="array" ref="R56">K56+H56+N56+E56</f>
        <v>-800000</v>
      </c>
      <c r="S56" s="406" cm="1">
        <f t="array" ref="S56">R56/'variables - Table 1-1'!B55</f>
        <v>-948.429164196799</v>
      </c>
      <c r="T56" s="403" cm="1">
        <f t="array" ref="T56">_xlfn.IFERROR(R56/'flujos - Gasto mensual'!$C56,0)</f>
        <v>0</v>
      </c>
      <c r="U56" s="350" cm="1">
        <f t="array" ref="U56">E56+H56+K56</f>
        <v>-800000</v>
      </c>
      <c r="V56" s="403" cm="1">
        <f t="array" ref="V56">F56+O56+I56+L56</f>
        <v>0</v>
      </c>
    </row>
    <row r="57" ht="8.75" customHeight="1" hidden="1">
      <c r="A57" s="400">
        <v>44531</v>
      </c>
      <c r="B57" s="401"/>
      <c r="C57" s="402"/>
      <c r="D57" s="402"/>
      <c r="E57" s="402" cm="1">
        <f t="array" ref="E57">'net worth - retiro'!B59</f>
        <v>166840</v>
      </c>
      <c r="F57" s="403" cm="1">
        <f t="array" ref="F57">_xlfn.IFERROR(E57/'flujos - Gasto mensual'!C57,0)</f>
        <v>0</v>
      </c>
      <c r="G57" s="404"/>
      <c r="H57" s="350" cm="1">
        <f t="array" ref="H57">'net worth - brokerage'!B58</f>
        <v>0</v>
      </c>
      <c r="I57" s="403" cm="1">
        <f t="array" ref="I57">_xlfn.IFERROR(H57/'flujos - Gasto mensual'!$C57,0)</f>
        <v>0</v>
      </c>
      <c r="J57" s="404"/>
      <c r="K57" s="350" cm="1">
        <f t="array" ref="K57">'net worth - cash and cash equiv'!D59</f>
        <v>-800000</v>
      </c>
      <c r="L57" s="403" cm="1">
        <f t="array" ref="L57">_xlfn.IFERROR(K57/'flujos - Gasto mensual'!$C57,0)</f>
        <v>0</v>
      </c>
      <c r="M57" s="404"/>
      <c r="N57" s="402" cm="1">
        <f t="array" ref="N57">'net worth - criptomonedas'!B59</f>
        <v>0</v>
      </c>
      <c r="O57" s="403" cm="1">
        <f t="array" ref="O57">_xlfn.IFERROR(N57/'flujos - Gasto mensual'!$C57,0)</f>
        <v>0</v>
      </c>
      <c r="P57" s="404"/>
      <c r="Q57" s="405" cm="1">
        <f t="array" ref="Q57">R57-B57</f>
        <v>-633160</v>
      </c>
      <c r="R57" s="350" cm="1">
        <f t="array" ref="R57">K57+H57+N57+E57</f>
        <v>-633160</v>
      </c>
      <c r="S57" s="406" cm="1">
        <f t="array" ref="S57">R57/'variables - Table 1-1'!B56</f>
        <v>-743.581914268937</v>
      </c>
      <c r="T57" s="403" cm="1">
        <f t="array" ref="T57">_xlfn.IFERROR(R57/'flujos - Gasto mensual'!$C57,0)</f>
        <v>0</v>
      </c>
      <c r="U57" s="350" cm="1">
        <f t="array" ref="U57">E57+H57+K57</f>
        <v>-633160</v>
      </c>
      <c r="V57" s="403" cm="1">
        <f t="array" ref="V57">F57+O57+I57+L57</f>
        <v>0</v>
      </c>
    </row>
    <row r="58" ht="8.75" customHeight="1" hidden="1">
      <c r="A58" s="400">
        <v>44562</v>
      </c>
      <c r="B58" s="401"/>
      <c r="C58" s="402"/>
      <c r="D58" s="402"/>
      <c r="E58" s="402" cm="1">
        <f t="array" ref="E58">'net worth - retiro'!B60</f>
        <v>0</v>
      </c>
      <c r="F58" s="403" cm="1">
        <f t="array" ref="F58">_xlfn.IFERROR(E58/'flujos - Gasto mensual'!C58,0)</f>
        <v>0</v>
      </c>
      <c r="G58" s="404"/>
      <c r="H58" s="350" cm="1">
        <f t="array" ref="H58">'net worth - brokerage'!B59</f>
        <v>0</v>
      </c>
      <c r="I58" s="403" cm="1">
        <f t="array" ref="I58">_xlfn.IFERROR(H58/'flujos - Gasto mensual'!$C58,0)</f>
        <v>0</v>
      </c>
      <c r="J58" s="404"/>
      <c r="K58" s="350" cm="1">
        <f t="array" ref="K58">'net worth - cash and cash equiv'!D60</f>
        <v>-800000</v>
      </c>
      <c r="L58" s="403" cm="1">
        <f t="array" ref="L58">_xlfn.IFERROR(K58/'flujos - Gasto mensual'!$C58,0)</f>
        <v>0</v>
      </c>
      <c r="M58" s="404"/>
      <c r="N58" s="402" cm="1">
        <f t="array" ref="N58">'net worth - criptomonedas'!B60</f>
        <v>0</v>
      </c>
      <c r="O58" s="403" cm="1">
        <f t="array" ref="O58">_xlfn.IFERROR(N58/'flujos - Gasto mensual'!$C58,0)</f>
        <v>0</v>
      </c>
      <c r="P58" s="404"/>
      <c r="Q58" s="405" cm="1">
        <f t="array" ref="Q58">R58-B58</f>
        <v>-800000</v>
      </c>
      <c r="R58" s="350" cm="1">
        <f t="array" ref="R58">K58+H58+N58+E58</f>
        <v>-800000</v>
      </c>
      <c r="S58" s="406" cm="1">
        <f t="array" ref="S58">R58/'variables - Table 1-1'!B57</f>
        <v>-1006.684130958530</v>
      </c>
      <c r="T58" s="403" cm="1">
        <f t="array" ref="T58">_xlfn.IFERROR(R58/'flujos - Gasto mensual'!$C58,0)</f>
        <v>0</v>
      </c>
      <c r="U58" s="350" cm="1">
        <f t="array" ref="U58">E58+H58+K58</f>
        <v>-800000</v>
      </c>
      <c r="V58" s="403" cm="1">
        <f t="array" ref="V58">F58+O58+I58+L58</f>
        <v>0</v>
      </c>
    </row>
    <row r="59" ht="8.75" customHeight="1" hidden="1">
      <c r="A59" s="400">
        <v>44593</v>
      </c>
      <c r="B59" s="401"/>
      <c r="C59" s="402"/>
      <c r="D59" s="402"/>
      <c r="E59" s="402" cm="1">
        <f t="array" ref="E59">'net worth - retiro'!B61</f>
        <v>2200000</v>
      </c>
      <c r="F59" s="403" cm="1">
        <f t="array" ref="F59">_xlfn.IFERROR(E59/'flujos - Gasto mensual'!C59,0)</f>
        <v>0</v>
      </c>
      <c r="G59" s="404"/>
      <c r="H59" s="350" cm="1">
        <f t="array" ref="H59">'net worth - brokerage'!B60</f>
        <v>800000</v>
      </c>
      <c r="I59" s="403" cm="1">
        <f t="array" ref="I59">_xlfn.IFERROR(H59/'flujos - Gasto mensual'!$C59,0)</f>
        <v>0</v>
      </c>
      <c r="J59" s="404"/>
      <c r="K59" s="350" cm="1">
        <f t="array" ref="K59">'net worth - cash and cash equiv'!D61</f>
        <v>-5000000</v>
      </c>
      <c r="L59" s="403" cm="1">
        <f t="array" ref="L59">_xlfn.IFERROR(K59/'flujos - Gasto mensual'!$C59,0)</f>
        <v>0</v>
      </c>
      <c r="M59" s="404"/>
      <c r="N59" s="402" cm="1">
        <f t="array" ref="N59">'net worth - criptomonedas'!B61</f>
        <v>0</v>
      </c>
      <c r="O59" s="403" cm="1">
        <f t="array" ref="O59">_xlfn.IFERROR(N59/'flujos - Gasto mensual'!$C59,0)</f>
        <v>0</v>
      </c>
      <c r="P59" s="404"/>
      <c r="Q59" s="405" cm="1">
        <f t="array" ref="Q59">R59-B59</f>
        <v>-2000000</v>
      </c>
      <c r="R59" s="350" cm="1">
        <f t="array" ref="R59">K59+H59+N59+E59</f>
        <v>-2000000</v>
      </c>
      <c r="S59" s="406" cm="1">
        <f t="array" ref="S59">R59/'variables - Table 1-1'!B58</f>
        <v>-2526.963649754250</v>
      </c>
      <c r="T59" s="403" cm="1">
        <f t="array" ref="T59">_xlfn.IFERROR(R59/'flujos - Gasto mensual'!$C59,0)</f>
        <v>0</v>
      </c>
      <c r="U59" s="350" cm="1">
        <f t="array" ref="U59">E59+H59+K59</f>
        <v>-2000000</v>
      </c>
      <c r="V59" s="403" cm="1">
        <f t="array" ref="V59">F59+O59+I59+L59</f>
        <v>0</v>
      </c>
    </row>
    <row r="60" ht="8.75" customHeight="1" hidden="1">
      <c r="A60" s="400">
        <v>44621</v>
      </c>
      <c r="B60" s="401"/>
      <c r="C60" s="402"/>
      <c r="D60" s="402"/>
      <c r="E60" s="402" cm="1">
        <f t="array" ref="E60">'net worth - retiro'!B62</f>
        <v>0</v>
      </c>
      <c r="F60" s="403" cm="1">
        <f t="array" ref="F60">_xlfn.IFERROR(E60/'flujos - Gasto mensual'!C60,0)</f>
        <v>0</v>
      </c>
      <c r="G60" s="404"/>
      <c r="H60" s="350" cm="1">
        <f t="array" ref="H60">'net worth - brokerage'!B61</f>
        <v>2000000</v>
      </c>
      <c r="I60" s="403" cm="1">
        <f t="array" ref="I60">_xlfn.IFERROR(H60/'flujos - Gasto mensual'!$C60,0)</f>
        <v>0</v>
      </c>
      <c r="J60" s="404"/>
      <c r="K60" s="350" cm="1">
        <f t="array" ref="K60">'net worth - cash and cash equiv'!D62</f>
        <v>-4000000</v>
      </c>
      <c r="L60" s="403" cm="1">
        <f t="array" ref="L60">_xlfn.IFERROR(K60/'flujos - Gasto mensual'!$C60,0)</f>
        <v>0</v>
      </c>
      <c r="M60" s="404"/>
      <c r="N60" s="402" cm="1">
        <f t="array" ref="N60">'net worth - criptomonedas'!B62</f>
        <v>0</v>
      </c>
      <c r="O60" s="403" cm="1">
        <f t="array" ref="O60">_xlfn.IFERROR(N60/'flujos - Gasto mensual'!$C60,0)</f>
        <v>0</v>
      </c>
      <c r="P60" s="404"/>
      <c r="Q60" s="405" cm="1">
        <f t="array" ref="Q60">R60-B60</f>
        <v>-2000000</v>
      </c>
      <c r="R60" s="350" cm="1">
        <f t="array" ref="R60">K60+H60+N60+E60</f>
        <v>-2000000</v>
      </c>
      <c r="S60" s="406" cm="1">
        <f t="array" ref="S60">R60/'variables - Table 1-1'!B59</f>
        <v>-2536.043518506780</v>
      </c>
      <c r="T60" s="403" cm="1">
        <f t="array" ref="T60">_xlfn.IFERROR(R60/'flujos - Gasto mensual'!$C60,0)</f>
        <v>0</v>
      </c>
      <c r="U60" s="350" cm="1">
        <f t="array" ref="U60">E60+H60+K60</f>
        <v>-2000000</v>
      </c>
      <c r="V60" s="403" cm="1">
        <f t="array" ref="V60">F60+O60+I60+L60</f>
        <v>0</v>
      </c>
    </row>
    <row r="61" ht="8.75" customHeight="1" hidden="1">
      <c r="A61" s="400">
        <v>44652</v>
      </c>
      <c r="B61" s="401"/>
      <c r="C61" s="402"/>
      <c r="D61" s="402"/>
      <c r="E61" s="402" cm="1">
        <f t="array" ref="E61">'net worth - retiro'!B63</f>
        <v>0</v>
      </c>
      <c r="F61" s="403" cm="1">
        <f t="array" ref="F61">_xlfn.IFERROR(E61/'flujos - Gasto mensual'!C61,0)</f>
        <v>0</v>
      </c>
      <c r="G61" s="404"/>
      <c r="H61" s="350" cm="1">
        <f t="array" ref="H61">'net worth - brokerage'!B62</f>
        <v>0</v>
      </c>
      <c r="I61" s="403" cm="1">
        <f t="array" ref="I61">_xlfn.IFERROR(H61/'flujos - Gasto mensual'!$C61,0)</f>
        <v>0</v>
      </c>
      <c r="J61" s="404"/>
      <c r="K61" s="350" cm="1">
        <f t="array" ref="K61">'net worth - cash and cash equiv'!D63</f>
        <v>0</v>
      </c>
      <c r="L61" s="403" cm="1">
        <f t="array" ref="L61">_xlfn.IFERROR(K61/'flujos - Gasto mensual'!$C61,0)</f>
        <v>0</v>
      </c>
      <c r="M61" s="404"/>
      <c r="N61" s="402" cm="1">
        <f t="array" ref="N61">'net worth - criptomonedas'!B63</f>
        <v>0</v>
      </c>
      <c r="O61" s="403" cm="1">
        <f t="array" ref="O61">_xlfn.IFERROR(N61/'flujos - Gasto mensual'!$C61,0)</f>
        <v>0</v>
      </c>
      <c r="P61" s="404"/>
      <c r="Q61" s="405" cm="1">
        <f t="array" ref="Q61">R61-B61</f>
        <v>0</v>
      </c>
      <c r="R61" s="350" cm="1">
        <f t="array" ref="R61">K61+H61+N61+E61</f>
        <v>0</v>
      </c>
      <c r="S61" s="406" cm="1">
        <f t="array" ref="S61">R61/'variables - Table 1-1'!B60</f>
        <v>0</v>
      </c>
      <c r="T61" s="403" cm="1">
        <f t="array" ref="T61">_xlfn.IFERROR(R61/'flujos - Gasto mensual'!$C61,0)</f>
        <v>0</v>
      </c>
      <c r="U61" s="350" cm="1">
        <f t="array" ref="U61">E61+H61+K61</f>
        <v>0</v>
      </c>
      <c r="V61" s="403" cm="1">
        <f t="array" ref="V61">F61+O61+I61+L61</f>
        <v>0</v>
      </c>
    </row>
    <row r="62" ht="8.75" customHeight="1" hidden="1">
      <c r="A62" s="400">
        <v>44682</v>
      </c>
      <c r="B62" s="401"/>
      <c r="C62" s="402"/>
      <c r="D62" s="402"/>
      <c r="E62" s="402" cm="1">
        <f t="array" ref="E62">'net worth - retiro'!B64</f>
        <v>0</v>
      </c>
      <c r="F62" s="403" cm="1">
        <f t="array" ref="F62">_xlfn.IFERROR(E62/'flujos - Gasto mensual'!C62,0)</f>
        <v>0</v>
      </c>
      <c r="G62" s="404"/>
      <c r="H62" s="350" cm="1">
        <f t="array" ref="H62">'net worth - brokerage'!B63</f>
        <v>0</v>
      </c>
      <c r="I62" s="403" cm="1">
        <f t="array" ref="I62">_xlfn.IFERROR(H62/'flujos - Gasto mensual'!$C62,0)</f>
        <v>0</v>
      </c>
      <c r="J62" s="404"/>
      <c r="K62" s="350" cm="1">
        <f t="array" ref="K62">'net worth - cash and cash equiv'!D64</f>
        <v>-2000000</v>
      </c>
      <c r="L62" s="403" cm="1">
        <f t="array" ref="L62">_xlfn.IFERROR(K62/'flujos - Gasto mensual'!$C62,0)</f>
        <v>0</v>
      </c>
      <c r="M62" s="404"/>
      <c r="N62" s="402" cm="1">
        <f t="array" ref="N62">'net worth - criptomonedas'!B64</f>
        <v>0</v>
      </c>
      <c r="O62" s="403" cm="1">
        <f t="array" ref="O62">_xlfn.IFERROR(N62/'flujos - Gasto mensual'!$C62,0)</f>
        <v>0</v>
      </c>
      <c r="P62" s="404"/>
      <c r="Q62" s="405" cm="1">
        <f t="array" ref="Q62">R62-B62</f>
        <v>-2000000</v>
      </c>
      <c r="R62" s="350" cm="1">
        <f t="array" ref="R62">K62+H62+N62+E62</f>
        <v>-2000000</v>
      </c>
      <c r="S62" s="406" cm="1">
        <f t="array" ref="S62">R62/'variables - Table 1-1'!B61</f>
        <v>-2409.667586356460</v>
      </c>
      <c r="T62" s="403" cm="1">
        <f t="array" ref="T62">_xlfn.IFERROR(R62/'flujos - Gasto mensual'!$C62,0)</f>
        <v>0</v>
      </c>
      <c r="U62" s="350" cm="1">
        <f t="array" ref="U62">E62+H62+K62</f>
        <v>-2000000</v>
      </c>
      <c r="V62" s="403" cm="1">
        <f t="array" ref="V62">F62+O62+I62+L62</f>
        <v>0</v>
      </c>
    </row>
    <row r="63" ht="8.75" customHeight="1" hidden="1">
      <c r="A63" s="400">
        <v>44713</v>
      </c>
      <c r="B63" s="401"/>
      <c r="C63" s="402"/>
      <c r="D63" s="402"/>
      <c r="E63" s="402" cm="1">
        <f t="array" ref="E63">'net worth - retiro'!B65</f>
        <v>0</v>
      </c>
      <c r="F63" s="403" cm="1">
        <f t="array" ref="F63">_xlfn.IFERROR(E63/'flujos - Gasto mensual'!C63,0)</f>
        <v>0</v>
      </c>
      <c r="G63" s="404"/>
      <c r="H63" s="350" cm="1">
        <f t="array" ref="H63">'net worth - brokerage'!B64</f>
        <v>0</v>
      </c>
      <c r="I63" s="403" cm="1">
        <f t="array" ref="I63">_xlfn.IFERROR(H63/'flujos - Gasto mensual'!$C63,0)</f>
        <v>0</v>
      </c>
      <c r="J63" s="404"/>
      <c r="K63" s="350" cm="1">
        <f t="array" ref="K63">'net worth - cash and cash equiv'!D65</f>
        <v>0</v>
      </c>
      <c r="L63" s="403" cm="1">
        <f t="array" ref="L63">_xlfn.IFERROR(K63/'flujos - Gasto mensual'!$C63,0)</f>
        <v>0</v>
      </c>
      <c r="M63" s="404"/>
      <c r="N63" s="402" cm="1">
        <f t="array" ref="N63">'net worth - criptomonedas'!B65</f>
        <v>0</v>
      </c>
      <c r="O63" s="403" cm="1">
        <f t="array" ref="O63">_xlfn.IFERROR(N63/'flujos - Gasto mensual'!$C63,0)</f>
        <v>0</v>
      </c>
      <c r="P63" s="404"/>
      <c r="Q63" s="405" cm="1">
        <f t="array" ref="Q63">R63-B63</f>
        <v>0</v>
      </c>
      <c r="R63" s="350" cm="1">
        <f t="array" ref="R63">K63+H63+N63+E63</f>
        <v>0</v>
      </c>
      <c r="S63" s="406" cm="1">
        <f t="array" ref="S63">R63/'variables - Table 1-1'!B62</f>
        <v>0</v>
      </c>
      <c r="T63" s="403" cm="1">
        <f t="array" ref="T63">_xlfn.IFERROR(R63/'flujos - Gasto mensual'!$C63,0)</f>
        <v>0</v>
      </c>
      <c r="U63" s="350" cm="1">
        <f t="array" ref="U63">E63+H63+K63</f>
        <v>0</v>
      </c>
      <c r="V63" s="403" cm="1">
        <f t="array" ref="V63">F63+O63+I63+L63</f>
        <v>0</v>
      </c>
    </row>
    <row r="64" ht="8.75" customHeight="1" hidden="1">
      <c r="A64" s="400">
        <v>44743</v>
      </c>
      <c r="B64" s="401"/>
      <c r="C64" s="402"/>
      <c r="D64" s="402"/>
      <c r="E64" s="402" cm="1">
        <f t="array" ref="E64">'net worth - retiro'!B66</f>
        <v>0</v>
      </c>
      <c r="F64" s="403" cm="1">
        <f t="array" ref="F64">_xlfn.IFERROR(E64/'flujos - Gasto mensual'!C64,0)</f>
        <v>0</v>
      </c>
      <c r="G64" s="404"/>
      <c r="H64" s="350" cm="1">
        <f t="array" ref="H64">'net worth - brokerage'!B65</f>
        <v>0</v>
      </c>
      <c r="I64" s="403" cm="1">
        <f t="array" ref="I64">_xlfn.IFERROR(H64/'flujos - Gasto mensual'!$C64,0)</f>
        <v>0</v>
      </c>
      <c r="J64" s="404"/>
      <c r="K64" s="350" cm="1">
        <f t="array" ref="K64">'net worth - cash and cash equiv'!D66</f>
        <v>-900000</v>
      </c>
      <c r="L64" s="403" cm="1">
        <f t="array" ref="L64">_xlfn.IFERROR(K64/'flujos - Gasto mensual'!$C64,0)</f>
        <v>0</v>
      </c>
      <c r="M64" s="404"/>
      <c r="N64" s="402" cm="1">
        <f t="array" ref="N64">'net worth - criptomonedas'!B66</f>
        <v>0</v>
      </c>
      <c r="O64" s="403" cm="1">
        <f t="array" ref="O64">_xlfn.IFERROR(N64/'flujos - Gasto mensual'!$C64,0)</f>
        <v>0</v>
      </c>
      <c r="P64" s="404"/>
      <c r="Q64" s="405" cm="1">
        <f t="array" ref="Q64">R64-B64</f>
        <v>-900000</v>
      </c>
      <c r="R64" s="350" cm="1">
        <f t="array" ref="R64">K64+H64+N64+E64</f>
        <v>-900000</v>
      </c>
      <c r="S64" s="406" cm="1">
        <f t="array" ref="S64">R64/'variables - Table 1-1'!B63</f>
        <v>-990.698442401893</v>
      </c>
      <c r="T64" s="403" cm="1">
        <f t="array" ref="T64">_xlfn.IFERROR(R64/'flujos - Gasto mensual'!$C64,0)</f>
        <v>0</v>
      </c>
      <c r="U64" s="350" cm="1">
        <f t="array" ref="U64">E64+H64+K64</f>
        <v>-900000</v>
      </c>
      <c r="V64" s="403" cm="1">
        <f t="array" ref="V64">F64+O64+I64+L64</f>
        <v>0</v>
      </c>
    </row>
    <row r="65" ht="8.75" customHeight="1" hidden="1">
      <c r="A65" s="400">
        <v>44774</v>
      </c>
      <c r="B65" s="401"/>
      <c r="C65" s="402"/>
      <c r="D65" s="402"/>
      <c r="E65" s="402" cm="1">
        <f t="array" ref="E65">'net worth - retiro'!B67</f>
        <v>0</v>
      </c>
      <c r="F65" s="403" cm="1">
        <f t="array" ref="F65">_xlfn.IFERROR(E65/'flujos - Gasto mensual'!C65,0)</f>
        <v>0</v>
      </c>
      <c r="G65" s="404"/>
      <c r="H65" s="350" cm="1">
        <f t="array" ref="H65">'net worth - brokerage'!B66</f>
        <v>0</v>
      </c>
      <c r="I65" s="403" cm="1">
        <f t="array" ref="I65">_xlfn.IFERROR(H65/'flujos - Gasto mensual'!$C65,0)</f>
        <v>0</v>
      </c>
      <c r="J65" s="404"/>
      <c r="K65" s="350" cm="1">
        <f t="array" ref="K65">'net worth - cash and cash equiv'!D67</f>
        <v>-900000</v>
      </c>
      <c r="L65" s="403" cm="1">
        <f t="array" ref="L65">_xlfn.IFERROR(K65/'flujos - Gasto mensual'!$C65,0)</f>
        <v>0</v>
      </c>
      <c r="M65" s="404"/>
      <c r="N65" s="402" cm="1">
        <f t="array" ref="N65">'net worth - criptomonedas'!B67</f>
        <v>0</v>
      </c>
      <c r="O65" s="403" cm="1">
        <f t="array" ref="O65">_xlfn.IFERROR(N65/'flujos - Gasto mensual'!$C65,0)</f>
        <v>0</v>
      </c>
      <c r="P65" s="404"/>
      <c r="Q65" s="405" cm="1">
        <f t="array" ref="Q65">R65-B65</f>
        <v>-900000</v>
      </c>
      <c r="R65" s="350" cm="1">
        <f t="array" ref="R65">K65+H65+N65+E65</f>
        <v>-900000</v>
      </c>
      <c r="S65" s="406" cm="1">
        <f t="array" ref="S65">R65/'variables - Table 1-1'!B64</f>
        <v>-1011.2927692567</v>
      </c>
      <c r="T65" s="403" cm="1">
        <f t="array" ref="T65">_xlfn.IFERROR(R65/'flujos - Gasto mensual'!$C65,0)</f>
        <v>0</v>
      </c>
      <c r="U65" s="350" cm="1">
        <f t="array" ref="U65">E65+H65+K65</f>
        <v>-900000</v>
      </c>
      <c r="V65" s="403" cm="1">
        <f t="array" ref="V65">F65+O65+I65+L65</f>
        <v>0</v>
      </c>
    </row>
    <row r="66" ht="8.75" customHeight="1" hidden="1">
      <c r="A66" s="400">
        <v>44805</v>
      </c>
      <c r="B66" s="401"/>
      <c r="C66" s="402"/>
      <c r="D66" s="402"/>
      <c r="E66" s="402" cm="1">
        <f t="array" ref="E66">'net worth - retiro'!B68</f>
        <v>361422</v>
      </c>
      <c r="F66" s="403" cm="1">
        <f t="array" ref="F66">_xlfn.IFERROR(E66/'flujos - Gasto mensual'!C66,0)</f>
        <v>0.103160801076324</v>
      </c>
      <c r="G66" s="404"/>
      <c r="H66" s="350" cm="1">
        <f t="array" ref="H66">'net worth - brokerage'!B67</f>
        <v>0</v>
      </c>
      <c r="I66" s="403" cm="1">
        <f t="array" ref="I66">_xlfn.IFERROR(H66/'flujos - Gasto mensual'!$C66,0)</f>
        <v>0</v>
      </c>
      <c r="J66" s="404"/>
      <c r="K66" s="350" cm="1">
        <f t="array" ref="K66">'net worth - cash and cash equiv'!D68</f>
        <v>-900000</v>
      </c>
      <c r="L66" s="403" cm="1">
        <f t="array" ref="L66">_xlfn.IFERROR(K66/'flujos - Gasto mensual'!$C66,0)</f>
        <v>-0.256887297864247</v>
      </c>
      <c r="M66" s="404"/>
      <c r="N66" s="402" cm="1">
        <f t="array" ref="N66">'net worth - criptomonedas'!B68</f>
        <v>0</v>
      </c>
      <c r="O66" s="403" cm="1">
        <f t="array" ref="O66">_xlfn.IFERROR(N66/'flujos - Gasto mensual'!$C66,0)</f>
        <v>0</v>
      </c>
      <c r="P66" s="404"/>
      <c r="Q66" s="405" cm="1">
        <f t="array" ref="Q66">R66-B66</f>
        <v>-538578</v>
      </c>
      <c r="R66" s="350" cm="1">
        <f t="array" ref="R66">K66+H66+N66+E66</f>
        <v>-538578</v>
      </c>
      <c r="S66" s="406" cm="1">
        <f t="array" ref="S66">R66/'variables - Table 1-1'!B65</f>
        <v>-559.125875940825</v>
      </c>
      <c r="T66" s="403" cm="1">
        <f t="array" ref="T66">_xlfn.IFERROR(R66/'flujos - Gasto mensual'!$C66,0)</f>
        <v>-0.153726496787923</v>
      </c>
      <c r="U66" s="350" cm="1">
        <f t="array" ref="U66">E66+H66+K66</f>
        <v>-538578</v>
      </c>
      <c r="V66" s="403" cm="1">
        <f t="array" ref="V66">F66+O66+I66+L66</f>
        <v>-0.153726496787923</v>
      </c>
    </row>
    <row r="67" ht="8.75" customHeight="1" hidden="1">
      <c r="A67" s="400">
        <v>44835</v>
      </c>
      <c r="B67" s="401"/>
      <c r="C67" s="402"/>
      <c r="D67" s="402"/>
      <c r="E67" s="402" cm="1">
        <f t="array" ref="E67">'net worth - retiro'!B69</f>
        <v>567124</v>
      </c>
      <c r="F67" s="403" cm="1">
        <f t="array" ref="F67">_xlfn.IFERROR(E67/'flujos - Gasto mensual'!C67,0)</f>
        <v>0.161851265590952</v>
      </c>
      <c r="G67" s="404"/>
      <c r="H67" s="350" cm="1">
        <f t="array" ref="H67">'net worth - brokerage'!B68</f>
        <v>0</v>
      </c>
      <c r="I67" s="403" cm="1">
        <f t="array" ref="I67">_xlfn.IFERROR(H67/'flujos - Gasto mensual'!$C67,0)</f>
        <v>0</v>
      </c>
      <c r="J67" s="404"/>
      <c r="K67" s="350" cm="1">
        <f t="array" ref="K67">'net worth - cash and cash equiv'!D69</f>
        <v>0</v>
      </c>
      <c r="L67" s="403" cm="1">
        <f t="array" ref="L67">_xlfn.IFERROR(K67/'flujos - Gasto mensual'!$C67,0)</f>
        <v>0</v>
      </c>
      <c r="M67" s="404"/>
      <c r="N67" s="402" cm="1">
        <f t="array" ref="N67">'net worth - criptomonedas'!B69</f>
        <v>0</v>
      </c>
      <c r="O67" s="403" cm="1">
        <f t="array" ref="O67">_xlfn.IFERROR(N67/'flujos - Gasto mensual'!$C67,0)</f>
        <v>0</v>
      </c>
      <c r="P67" s="404"/>
      <c r="Q67" s="405" cm="1">
        <f t="array" ref="Q67">R67-B67</f>
        <v>567124</v>
      </c>
      <c r="R67" s="350" cm="1">
        <f t="array" ref="R67">K67+H67+N67+E67</f>
        <v>567124</v>
      </c>
      <c r="S67" s="406" cm="1">
        <f t="array" ref="S67">R67/'variables - Table 1-1'!B66</f>
        <v>601.467812069148</v>
      </c>
      <c r="T67" s="403" cm="1">
        <f t="array" ref="T67">_xlfn.IFERROR(R67/'flujos - Gasto mensual'!$C67,0)</f>
        <v>0.161851265590952</v>
      </c>
      <c r="U67" s="350" cm="1">
        <f t="array" ref="U67">E67+H67+K67</f>
        <v>567124</v>
      </c>
      <c r="V67" s="403" cm="1">
        <f t="array" ref="V67">F67+O67+I67+L67</f>
        <v>0.161851265590952</v>
      </c>
    </row>
    <row r="68" ht="8.75" customHeight="1" hidden="1">
      <c r="A68" s="400">
        <v>44866</v>
      </c>
      <c r="B68" s="401"/>
      <c r="C68" s="402"/>
      <c r="D68" s="402"/>
      <c r="E68" s="402" cm="1">
        <f t="array" ref="E68">'net worth - retiro'!B70</f>
        <v>411806</v>
      </c>
      <c r="F68" s="403" cm="1">
        <f t="array" ref="F68">_xlfn.IFERROR(E68/'flujos - Gasto mensual'!C68,0)</f>
        <v>0.108978097785644</v>
      </c>
      <c r="G68" s="404"/>
      <c r="H68" s="350" cm="1">
        <f t="array" ref="H68">'net worth - brokerage'!B69</f>
        <v>0</v>
      </c>
      <c r="I68" s="403" cm="1">
        <f t="array" ref="I68">_xlfn.IFERROR(H68/'flujos - Gasto mensual'!$C68,0)</f>
        <v>0</v>
      </c>
      <c r="J68" s="404"/>
      <c r="K68" s="350" cm="1">
        <f t="array" ref="K68">'net worth - cash and cash equiv'!D70</f>
        <v>0</v>
      </c>
      <c r="L68" s="403" cm="1">
        <f t="array" ref="L68">_xlfn.IFERROR(K68/'flujos - Gasto mensual'!$C68,0)</f>
        <v>0</v>
      </c>
      <c r="M68" s="404"/>
      <c r="N68" s="402" cm="1">
        <f t="array" ref="N68">'net worth - criptomonedas'!B70</f>
        <v>0</v>
      </c>
      <c r="O68" s="403" cm="1">
        <f t="array" ref="O68">_xlfn.IFERROR(N68/'flujos - Gasto mensual'!$C68,0)</f>
        <v>0</v>
      </c>
      <c r="P68" s="404"/>
      <c r="Q68" s="405" cm="1">
        <f t="array" ref="Q68">R68-B68</f>
        <v>411806</v>
      </c>
      <c r="R68" s="350" cm="1">
        <f t="array" ref="R68">K68+H68+N68+E68</f>
        <v>411806</v>
      </c>
      <c r="S68" s="406" cm="1">
        <f t="array" ref="S68">R68/'variables - Table 1-1'!B67</f>
        <v>457.536803510916</v>
      </c>
      <c r="T68" s="403" cm="1">
        <f t="array" ref="T68">_xlfn.IFERROR(R68/'flujos - Gasto mensual'!$C68,0)</f>
        <v>0.108978097785644</v>
      </c>
      <c r="U68" s="350" cm="1">
        <f t="array" ref="U68">E68+H68+K68</f>
        <v>411806</v>
      </c>
      <c r="V68" s="403" cm="1">
        <f t="array" ref="V68">F68+O68+I68+L68</f>
        <v>0.108978097785644</v>
      </c>
    </row>
    <row r="69" ht="8.75" customHeight="1" hidden="1">
      <c r="A69" s="400">
        <v>44896</v>
      </c>
      <c r="B69" s="401"/>
      <c r="C69" s="402"/>
      <c r="D69" s="402"/>
      <c r="E69" s="402" cm="1">
        <f t="array" ref="E69">'net worth - retiro'!B71</f>
        <v>867994</v>
      </c>
      <c r="F69" s="403" cm="1">
        <f t="array" ref="F69">_xlfn.IFERROR(E69/'flujos - Gasto mensual'!C69,0)</f>
        <v>0.229627313352444</v>
      </c>
      <c r="G69" s="404"/>
      <c r="H69" s="350" cm="1">
        <f t="array" ref="H69">'net worth - brokerage'!B70</f>
        <v>1300000</v>
      </c>
      <c r="I69" s="403" cm="1">
        <f t="array" ref="I69">_xlfn.IFERROR(H69/'flujos - Gasto mensual'!$C69,0)</f>
        <v>0.343914252124067</v>
      </c>
      <c r="J69" s="404"/>
      <c r="K69" s="350" cm="1">
        <f t="array" ref="K69">'net worth - cash and cash equiv'!D71</f>
        <v>774148</v>
      </c>
      <c r="L69" s="403" cm="1">
        <f t="array" ref="L69">_xlfn.IFERROR(K69/'flujos - Gasto mensual'!$C69,0)</f>
        <v>0.204800408041033</v>
      </c>
      <c r="M69" s="404"/>
      <c r="N69" s="402" cm="1">
        <f t="array" ref="N69">'net worth - criptomonedas'!B71</f>
        <v>0</v>
      </c>
      <c r="O69" s="403" cm="1">
        <f t="array" ref="O69">_xlfn.IFERROR(N69/'flujos - Gasto mensual'!$C69,0)</f>
        <v>0</v>
      </c>
      <c r="P69" s="404"/>
      <c r="Q69" s="405" cm="1">
        <f t="array" ref="Q69">R69-B69</f>
        <v>2942142</v>
      </c>
      <c r="R69" s="350" cm="1">
        <f t="array" ref="R69">K69+H69+N69+E69</f>
        <v>2942142</v>
      </c>
      <c r="S69" s="406" cm="1">
        <f t="array" ref="S69">R69/'variables - Table 1-1'!B68</f>
        <v>3437.081775700930</v>
      </c>
      <c r="T69" s="403" cm="1">
        <f t="array" ref="T69">_xlfn.IFERROR(R69/'flujos - Gasto mensual'!$C69,0)</f>
        <v>0.778341973517544</v>
      </c>
      <c r="U69" s="350" cm="1">
        <f t="array" ref="U69">E69+H69+K69</f>
        <v>2942142</v>
      </c>
      <c r="V69" s="403" cm="1">
        <f t="array" ref="V69">F69+O69+I69+L69</f>
        <v>0.778341973517544</v>
      </c>
    </row>
    <row r="70" ht="8.75" customHeight="1" hidden="1">
      <c r="A70" s="400">
        <v>44927</v>
      </c>
      <c r="B70" s="401"/>
      <c r="C70" s="402"/>
      <c r="D70" s="402"/>
      <c r="E70" s="402" cm="1">
        <f t="array" ref="E70">'net worth - retiro'!B72</f>
        <v>769504</v>
      </c>
      <c r="F70" s="403" cm="1">
        <f t="array" ref="F70">_xlfn.IFERROR(E70/'flujos - Gasto mensual'!C70,0)</f>
        <v>0.203400188517557</v>
      </c>
      <c r="G70" s="404"/>
      <c r="H70" s="350" cm="1">
        <f t="array" ref="H70">'net worth - brokerage'!B71</f>
        <v>0</v>
      </c>
      <c r="I70" s="403" cm="1">
        <f t="array" ref="I70">_xlfn.IFERROR(H70/'flujos - Gasto mensual'!$C70,0)</f>
        <v>0</v>
      </c>
      <c r="J70" s="404"/>
      <c r="K70" s="350" cm="1">
        <f t="array" ref="K70">'net worth - cash and cash equiv'!D72</f>
        <v>600000</v>
      </c>
      <c r="L70" s="403" cm="1">
        <f t="array" ref="L70">_xlfn.IFERROR(K70/'flujos - Gasto mensual'!$C70,0)</f>
        <v>0.158595813810629</v>
      </c>
      <c r="M70" s="404"/>
      <c r="N70" s="402" cm="1">
        <f t="array" ref="N70">'net worth - criptomonedas'!B72</f>
        <v>0</v>
      </c>
      <c r="O70" s="403" cm="1">
        <f t="array" ref="O70">_xlfn.IFERROR(N70/'flujos - Gasto mensual'!$C70,0)</f>
        <v>0</v>
      </c>
      <c r="P70" s="404"/>
      <c r="Q70" s="405" cm="1">
        <f t="array" ref="Q70">R70-B70</f>
        <v>1369504</v>
      </c>
      <c r="R70" s="350" cm="1">
        <f t="array" ref="R70">K70+H70+N70+E70</f>
        <v>1369504</v>
      </c>
      <c r="S70" s="406" cm="1">
        <f t="array" ref="S70">R70/'variables - Table 1-1'!B69</f>
        <v>1697.030978934320</v>
      </c>
      <c r="T70" s="403" cm="1">
        <f t="array" ref="T70">_xlfn.IFERROR(R70/'flujos - Gasto mensual'!$C70,0)</f>
        <v>0.361996002328187</v>
      </c>
      <c r="U70" s="350" cm="1">
        <f t="array" ref="U70">E70+H70+K70</f>
        <v>1369504</v>
      </c>
      <c r="V70" s="403" cm="1">
        <f t="array" ref="V70">F70+O70+I70+L70</f>
        <v>0.361996002328186</v>
      </c>
    </row>
    <row r="71" ht="8.75" customHeight="1" hidden="1">
      <c r="A71" s="400">
        <v>44958</v>
      </c>
      <c r="B71" s="401"/>
      <c r="C71" s="402"/>
      <c r="D71" s="402"/>
      <c r="E71" s="402" cm="1">
        <f t="array" ref="E71">'net worth - retiro'!B73</f>
        <v>871320</v>
      </c>
      <c r="F71" s="403" cm="1">
        <f t="array" ref="F71">_xlfn.IFERROR(E71/'flujos - Gasto mensual'!C71,0)</f>
        <v>0.230307240198621</v>
      </c>
      <c r="G71" s="404"/>
      <c r="H71" s="350" cm="1">
        <f t="array" ref="H71">'net worth - brokerage'!B72</f>
        <v>0</v>
      </c>
      <c r="I71" s="403" cm="1">
        <f t="array" ref="I71">_xlfn.IFERROR(H71/'flujos - Gasto mensual'!$C71,0)</f>
        <v>0</v>
      </c>
      <c r="J71" s="404"/>
      <c r="K71" s="350" cm="1">
        <f t="array" ref="K71">'net worth - cash and cash equiv'!D73</f>
        <v>500000</v>
      </c>
      <c r="L71" s="403" cm="1">
        <f t="array" ref="L71">_xlfn.IFERROR(K71/'flujos - Gasto mensual'!$C71,0)</f>
        <v>0.132159964306237</v>
      </c>
      <c r="M71" s="404"/>
      <c r="N71" s="402" cm="1">
        <f t="array" ref="N71">'net worth - criptomonedas'!B73</f>
        <v>0</v>
      </c>
      <c r="O71" s="403" cm="1">
        <f t="array" ref="O71">_xlfn.IFERROR(N71/'flujos - Gasto mensual'!$C71,0)</f>
        <v>0</v>
      </c>
      <c r="P71" s="404"/>
      <c r="Q71" s="405" cm="1">
        <f t="array" ref="Q71">R71-B71</f>
        <v>1371320</v>
      </c>
      <c r="R71" s="350" cm="1">
        <f t="array" ref="R71">K71+H71+N71+E71</f>
        <v>1371320</v>
      </c>
      <c r="S71" s="406" cm="1">
        <f t="array" ref="S71">R71/'variables - Table 1-1'!B70</f>
        <v>1645.965864080470</v>
      </c>
      <c r="T71" s="403" cm="1">
        <f t="array" ref="T71">_xlfn.IFERROR(R71/'flujos - Gasto mensual'!$C71,0)</f>
        <v>0.362467204504857</v>
      </c>
      <c r="U71" s="350" cm="1">
        <f t="array" ref="U71">E71+H71+K71</f>
        <v>1371320</v>
      </c>
      <c r="V71" s="403" cm="1">
        <f t="array" ref="V71">F71+O71+I71+L71</f>
        <v>0.362467204504858</v>
      </c>
    </row>
    <row r="72" ht="8.75" customHeight="1" hidden="1">
      <c r="A72" s="400">
        <v>44986</v>
      </c>
      <c r="B72" s="401"/>
      <c r="C72" s="402"/>
      <c r="D72" s="402"/>
      <c r="E72" s="402" cm="1">
        <f t="array" ref="E72">'net worth - retiro'!B74</f>
        <v>371862</v>
      </c>
      <c r="F72" s="403" cm="1">
        <f t="array" ref="F72">_xlfn.IFERROR(E72/'flujos - Gasto mensual'!C72,0)</f>
        <v>0.0982842505000613</v>
      </c>
      <c r="G72" s="404"/>
      <c r="H72" s="350" cm="1">
        <f t="array" ref="H72">'net worth - brokerage'!B73</f>
        <v>0</v>
      </c>
      <c r="I72" s="403" cm="1">
        <f t="array" ref="I72">_xlfn.IFERROR(H72/'flujos - Gasto mensual'!$C72,0)</f>
        <v>0</v>
      </c>
      <c r="J72" s="404"/>
      <c r="K72" s="350" cm="1">
        <f t="array" ref="K72">'net worth - cash and cash equiv'!D74</f>
        <v>600000</v>
      </c>
      <c r="L72" s="403" cm="1">
        <f t="array" ref="L72">_xlfn.IFERROR(K72/'flujos - Gasto mensual'!$C72,0)</f>
        <v>0.158581813414753</v>
      </c>
      <c r="M72" s="404"/>
      <c r="N72" s="402" cm="1">
        <f t="array" ref="N72">'net worth - criptomonedas'!B74</f>
        <v>0</v>
      </c>
      <c r="O72" s="403" cm="1">
        <f t="array" ref="O72">_xlfn.IFERROR(N72/'flujos - Gasto mensual'!$C72,0)</f>
        <v>0</v>
      </c>
      <c r="P72" s="404"/>
      <c r="Q72" s="405" cm="1">
        <f t="array" ref="Q72">R72-B72</f>
        <v>971862</v>
      </c>
      <c r="R72" s="350" cm="1">
        <f t="array" ref="R72">K72+H72+N72+E72</f>
        <v>971862</v>
      </c>
      <c r="S72" s="406" cm="1">
        <f t="array" ref="S72">R72/'variables - Table 1-1'!B71</f>
        <v>1232.045333536170</v>
      </c>
      <c r="T72" s="403" cm="1">
        <f t="array" ref="T72">_xlfn.IFERROR(R72/'flujos - Gasto mensual'!$C72,0)</f>
        <v>0.256866063914814</v>
      </c>
      <c r="U72" s="350" cm="1">
        <f t="array" ref="U72">E72+H72+K72</f>
        <v>971862</v>
      </c>
      <c r="V72" s="403" cm="1">
        <f t="array" ref="V72">F72+O72+I72+L72</f>
        <v>0.256866063914814</v>
      </c>
    </row>
    <row r="73" ht="8.75" customHeight="1" hidden="1">
      <c r="A73" s="400">
        <v>45017</v>
      </c>
      <c r="B73" s="401"/>
      <c r="C73" s="402"/>
      <c r="D73" s="402"/>
      <c r="E73" s="402" cm="1">
        <f t="array" ref="E73">'net worth - retiro'!B75</f>
        <v>974008</v>
      </c>
      <c r="F73" s="403" cm="1">
        <f t="array" ref="F73">_xlfn.IFERROR(E73/'flujos - Gasto mensual'!C73,0)</f>
        <v>0.257435435511632</v>
      </c>
      <c r="G73" s="404"/>
      <c r="H73" s="350" cm="1">
        <f t="array" ref="H73">'net worth - brokerage'!B74</f>
        <v>0</v>
      </c>
      <c r="I73" s="403" cm="1">
        <f t="array" ref="I73">_xlfn.IFERROR(H73/'flujos - Gasto mensual'!$C73,0)</f>
        <v>0</v>
      </c>
      <c r="J73" s="404"/>
      <c r="K73" s="350" cm="1">
        <f t="array" ref="K73">'net worth - cash and cash equiv'!D75</f>
        <v>0</v>
      </c>
      <c r="L73" s="403" cm="1">
        <f t="array" ref="L73">_xlfn.IFERROR(K73/'flujos - Gasto mensual'!$C73,0)</f>
        <v>0</v>
      </c>
      <c r="M73" s="404"/>
      <c r="N73" s="402" cm="1">
        <f t="array" ref="N73">'net worth - criptomonedas'!B75</f>
        <v>0</v>
      </c>
      <c r="O73" s="403" cm="1">
        <f t="array" ref="O73">_xlfn.IFERROR(N73/'flujos - Gasto mensual'!$C73,0)</f>
        <v>0</v>
      </c>
      <c r="P73" s="404"/>
      <c r="Q73" s="405" cm="1">
        <f t="array" ref="Q73">R73-B73</f>
        <v>974008</v>
      </c>
      <c r="R73" s="350" cm="1">
        <f t="array" ref="R73">K73+H73+N73+E73</f>
        <v>974008</v>
      </c>
      <c r="S73" s="406" cm="1">
        <f t="array" ref="S73">R73/'variables - Table 1-1'!B72</f>
        <v>1213.172906857980</v>
      </c>
      <c r="T73" s="403" cm="1">
        <f t="array" ref="T73">_xlfn.IFERROR(R73/'flujos - Gasto mensual'!$C73,0)</f>
        <v>0.257435435511632</v>
      </c>
      <c r="U73" s="350" cm="1">
        <f t="array" ref="U73">E73+H73+K73</f>
        <v>974008</v>
      </c>
      <c r="V73" s="403" cm="1">
        <f t="array" ref="V73">F73+O73+I73+L73</f>
        <v>0.257435435511632</v>
      </c>
    </row>
    <row r="74" ht="8.75" customHeight="1" hidden="1">
      <c r="A74" s="400">
        <v>45047</v>
      </c>
      <c r="B74" s="401"/>
      <c r="C74" s="402"/>
      <c r="D74" s="404"/>
      <c r="E74" s="402" cm="1">
        <f t="array" ref="E74">'net worth - retiro'!B76</f>
        <v>977416</v>
      </c>
      <c r="F74" s="403" cm="1">
        <f t="array" ref="F74">_xlfn.IFERROR(E74/'flujos - Gasto mensual'!C74,0)</f>
        <v>0.258381806665687</v>
      </c>
      <c r="G74" s="404"/>
      <c r="H74" s="350" cm="1">
        <f t="array" ref="H74">'net worth - brokerage'!B75</f>
        <v>250000</v>
      </c>
      <c r="I74" s="403" cm="1">
        <f t="array" ref="I74">_xlfn.IFERROR(H74/'flujos - Gasto mensual'!$C74,0)</f>
        <v>0.06608798266697261</v>
      </c>
      <c r="J74" s="404"/>
      <c r="K74" s="350" cm="1">
        <f t="array" ref="K74">'net worth - cash and cash equiv'!D76</f>
        <v>527950</v>
      </c>
      <c r="L74" s="403" cm="1">
        <f t="array" ref="L74">_xlfn.IFERROR(K74/'flujos - Gasto mensual'!$C74,0)</f>
        <v>0.139564601796113</v>
      </c>
      <c r="M74" s="404"/>
      <c r="N74" s="402" cm="1">
        <f t="array" ref="N74">'net worth - criptomonedas'!B76</f>
        <v>0</v>
      </c>
      <c r="O74" s="403" cm="1">
        <f t="array" ref="O74">_xlfn.IFERROR(N74/'flujos - Gasto mensual'!$C74,0)</f>
        <v>0</v>
      </c>
      <c r="P74" s="404"/>
      <c r="Q74" s="405" cm="1">
        <f t="array" ref="Q74">R74-B74</f>
        <v>1755366</v>
      </c>
      <c r="R74" s="350" cm="1">
        <f t="array" ref="R74">K74+H74+N74+E74</f>
        <v>1755366</v>
      </c>
      <c r="S74" s="406" cm="1">
        <f t="array" ref="S74">R74/'variables - Table 1-1'!B73</f>
        <v>2182.341020699940</v>
      </c>
      <c r="T74" s="403" cm="1">
        <f t="array" ref="T74">_xlfn.IFERROR(R74/'flujos - Gasto mensual'!$C74,0)</f>
        <v>0.464034391128772</v>
      </c>
      <c r="U74" s="350" cm="1">
        <f t="array" ref="U74">E74+H74+K74</f>
        <v>1755366</v>
      </c>
      <c r="V74" s="403" cm="1">
        <f t="array" ref="V74">F74+O74+I74+L74</f>
        <v>0.464034391128773</v>
      </c>
    </row>
    <row r="75" ht="8.75" customHeight="1" hidden="1">
      <c r="A75" s="400">
        <v>45078</v>
      </c>
      <c r="B75" s="401"/>
      <c r="C75" s="402"/>
      <c r="D75" s="404"/>
      <c r="E75" s="402" cm="1">
        <f t="array" ref="E75">'net worth - retiro'!B77</f>
        <v>376584</v>
      </c>
      <c r="F75" s="403" cm="1">
        <f t="array" ref="F75">_xlfn.IFERROR(E75/'flujos - Gasto mensual'!C75,0)</f>
        <v>0.0989049865096376</v>
      </c>
      <c r="G75" s="404"/>
      <c r="H75" s="350" cm="1">
        <f t="array" ref="H75">'net worth - brokerage'!B76</f>
        <v>0</v>
      </c>
      <c r="I75" s="403" cm="1">
        <f t="array" ref="I75">_xlfn.IFERROR(H75/'flujos - Gasto mensual'!$C75,0)</f>
        <v>0</v>
      </c>
      <c r="J75" s="404"/>
      <c r="K75" s="350" cm="1">
        <f t="array" ref="K75">'net worth - cash and cash equiv'!D77</f>
        <v>59935</v>
      </c>
      <c r="L75" s="403" cm="1">
        <f t="array" ref="L75">_xlfn.IFERROR(K75/'flujos - Gasto mensual'!$C75,0)</f>
        <v>0.0157411636353513</v>
      </c>
      <c r="M75" s="404"/>
      <c r="N75" s="402" cm="1">
        <f t="array" ref="N75">'net worth - criptomonedas'!B77</f>
        <v>0</v>
      </c>
      <c r="O75" s="403" cm="1">
        <f t="array" ref="O75">_xlfn.IFERROR(N75/'flujos - Gasto mensual'!$C75,0)</f>
        <v>0</v>
      </c>
      <c r="P75" s="404"/>
      <c r="Q75" s="405" cm="1">
        <f t="array" ref="Q75">R75-B75</f>
        <v>436519</v>
      </c>
      <c r="R75" s="350" cm="1">
        <f t="array" ref="R75">K75+H75+N75+E75</f>
        <v>436519</v>
      </c>
      <c r="S75" s="406" cm="1">
        <f t="array" ref="S75">R75/'variables - Table 1-1'!B74</f>
        <v>543.711776795167</v>
      </c>
      <c r="T75" s="403" cm="1">
        <f t="array" ref="T75">_xlfn.IFERROR(R75/'flujos - Gasto mensual'!$C75,0)</f>
        <v>0.114646150144989</v>
      </c>
      <c r="U75" s="350" cm="1">
        <f t="array" ref="U75">E75+H75+K75</f>
        <v>436519</v>
      </c>
      <c r="V75" s="403" cm="1">
        <f t="array" ref="V75">F75+O75+I75+L75</f>
        <v>0.114646150144989</v>
      </c>
    </row>
    <row r="76" ht="8.75" customHeight="1" hidden="1">
      <c r="A76" s="400">
        <v>45108</v>
      </c>
      <c r="B76" s="401"/>
      <c r="C76" s="402"/>
      <c r="D76" s="404"/>
      <c r="E76" s="402" cm="1">
        <f t="array" ref="E76">'net worth - retiro'!B78</f>
        <v>975973</v>
      </c>
      <c r="F76" s="403" cm="1">
        <f t="array" ref="F76">_xlfn.IFERROR(E76/'flujos - Gasto mensual'!C76,0)</f>
        <v>0.257188905470185</v>
      </c>
      <c r="G76" s="404"/>
      <c r="H76" s="350" cm="1">
        <f t="array" ref="H76">'net worth - brokerage'!B77</f>
        <v>0</v>
      </c>
      <c r="I76" s="403" cm="1">
        <f t="array" ref="I76">_xlfn.IFERROR(H76/'flujos - Gasto mensual'!$C76,0)</f>
        <v>0</v>
      </c>
      <c r="J76" s="404"/>
      <c r="K76" s="350" cm="1">
        <f t="array" ref="K76">'net worth - cash and cash equiv'!D78</f>
        <v>0</v>
      </c>
      <c r="L76" s="403" cm="1">
        <f t="array" ref="L76">_xlfn.IFERROR(K76/'flujos - Gasto mensual'!$C76,0)</f>
        <v>0</v>
      </c>
      <c r="M76" s="404"/>
      <c r="N76" s="402" cm="1">
        <f t="array" ref="N76">'net worth - criptomonedas'!B78</f>
        <v>0</v>
      </c>
      <c r="O76" s="403" cm="1">
        <f t="array" ref="O76">_xlfn.IFERROR(N76/'flujos - Gasto mensual'!$C76,0)</f>
        <v>0</v>
      </c>
      <c r="P76" s="404"/>
      <c r="Q76" s="405" cm="1">
        <f t="array" ref="Q76">R76-B76</f>
        <v>975973</v>
      </c>
      <c r="R76" s="350" cm="1">
        <f t="array" ref="R76">K76+H76+N76+E76</f>
        <v>975973</v>
      </c>
      <c r="S76" s="406" cm="1">
        <f t="array" ref="S76">R76/'variables - Table 1-1'!B75</f>
        <v>1179.010377027990</v>
      </c>
      <c r="T76" s="403" cm="1">
        <f t="array" ref="T76">_xlfn.IFERROR(R76/'flujos - Gasto mensual'!$C76,0)</f>
        <v>0.257188905470185</v>
      </c>
      <c r="U76" s="350" cm="1">
        <f t="array" ref="U76">E76+H76+K76</f>
        <v>975973</v>
      </c>
      <c r="V76" s="403" cm="1">
        <f t="array" ref="V76">F76+O76+I76+L76</f>
        <v>0.257188905470185</v>
      </c>
    </row>
    <row r="77" ht="8.75" customHeight="1" hidden="1">
      <c r="A77" s="400">
        <v>45139</v>
      </c>
      <c r="B77" s="401"/>
      <c r="C77" s="402"/>
      <c r="D77" s="404"/>
      <c r="E77" s="402" cm="1">
        <f t="array" ref="E77">'net worth - retiro'!B79</f>
        <v>976642</v>
      </c>
      <c r="F77" s="403" cm="1">
        <f t="array" ref="F77">_xlfn.IFERROR(E77/'flujos - Gasto mensual'!C77,0)</f>
        <v>0.257347025946242</v>
      </c>
      <c r="G77" s="404"/>
      <c r="H77" s="350" cm="1">
        <f t="array" ref="H77">'net worth - brokerage'!B78</f>
        <v>0</v>
      </c>
      <c r="I77" s="403" cm="1">
        <f t="array" ref="I77">_xlfn.IFERROR(H77/'flujos - Gasto mensual'!$C77,0)</f>
        <v>0</v>
      </c>
      <c r="J77" s="404"/>
      <c r="K77" s="350" cm="1">
        <f t="array" ref="K77">'net worth - cash and cash equiv'!D79</f>
        <v>0</v>
      </c>
      <c r="L77" s="403" cm="1">
        <f t="array" ref="L77">_xlfn.IFERROR(K77/'flujos - Gasto mensual'!$C77,0)</f>
        <v>0</v>
      </c>
      <c r="M77" s="404"/>
      <c r="N77" s="402" cm="1">
        <f t="array" ref="N77">'net worth - criptomonedas'!B79</f>
        <v>0</v>
      </c>
      <c r="O77" s="403" cm="1">
        <f t="array" ref="O77">_xlfn.IFERROR(N77/'flujos - Gasto mensual'!$C77,0)</f>
        <v>0</v>
      </c>
      <c r="P77" s="404"/>
      <c r="Q77" s="405" cm="1">
        <f t="array" ref="Q77">R77-B77</f>
        <v>976642</v>
      </c>
      <c r="R77" s="350" cm="1">
        <f t="array" ref="R77">K77+H77+N77+E77</f>
        <v>976642</v>
      </c>
      <c r="S77" s="406" cm="1">
        <f t="array" ref="S77">R77/'variables - Table 1-1'!B76</f>
        <v>1146.549113065120</v>
      </c>
      <c r="T77" s="403" cm="1">
        <f t="array" ref="T77">_xlfn.IFERROR(R77/'flujos - Gasto mensual'!$C77,0)</f>
        <v>0.257347025946242</v>
      </c>
      <c r="U77" s="350" cm="1">
        <f t="array" ref="U77">E77+H77+K77</f>
        <v>976642</v>
      </c>
      <c r="V77" s="403" cm="1">
        <f t="array" ref="V77">F77+O77+I77+L77</f>
        <v>0.257347025946242</v>
      </c>
    </row>
    <row r="78" ht="8.75" customHeight="1" hidden="1">
      <c r="A78" s="400">
        <v>45170</v>
      </c>
      <c r="B78" s="401"/>
      <c r="C78" s="402"/>
      <c r="D78" s="404"/>
      <c r="E78" s="402" cm="1">
        <f t="array" ref="E78">'net worth - retiro'!B80</f>
        <v>379822</v>
      </c>
      <c r="F78" s="403" cm="1">
        <f t="array" ref="F78">_xlfn.IFERROR(E78/'flujos - Gasto mensual'!C78,0)</f>
        <v>0.097025862101998</v>
      </c>
      <c r="G78" s="404"/>
      <c r="H78" s="350" cm="1">
        <f t="array" ref="H78">'net worth - brokerage'!B79</f>
        <v>0</v>
      </c>
      <c r="I78" s="403" cm="1">
        <f t="array" ref="I78">_xlfn.IFERROR(H78/'flujos - Gasto mensual'!$C78,0)</f>
        <v>0</v>
      </c>
      <c r="J78" s="404"/>
      <c r="K78" s="350" cm="1">
        <f t="array" ref="K78">'net worth - cash and cash equiv'!D80</f>
        <v>0</v>
      </c>
      <c r="L78" s="403" cm="1">
        <f t="array" ref="L78">_xlfn.IFERROR(K78/'flujos - Gasto mensual'!$C78,0)</f>
        <v>0</v>
      </c>
      <c r="M78" s="404"/>
      <c r="N78" s="402" cm="1">
        <f t="array" ref="N78">'net worth - criptomonedas'!B80</f>
        <v>0</v>
      </c>
      <c r="O78" s="403" cm="1">
        <f t="array" ref="O78">_xlfn.IFERROR(N78/'flujos - Gasto mensual'!$C78,0)</f>
        <v>0</v>
      </c>
      <c r="P78" s="404"/>
      <c r="Q78" s="405" cm="1">
        <f t="array" ref="Q78">R78-B78</f>
        <v>379822</v>
      </c>
      <c r="R78" s="350" cm="1">
        <f t="array" ref="R78">K78+H78+N78+E78</f>
        <v>379822</v>
      </c>
      <c r="S78" s="406" cm="1">
        <f t="array" ref="S78">R78/'variables - Table 1-1'!B77</f>
        <v>419.739197701403</v>
      </c>
      <c r="T78" s="403" cm="1">
        <f t="array" ref="T78">_xlfn.IFERROR(R78/'flujos - Gasto mensual'!$C78,0)</f>
        <v>0.097025862101998</v>
      </c>
      <c r="U78" s="350" cm="1">
        <f t="array" ref="U78">E78+H78+K78</f>
        <v>379822</v>
      </c>
      <c r="V78" s="403" cm="1">
        <f t="array" ref="V78">F78+O78+I78+L78</f>
        <v>0.097025862101998</v>
      </c>
    </row>
    <row r="79" ht="8.75" customHeight="1" hidden="1">
      <c r="A79" s="400">
        <v>45200</v>
      </c>
      <c r="B79" s="407"/>
      <c r="C79" s="408"/>
      <c r="D79" s="409"/>
      <c r="E79" s="408" cm="1">
        <f t="array" ref="E79">'net worth - retiro'!B81</f>
        <v>378907</v>
      </c>
      <c r="F79" s="410" cm="1">
        <f t="array" ref="F79">_xlfn.IFERROR(E79/'flujos - Gasto mensual'!C79,0)</f>
        <v>0.0996503491905696</v>
      </c>
      <c r="G79" s="409"/>
      <c r="H79" s="405" cm="1">
        <f t="array" ref="H79">'net worth - brokerage'!B80</f>
        <v>0</v>
      </c>
      <c r="I79" s="410" cm="1">
        <f t="array" ref="I79">_xlfn.IFERROR(H79/'flujos - Gasto mensual'!$C79,0)</f>
        <v>0</v>
      </c>
      <c r="J79" s="409"/>
      <c r="K79" s="405" cm="1">
        <f t="array" ref="K79">'net worth - cash and cash equiv'!D81</f>
        <v>0</v>
      </c>
      <c r="L79" s="410" cm="1">
        <f t="array" ref="L79">_xlfn.IFERROR(K79/'flujos - Gasto mensual'!$C79,0)</f>
        <v>0</v>
      </c>
      <c r="M79" s="409"/>
      <c r="N79" s="408" cm="1">
        <f t="array" ref="N79">'net worth - criptomonedas'!B81</f>
        <v>0</v>
      </c>
      <c r="O79" s="410" cm="1">
        <f t="array" ref="O79">_xlfn.IFERROR(N79/'flujos - Gasto mensual'!$C79,0)</f>
        <v>0</v>
      </c>
      <c r="P79" s="409"/>
      <c r="Q79" s="405" cm="1">
        <f t="array" ref="Q79">R79-B79</f>
        <v>378907</v>
      </c>
      <c r="R79" s="405" cm="1">
        <f t="array" ref="R79">K79+H79+N79+E79</f>
        <v>378907</v>
      </c>
      <c r="S79" s="406" cm="1">
        <f t="array" ref="S79">R79/'variables - Table 1-1'!B78</f>
        <v>417.786182106865</v>
      </c>
      <c r="T79" s="403" cm="1">
        <f t="array" ref="T79">_xlfn.IFERROR(R79/'flujos - Gasto mensual'!$C79,0)</f>
        <v>0.0996503491905696</v>
      </c>
      <c r="U79" s="350" cm="1">
        <f t="array" ref="U79">E79+H79+K79</f>
        <v>378907</v>
      </c>
      <c r="V79" s="403" cm="1">
        <f t="array" ref="V79">F79+O79+I79+L79</f>
        <v>0.0996503491905696</v>
      </c>
    </row>
    <row r="80" ht="8.75" customHeight="1" hidden="1">
      <c r="A80" s="400">
        <v>45231</v>
      </c>
      <c r="B80" s="407"/>
      <c r="C80" s="408"/>
      <c r="D80" s="409"/>
      <c r="E80" s="408" cm="1">
        <f t="array" ref="E80">'net worth - retiro'!B82</f>
        <v>380337</v>
      </c>
      <c r="F80" s="410" cm="1">
        <f t="array" ref="F80">_xlfn.IFERROR(E80/'flujos - Gasto mensual'!C80,0)</f>
        <v>0.100030929510698</v>
      </c>
      <c r="G80" s="409"/>
      <c r="H80" s="405" cm="1">
        <f t="array" ref="H80">'net worth - brokerage'!B81</f>
        <v>0</v>
      </c>
      <c r="I80" s="410" cm="1">
        <f t="array" ref="I80">_xlfn.IFERROR(H80/'flujos - Gasto mensual'!$C80,0)</f>
        <v>0</v>
      </c>
      <c r="J80" s="409"/>
      <c r="K80" s="405" cm="1">
        <f t="array" ref="K80">'net worth - cash and cash equiv'!D82</f>
        <v>0</v>
      </c>
      <c r="L80" s="410" cm="1">
        <f t="array" ref="L80">_xlfn.IFERROR(K80/'flujos - Gasto mensual'!$C80,0)</f>
        <v>0</v>
      </c>
      <c r="M80" s="409"/>
      <c r="N80" s="408" cm="1">
        <f t="array" ref="N80">'net worth - criptomonedas'!B82</f>
        <v>0</v>
      </c>
      <c r="O80" s="410" cm="1">
        <f t="array" ref="O80">_xlfn.IFERROR(N80/'flujos - Gasto mensual'!$C80,0)</f>
        <v>0</v>
      </c>
      <c r="P80" s="409"/>
      <c r="Q80" s="405" cm="1">
        <f t="array" ref="Q80">R80-B80</f>
        <v>380337</v>
      </c>
      <c r="R80" s="405" cm="1">
        <f t="array" ref="R80">K80+H80+N80+E80</f>
        <v>380337</v>
      </c>
      <c r="S80" s="406" cm="1">
        <f t="array" ref="S80">R80/'variables - Table 1-1'!B79</f>
        <v>437.596502329863</v>
      </c>
      <c r="T80" s="403" cm="1">
        <f t="array" ref="T80">_xlfn.IFERROR(R80/'flujos - Gasto mensual'!$C80,0)</f>
        <v>0.100030929510698</v>
      </c>
      <c r="U80" s="350" cm="1">
        <f t="array" ref="U80">E80+H80+K80</f>
        <v>380337</v>
      </c>
      <c r="V80" s="403" cm="1">
        <f t="array" ref="V80">F80+O80+I80+L80</f>
        <v>0.100030929510698</v>
      </c>
    </row>
    <row r="81" ht="8.75" customHeight="1" hidden="1">
      <c r="A81" s="400">
        <v>45261</v>
      </c>
      <c r="B81" s="407"/>
      <c r="C81" s="408"/>
      <c r="D81" s="409"/>
      <c r="E81" s="408" cm="1">
        <f t="array" ref="E81">'net worth - retiro'!B83</f>
        <v>384728</v>
      </c>
      <c r="F81" s="410" cm="1">
        <f t="array" ref="F81">_xlfn.IFERROR(E81/'flujos - Gasto mensual'!C81,0)</f>
        <v>0.101182648872581</v>
      </c>
      <c r="G81" s="409"/>
      <c r="H81" s="405" cm="1">
        <f t="array" ref="H81">'net worth - brokerage'!B82</f>
        <v>0</v>
      </c>
      <c r="I81" s="410" cm="1">
        <f t="array" ref="I81">_xlfn.IFERROR(H81/'flujos - Gasto mensual'!$C81,0)</f>
        <v>0</v>
      </c>
      <c r="J81" s="409"/>
      <c r="K81" s="405" cm="1">
        <f t="array" ref="K81">'net worth - cash and cash equiv'!D83</f>
        <v>0</v>
      </c>
      <c r="L81" s="410" cm="1">
        <f t="array" ref="L81">_xlfn.IFERROR(K81/'flujos - Gasto mensual'!$C81,0)</f>
        <v>0</v>
      </c>
      <c r="M81" s="409"/>
      <c r="N81" s="408" cm="1">
        <f t="array" ref="N81">'net worth - criptomonedas'!B83</f>
        <v>0</v>
      </c>
      <c r="O81" s="410" cm="1">
        <f t="array" ref="O81">_xlfn.IFERROR(N81/'flujos - Gasto mensual'!$C81,0)</f>
        <v>0</v>
      </c>
      <c r="P81" s="409"/>
      <c r="Q81" s="405" cm="1">
        <f t="array" ref="Q81">R81-B81</f>
        <v>384728</v>
      </c>
      <c r="R81" s="405" cm="1">
        <f t="array" ref="R81">K81+H81+N81+E81</f>
        <v>384728</v>
      </c>
      <c r="S81" s="406" cm="1">
        <f t="array" ref="S81">R81/'variables - Table 1-1'!B80</f>
        <v>434.897811539157</v>
      </c>
      <c r="T81" s="403" cm="1">
        <f t="array" ref="T81">_xlfn.IFERROR(R81/'flujos - Gasto mensual'!$C81,0)</f>
        <v>0.101182648872581</v>
      </c>
      <c r="U81" s="350" cm="1">
        <f t="array" ref="U81">E81+H81+K81</f>
        <v>384728</v>
      </c>
      <c r="V81" s="403" cm="1">
        <f t="array" ref="V81">F81+O81+I81+L81</f>
        <v>0.101182648872581</v>
      </c>
    </row>
    <row r="82" ht="8.75" customHeight="1" hidden="1">
      <c r="A82" s="400">
        <v>45292</v>
      </c>
      <c r="B82" s="407"/>
      <c r="C82" s="408"/>
      <c r="D82" s="409"/>
      <c r="E82" s="408" cm="1">
        <f t="array" ref="E82">'net worth - retiro'!B84</f>
        <v>1391643</v>
      </c>
      <c r="F82" s="410" cm="1">
        <f t="array" ref="F82">_xlfn.IFERROR(E82/'flujos - Gasto mensual'!C82,0)</f>
        <v>0.366726477039062</v>
      </c>
      <c r="G82" s="409"/>
      <c r="H82" s="405" cm="1">
        <f t="array" ref="H82">'net worth - brokerage'!B83</f>
        <v>0</v>
      </c>
      <c r="I82" s="410" cm="1">
        <f t="array" ref="I82">_xlfn.IFERROR(H82/'flujos - Gasto mensual'!$C82,0)</f>
        <v>0</v>
      </c>
      <c r="J82" s="409"/>
      <c r="K82" s="405" cm="1">
        <f t="array" ref="K82">'net worth - cash and cash equiv'!D84</f>
        <v>30014000</v>
      </c>
      <c r="L82" s="410" cm="1">
        <f t="array" ref="L82">_xlfn.IFERROR(K82/'flujos - Gasto mensual'!$C82,0)</f>
        <v>7.90930467213964</v>
      </c>
      <c r="M82" s="409"/>
      <c r="N82" s="408" cm="1">
        <f t="array" ref="N82">'net worth - criptomonedas'!B84</f>
        <v>0</v>
      </c>
      <c r="O82" s="410" cm="1">
        <f t="array" ref="O82">_xlfn.IFERROR(N82/'flujos - Gasto mensual'!$C82,0)</f>
        <v>0</v>
      </c>
      <c r="P82" s="409"/>
      <c r="Q82" s="405" cm="1">
        <f t="array" ref="Q82">R82-B82</f>
        <v>31405643</v>
      </c>
      <c r="R82" s="405" cm="1">
        <f t="array" ref="R82">K82+H82+N82+E82</f>
        <v>31405643</v>
      </c>
      <c r="S82" s="406" cm="1">
        <f t="array" ref="S82">R82/'variables - Table 1-1'!B81</f>
        <v>33691.6193745642</v>
      </c>
      <c r="T82" s="403" cm="1">
        <f t="array" ref="T82">_xlfn.IFERROR(R82/'flujos - Gasto mensual'!$C82,0)</f>
        <v>8.276031149178699</v>
      </c>
      <c r="U82" s="350" cm="1">
        <f t="array" ref="U82">E82+H82+K82</f>
        <v>31405643</v>
      </c>
      <c r="V82" s="403" cm="1">
        <f t="array" ref="V82">F82+O82+I82+L82</f>
        <v>8.276031149178699</v>
      </c>
    </row>
    <row r="83" ht="8.75" customHeight="1" hidden="1">
      <c r="A83" s="400">
        <v>45323</v>
      </c>
      <c r="B83" s="407"/>
      <c r="C83" s="408"/>
      <c r="D83" s="409"/>
      <c r="E83" s="408" cm="1">
        <f t="array" ref="E83">'net worth - retiro'!B85</f>
        <v>742681</v>
      </c>
      <c r="F83" s="410" cm="1">
        <f t="array" ref="F83">_xlfn.IFERROR(E83/'flujos - Gasto mensual'!C83,0)</f>
        <v>0.195320601446098</v>
      </c>
      <c r="G83" s="409"/>
      <c r="H83" s="405" cm="1">
        <f t="array" ref="H83">'net worth - brokerage'!B84</f>
        <v>0</v>
      </c>
      <c r="I83" s="410" cm="1">
        <f t="array" ref="I83">_xlfn.IFERROR(H83/'flujos - Gasto mensual'!$C83,0)</f>
        <v>0</v>
      </c>
      <c r="J83" s="409"/>
      <c r="K83" s="405" cm="1">
        <f t="array" ref="K83">'net worth - cash and cash equiv'!D85</f>
        <v>12147361</v>
      </c>
      <c r="L83" s="410" cm="1">
        <f t="array" ref="L83">_xlfn.IFERROR(K83/'flujos - Gasto mensual'!$C83,0)</f>
        <v>3.19468231515668</v>
      </c>
      <c r="M83" s="409"/>
      <c r="N83" s="408" cm="1">
        <f t="array" ref="N83">'net worth - criptomonedas'!B85</f>
        <v>0</v>
      </c>
      <c r="O83" s="410" cm="1">
        <f t="array" ref="O83">_xlfn.IFERROR(N83/'flujos - Gasto mensual'!$C83,0)</f>
        <v>0</v>
      </c>
      <c r="P83" s="409"/>
      <c r="Q83" s="405" cm="1">
        <f t="array" ref="Q83">R83-B83</f>
        <v>12890042</v>
      </c>
      <c r="R83" s="405" cm="1">
        <f t="array" ref="R83">K83+H83+N83+E83</f>
        <v>12890042</v>
      </c>
      <c r="S83" s="406" cm="1">
        <f t="array" ref="S83">R83/'variables - Table 1-1'!B82</f>
        <v>13139.9641175151</v>
      </c>
      <c r="T83" s="403" cm="1">
        <f t="array" ref="T83">_xlfn.IFERROR(R83/'flujos - Gasto mensual'!$C83,0)</f>
        <v>3.39000291660278</v>
      </c>
      <c r="U83" s="350" cm="1">
        <f t="array" ref="U83">E83+H83+K83</f>
        <v>12890042</v>
      </c>
      <c r="V83" s="403" cm="1">
        <f t="array" ref="V83">F83+O83+I83+L83</f>
        <v>3.39000291660278</v>
      </c>
    </row>
    <row r="84" ht="8.75" customHeight="1" hidden="1">
      <c r="A84" s="400">
        <v>45352</v>
      </c>
      <c r="B84" s="407"/>
      <c r="C84" s="408"/>
      <c r="D84" s="409"/>
      <c r="E84" s="408" cm="1">
        <f t="array" ref="E84">'net worth - retiro'!B86</f>
        <v>744683</v>
      </c>
      <c r="F84" s="410" cm="1">
        <f t="array" ref="F84">_xlfn.IFERROR(E84/'flujos - Gasto mensual'!C84,0)</f>
        <v>0.195836402523867</v>
      </c>
      <c r="G84" s="409"/>
      <c r="H84" s="405" cm="1">
        <f t="array" ref="H84">'net worth - brokerage'!B85</f>
        <v>0</v>
      </c>
      <c r="I84" s="410" cm="1">
        <f t="array" ref="I84">_xlfn.IFERROR(H84/'flujos - Gasto mensual'!$C84,0)</f>
        <v>0</v>
      </c>
      <c r="J84" s="409"/>
      <c r="K84" s="405" cm="1">
        <f t="array" ref="K84">'net worth - cash and cash equiv'!D86</f>
        <v>-10100000</v>
      </c>
      <c r="L84" s="410" cm="1">
        <f t="array" ref="L84">_xlfn.IFERROR(K84/'flujos - Gasto mensual'!$C84,0)</f>
        <v>-2.65609348607536</v>
      </c>
      <c r="M84" s="409"/>
      <c r="N84" s="408" cm="1">
        <f t="array" ref="N84">'net worth - criptomonedas'!B86</f>
        <v>0</v>
      </c>
      <c r="O84" s="410" cm="1">
        <f t="array" ref="O84">_xlfn.IFERROR(N84/'flujos - Gasto mensual'!$C84,0)</f>
        <v>0</v>
      </c>
      <c r="P84" s="409"/>
      <c r="Q84" s="405" cm="1">
        <f t="array" ref="Q84">R84-B84</f>
        <v>-9355317</v>
      </c>
      <c r="R84" s="405" cm="1">
        <f t="array" ref="R84">K84+H84+N84+E84</f>
        <v>-9355317</v>
      </c>
      <c r="S84" s="406" cm="1">
        <f t="array" ref="S84">R84/'variables - Table 1-1'!B83</f>
        <v>-9541.763049996940</v>
      </c>
      <c r="T84" s="403" cm="1">
        <f t="array" ref="T84">_xlfn.IFERROR(R84/'flujos - Gasto mensual'!$C84,0)</f>
        <v>-2.4602570835515</v>
      </c>
      <c r="U84" s="350" cm="1">
        <f t="array" ref="U84">E84+H84+K84</f>
        <v>-9355317</v>
      </c>
      <c r="V84" s="403" cm="1">
        <f t="array" ref="V84">F84+O84+I84+L84</f>
        <v>-2.46025708355149</v>
      </c>
    </row>
    <row r="85" ht="8.75" customHeight="1" hidden="1">
      <c r="A85" s="400">
        <v>45383</v>
      </c>
      <c r="B85" s="407" cm="1">
        <f t="array" ref="B85">'depto - dividendos'!C5</f>
        <v>53827132</v>
      </c>
      <c r="C85" s="408"/>
      <c r="D85" s="409"/>
      <c r="E85" s="408" cm="1">
        <f t="array" ref="E85">'net worth - retiro'!B87</f>
        <v>1096108</v>
      </c>
      <c r="F85" s="410" cm="1">
        <f t="array" ref="F85">_xlfn.IFERROR(E85/'flujos - Gasto mensual'!C85,0)</f>
        <v>0.288240271928953</v>
      </c>
      <c r="G85" s="409"/>
      <c r="H85" s="405" cm="1">
        <f t="array" ref="H85">'net worth - brokerage'!B86</f>
        <v>0</v>
      </c>
      <c r="I85" s="410" cm="1">
        <f t="array" ref="I85">_xlfn.IFERROR(H85/'flujos - Gasto mensual'!$C85,0)</f>
        <v>0</v>
      </c>
      <c r="J85" s="409"/>
      <c r="K85" s="405" cm="1">
        <f t="array" ref="K85">'net worth - cash and cash equiv'!B87</f>
        <v>-38099733</v>
      </c>
      <c r="L85" s="410" cm="1">
        <f t="array" ref="L85">_xlfn.IFERROR(K85/'flujos - Gasto mensual'!$C85,0)</f>
        <v>-10.0189738605507</v>
      </c>
      <c r="M85" s="409"/>
      <c r="N85" s="408" cm="1">
        <f t="array" ref="N85">'net worth - criptomonedas'!B87</f>
        <v>0</v>
      </c>
      <c r="O85" s="410" cm="1">
        <f t="array" ref="O85">_xlfn.IFERROR(N85/'flujos - Gasto mensual'!$C85,0)</f>
        <v>0</v>
      </c>
      <c r="P85" s="409"/>
      <c r="Q85" s="405" cm="1">
        <f t="array" ref="Q85">R85-B85</f>
        <v>-37003625</v>
      </c>
      <c r="R85" s="405" cm="1">
        <f t="array" ref="R85">K85+H85+N85+E85+B85</f>
        <v>16823507</v>
      </c>
      <c r="S85" s="406" cm="1">
        <f t="array" ref="S85">R85/'variables - Table 1-1'!B84</f>
        <v>17868.0746436689</v>
      </c>
      <c r="T85" s="403" cm="1">
        <f t="array" ref="T85">_xlfn.IFERROR(R85/'flujos - Gasto mensual'!$C85,0)</f>
        <v>4.42402777142274</v>
      </c>
      <c r="U85" s="350" cm="1">
        <f t="array" ref="U85">B85+E85+H85+K85</f>
        <v>16823507</v>
      </c>
      <c r="V85" s="403" cm="1">
        <f t="array" ref="V85">F85+O85+I85+L85</f>
        <v>-9.730733588621749</v>
      </c>
    </row>
    <row r="86" ht="8.75" customHeight="1" hidden="1">
      <c r="A86" s="400">
        <v>45413</v>
      </c>
      <c r="B86" s="407" cm="1">
        <f t="array" ref="B86">'depto - dividendos'!C6</f>
        <v>0</v>
      </c>
      <c r="C86" s="408"/>
      <c r="D86" s="409"/>
      <c r="E86" s="408" cm="1">
        <f t="array" ref="E86">'net worth - retiro'!B88</f>
        <v>397601</v>
      </c>
      <c r="F86" s="410" cm="1">
        <f t="array" ref="F86">_xlfn.IFERROR(E86/'flujos - Gasto mensual'!C86,0)</f>
        <v>0.104552684717386</v>
      </c>
      <c r="G86" s="409"/>
      <c r="H86" s="405" cm="1">
        <f t="array" ref="H86">'net worth - brokerage'!B87</f>
        <v>0</v>
      </c>
      <c r="I86" s="410" cm="1">
        <f t="array" ref="I86">_xlfn.IFERROR(H86/'flujos - Gasto mensual'!$C86,0)</f>
        <v>0</v>
      </c>
      <c r="J86" s="409"/>
      <c r="K86" s="405" cm="1">
        <f t="array" ref="K86">'net worth - cash and cash equiv'!B88</f>
        <v>0</v>
      </c>
      <c r="L86" s="410" cm="1">
        <f t="array" ref="L86">_xlfn.IFERROR(K86/'flujos - Gasto mensual'!$C86,0)</f>
        <v>0</v>
      </c>
      <c r="M86" s="409"/>
      <c r="N86" s="408" cm="1">
        <f t="array" ref="N86">'net worth - criptomonedas'!B88</f>
        <v>0</v>
      </c>
      <c r="O86" s="410" cm="1">
        <f t="array" ref="O86">_xlfn.IFERROR(N86/'flujos - Gasto mensual'!$C86,0)</f>
        <v>0</v>
      </c>
      <c r="P86" s="409"/>
      <c r="Q86" s="405" cm="1">
        <f t="array" ref="Q86">R86-B86</f>
        <v>397601</v>
      </c>
      <c r="R86" s="405" cm="1">
        <f t="array" ref="R86">K86+H86+N86+E86+B86</f>
        <v>397601</v>
      </c>
      <c r="S86" s="406" cm="1">
        <f t="array" ref="S86">R86/'variables - Table 1-1'!B85</f>
        <v>433.664543431787</v>
      </c>
      <c r="T86" s="403" cm="1">
        <f t="array" ref="T86">_xlfn.IFERROR(R86/'flujos - Gasto mensual'!$C86,0)</f>
        <v>0.104552684717386</v>
      </c>
      <c r="U86" s="350" cm="1">
        <f t="array" ref="U86">B86+E86+H86+K86</f>
        <v>397601</v>
      </c>
      <c r="V86" s="403" cm="1">
        <f t="array" ref="V86">F86+O86+I86+L86</f>
        <v>0.104552684717386</v>
      </c>
    </row>
    <row r="87" ht="8.75" customHeight="1" hidden="1">
      <c r="A87" s="400">
        <v>45444</v>
      </c>
      <c r="B87" s="407" cm="1">
        <f t="array" ref="B87">'depto - dividendos'!C7</f>
        <v>1200000</v>
      </c>
      <c r="C87" s="410" cm="1">
        <f t="array" ref="C87">_xlfn.IFERROR(B87/'flujos - Gasto mensual'!$C87,0)</f>
        <v>0.315538039688375</v>
      </c>
      <c r="D87" s="409"/>
      <c r="E87" s="408" cm="1">
        <f t="array" ref="E87">'net worth - retiro'!B89</f>
        <v>598725</v>
      </c>
      <c r="F87" s="410" cm="1">
        <f t="array" ref="F87">_xlfn.IFERROR(E87/'flujos - Gasto mensual'!$C87,0)</f>
        <v>0.157433760677018</v>
      </c>
      <c r="G87" s="409"/>
      <c r="H87" s="405" cm="1">
        <f t="array" ref="H87">'net worth - brokerage'!B88</f>
        <v>0</v>
      </c>
      <c r="I87" s="410" cm="1">
        <f t="array" ref="I87">_xlfn.IFERROR(H87/'flujos - Gasto mensual'!$C87,0)</f>
        <v>0</v>
      </c>
      <c r="J87" s="409"/>
      <c r="K87" s="405" cm="1">
        <f t="array" ref="K87">'net worth - cash and cash equiv'!B89</f>
        <v>377786</v>
      </c>
      <c r="L87" s="410" cm="1">
        <f t="array" ref="L87">_xlfn.IFERROR(K87/'flujos - Gasto mensual'!$C87,0)</f>
        <v>0.0993382115514269</v>
      </c>
      <c r="M87" s="409"/>
      <c r="N87" s="408" cm="1">
        <f t="array" ref="N87">'net worth - criptomonedas'!B89</f>
        <v>0</v>
      </c>
      <c r="O87" s="410" cm="1">
        <f t="array" ref="O87">_xlfn.IFERROR(N87/'flujos - Gasto mensual'!$C87,0)</f>
        <v>0</v>
      </c>
      <c r="P87" s="409"/>
      <c r="Q87" s="405" cm="1">
        <f t="array" ref="Q87">R87-B87</f>
        <v>976511</v>
      </c>
      <c r="R87" s="405" cm="1">
        <f t="array" ref="R87">K87+H87+N87+E87+B87</f>
        <v>2176511</v>
      </c>
      <c r="S87" s="406" cm="1">
        <f t="array" ref="S87">R87/'variables - Table 1-1'!B86</f>
        <v>2281.147223124730</v>
      </c>
      <c r="T87" s="403" cm="1">
        <f t="array" ref="T87">_xlfn.IFERROR(R87/'flujos - Gasto mensual'!$C87,0)</f>
        <v>0.57231001191682</v>
      </c>
      <c r="U87" s="350" cm="1">
        <f t="array" ref="U87">E87+H87+K87+B87</f>
        <v>2176511</v>
      </c>
      <c r="V87" s="403" cm="1">
        <f t="array" ref="V87">F87+O87+I87+L87</f>
        <v>0.256771972228445</v>
      </c>
    </row>
    <row r="88" ht="8.75" customHeight="1" hidden="1">
      <c r="A88" s="400">
        <v>45474</v>
      </c>
      <c r="B88" s="407" cm="1">
        <f t="array" ref="B88">'depto - dividendos'!C8</f>
        <v>3011141</v>
      </c>
      <c r="C88" s="410" cm="1">
        <f t="array" ref="C88">_xlfn.IFERROR(B88/'flujos - Gasto mensual'!$C88,0)</f>
        <v>0.769334205766696</v>
      </c>
      <c r="D88" s="409"/>
      <c r="E88" s="408" cm="1">
        <f t="array" ref="E88">'net worth - retiro'!B90</f>
        <v>401226</v>
      </c>
      <c r="F88" s="410" cm="1">
        <f t="array" ref="F88">_xlfn.IFERROR(E88/'flujos - Gasto mensual'!$C88,0)</f>
        <v>0.10251160143047</v>
      </c>
      <c r="G88" s="409"/>
      <c r="H88" s="405" cm="1">
        <f t="array" ref="H88">'net worth - brokerage'!B89</f>
        <v>0</v>
      </c>
      <c r="I88" s="410" cm="1">
        <f t="array" ref="I88">_xlfn.IFERROR(H88/'flujos - Gasto mensual'!$C88,0)</f>
        <v>0</v>
      </c>
      <c r="J88" s="409"/>
      <c r="K88" s="405" cm="1">
        <f t="array" ref="K88">'net worth - cash and cash equiv'!B90</f>
        <v>-377786</v>
      </c>
      <c r="L88" s="410" cm="1">
        <f t="array" ref="L88">_xlfn.IFERROR(K88/'flujos - Gasto mensual'!$C88,0)</f>
        <v>-0.09652277733250519</v>
      </c>
      <c r="M88" s="409"/>
      <c r="N88" s="408" cm="1">
        <f t="array" ref="N88">'net worth - criptomonedas'!B90</f>
        <v>0</v>
      </c>
      <c r="O88" s="410" cm="1">
        <f t="array" ref="O88">_xlfn.IFERROR(N88/'flujos - Gasto mensual'!$C88,0)</f>
        <v>0</v>
      </c>
      <c r="P88" s="409"/>
      <c r="Q88" s="405" cm="1">
        <f t="array" ref="Q88">R88-B88</f>
        <v>23440</v>
      </c>
      <c r="R88" s="405" cm="1">
        <f t="array" ref="R88">K88+H88+N88+E88+B88</f>
        <v>3034581</v>
      </c>
      <c r="S88" s="406" cm="1">
        <f t="array" ref="S88">R88/'variables - Table 1-1'!B87</f>
        <v>3175.776001004670</v>
      </c>
      <c r="T88" s="403" cm="1">
        <f t="array" ref="T88">_xlfn.IFERROR(R88/'flujos - Gasto mensual'!$C88,0)</f>
        <v>0.775323029864661</v>
      </c>
      <c r="U88" s="350" cm="1">
        <f t="array" ref="U88">E88+H88+K88+B88</f>
        <v>3034581</v>
      </c>
      <c r="V88" s="403" cm="1">
        <f t="array" ref="V88">F88+O88+I88+L88</f>
        <v>0.0059888240979648</v>
      </c>
    </row>
    <row r="89" ht="8.75" customHeight="1" hidden="1">
      <c r="A89" s="400">
        <v>45505</v>
      </c>
      <c r="B89" s="407" cm="1">
        <f t="array" ref="B89">'depto - dividendos'!C9</f>
        <v>3009576</v>
      </c>
      <c r="C89" s="410" cm="1">
        <f t="array" ref="C89">_xlfn.IFERROR(B89/'flujos - Gasto mensual'!$C89,0)</f>
        <v>0.78806930645106</v>
      </c>
      <c r="D89" s="409"/>
      <c r="E89" s="408" cm="1">
        <f t="array" ref="E89">'net worth - retiro'!B91</f>
        <v>400615</v>
      </c>
      <c r="F89" s="410" cm="1">
        <f t="array" ref="F89">_xlfn.IFERROR(E89/'flujos - Gasto mensual'!$C89,0)</f>
        <v>0.104902612595226</v>
      </c>
      <c r="G89" s="409"/>
      <c r="H89" s="405" cm="1">
        <f t="array" ref="H89">'net worth - brokerage'!B90</f>
        <v>0</v>
      </c>
      <c r="I89" s="410" cm="1">
        <f t="array" ref="I89">_xlfn.IFERROR(H89/'flujos - Gasto mensual'!$C89,0)</f>
        <v>0</v>
      </c>
      <c r="J89" s="409"/>
      <c r="K89" s="405" cm="1">
        <f t="array" ref="K89">'net worth - cash and cash equiv'!B91</f>
        <v>295600</v>
      </c>
      <c r="L89" s="410" cm="1">
        <f t="array" ref="L89">_xlfn.IFERROR(K89/'flujos - Gasto mensual'!$C89,0)</f>
        <v>0.07740402202401039</v>
      </c>
      <c r="M89" s="409"/>
      <c r="N89" s="408" cm="1">
        <f t="array" ref="N89">'net worth - criptomonedas'!B91</f>
        <v>0</v>
      </c>
      <c r="O89" s="410" cm="1">
        <f t="array" ref="O89">_xlfn.IFERROR(N89/'flujos - Gasto mensual'!$C89,0)</f>
        <v>0</v>
      </c>
      <c r="P89" s="409"/>
      <c r="Q89" s="405" cm="1">
        <f t="array" ref="Q89">R89-B89</f>
        <v>696215</v>
      </c>
      <c r="R89" s="405" cm="1">
        <f t="array" ref="R89">K89+H89+N89+E89+B89</f>
        <v>3705791</v>
      </c>
      <c r="S89" s="406" cm="1">
        <f t="array" ref="S89">R89/'variables - Table 1-1'!B88</f>
        <v>4051.904699424870</v>
      </c>
      <c r="T89" s="403" cm="1">
        <f t="array" ref="T89">_xlfn.IFERROR(R89/'flujos - Gasto mensual'!$C89,0)</f>
        <v>0.970375941070297</v>
      </c>
      <c r="U89" s="350" cm="1">
        <f t="array" ref="U89">E89+H89+K89+B89</f>
        <v>3705791</v>
      </c>
      <c r="V89" s="403" cm="1">
        <f t="array" ref="V89">F89+O89+I89+L89</f>
        <v>0.182306634619236</v>
      </c>
    </row>
    <row r="90" ht="8.75" customHeight="1" hidden="1">
      <c r="A90" s="400">
        <v>45536</v>
      </c>
      <c r="B90" s="407" cm="1">
        <f t="array" ref="B90">'depto - dividendos'!C10</f>
        <v>3030085</v>
      </c>
      <c r="C90" s="410" cm="1">
        <f t="array" ref="C90">_xlfn.IFERROR(B90/'flujos - Gasto mensual'!$C90,0)</f>
        <v>0.7933956249255389</v>
      </c>
      <c r="D90" s="409"/>
      <c r="E90" s="408" cm="1">
        <f t="array" ref="E90">'net worth - retiro'!B92</f>
        <v>401934</v>
      </c>
      <c r="F90" s="410" cm="1">
        <f t="array" ref="F90">_xlfn.IFERROR(E90/'flujos - Gasto mensual'!$C90,0)</f>
        <v>0.105242155619008</v>
      </c>
      <c r="G90" s="409"/>
      <c r="H90" s="405" cm="1">
        <f t="array" ref="H90">'net worth - brokerage'!B91</f>
        <v>0</v>
      </c>
      <c r="I90" s="410" cm="1">
        <f t="array" ref="I90">_xlfn.IFERROR(H90/'flujos - Gasto mensual'!$C90,0)</f>
        <v>0</v>
      </c>
      <c r="J90" s="409"/>
      <c r="K90" s="405" cm="1">
        <f t="array" ref="K90">'net worth - cash and cash equiv'!B92</f>
        <v>8300000</v>
      </c>
      <c r="L90" s="410" cm="1">
        <f t="array" ref="L90">_xlfn.IFERROR(K90/'flujos - Gasto mensual'!$C90,0)</f>
        <v>2.1732669832305</v>
      </c>
      <c r="M90" s="409"/>
      <c r="N90" s="408" cm="1">
        <f t="array" ref="N90">'net worth - criptomonedas'!B92</f>
        <v>0</v>
      </c>
      <c r="O90" s="410" cm="1">
        <f t="array" ref="O90">_xlfn.IFERROR(N90/'flujos - Gasto mensual'!$C90,0)</f>
        <v>0</v>
      </c>
      <c r="P90" s="409"/>
      <c r="Q90" s="405" cm="1">
        <f t="array" ref="Q90">R90-B90</f>
        <v>8701934</v>
      </c>
      <c r="R90" s="405" cm="1">
        <f t="array" ref="R90">K90+H90+N90+E90+B90</f>
        <v>11732019</v>
      </c>
      <c r="S90" s="406" cm="1">
        <f t="array" ref="S90">R90/'variables - Table 1-1'!B89</f>
        <v>13039.1986662962</v>
      </c>
      <c r="T90" s="403" cm="1">
        <f t="array" ref="T90">_xlfn.IFERROR(R90/'flujos - Gasto mensual'!$C90,0)</f>
        <v>3.07190476377504</v>
      </c>
      <c r="U90" s="350" cm="1">
        <f t="array" ref="U90">E90+H90+K90+B90</f>
        <v>11732019</v>
      </c>
      <c r="V90" s="403" cm="1">
        <f t="array" ref="V90">F90+O90+I90+L90</f>
        <v>2.27850913884951</v>
      </c>
    </row>
    <row r="91" ht="8.75" customHeight="1" hidden="1">
      <c r="A91" s="400">
        <v>45566</v>
      </c>
      <c r="B91" s="407" cm="1">
        <f t="array" ref="B91">'depto - dividendos'!C11</f>
        <v>3038359</v>
      </c>
      <c r="C91" s="410" cm="1">
        <f t="array" ref="C91">_xlfn.IFERROR(B91/'flujos - Gasto mensual'!$C91,0)</f>
        <v>0.79554292007257</v>
      </c>
      <c r="D91" s="409"/>
      <c r="E91" s="408" cm="1">
        <f t="array" ref="E91">'net worth - retiro'!B93</f>
        <v>452450</v>
      </c>
      <c r="F91" s="410" cm="1">
        <f t="array" ref="F91">_xlfn.IFERROR(E91/'flujos - Gasto mensual'!$C91,0)</f>
        <v>0.11846638076239</v>
      </c>
      <c r="G91" s="409"/>
      <c r="H91" s="405" cm="1">
        <f t="array" ref="H91">'net worth - brokerage'!B92</f>
        <v>450000</v>
      </c>
      <c r="I91" s="410" cm="1">
        <f t="array" ref="I91">_xlfn.IFERROR(H91/'flujos - Gasto mensual'!$C91,0)</f>
        <v>0.117824889696266</v>
      </c>
      <c r="J91" s="409"/>
      <c r="K91" s="405" cm="1">
        <f t="array" ref="K91">'net worth - cash and cash equiv'!B93</f>
        <v>6852410</v>
      </c>
      <c r="L91" s="410" cm="1">
        <f t="array" ref="L91">_xlfn.IFERROR(K91/'flujos - Gasto mensual'!$C91,0)</f>
        <v>1.79418767200797</v>
      </c>
      <c r="M91" s="409"/>
      <c r="N91" s="408" cm="1">
        <f t="array" ref="N91">'net worth - criptomonedas'!B93</f>
        <v>0</v>
      </c>
      <c r="O91" s="410" cm="1">
        <f t="array" ref="O91">_xlfn.IFERROR(N91/'flujos - Gasto mensual'!$C91,0)</f>
        <v>0</v>
      </c>
      <c r="P91" s="409"/>
      <c r="Q91" s="405" cm="1">
        <f t="array" ref="Q91">R91-B91</f>
        <v>7754860</v>
      </c>
      <c r="R91" s="405" cm="1">
        <f t="array" ref="R91">K91+H91+N91+E91+B91</f>
        <v>10793219</v>
      </c>
      <c r="S91" s="406" cm="1">
        <f t="array" ref="S91">R91/'variables - Table 1-1'!B90</f>
        <v>11227.2650675099</v>
      </c>
      <c r="T91" s="403" cm="1">
        <f t="array" ref="T91">_xlfn.IFERROR(R91/'flujos - Gasto mensual'!$C91,0)</f>
        <v>2.8260218625392</v>
      </c>
      <c r="U91" s="350" cm="1">
        <f t="array" ref="U91">E91+H91+K91+B91</f>
        <v>10793219</v>
      </c>
      <c r="V91" s="403" cm="1">
        <f t="array" ref="V91">F91+O91+I91+L91</f>
        <v>2.03047894246663</v>
      </c>
    </row>
    <row r="92" ht="8.75" customHeight="1" hidden="1">
      <c r="A92" s="400">
        <v>45597</v>
      </c>
      <c r="B92" s="407" cm="1">
        <f t="array" ref="B92">SUM('depto - dividendos'!C12:C13)</f>
        <v>22825709</v>
      </c>
      <c r="C92" s="410" cm="1">
        <f t="array" ref="C92">_xlfn.IFERROR(B92/'flujos - Gasto mensual'!$C92,0)</f>
        <v>5.97712214632378</v>
      </c>
      <c r="D92" s="409"/>
      <c r="E92" s="408" cm="1">
        <f t="array" ref="E92">'net worth - retiro'!B94</f>
        <v>446533</v>
      </c>
      <c r="F92" s="410" cm="1">
        <f t="array" ref="F92">_xlfn.IFERROR(E92/'flujos - Gasto mensual'!$C92,0)</f>
        <v>0.116928779008109</v>
      </c>
      <c r="G92" s="409"/>
      <c r="H92" s="405" cm="1">
        <f t="array" ref="H92">'net worth - brokerage'!B93</f>
        <v>0</v>
      </c>
      <c r="I92" s="410" cm="1">
        <f t="array" ref="I92">_xlfn.IFERROR(H92/'flujos - Gasto mensual'!$C92,0)</f>
        <v>0</v>
      </c>
      <c r="J92" s="409"/>
      <c r="K92" s="405" cm="1">
        <f t="array" ref="K92">'net worth - cash and cash equiv'!B94</f>
        <v>-13500000</v>
      </c>
      <c r="L92" s="410" cm="1">
        <f t="array" ref="L92">_xlfn.IFERROR(K92/'flujos - Gasto mensual'!$C92,0)</f>
        <v>-3.53509934676601</v>
      </c>
      <c r="M92" s="409"/>
      <c r="N92" s="408" cm="1">
        <f t="array" ref="N92">'net worth - criptomonedas'!B94</f>
        <v>-600000</v>
      </c>
      <c r="O92" s="410" cm="1">
        <f t="array" ref="O92">_xlfn.IFERROR(N92/'flujos - Gasto mensual'!$C92,0)</f>
        <v>-0.157115526522934</v>
      </c>
      <c r="P92" s="409"/>
      <c r="Q92" s="405" cm="1">
        <f t="array" ref="Q92">R92-B92</f>
        <v>-13653467</v>
      </c>
      <c r="R92" s="405" cm="1">
        <f t="array" ref="R92">K92+H92+N92+E92+B92</f>
        <v>9172242</v>
      </c>
      <c r="S92" s="406" cm="1">
        <f t="array" ref="S92">R92/'variables - Table 1-1'!B91</f>
        <v>9383.943771484690</v>
      </c>
      <c r="T92" s="403" cm="1">
        <f t="array" ref="T92">_xlfn.IFERROR(R92/'flujos - Gasto mensual'!$C92,0)</f>
        <v>2.40183605204295</v>
      </c>
      <c r="U92" s="350" cm="1">
        <f t="array" ref="U92">E92+H92+K92+B92</f>
        <v>9772242</v>
      </c>
      <c r="V92" s="403" cm="1">
        <f t="array" ref="V92">F92+O92+I92+L92</f>
        <v>-3.57528609428084</v>
      </c>
    </row>
    <row r="93" ht="8.75" customHeight="1" hidden="1">
      <c r="A93" s="400">
        <v>45627</v>
      </c>
      <c r="B93" s="407" cm="1">
        <f t="array" ref="B93">'depto - dividendos'!C14</f>
        <v>3071042</v>
      </c>
      <c r="C93" s="410" cm="1">
        <f t="array" ref="C93">_xlfn.IFERROR(B93/'flujos - Gasto mensual'!$C93,0)</f>
        <v>0.804116833357379</v>
      </c>
      <c r="D93" s="409"/>
      <c r="E93" s="408" cm="1">
        <f t="array" ref="E93">'net worth - retiro'!B95</f>
        <v>406202</v>
      </c>
      <c r="F93" s="410" cm="1">
        <f t="array" ref="F93">_xlfn.IFERROR(E93/'flujos - Gasto mensual'!$C93,0)</f>
        <v>0.106359296272547</v>
      </c>
      <c r="G93" s="409"/>
      <c r="H93" s="405" cm="1">
        <f t="array" ref="H93">'net worth - brokerage'!B94</f>
        <v>-2900000</v>
      </c>
      <c r="I93" s="410" cm="1">
        <f t="array" ref="I93">_xlfn.IFERROR(H93/'flujos - Gasto mensual'!$C93,0)</f>
        <v>-0.7593314636323431</v>
      </c>
      <c r="J93" s="409"/>
      <c r="K93" s="405" cm="1">
        <f t="array" ref="K93">'net worth - cash and cash equiv'!B95</f>
        <v>9000000</v>
      </c>
      <c r="L93" s="410" cm="1">
        <f t="array" ref="L93">_xlfn.IFERROR(K93/'flujos - Gasto mensual'!$C93,0)</f>
        <v>2.35654592161762</v>
      </c>
      <c r="M93" s="409"/>
      <c r="N93" s="408" cm="1">
        <f t="array" ref="N93">'net worth - criptomonedas'!B95</f>
        <v>0</v>
      </c>
      <c r="O93" s="410" cm="1">
        <f t="array" ref="O93">_xlfn.IFERROR(N93/'flujos - Gasto mensual'!$C93,0)</f>
        <v>0</v>
      </c>
      <c r="P93" s="409"/>
      <c r="Q93" s="405" cm="1">
        <f t="array" ref="Q93">R93-B93</f>
        <v>6506202</v>
      </c>
      <c r="R93" s="405" cm="1">
        <f t="array" ref="R93">K93+H93+N93+E93+B93</f>
        <v>9577244</v>
      </c>
      <c r="S93" s="406" cm="1">
        <f t="array" ref="S93">R93/'variables - Table 1-1'!B92</f>
        <v>9641.359037600039</v>
      </c>
      <c r="T93" s="403" cm="1">
        <f t="array" ref="T93">_xlfn.IFERROR(R93/'flujos - Gasto mensual'!$C93,0)</f>
        <v>2.5076905876152</v>
      </c>
      <c r="U93" s="350" cm="1">
        <f t="array" ref="U93">E93+H93+K93+B93</f>
        <v>9577244</v>
      </c>
      <c r="V93" s="403" cm="1">
        <f t="array" ref="V93">F93+O93+I93+L93</f>
        <v>1.70357375425782</v>
      </c>
    </row>
    <row r="94" ht="8.75" customHeight="1" hidden="1">
      <c r="A94" s="400">
        <v>45658</v>
      </c>
      <c r="B94" s="407" cm="1">
        <f t="array" ref="B94">'depto - dividendos'!C15</f>
        <v>3071622</v>
      </c>
      <c r="C94" s="410" cm="1">
        <f t="array" ref="C94">_xlfn.IFERROR(B94/'flujos - Gasto mensual'!$C94,0)</f>
        <v>0.8030768530886579</v>
      </c>
      <c r="D94" s="409"/>
      <c r="E94" s="408" cm="1">
        <f t="array" ref="E94">'net worth - retiro'!B96</f>
        <v>406055</v>
      </c>
      <c r="F94" s="410" cm="1">
        <f t="array" ref="F94">_xlfn.IFERROR(E94/'flujos - Gasto mensual'!$C94,0)</f>
        <v>0.106163249117539</v>
      </c>
      <c r="G94" s="409"/>
      <c r="H94" s="405" cm="1">
        <f t="array" ref="H94">'net worth - brokerage'!B95</f>
        <v>-4000000</v>
      </c>
      <c r="I94" s="410" cm="1">
        <f t="array" ref="I94">_xlfn.IFERROR(H94/'flujos - Gasto mensual'!$C94,0)</f>
        <v>-1.04580166841969</v>
      </c>
      <c r="J94" s="409"/>
      <c r="K94" s="405" cm="1">
        <f t="array" ref="K94">'net worth - cash and cash equiv'!B96</f>
        <v>20500000</v>
      </c>
      <c r="L94" s="410" cm="1">
        <f t="array" ref="L94">_xlfn.IFERROR(K94/'flujos - Gasto mensual'!$C94,0)</f>
        <v>5.35973355065092</v>
      </c>
      <c r="M94" s="409"/>
      <c r="N94" s="408" cm="1">
        <f t="array" ref="N94">'net worth - criptomonedas'!B96</f>
        <v>-900000</v>
      </c>
      <c r="O94" s="410" cm="1">
        <f t="array" ref="O94">_xlfn.IFERROR(N94/'flujos - Gasto mensual'!$C94,0)</f>
        <v>-0.235305375394431</v>
      </c>
      <c r="P94" s="409"/>
      <c r="Q94" s="405" cm="1">
        <f t="array" ref="Q94">R94-B94</f>
        <v>16006055</v>
      </c>
      <c r="R94" s="405" cm="1">
        <f t="array" ref="R94">K94+H94+N94+E94+B94</f>
        <v>19077677</v>
      </c>
      <c r="S94" s="406" cm="1">
        <f t="array" ref="S94">R94/'variables - Table 1-1'!B93</f>
        <v>19392.4159102229</v>
      </c>
      <c r="T94" s="403" cm="1">
        <f t="array" ref="T94">_xlfn.IFERROR(R94/'flujos - Gasto mensual'!$C94,0)</f>
        <v>4.98786660904299</v>
      </c>
      <c r="U94" s="350" cm="1">
        <f t="array" ref="U94">E94+H94+K94+B94</f>
        <v>19977677</v>
      </c>
      <c r="V94" s="403" cm="1">
        <f t="array" ref="V94">F94+O94+I94+L94</f>
        <v>4.18478975595434</v>
      </c>
    </row>
    <row r="95" ht="8.75" customHeight="1" hidden="1">
      <c r="A95" s="400">
        <v>45689</v>
      </c>
      <c r="B95" s="407" cm="1">
        <f t="array" ref="B95">'depto - dividendos'!C17+'depto - dividendos'!C16</f>
        <v>18672815</v>
      </c>
      <c r="C95" s="410" cm="1">
        <f t="array" ref="C95">_xlfn.IFERROR(B95/'flujos - Gasto mensual'!$C95,0)</f>
        <v>4.87148980154607</v>
      </c>
      <c r="D95" s="409"/>
      <c r="E95" s="408" cm="1">
        <f t="array" ref="E95">'net worth - retiro'!B97</f>
        <v>421984</v>
      </c>
      <c r="F95" s="410" cm="1">
        <f t="array" ref="F95">_xlfn.IFERROR(E95/'flujos - Gasto mensual'!$C95,0)</f>
        <v>0.110090029404544</v>
      </c>
      <c r="G95" s="409"/>
      <c r="H95" s="405" cm="1">
        <f t="array" ref="H95">'net worth - brokerage'!B96</f>
        <v>-10000000</v>
      </c>
      <c r="I95" s="410" cm="1">
        <f t="array" ref="I95">_xlfn.IFERROR(H95/'flujos - Gasto mensual'!$C95,0)</f>
        <v>-2.60886738370517</v>
      </c>
      <c r="J95" s="409"/>
      <c r="K95" s="405" cm="1">
        <f t="array" ref="K95">'net worth - cash and cash equiv'!B97</f>
        <v>-15000000</v>
      </c>
      <c r="L95" s="410" cm="1">
        <f t="array" ref="L95">_xlfn.IFERROR(K95/'flujos - Gasto mensual'!$C95,0)</f>
        <v>-3.91330107555776</v>
      </c>
      <c r="M95" s="409"/>
      <c r="N95" s="408" cm="1">
        <f t="array" ref="N95">'net worth - criptomonedas'!B97</f>
        <v>-3000000</v>
      </c>
      <c r="O95" s="410" cm="1">
        <f t="array" ref="O95">_xlfn.IFERROR(N95/'flujos - Gasto mensual'!$C95,0)</f>
        <v>-0.782660215111551</v>
      </c>
      <c r="P95" s="409"/>
      <c r="Q95" s="405" cm="1">
        <f t="array" ref="Q95">R95-B95</f>
        <v>-27578016</v>
      </c>
      <c r="R95" s="405" cm="1">
        <f t="array" ref="R95">K95+H95+N95+E95+B95</f>
        <v>-8905201</v>
      </c>
      <c r="S95" s="406" cm="1">
        <f t="array" ref="S95">R95/'variables - Table 1-1'!B94</f>
        <v>-9351.845123078219</v>
      </c>
      <c r="T95" s="403" cm="1">
        <f t="array" ref="T95">_xlfn.IFERROR(R95/'flujos - Gasto mensual'!$C95,0)</f>
        <v>-2.32324884342387</v>
      </c>
      <c r="U95" s="350" cm="1">
        <f t="array" ref="U95">E95+H95+K95+B95</f>
        <v>-5905201</v>
      </c>
      <c r="V95" s="403" cm="1">
        <f t="array" ref="V95">F95+O95+I95+L95</f>
        <v>-7.19473864496994</v>
      </c>
    </row>
    <row r="96" ht="8.75" customHeight="1" hidden="1">
      <c r="A96" s="400">
        <v>45717</v>
      </c>
      <c r="B96" s="407" cm="1">
        <f t="array" ref="B96">'depto - dividendos'!C18+'depto - Table 4-1'!B14</f>
        <v>27658932.4</v>
      </c>
      <c r="C96" s="410" cm="1">
        <f t="array" ref="C96">_xlfn.IFERROR(B96/'flujos - Gasto mensual'!$C96,0)</f>
        <v>6.96811934637223</v>
      </c>
      <c r="D96" s="409"/>
      <c r="E96" s="408" cm="1">
        <f t="array" ref="E96">'net worth - retiro'!B98</f>
        <v>427144</v>
      </c>
      <c r="F96" s="410" cm="1">
        <f t="array" ref="F96">_xlfn.IFERROR(E96/'flujos - Gasto mensual'!$C96,0)</f>
        <v>0.107610457520292</v>
      </c>
      <c r="G96" s="409"/>
      <c r="H96" s="405" cm="1">
        <f t="array" ref="H96">'net worth - brokerage'!B97</f>
        <v>-6500000</v>
      </c>
      <c r="I96" s="410" cm="1">
        <f t="array" ref="I96">_xlfn.IFERROR(H96/'flujos - Gasto mensual'!$C96,0)</f>
        <v>-1.63754605913204</v>
      </c>
      <c r="J96" s="409"/>
      <c r="K96" s="405" cm="1">
        <f t="array" ref="K96">'net worth - cash and cash equiv'!B98</f>
        <v>-3550000</v>
      </c>
      <c r="L96" s="410" cm="1">
        <f t="array" ref="L96">_xlfn.IFERROR(K96/'flujos - Gasto mensual'!$C96,0)</f>
        <v>-0.894352078449037</v>
      </c>
      <c r="M96" s="409"/>
      <c r="N96" s="408" cm="1">
        <f t="array" ref="N96">'net worth - criptomonedas'!B98</f>
        <v>-2939581</v>
      </c>
      <c r="O96" s="410" cm="1">
        <f t="array" ref="O96">_xlfn.IFERROR(N96/'flujos - Gasto mensual'!$C96,0)</f>
        <v>-0.740569120315296</v>
      </c>
      <c r="P96" s="409"/>
      <c r="Q96" s="405" cm="1">
        <f t="array" ref="Q96">R96-B96</f>
        <v>-12562437</v>
      </c>
      <c r="R96" s="405" cm="1">
        <f t="array" ref="R96">K96+H96+N96+E96+B96</f>
        <v>15096495.4</v>
      </c>
      <c r="S96" s="406" cm="1">
        <f t="array" ref="S96">R96/'variables - Table 1-1'!B95</f>
        <v>16474.8595846957</v>
      </c>
      <c r="T96" s="403" cm="1">
        <f t="array" ref="T96">_xlfn.IFERROR(R96/'flujos - Gasto mensual'!$C96,0)</f>
        <v>3.80326254599615</v>
      </c>
      <c r="U96" s="350" cm="1">
        <f t="array" ref="U96">E96+H96+K96+B96</f>
        <v>18036076.4</v>
      </c>
      <c r="V96" s="403" cm="1">
        <f t="array" ref="V96">F96+O96+I96+L96</f>
        <v>-3.16485680037608</v>
      </c>
    </row>
    <row r="97" ht="8.75" customHeight="1" hidden="1">
      <c r="A97" s="400">
        <v>45748</v>
      </c>
      <c r="B97" s="407" cm="1">
        <f t="array" ref="B97">'depto - dividendos'!C19</f>
        <v>1519135</v>
      </c>
      <c r="C97" s="410" cm="1">
        <f t="array" ref="C97">_xlfn.IFERROR(B97/'flujos - Gasto mensual'!$C97,0)</f>
        <v>0.382701755208022</v>
      </c>
      <c r="D97" s="409"/>
      <c r="E97" s="408" cm="1">
        <f t="array" ref="E97">'net worth - retiro'!B99</f>
        <v>428739</v>
      </c>
      <c r="F97" s="410" cm="1">
        <f t="array" ref="F97">_xlfn.IFERROR(E97/'flujos - Gasto mensual'!$C97,0)</f>
        <v>0.108008286180051</v>
      </c>
      <c r="G97" s="409"/>
      <c r="H97" s="405" cm="1">
        <f t="array" ref="H97">'net worth - brokerage'!B98</f>
        <v>-1100000</v>
      </c>
      <c r="I97" s="410" cm="1">
        <f t="array" ref="I97">_xlfn.IFERROR(H97/'flujos - Gasto mensual'!$C97,0)</f>
        <v>-0.277112916711698</v>
      </c>
      <c r="J97" s="409"/>
      <c r="K97" s="405" cm="1">
        <f t="array" ref="K97">'net worth - cash and cash equiv'!B99</f>
        <v>-3700000</v>
      </c>
      <c r="L97" s="410" cm="1">
        <f t="array" ref="L97">_xlfn.IFERROR(K97/'flujos - Gasto mensual'!$C97,0)</f>
        <v>-0.932107083484801</v>
      </c>
      <c r="M97" s="409"/>
      <c r="N97" s="408" cm="1">
        <f t="array" ref="N97">'net worth - criptomonedas'!B99</f>
        <v>0</v>
      </c>
      <c r="O97" s="410" cm="1">
        <f t="array" ref="O97">_xlfn.IFERROR(N97/'flujos - Gasto mensual'!$C97,0)</f>
        <v>0</v>
      </c>
      <c r="P97" s="409"/>
      <c r="Q97" s="405" cm="1">
        <f t="array" ref="Q97">R97-B97</f>
        <v>-4371261</v>
      </c>
      <c r="R97" s="405" cm="1">
        <f t="array" ref="R97">K97+H97+N97+E97+B97</f>
        <v>-2852126</v>
      </c>
      <c r="S97" s="406" cm="1">
        <f t="array" ref="S97">R97/'variables - Table 1-1'!B96</f>
        <v>-3017.516054973070</v>
      </c>
      <c r="T97" s="403" cm="1">
        <f t="array" ref="T97">_xlfn.IFERROR(R97/'flujos - Gasto mensual'!$C97,0)</f>
        <v>-0.7185099588084251</v>
      </c>
      <c r="U97" s="350" cm="1">
        <f t="array" ref="U97">E97+H97+K97+B97</f>
        <v>-2852126</v>
      </c>
      <c r="V97" s="403" cm="1">
        <f t="array" ref="V97">F97+O97+I97+L97</f>
        <v>-1.10121171401645</v>
      </c>
    </row>
    <row r="98" ht="8.75" customHeight="1" hidden="1">
      <c r="A98" s="400">
        <v>45778</v>
      </c>
      <c r="B98" s="407" cm="1">
        <f t="array" ref="B98">'depto - dividendos'!C20</f>
        <v>1565558</v>
      </c>
      <c r="C98" s="410" cm="1">
        <f t="array" ref="C98">_xlfn.IFERROR(B98/'flujos - Gasto mensual'!$C98,0)</f>
        <v>0.394378593958258</v>
      </c>
      <c r="D98" s="409"/>
      <c r="E98" s="408" cm="1">
        <f t="array" ref="E98">'net worth - retiro'!B100</f>
        <v>429744</v>
      </c>
      <c r="F98" s="410" cm="1">
        <f t="array" ref="F98">_xlfn.IFERROR(E98/'flujos - Gasto mensual'!$C98,0)</f>
        <v>0.108256503101129</v>
      </c>
      <c r="G98" s="409"/>
      <c r="H98" s="405" cm="1">
        <f t="array" ref="H98">'net worth - brokerage'!B99</f>
        <v>0</v>
      </c>
      <c r="I98" s="410" cm="1">
        <f t="array" ref="I98">_xlfn.IFERROR(H98/'flujos - Gasto mensual'!$C98,0)</f>
        <v>0</v>
      </c>
      <c r="J98" s="409"/>
      <c r="K98" s="405" cm="1">
        <f t="array" ref="K98">'net worth - cash and cash equiv'!B100</f>
        <v>-1000000</v>
      </c>
      <c r="L98" s="410" cm="1">
        <f t="array" ref="L98">_xlfn.IFERROR(K98/'flujos - Gasto mensual'!$C98,0)</f>
        <v>-0.251909283436486</v>
      </c>
      <c r="M98" s="409"/>
      <c r="N98" s="408" cm="1">
        <f t="array" ref="N98">'net worth - criptomonedas'!B100</f>
        <v>0</v>
      </c>
      <c r="O98" s="410" cm="1">
        <f t="array" ref="O98">_xlfn.IFERROR(N98/'flujos - Gasto mensual'!$C98,0)</f>
        <v>0</v>
      </c>
      <c r="P98" s="409"/>
      <c r="Q98" s="405" cm="1">
        <f t="array" ref="Q98">R98-B98</f>
        <v>-570256</v>
      </c>
      <c r="R98" s="405" cm="1">
        <f t="array" ref="R98">K98+H98+N98+E98+B98</f>
        <v>995302</v>
      </c>
      <c r="S98" s="406" cm="1">
        <f t="array" ref="S98">R98/'variables - Table 1-1'!B97</f>
        <v>1060.603348145310</v>
      </c>
      <c r="T98" s="403" cm="1">
        <f t="array" ref="T98">_xlfn.IFERROR(R98/'flujos - Gasto mensual'!$C98,0)</f>
        <v>0.250725813622901</v>
      </c>
      <c r="U98" s="350" cm="1">
        <f t="array" ref="U98">E98+H98+K98+B98</f>
        <v>995302</v>
      </c>
      <c r="V98" s="403" cm="1">
        <f t="array" ref="V98">F98+O98+I98+L98</f>
        <v>-0.143652780335357</v>
      </c>
    </row>
    <row r="99" ht="8.75" customHeight="1" hidden="1">
      <c r="A99" s="400">
        <v>45809</v>
      </c>
      <c r="B99" s="407" cm="1">
        <f t="array" ref="B99">'depto - dividendos'!C21</f>
        <v>1568696</v>
      </c>
      <c r="C99" s="410" cm="1">
        <f t="array" ref="C99">_xlfn.IFERROR(B99/'flujos - Gasto mensual'!$C99,0)</f>
        <v>0.395161619423653</v>
      </c>
      <c r="D99" s="409"/>
      <c r="E99" s="408" cm="1">
        <f t="array" ref="E99">'net worth - retiro'!B101</f>
        <v>430428</v>
      </c>
      <c r="F99" s="410" cm="1">
        <f t="array" ref="F99">_xlfn.IFERROR(E99/'flujos - Gasto mensual'!$C99,0)</f>
        <v>0.108426760522934</v>
      </c>
      <c r="G99" s="409"/>
      <c r="H99" s="405" cm="1">
        <f t="array" ref="H99">'net worth - brokerage'!B100</f>
        <v>0</v>
      </c>
      <c r="I99" s="410" cm="1">
        <f t="array" ref="I99">_xlfn.IFERROR(H99/'flujos - Gasto mensual'!$C99,0)</f>
        <v>0</v>
      </c>
      <c r="J99" s="409"/>
      <c r="K99" s="405" cm="1">
        <f t="array" ref="K99">'net worth - cash and cash equiv'!B101</f>
        <v>-1050000</v>
      </c>
      <c r="L99" s="410" cm="1">
        <f t="array" ref="L99">_xlfn.IFERROR(K99/'flujos - Gasto mensual'!$C99,0)</f>
        <v>-0.264499750362617</v>
      </c>
      <c r="M99" s="409"/>
      <c r="N99" s="408" cm="1">
        <f t="array" ref="N99">'net worth - criptomonedas'!B101</f>
        <v>0</v>
      </c>
      <c r="O99" s="410" cm="1">
        <f t="array" ref="O99">_xlfn.IFERROR(N99/'flujos - Gasto mensual'!$C99,0)</f>
        <v>0</v>
      </c>
      <c r="P99" s="409"/>
      <c r="Q99" s="405" cm="1">
        <f t="array" ref="Q99">R99-B99</f>
        <v>-619572</v>
      </c>
      <c r="R99" s="405" cm="1">
        <f t="array" ref="R99">K99+H99+N99+E99+B99</f>
        <v>949124</v>
      </c>
      <c r="S99" s="406" cm="1">
        <f t="array" ref="S99">R99/'variables - Table 1-1'!B98</f>
        <v>1032.661907903160</v>
      </c>
      <c r="T99" s="403" cm="1">
        <f t="array" ref="T99">_xlfn.IFERROR(R99/'flujos - Gasto mensual'!$C99,0)</f>
        <v>0.23908862958397</v>
      </c>
      <c r="U99" s="350" cm="1">
        <f t="array" ref="U99">E99+H99+K99+B99</f>
        <v>949124</v>
      </c>
      <c r="V99" s="403" cm="1">
        <f t="array" ref="V99">F99+O99+I99+L99</f>
        <v>-0.156072989839683</v>
      </c>
    </row>
    <row r="100" ht="8.75" customHeight="1" hidden="1">
      <c r="A100" s="400">
        <v>45839</v>
      </c>
      <c r="B100" s="407" cm="1">
        <f t="array" ref="B100">'depto - dividendos'!C22</f>
        <v>800000</v>
      </c>
      <c r="C100" s="410" cm="1">
        <f t="array" ref="C100">_xlfn.IFERROR(B100/'flujos - Gasto mensual'!$C100,0)</f>
        <v>0.198969635741314</v>
      </c>
      <c r="D100" s="409"/>
      <c r="E100" s="408" cm="1">
        <f t="array" ref="E100">'net worth - retiro'!B102</f>
        <v>430775</v>
      </c>
      <c r="F100" s="410" cm="1">
        <f t="array" ref="F100">_xlfn.IFERROR(E100/'flujos - Gasto mensual'!$C100,0)</f>
        <v>0.10713893104558</v>
      </c>
      <c r="G100" s="409"/>
      <c r="H100" s="405" cm="1">
        <f t="array" ref="H100">'net worth - brokerage'!B101</f>
        <v>0</v>
      </c>
      <c r="I100" s="410" cm="1">
        <f t="array" ref="I100">_xlfn.IFERROR(H100/'flujos - Gasto mensual'!$C100,0)</f>
        <v>0</v>
      </c>
      <c r="J100" s="409"/>
      <c r="K100" s="405" cm="1">
        <f t="array" ref="K100">'net worth - cash and cash equiv'!B102</f>
        <v>-4300000</v>
      </c>
      <c r="L100" s="410" cm="1">
        <f t="array" ref="L100">_xlfn.IFERROR(K100/'flujos - Gasto mensual'!$C100,0)</f>
        <v>-1.06946179210956</v>
      </c>
      <c r="M100" s="409"/>
      <c r="N100" s="408" cm="1">
        <f t="array" ref="N100">'net worth - criptomonedas'!B102</f>
        <v>250000</v>
      </c>
      <c r="O100" s="410" cm="1">
        <f t="array" ref="O100">_xlfn.IFERROR(N100/'flujos - Gasto mensual'!$C100,0)</f>
        <v>0.0621780111691605</v>
      </c>
      <c r="P100" s="409"/>
      <c r="Q100" s="405" cm="1">
        <f t="array" ref="Q100">R100-B100</f>
        <v>-3619225</v>
      </c>
      <c r="R100" s="405" cm="1">
        <f t="array" ref="R100">K100+H100+N100+E100+B100</f>
        <v>-2819225</v>
      </c>
      <c r="S100" s="406" cm="1">
        <f t="array" ref="S100">R100/'variables - Table 1-1'!B99</f>
        <v>-2872.568598881220</v>
      </c>
      <c r="T100" s="403" cm="1">
        <f t="array" ref="T100">_xlfn.IFERROR(R100/'flujos - Gasto mensual'!$C100,0)</f>
        <v>-0.701175214153506</v>
      </c>
      <c r="U100" s="350" cm="1">
        <f t="array" ref="U100">E100+H100+K100+B100</f>
        <v>-3069225</v>
      </c>
      <c r="V100" s="403" cm="1">
        <f t="array" ref="V100">F100+O100+I100+L100</f>
        <v>-0.90014484989482</v>
      </c>
    </row>
    <row r="101" ht="8.75" customHeight="1" hidden="1">
      <c r="A101" s="400">
        <v>45870</v>
      </c>
      <c r="B101" s="407" cm="1">
        <f t="array" ref="B101">'depto - dividendos'!C23</f>
        <v>821802</v>
      </c>
      <c r="C101" s="410" cm="1">
        <f t="array" ref="C101">_xlfn.IFERROR(B101/'flujos - Gasto mensual'!$C101,0)</f>
        <v>0.206641114441131</v>
      </c>
      <c r="D101" s="409"/>
      <c r="E101" s="408" cm="1">
        <f t="array" ref="E101">'net worth - retiro'!B103</f>
        <v>435063</v>
      </c>
      <c r="F101" s="410" cm="1">
        <f t="array" ref="F101">_xlfn.IFERROR(E101/'flujos - Gasto mensual'!$C101,0)</f>
        <v>0.109396062764634</v>
      </c>
      <c r="G101" s="409"/>
      <c r="H101" s="405" cm="1">
        <f t="array" ref="H101">'net worth - brokerage'!B102</f>
        <v>0</v>
      </c>
      <c r="I101" s="410" cm="1">
        <f t="array" ref="I101">_xlfn.IFERROR(H101/'flujos - Gasto mensual'!$C101,0)</f>
        <v>0</v>
      </c>
      <c r="J101" s="409"/>
      <c r="K101" s="405" cm="1">
        <f t="array" ref="K101">'net worth - cash and cash equiv'!B103</f>
        <v>-4400000</v>
      </c>
      <c r="L101" s="410" cm="1">
        <f t="array" ref="L101">_xlfn.IFERROR(K101/'flujos - Gasto mensual'!$C101,0)</f>
        <v>-1.10637465416363</v>
      </c>
      <c r="M101" s="409"/>
      <c r="N101" s="408" cm="1">
        <f t="array" ref="N101">'net worth - criptomonedas'!B103</f>
        <v>0</v>
      </c>
      <c r="O101" s="410" cm="1">
        <f t="array" ref="O101">_xlfn.IFERROR(N101/'flujos - Gasto mensual'!$C101,0)</f>
        <v>0</v>
      </c>
      <c r="P101" s="409"/>
      <c r="Q101" s="405" cm="1">
        <f t="array" ref="Q101">R101-B101</f>
        <v>-3964937</v>
      </c>
      <c r="R101" s="405" cm="1">
        <f t="array" ref="R101">K101+H101+N101+E101+B101</f>
        <v>-3143135</v>
      </c>
      <c r="S101" s="406" cm="1">
        <f t="array" ref="S101">R101/'variables - Table 1-1'!B100</f>
        <v>-3247.644190035340</v>
      </c>
      <c r="T101" s="403" cm="1">
        <f t="array" ref="T101">_xlfn.IFERROR(R101/'flujos - Gasto mensual'!$C101,0)</f>
        <v>-0.7903374769578621</v>
      </c>
      <c r="U101" s="350" cm="1">
        <f t="array" ref="U101">E101+H101+K101+B101</f>
        <v>-3143135</v>
      </c>
      <c r="V101" s="403" cm="1">
        <f t="array" ref="V101">F101+O101+I101+L101</f>
        <v>-0.996978591398996</v>
      </c>
    </row>
    <row r="102" ht="8.75" customHeight="1" hidden="1">
      <c r="A102" s="400">
        <v>45901</v>
      </c>
      <c r="B102" s="407" cm="1">
        <f t="array" ref="B102">SUM('depto - dividendos'!C24)</f>
        <v>1385591</v>
      </c>
      <c r="C102" s="410" cm="1">
        <f t="array" ref="C102">_xlfn.IFERROR(B102/'flujos - Gasto mensual'!$C103,0)</f>
        <v>0.348383711346531</v>
      </c>
      <c r="D102" s="409"/>
      <c r="E102" s="408" cm="1">
        <f t="array" ref="E102">'net worth - retiro'!B104</f>
        <v>435980</v>
      </c>
      <c r="F102" s="410" cm="1">
        <f t="array" ref="F102">_xlfn.IFERROR(E102/'flujos - Gasto mensual'!$C103,0)</f>
        <v>0.109619888172527</v>
      </c>
      <c r="G102" s="409"/>
      <c r="H102" s="405" cm="1">
        <f t="array" ref="H102">'net worth - brokerage'!B103</f>
        <v>0</v>
      </c>
      <c r="I102" s="410" cm="1">
        <f t="array" ref="I102">_xlfn.IFERROR(H102/'flujos - Gasto mensual'!$C103,0)</f>
        <v>0</v>
      </c>
      <c r="J102" s="409"/>
      <c r="K102" s="405" cm="1">
        <f t="array" ref="K102">'net worth - cash and cash equiv'!B104</f>
        <v>1750000</v>
      </c>
      <c r="L102" s="410" cm="1">
        <f t="array" ref="L102">_xlfn.IFERROR(K102/'flujos - Gasto mensual'!$C103,0)</f>
        <v>0.440008267126756</v>
      </c>
      <c r="M102" s="409"/>
      <c r="N102" s="408" cm="1">
        <f t="array" ref="N102">'net worth - criptomonedas'!B104</f>
        <v>0</v>
      </c>
      <c r="O102" s="410" cm="1">
        <f t="array" ref="O102">_xlfn.IFERROR(N102/'flujos - Gasto mensual'!$C103,0)</f>
        <v>0</v>
      </c>
      <c r="P102" s="409"/>
      <c r="Q102" s="405" cm="1">
        <f t="array" ref="Q102">R102-B102</f>
        <v>2185980</v>
      </c>
      <c r="R102" s="405" cm="1">
        <f t="array" ref="R102">SUM(K102,H102,N102,E102,B102)</f>
        <v>3571571</v>
      </c>
      <c r="S102" s="406" cm="1">
        <f t="array" ref="S102">R102/'variables - Table 1-1'!B101</f>
        <v>3701.339979687860</v>
      </c>
      <c r="T102" s="403" cm="1">
        <f t="array" ref="T102">_xlfn.IFERROR(R102/'flujos - Gasto mensual'!$C103,0)</f>
        <v>0.898011866645814</v>
      </c>
      <c r="U102" s="350" cm="1">
        <f t="array" ref="U102">E102+H102+K102+B102</f>
        <v>3571571</v>
      </c>
      <c r="V102" s="403" cm="1">
        <f t="array" ref="V102">F102+O102+I102+L102</f>
        <v>0.549628155299283</v>
      </c>
    </row>
    <row r="103" ht="20.55" customHeight="1">
      <c r="A103" s="177">
        <v>45931</v>
      </c>
      <c r="B103" s="411" cm="1">
        <f t="array" ref="B103">SUM('depto - dividendos'!C25)</f>
        <v>816537</v>
      </c>
      <c r="C103" s="412" cm="1">
        <f t="array" ref="C103">_xlfn.IFERROR(B103/'flujos - Gasto mensual'!$C104,0)</f>
        <v>0.205281517078573</v>
      </c>
      <c r="D103" s="413"/>
      <c r="E103" s="414" cm="1">
        <f t="array" ref="E103">'net worth - retiro'!B105</f>
        <v>436970</v>
      </c>
      <c r="F103" s="412" cm="1">
        <f t="array" ref="F103">_xlfn.IFERROR(E103/'flujos - Gasto mensual'!$C104,0)</f>
        <v>0.109856460292459</v>
      </c>
      <c r="G103" s="413"/>
      <c r="H103" s="234" cm="1">
        <f t="array" ref="H103">'net worth - brokerage'!B104</f>
        <v>0</v>
      </c>
      <c r="I103" s="412" cm="1">
        <f t="array" ref="I103">_xlfn.IFERROR(H103/'flujos - Gasto mensual'!$C104,0)</f>
        <v>0</v>
      </c>
      <c r="J103" s="413"/>
      <c r="K103" s="234" cm="1">
        <f t="array" ref="K103">'net worth - cash and cash equiv'!B105</f>
        <v>-50000</v>
      </c>
      <c r="L103" s="412" cm="1">
        <f t="array" ref="L103">_xlfn.IFERROR(K103/'flujos - Gasto mensual'!$C104,0)</f>
        <v>-0.0125702519958418</v>
      </c>
      <c r="M103" s="413"/>
      <c r="N103" s="414" cm="1">
        <f t="array" ref="N103">'net worth - criptomonedas'!B105</f>
        <v>0</v>
      </c>
      <c r="O103" s="412" cm="1">
        <f t="array" ref="O103">_xlfn.IFERROR(N103/'flujos - Gasto mensual'!$C104,0)</f>
        <v>0</v>
      </c>
      <c r="P103" s="413"/>
      <c r="Q103" s="234" cm="1">
        <f t="array" ref="Q103">R103-B103</f>
        <v>386970</v>
      </c>
      <c r="R103" s="234" cm="1">
        <f t="array" ref="R103">K103+H103+N103+E103+B103</f>
        <v>1203507</v>
      </c>
      <c r="S103" s="415" cm="1">
        <f t="array" ref="S103">R103/'variables - Table 1-1'!B102</f>
        <v>1279.632327141660</v>
      </c>
      <c r="T103" s="416" cm="1">
        <f t="array" ref="T103">_xlfn.IFERROR(R103/'flujos - Gasto mensual'!$C104,0)</f>
        <v>0.302567725375191</v>
      </c>
      <c r="U103" s="48" cm="1">
        <f t="array" ref="U103">E103+H103+K103+B103</f>
        <v>1203507</v>
      </c>
      <c r="V103" s="416" cm="1">
        <f t="array" ref="V103">F103+O103+I103+L103</f>
        <v>0.0972862082966172</v>
      </c>
    </row>
    <row r="104" ht="20.35" customHeight="1">
      <c r="A104" s="186">
        <v>45962</v>
      </c>
      <c r="B104" s="363" cm="1">
        <f t="array" ref="B104">'depto - dividendos'!C26</f>
        <v>1015871</v>
      </c>
      <c r="C104" s="417" cm="1">
        <f t="array" ref="C104">_xlfn.IFERROR(B104/'flujos - Gasto mensual'!$C105,0)</f>
        <v>0.255386421571832</v>
      </c>
      <c r="D104" s="418"/>
      <c r="E104" s="364" cm="1">
        <f t="array" ref="E104">'net worth - retiro'!B106</f>
        <v>437388</v>
      </c>
      <c r="F104" s="417" cm="1">
        <f t="array" ref="F104">_xlfn.IFERROR(E104/'flujos - Gasto mensual'!$C105,0)</f>
        <v>0.109957815666025</v>
      </c>
      <c r="G104" s="418"/>
      <c r="H104" s="247" cm="1">
        <f t="array" ref="H104">'net worth - brokerage'!B105</f>
        <v>0</v>
      </c>
      <c r="I104" s="417" cm="1">
        <f t="array" ref="I104">_xlfn.IFERROR(H104/'flujos - Gasto mensual'!$C105,0)</f>
        <v>0</v>
      </c>
      <c r="J104" s="418"/>
      <c r="K104" s="247" cm="1">
        <f t="array" ref="K104">'net worth - cash and cash equiv'!B106</f>
        <v>-550000</v>
      </c>
      <c r="L104" s="417" cm="1">
        <f t="array" ref="L104">_xlfn.IFERROR(K104/'flujos - Gasto mensual'!$C105,0)</f>
        <v>-0.138268079179844</v>
      </c>
      <c r="M104" s="418"/>
      <c r="N104" s="364" cm="1">
        <f t="array" ref="N104">'net worth - criptomonedas'!B106</f>
        <v>0</v>
      </c>
      <c r="O104" s="417" cm="1">
        <f t="array" ref="O104">_xlfn.IFERROR(N104/'flujos - Gasto mensual'!$C105,0)</f>
        <v>0</v>
      </c>
      <c r="P104" s="418"/>
      <c r="Q104" s="247" cm="1">
        <f t="array" ref="Q104">R104-B104</f>
        <v>-112612</v>
      </c>
      <c r="R104" s="247" cm="1">
        <f t="array" ref="R104">K104+H104+N104+E104+B104</f>
        <v>903259</v>
      </c>
      <c r="S104" s="343" cm="1">
        <f t="array" ref="S104">R104/'variables - Table 1-1'!B103</f>
        <v>974.515579147247</v>
      </c>
      <c r="T104" s="419" cm="1">
        <f t="array" ref="T104">_xlfn.IFERROR(R104/'flujos - Gasto mensual'!$C105,0)</f>
        <v>0.227076158058012</v>
      </c>
      <c r="U104" s="26" cm="1">
        <f t="array" ref="U104">E104+H104+K104+B104</f>
        <v>903259</v>
      </c>
      <c r="V104" s="419" cm="1">
        <f t="array" ref="V104">F104+O104+I104+L104</f>
        <v>-0.028310263513819</v>
      </c>
    </row>
    <row r="105" ht="20.35" customHeight="1">
      <c r="A105" s="186">
        <v>45992</v>
      </c>
      <c r="B105" s="363" cm="1">
        <f t="array" ref="B105">'depto - dividendos'!C27</f>
        <v>855091</v>
      </c>
      <c r="C105" s="417" cm="1">
        <f t="array" ref="C105">_xlfn.IFERROR(B105/'flujos - Gasto mensual'!$C106,0)</f>
        <v>0.214966891079949</v>
      </c>
      <c r="D105" s="418"/>
      <c r="E105" s="364" cm="1">
        <f t="array" ref="E105">'net worth - retiro'!B107</f>
        <v>438139</v>
      </c>
      <c r="F105" s="417" cm="1">
        <f t="array" ref="F105">_xlfn.IFERROR(E105/'flujos - Gasto mensual'!$C106,0)</f>
        <v>0.110146614443232</v>
      </c>
      <c r="G105" s="418"/>
      <c r="H105" s="247" cm="1">
        <f t="array" ref="H105">'net worth - brokerage'!B106</f>
        <v>0</v>
      </c>
      <c r="I105" s="417" cm="1">
        <f t="array" ref="I105">_xlfn.IFERROR(H105/'flujos - Gasto mensual'!$C106,0)</f>
        <v>0</v>
      </c>
      <c r="J105" s="418"/>
      <c r="K105" s="247" cm="1">
        <f t="array" ref="K105">'net worth - cash and cash equiv'!B107</f>
        <v>650000</v>
      </c>
      <c r="L105" s="417" cm="1">
        <f t="array" ref="L105">_xlfn.IFERROR(K105/'flujos - Gasto mensual'!$C106,0)</f>
        <v>0.163407729939816</v>
      </c>
      <c r="M105" s="418"/>
      <c r="N105" s="364" cm="1">
        <f t="array" ref="N105">'net worth - criptomonedas'!B107</f>
        <v>0</v>
      </c>
      <c r="O105" s="417" cm="1">
        <f t="array" ref="O105">_xlfn.IFERROR(N105/'flujos - Gasto mensual'!$C106,0)</f>
        <v>0</v>
      </c>
      <c r="P105" s="418"/>
      <c r="Q105" s="247" cm="1">
        <f t="array" ref="Q105">R105-B105</f>
        <v>1088139</v>
      </c>
      <c r="R105" s="247" cm="1">
        <f t="array" ref="R105">K105+H105+N105+E105+B105</f>
        <v>1943230</v>
      </c>
      <c r="S105" s="343" cm="1">
        <f t="array" ref="S105">R105/'variables - Table 1-1'!B104</f>
        <v>2159.288397004240</v>
      </c>
      <c r="T105" s="419" cm="1">
        <f t="array" ref="T105">_xlfn.IFERROR(R105/'flujos - Gasto mensual'!$C106,0)</f>
        <v>0.488521235462997</v>
      </c>
      <c r="U105" s="26" cm="1">
        <f t="array" ref="U105">E105+H105+K105+B105</f>
        <v>1943230</v>
      </c>
      <c r="V105" s="419" cm="1">
        <f t="array" ref="V105">F105+O105+I105+L105</f>
        <v>0.273554344383048</v>
      </c>
    </row>
    <row r="106" ht="20.35" customHeight="1">
      <c r="A106" s="186">
        <v>46023</v>
      </c>
      <c r="B106" s="363" cm="1">
        <f t="array" ref="B106">'depto - dividendos'!C28</f>
        <v>972618</v>
      </c>
      <c r="C106" s="417" cm="1">
        <f t="array" ref="C106">_xlfn.IFERROR(B106/'flujos - Gasto mensual'!$C106,0)</f>
        <v>0.244512768428621</v>
      </c>
      <c r="D106" s="418"/>
      <c r="E106" s="364" cm="1">
        <f t="array" ref="E106">'net worth - retiro'!B108</f>
        <v>446453</v>
      </c>
      <c r="F106" s="417" cm="1">
        <f t="array" ref="F106">_xlfn.IFERROR(E106/'flujos - Gasto mensual'!$C106,0)</f>
        <v>0.112236725007416</v>
      </c>
      <c r="G106" s="418"/>
      <c r="H106" s="247" cm="1">
        <f t="array" ref="H106">'net worth - brokerage'!B107</f>
        <v>0</v>
      </c>
      <c r="I106" s="417" cm="1">
        <f t="array" ref="I106">_xlfn.IFERROR(H106/'flujos - Gasto mensual'!$C106,0)</f>
        <v>0</v>
      </c>
      <c r="J106" s="418"/>
      <c r="K106" s="247" cm="1">
        <f t="array" ref="K106">'net worth - cash and cash equiv'!B108</f>
        <v>-200000</v>
      </c>
      <c r="L106" s="417" cm="1">
        <f t="array" ref="L106">_xlfn.IFERROR(K106/'flujos - Gasto mensual'!$C106,0)</f>
        <v>-0.0502793015199433</v>
      </c>
      <c r="M106" s="418"/>
      <c r="N106" s="364" cm="1">
        <f t="array" ref="N106">'net worth - criptomonedas'!B108</f>
        <v>0</v>
      </c>
      <c r="O106" s="417" cm="1">
        <f t="array" ref="O106">_xlfn.IFERROR(N106/'flujos - Gasto mensual'!$C106,0)</f>
        <v>0</v>
      </c>
      <c r="P106" s="418"/>
      <c r="Q106" s="247" cm="1">
        <f t="array" ref="Q106">R106-B106</f>
        <v>246453</v>
      </c>
      <c r="R106" s="247" cm="1">
        <f t="array" ref="R106">K106+H106+N106+E106+B106</f>
        <v>1219071</v>
      </c>
      <c r="S106" s="343" cm="1">
        <f t="array" ref="S106">R106/'variables - Table 1-1'!B105</f>
        <v>1418.910331021</v>
      </c>
      <c r="T106" s="419" cm="1">
        <f t="array" ref="T106">_xlfn.IFERROR(R106/'flujos - Gasto mensual'!$C106,0)</f>
        <v>0.306470191916094</v>
      </c>
      <c r="U106" s="26" cm="1">
        <f t="array" ref="U106">E106+H106+K106+B106</f>
        <v>1219071</v>
      </c>
      <c r="V106" s="419" cm="1">
        <f t="array" ref="V106">F106+O106+I106+L106</f>
        <v>0.0619574234874727</v>
      </c>
    </row>
    <row r="107" ht="20.35" customHeight="1">
      <c r="A107" s="186">
        <v>46054</v>
      </c>
      <c r="B107" s="363" cm="1">
        <f t="array" ref="B107">'depto - dividendos'!C29</f>
        <v>891578</v>
      </c>
      <c r="C107" s="417" cm="1">
        <f t="array" ref="C107">_xlfn.IFERROR(B107/'flujos - Gasto mensual'!$C107,0)</f>
        <v>0.22413959545274</v>
      </c>
      <c r="D107" s="418"/>
      <c r="E107" s="364" cm="1">
        <f t="array" ref="E107">'net worth - retiro'!B109</f>
        <v>447701</v>
      </c>
      <c r="F107" s="417" cm="1">
        <f t="array" ref="F107">_xlfn.IFERROR(E107/'flujos - Gasto mensual'!$C107,0)</f>
        <v>0.112550467848901</v>
      </c>
      <c r="G107" s="418"/>
      <c r="H107" s="247" cm="1">
        <f t="array" ref="H107">'net worth - brokerage'!B108</f>
        <v>0</v>
      </c>
      <c r="I107" s="417" cm="1">
        <f t="array" ref="I107">_xlfn.IFERROR(H107/'flujos - Gasto mensual'!$C107,0)</f>
        <v>0</v>
      </c>
      <c r="J107" s="418"/>
      <c r="K107" s="247" cm="1">
        <f t="array" ref="K107">'net worth - cash and cash equiv'!B109</f>
        <v>900000</v>
      </c>
      <c r="L107" s="417" cm="1">
        <f t="array" ref="L107">_xlfn.IFERROR(K107/'flujos - Gasto mensual'!$C107,0)</f>
        <v>0.226256856839745</v>
      </c>
      <c r="M107" s="418"/>
      <c r="N107" s="364" cm="1">
        <f t="array" ref="N107">'net worth - criptomonedas'!B109</f>
        <v>0</v>
      </c>
      <c r="O107" s="417" cm="1">
        <f t="array" ref="O107">_xlfn.IFERROR(N107/'flujos - Gasto mensual'!$C107,0)</f>
        <v>0</v>
      </c>
      <c r="P107" s="418"/>
      <c r="Q107" s="247" cm="1">
        <f t="array" ref="Q107">R107-B107</f>
        <v>1347701</v>
      </c>
      <c r="R107" s="247" cm="1">
        <f t="array" ref="R107">K107+H107+N107+E107+B107</f>
        <v>2239279</v>
      </c>
      <c r="S107" s="343" cm="1">
        <f t="array" ref="S107">R107/'variables - Table 1-1'!B106</f>
        <v>2588.253175676460</v>
      </c>
      <c r="T107" s="419" cm="1">
        <f t="array" ref="T107">_xlfn.IFERROR(R107/'flujos - Gasto mensual'!$C107,0)</f>
        <v>0.562946920141385</v>
      </c>
      <c r="U107" s="26" cm="1">
        <f t="array" ref="U107">E107+H107+K107+B107</f>
        <v>2239279</v>
      </c>
      <c r="V107" s="419" cm="1">
        <f t="array" ref="V107">F107+O107+I107+L107</f>
        <v>0.338807324688646</v>
      </c>
    </row>
    <row r="108" ht="20.35" customHeight="1">
      <c r="A108" s="186">
        <v>46082</v>
      </c>
      <c r="B108" s="363" cm="1">
        <f t="array" ref="B108">SUM('depto - dividendos'!C30:C31)</f>
        <v>12842265</v>
      </c>
      <c r="C108" s="417" cm="1">
        <f t="array" ref="C108">_xlfn.IFERROR(B108/'flujos - Gasto mensual'!$C108,0)</f>
        <v>0</v>
      </c>
      <c r="D108" s="418"/>
      <c r="E108" s="364" cm="1">
        <f t="array" ref="E108">'net worth - retiro'!B110</f>
        <v>448170</v>
      </c>
      <c r="F108" s="417" cm="1">
        <f t="array" ref="F108">_xlfn.IFERROR(E108/'flujos - Gasto mensual'!$C108,0)</f>
        <v>0</v>
      </c>
      <c r="G108" s="418"/>
      <c r="H108" s="247" cm="1">
        <f t="array" ref="H108">'net worth - brokerage'!B109</f>
        <v>400000</v>
      </c>
      <c r="I108" s="417" cm="1">
        <f t="array" ref="I108">_xlfn.IFERROR(H108/'flujos - Gasto mensual'!$C108,0)</f>
        <v>0</v>
      </c>
      <c r="J108" s="418"/>
      <c r="K108" s="247" cm="1">
        <f t="array" ref="K108">'net worth - cash and cash equiv'!B110</f>
        <v>-400000</v>
      </c>
      <c r="L108" s="417" cm="1">
        <f t="array" ref="L108">_xlfn.IFERROR(K108/'flujos - Gasto mensual'!$C108,0)</f>
        <v>0</v>
      </c>
      <c r="M108" s="418"/>
      <c r="N108" s="364" cm="1">
        <f t="array" ref="N108">'net worth - criptomonedas'!B110</f>
        <v>0</v>
      </c>
      <c r="O108" s="417" cm="1">
        <f t="array" ref="O108">_xlfn.IFERROR(N108/'flujos - Gasto mensual'!$C108,0)</f>
        <v>0</v>
      </c>
      <c r="P108" s="418"/>
      <c r="Q108" s="247" cm="1">
        <f t="array" ref="Q108">R108-B108</f>
        <v>448170</v>
      </c>
      <c r="R108" s="247" cm="1">
        <f t="array" ref="R108">K108+H108+N108+E108+B108</f>
        <v>13290435</v>
      </c>
      <c r="S108" s="343" cm="1">
        <f t="array" ref="S108">R108/'variables - Table 1-1'!B107</f>
        <v>14287.4105050418</v>
      </c>
      <c r="T108" s="419" cm="1">
        <f t="array" ref="T108">_xlfn.IFERROR(R108/'flujos - Gasto mensual'!$C108,0)</f>
        <v>0</v>
      </c>
      <c r="U108" s="26" cm="1">
        <f t="array" ref="U108">E108+H108+K108+B108</f>
        <v>13290435</v>
      </c>
      <c r="V108" s="419" cm="1">
        <f t="array" ref="V108">F108+O108+I108+L108</f>
        <v>0</v>
      </c>
    </row>
    <row r="109" ht="20.35" customHeight="1">
      <c r="A109" s="186">
        <v>46113</v>
      </c>
      <c r="B109" s="363" cm="1">
        <f t="array" ref="B109">'depto - dividendos'!C32</f>
        <v>3180160</v>
      </c>
      <c r="C109" s="417" cm="1">
        <f t="array" ref="C109">_xlfn.IFERROR(B109/'flujos - Gasto mensual'!$C109,0)</f>
        <v>0</v>
      </c>
      <c r="D109" s="418"/>
      <c r="E109" s="364" cm="1">
        <f t="array" ref="E109">'net worth - retiro'!B111</f>
        <v>0</v>
      </c>
      <c r="F109" s="417" cm="1">
        <f t="array" ref="F109">_xlfn.IFERROR(E109/'flujos - Gasto mensual'!$C109,0)</f>
        <v>0</v>
      </c>
      <c r="G109" s="418"/>
      <c r="H109" s="247" cm="1">
        <f t="array" ref="H109">'net worth - brokerage'!B110</f>
        <v>0</v>
      </c>
      <c r="I109" s="417" cm="1">
        <f t="array" ref="I109">_xlfn.IFERROR(H109/'flujos - Gasto mensual'!$C109,0)</f>
        <v>0</v>
      </c>
      <c r="J109" s="418"/>
      <c r="K109" s="247" cm="1">
        <f t="array" ref="K109">'net worth - cash and cash equiv'!B111</f>
        <v>24500000</v>
      </c>
      <c r="L109" s="417" cm="1">
        <f t="array" ref="L109">_xlfn.IFERROR(K109/'flujos - Gasto mensual'!$C109,0)</f>
        <v>0</v>
      </c>
      <c r="M109" s="418"/>
      <c r="N109" s="364" cm="1">
        <f t="array" ref="N109">'net worth - criptomonedas'!B111</f>
        <v>0</v>
      </c>
      <c r="O109" s="417" cm="1">
        <f t="array" ref="O109">_xlfn.IFERROR(N109/'flujos - Gasto mensual'!$C109,0)</f>
        <v>0</v>
      </c>
      <c r="P109" s="418"/>
      <c r="Q109" s="247" cm="1">
        <f t="array" ref="Q109">R109-B109</f>
        <v>24500000</v>
      </c>
      <c r="R109" s="247" cm="1">
        <f t="array" ref="R109">K109+H109+N109+E109+B109</f>
        <v>27680160</v>
      </c>
      <c r="S109" s="343" cm="1">
        <f t="array" ref="S109">R109/'variables - Table 1-1'!B108</f>
        <v>30603.7347839066</v>
      </c>
      <c r="T109" s="419" cm="1">
        <f t="array" ref="T109">_xlfn.IFERROR(R109/'flujos - Gasto mensual'!$C109,0)</f>
        <v>0</v>
      </c>
      <c r="U109" s="26" cm="1">
        <f t="array" ref="U109">E109+H109+K109+B109</f>
        <v>27680160</v>
      </c>
      <c r="V109" s="419" cm="1">
        <f t="array" ref="V109">F109+O109+I109+L109</f>
        <v>0</v>
      </c>
    </row>
    <row r="110" ht="20.35" customHeight="1">
      <c r="A110" s="186">
        <v>46143</v>
      </c>
      <c r="B110" s="363" cm="1">
        <f t="array" ref="B110">'depto - dividendos'!C33</f>
        <v>3212395</v>
      </c>
      <c r="C110" s="417" cm="1">
        <f t="array" ref="C110">_xlfn.IFERROR(B110/'flujos - Gasto mensual'!$C110,0)</f>
        <v>0</v>
      </c>
      <c r="D110" s="418"/>
      <c r="E110" s="364" cm="1">
        <f t="array" ref="E110">'net worth - retiro'!B112</f>
        <v>-2772870</v>
      </c>
      <c r="F110" s="417" cm="1">
        <f t="array" ref="F110">_xlfn.IFERROR(E110/'flujos - Gasto mensual'!$C110,0)</f>
        <v>0</v>
      </c>
      <c r="G110" s="418"/>
      <c r="H110" s="247" cm="1">
        <f t="array" ref="H110">'net worth - brokerage'!B111</f>
        <v>0</v>
      </c>
      <c r="I110" s="417" cm="1">
        <f t="array" ref="I110">_xlfn.IFERROR(H110/'flujos - Gasto mensual'!$C110,0)</f>
        <v>0</v>
      </c>
      <c r="J110" s="418"/>
      <c r="K110" s="247" cm="1">
        <f t="array" ref="K110">'net worth - cash and cash equiv'!B112</f>
        <v>-2700000</v>
      </c>
      <c r="L110" s="417" cm="1">
        <f t="array" ref="L110">_xlfn.IFERROR(K110/'flujos - Gasto mensual'!$C110,0)</f>
        <v>0</v>
      </c>
      <c r="M110" s="418"/>
      <c r="N110" s="364" cm="1">
        <f t="array" ref="N110">'net worth - criptomonedas'!B112</f>
        <v>0</v>
      </c>
      <c r="O110" s="417" cm="1">
        <f t="array" ref="O110">_xlfn.IFERROR(N110/'flujos - Gasto mensual'!$C110,0)</f>
        <v>0</v>
      </c>
      <c r="P110" s="418"/>
      <c r="Q110" s="247" cm="1">
        <f t="array" ref="Q110">R110-B110</f>
        <v>-5472870</v>
      </c>
      <c r="R110" s="247" cm="1">
        <f t="array" ref="R110">K110+H110+N110+E110+B110</f>
        <v>-2260475</v>
      </c>
      <c r="S110" s="343" cm="1">
        <f t="array" ref="S110">R110/'variables - Table 1-1'!B109</f>
        <v>-2548.6222292376</v>
      </c>
      <c r="T110" s="419" cm="1">
        <f t="array" ref="T110">_xlfn.IFERROR(R110/'flujos - Gasto mensual'!$C110,0)</f>
        <v>0</v>
      </c>
      <c r="U110" s="26" cm="1">
        <f t="array" ref="U110">E110+H110+K110+B110</f>
        <v>-2260475</v>
      </c>
      <c r="V110" s="419" cm="1">
        <f t="array" ref="V110">F110+O110+I110+L110</f>
        <v>0</v>
      </c>
    </row>
    <row r="111" ht="20.35" customHeight="1">
      <c r="A111" s="186">
        <v>46174</v>
      </c>
      <c r="B111" s="363" cm="1">
        <f t="array" ref="B111">'depto - dividendos'!C34</f>
        <v>0</v>
      </c>
      <c r="C111" s="417" cm="1">
        <f t="array" ref="C111">_xlfn.IFERROR(B111/'flujos - Gasto mensual'!$C111,0)</f>
        <v>0</v>
      </c>
      <c r="D111" s="418"/>
      <c r="E111" s="364" cm="1">
        <f t="array" ref="E111">'net worth - retiro'!B113</f>
        <v>0</v>
      </c>
      <c r="F111" s="417" cm="1">
        <f t="array" ref="F111">_xlfn.IFERROR(E111/'flujos - Gasto mensual'!$C111,0)</f>
        <v>0</v>
      </c>
      <c r="G111" s="418"/>
      <c r="H111" s="247" cm="1">
        <f t="array" ref="H111">'net worth - brokerage'!B112</f>
        <v>0</v>
      </c>
      <c r="I111" s="417" cm="1">
        <f t="array" ref="I111">_xlfn.IFERROR(H111/'flujos - Gasto mensual'!$C111,0)</f>
        <v>0</v>
      </c>
      <c r="J111" s="418"/>
      <c r="K111" s="247" cm="1">
        <f t="array" ref="K111">'net worth - cash and cash equiv'!B113</f>
        <v>0</v>
      </c>
      <c r="L111" s="417" cm="1">
        <f t="array" ref="L111">_xlfn.IFERROR(K111/'flujos - Gasto mensual'!$C111,0)</f>
        <v>0</v>
      </c>
      <c r="M111" s="418"/>
      <c r="N111" s="364" cm="1">
        <f t="array" ref="N111">'net worth - criptomonedas'!B113</f>
        <v>0</v>
      </c>
      <c r="O111" s="417" cm="1">
        <f t="array" ref="O111">_xlfn.IFERROR(N111/'flujos - Gasto mensual'!$C111,0)</f>
        <v>0</v>
      </c>
      <c r="P111" s="418"/>
      <c r="Q111" s="247" cm="1">
        <f t="array" ref="Q111">R111-B111</f>
        <v>0</v>
      </c>
      <c r="R111" s="247" cm="1">
        <f t="array" ref="R111">K111+H111+N111+E111+B111</f>
        <v>0</v>
      </c>
      <c r="S111" s="343" cm="1">
        <f t="array" ref="S111">R111/'variables - Table 1-1'!B111</f>
        <v>0</v>
      </c>
      <c r="T111" s="419" cm="1">
        <f t="array" ref="T111">_xlfn.IFERROR(R111/'flujos - Gasto mensual'!$C111,0)</f>
        <v>0</v>
      </c>
      <c r="U111" s="26" cm="1">
        <f t="array" ref="U111">E111+H111+K111+B111</f>
        <v>0</v>
      </c>
      <c r="V111" s="419" cm="1">
        <f t="array" ref="V111">F111+O111+I111+L111</f>
        <v>0</v>
      </c>
    </row>
    <row r="112" ht="20.35" customHeight="1">
      <c r="A112" s="186">
        <v>46204</v>
      </c>
      <c r="B112" s="363" cm="1">
        <f t="array" ref="B112">'depto - dividendos'!C35</f>
        <v>0</v>
      </c>
      <c r="C112" s="417" cm="1">
        <f t="array" ref="C112">_xlfn.IFERROR(B112/'flujos - Gasto mensual'!$C112,0)</f>
        <v>0</v>
      </c>
      <c r="D112" s="418"/>
      <c r="E112" s="364" cm="1">
        <f t="array" ref="E112">'net worth - retiro'!B114</f>
        <v>0</v>
      </c>
      <c r="F112" s="417" cm="1">
        <f t="array" ref="F112">_xlfn.IFERROR(E112/'flujos - Gasto mensual'!$C112,0)</f>
        <v>0</v>
      </c>
      <c r="G112" s="418"/>
      <c r="H112" s="247" cm="1">
        <f t="array" ref="H112">'net worth - brokerage'!B113</f>
        <v>0</v>
      </c>
      <c r="I112" s="417" cm="1">
        <f t="array" ref="I112">_xlfn.IFERROR(H112/'flujos - Gasto mensual'!$C112,0)</f>
        <v>0</v>
      </c>
      <c r="J112" s="418"/>
      <c r="K112" s="247" cm="1">
        <f t="array" ref="K112">'net worth - cash and cash equiv'!B114</f>
        <v>0</v>
      </c>
      <c r="L112" s="417" cm="1">
        <f t="array" ref="L112">_xlfn.IFERROR(K112/'flujos - Gasto mensual'!$C112,0)</f>
        <v>0</v>
      </c>
      <c r="M112" s="418"/>
      <c r="N112" s="364" cm="1">
        <f t="array" ref="N112">'net worth - criptomonedas'!B114</f>
        <v>0</v>
      </c>
      <c r="O112" s="417" cm="1">
        <f t="array" ref="O112">_xlfn.IFERROR(N112/'flujos - Gasto mensual'!$C112,0)</f>
        <v>0</v>
      </c>
      <c r="P112" s="418"/>
      <c r="Q112" s="247" cm="1">
        <f t="array" ref="Q112">R112-B112</f>
        <v>0</v>
      </c>
      <c r="R112" s="247" cm="1">
        <f t="array" ref="R112">K112+H112+N112+E112+B112</f>
        <v>0</v>
      </c>
      <c r="S112" s="343" cm="1">
        <f t="array" ref="S112">R112/'variables - Table 1-1'!B112</f>
        <v>0</v>
      </c>
      <c r="T112" s="419" cm="1">
        <f t="array" ref="T112">_xlfn.IFERROR(R112/'flujos - Gasto mensual'!$C112,0)</f>
        <v>0</v>
      </c>
      <c r="U112" s="26" cm="1">
        <f t="array" ref="U112">E112+H112+K112+B112</f>
        <v>0</v>
      </c>
      <c r="V112" s="419" cm="1">
        <f t="array" ref="V112">F112+O112+I112+L112</f>
        <v>0</v>
      </c>
    </row>
    <row r="113" ht="20.35" customHeight="1">
      <c r="A113" s="186">
        <v>46235</v>
      </c>
      <c r="B113" s="363" cm="1">
        <f t="array" ref="B113">'depto - dividendos'!C36</f>
        <v>0</v>
      </c>
      <c r="C113" s="417" cm="1">
        <f t="array" ref="C113">_xlfn.IFERROR(B113/'flujos - Gasto mensual'!$C113,0)</f>
        <v>0</v>
      </c>
      <c r="D113" s="418"/>
      <c r="E113" s="364" cm="1">
        <f t="array" ref="E113">'net worth - retiro'!B115</f>
        <v>0</v>
      </c>
      <c r="F113" s="417" cm="1">
        <f t="array" ref="F113">_xlfn.IFERROR(E113/'flujos - Gasto mensual'!$C113,0)</f>
        <v>0</v>
      </c>
      <c r="G113" s="418"/>
      <c r="H113" s="247" cm="1">
        <f t="array" ref="H113">'net worth - brokerage'!B114</f>
        <v>0</v>
      </c>
      <c r="I113" s="417" cm="1">
        <f t="array" ref="I113">_xlfn.IFERROR(H113/'flujos - Gasto mensual'!$C113,0)</f>
        <v>0</v>
      </c>
      <c r="J113" s="418"/>
      <c r="K113" s="247" cm="1">
        <f t="array" ref="K113">'net worth - cash and cash equiv'!B115</f>
        <v>0</v>
      </c>
      <c r="L113" s="417" cm="1">
        <f t="array" ref="L113">_xlfn.IFERROR(K113/'flujos - Gasto mensual'!$C113,0)</f>
        <v>0</v>
      </c>
      <c r="M113" s="418"/>
      <c r="N113" s="364" cm="1">
        <f t="array" ref="N113">'net worth - criptomonedas'!B115</f>
        <v>0</v>
      </c>
      <c r="O113" s="417" cm="1">
        <f t="array" ref="O113">_xlfn.IFERROR(N113/'flujos - Gasto mensual'!$C113,0)</f>
        <v>0</v>
      </c>
      <c r="P113" s="418"/>
      <c r="Q113" s="247" cm="1">
        <f t="array" ref="Q113">R113-B113</f>
        <v>0</v>
      </c>
      <c r="R113" s="247" cm="1">
        <f t="array" ref="R113">K113+H113+N113+E113+B113</f>
        <v>0</v>
      </c>
      <c r="S113" s="343" cm="1">
        <f t="array" ref="S113">R113/'variables - Table 1-1'!B113</f>
        <v>0</v>
      </c>
      <c r="T113" s="419" cm="1">
        <f t="array" ref="T113">_xlfn.IFERROR(R113/'flujos - Gasto mensual'!$C113,0)</f>
        <v>0</v>
      </c>
      <c r="U113" s="26" cm="1">
        <f t="array" ref="U113">E113+H113+K113+B113</f>
        <v>0</v>
      </c>
      <c r="V113" s="419" cm="1">
        <f t="array" ref="V113">F113+O113+I113+L113</f>
        <v>0</v>
      </c>
    </row>
    <row r="114" ht="20.55" customHeight="1">
      <c r="A114" s="196">
        <v>46266</v>
      </c>
      <c r="B114" s="384" cm="1">
        <f t="array" ref="B114">'depto - dividendos'!C37</f>
        <v>0</v>
      </c>
      <c r="C114" s="420" cm="1">
        <f t="array" ref="C114">_xlfn.IFERROR(B114/'flujos - Gasto mensual'!$C114,0)</f>
        <v>0</v>
      </c>
      <c r="D114" s="421"/>
      <c r="E114" s="422" cm="1">
        <f t="array" ref="E114">'net worth - retiro'!B116</f>
        <v>0</v>
      </c>
      <c r="F114" s="420" cm="1">
        <f t="array" ref="F114">_xlfn.IFERROR(E114/'flujos - Gasto mensual'!$C114,0)</f>
        <v>0</v>
      </c>
      <c r="G114" s="421"/>
      <c r="H114" s="262" cm="1">
        <f t="array" ref="H114">'net worth - brokerage'!B115</f>
        <v>0</v>
      </c>
      <c r="I114" s="420" cm="1">
        <f t="array" ref="I114">_xlfn.IFERROR(H114/'flujos - Gasto mensual'!$C114,0)</f>
        <v>0</v>
      </c>
      <c r="J114" s="421"/>
      <c r="K114" s="262" cm="1">
        <f t="array" ref="K114">'net worth - cash and cash equiv'!B116</f>
        <v>0</v>
      </c>
      <c r="L114" s="420" cm="1">
        <f t="array" ref="L114">_xlfn.IFERROR(K114/'flujos - Gasto mensual'!$C114,0)</f>
        <v>0</v>
      </c>
      <c r="M114" s="421"/>
      <c r="N114" s="422" cm="1">
        <f t="array" ref="N114">'net worth - criptomonedas'!B116</f>
        <v>0</v>
      </c>
      <c r="O114" s="420" cm="1">
        <f t="array" ref="O114">_xlfn.IFERROR(N114/'flujos - Gasto mensual'!$C114,0)</f>
        <v>0</v>
      </c>
      <c r="P114" s="421"/>
      <c r="Q114" s="262" cm="1">
        <f t="array" ref="Q114">R114-B114</f>
        <v>0</v>
      </c>
      <c r="R114" s="262" cm="1">
        <f t="array" ref="R114">K114+H114+N114+E114+B114</f>
        <v>0</v>
      </c>
      <c r="S114" s="423" cm="1">
        <f t="array" ref="S114">R114/'variables - Table 1-1'!B114</f>
        <v>0</v>
      </c>
      <c r="T114" s="424" cm="1">
        <f t="array" ref="T114">_xlfn.IFERROR(R114/'flujos - Gasto mensual'!$C114,0)</f>
        <v>0</v>
      </c>
      <c r="U114" s="44" cm="1">
        <f t="array" ref="U114">E114+H114+K114+B114</f>
        <v>0</v>
      </c>
      <c r="V114" s="424" cm="1">
        <f t="array" ref="V114">F114+O114+I114+L114</f>
        <v>0</v>
      </c>
    </row>
    <row r="115" ht="20.55" customHeight="1">
      <c r="A115" t="s" s="86">
        <v>665</v>
      </c>
      <c r="B115" s="234" cm="1">
        <f t="array" ref="B115">'depto - dividendos'!C$161</f>
        <v>148338452</v>
      </c>
      <c r="C115" s="412" cm="1">
        <f t="array" ref="C115">B115/'flujos - Gasto mensual'!$C119</f>
        <v>0.534462234477972</v>
      </c>
      <c r="D115" s="425"/>
      <c r="E115" s="234" cm="1">
        <f t="array" ref="E115">'net worth - retiro'!B$117</f>
        <v>42535320</v>
      </c>
      <c r="F115" s="412" cm="1">
        <f t="array" ref="F115">E115/'flujos - Gasto mensual'!$C119</f>
        <v>0.15325441154958</v>
      </c>
      <c r="G115" s="425"/>
      <c r="H115" s="234" cm="1">
        <f t="array" ref="H115">'net worth - brokerage'!B$116</f>
        <v>-9200000</v>
      </c>
      <c r="I115" s="412" cm="1">
        <f t="array" ref="I115">H115/'flujos - Gasto mensual'!$C119</f>
        <v>-0.0331475250746</v>
      </c>
      <c r="J115" s="425"/>
      <c r="K115" s="234" cm="1">
        <f t="array" ref="K115">'net worth - cash and cash equiv'!B$117</f>
        <v>21796580</v>
      </c>
      <c r="L115" s="412" cm="1">
        <f t="array" ref="L115">K115/'flujos - Gasto mensual'!$C119</f>
        <v>0.0785329002272309</v>
      </c>
      <c r="M115" s="425"/>
      <c r="N115" s="234" cm="1">
        <f t="array" ref="N115">'net worth - criptomonedas'!B$117</f>
        <v>-9275350.271672741</v>
      </c>
      <c r="O115" s="412" cm="1">
        <f t="array" ref="O115">N115/'flujos - Gasto mensual'!$C119</f>
        <v>-0.0334190114897793</v>
      </c>
      <c r="P115" s="425"/>
      <c r="Q115" s="234" cm="1">
        <f t="array" ref="Q115">R115-B115</f>
        <v>45856549.728327</v>
      </c>
      <c r="R115" s="234" cm="1">
        <f t="array" ref="R115">E$115+H$115+K$115+N$115+B$115</f>
        <v>194195001.728327</v>
      </c>
      <c r="S115" s="415" cm="1">
        <f t="array" ref="S115">SUM(S3:S114)</f>
        <v>253310.061913916</v>
      </c>
      <c r="T115" s="412" cm="1">
        <f t="array" ref="T115">R115/'flujos - Gasto mensual'!$C119</f>
        <v>0.699683009690403</v>
      </c>
      <c r="U115" s="48" cm="1">
        <f t="array" ref="U115">K$115+H$115+E$115</f>
        <v>55131900</v>
      </c>
      <c r="V115" s="416" cm="1">
        <f t="array" ref="V115">F115+O115+I115+L$115+C$115</f>
        <v>0.699683009690404</v>
      </c>
    </row>
    <row r="116" ht="20.35" customHeight="1">
      <c r="A116" t="s" s="56">
        <v>757</v>
      </c>
      <c r="B116" s="426" cm="1">
        <f t="array" ref="B116">'net worth - net worth'!B13</f>
        <v>144757881</v>
      </c>
      <c r="C116" s="426"/>
      <c r="D116" s="427"/>
      <c r="E116" s="426" cm="1">
        <f t="array" ref="E116">'net worth - retiro'!B$118</f>
        <v>93254171</v>
      </c>
      <c r="F116" s="426"/>
      <c r="G116" s="427"/>
      <c r="H116" s="426" cm="1">
        <f t="array" ref="H116">'net worth - brokerage'!B$117</f>
        <v>11447471</v>
      </c>
      <c r="I116" t="s" s="428">
        <v>758</v>
      </c>
      <c r="J116" s="427"/>
      <c r="K116" s="426" cm="1">
        <f t="array" ref="K116">'net worth - cash and cash equiv'!B$118</f>
        <v>17512018</v>
      </c>
      <c r="L116" s="426"/>
      <c r="M116" s="427"/>
      <c r="N116" s="371" cm="1">
        <f t="array" ref="N116">'net worth - criptomonedas'!B$118</f>
        <v>1693457</v>
      </c>
      <c r="O116" s="426"/>
      <c r="P116" s="427"/>
      <c r="Q116" s="247" cm="1">
        <f t="array" ref="Q116">R116-B116</f>
        <v>123907117</v>
      </c>
      <c r="R116" s="247" cm="1">
        <f t="array" ref="R116">E$116+N$116+H$116+K$116+B$116</f>
        <v>268664998</v>
      </c>
      <c r="S116" s="343" cm="1">
        <f t="array" ref="S116">R116/'variables - Table 1'!B$13</f>
        <v>302912.257875392</v>
      </c>
      <c r="T116" s="343"/>
      <c r="U116" s="26" cm="1">
        <f t="array" ref="U116">E$116+H$116+K$116</f>
        <v>122213660</v>
      </c>
      <c r="V116" s="429"/>
    </row>
    <row r="117" ht="20.35" customHeight="1">
      <c r="A117" t="s" s="56">
        <v>65</v>
      </c>
      <c r="B117" s="426" cm="1">
        <f t="array" ref="B117">B$116-B$115</f>
        <v>-3580571</v>
      </c>
      <c r="C117" s="426"/>
      <c r="D117" s="430"/>
      <c r="E117" s="426" cm="1">
        <f t="array" ref="E117">'net worth - retiro'!B$119</f>
        <v>50718851</v>
      </c>
      <c r="F117" s="426"/>
      <c r="G117" s="430"/>
      <c r="H117" s="426" cm="1">
        <f t="array" ref="H117">H$116-H$115</f>
        <v>20647471</v>
      </c>
      <c r="I117" s="426"/>
      <c r="J117" s="430"/>
      <c r="K117" s="426" cm="1">
        <f t="array" ref="K117">'net worth - cash and cash equiv'!B$119</f>
        <v>5555082</v>
      </c>
      <c r="L117" s="426"/>
      <c r="M117" s="430"/>
      <c r="N117" s="371" cm="1">
        <f t="array" ref="N117">'net worth - criptomonedas'!B$119</f>
        <v>10968807</v>
      </c>
      <c r="O117" s="426"/>
      <c r="P117" s="430"/>
      <c r="Q117" s="247" cm="1">
        <f t="array" ref="Q117">R117-B117</f>
        <v>87890211</v>
      </c>
      <c r="R117" s="426" cm="1">
        <f t="array" ref="R117">E$117+N$117+H$117+K$117+B$117</f>
        <v>84309640</v>
      </c>
      <c r="S117" s="343" cm="1">
        <f t="array" ref="S117">S$116-S$115</f>
        <v>49602.195961476</v>
      </c>
      <c r="T117" s="343"/>
      <c r="U117" s="26" cm="1">
        <f t="array" ref="U117">E$117+H$117+K$117</f>
        <v>76921404</v>
      </c>
      <c r="V117" s="429"/>
    </row>
    <row r="118" ht="20.35" customHeight="1">
      <c r="A118" t="s" s="56">
        <v>759</v>
      </c>
      <c r="B118" s="431" cm="1">
        <f t="array" ref="B118">_xlfn.IFERROR(B$116/B$115-1,0)</f>
        <v>-0.0241378479532738</v>
      </c>
      <c r="C118" s="431"/>
      <c r="D118" s="430"/>
      <c r="E118" s="431" cm="1">
        <f t="array" ref="E118">_xlfn.IFERROR(E$116/E$115-1,0)</f>
        <v>1.19239378003974</v>
      </c>
      <c r="F118" s="431"/>
      <c r="G118" s="430"/>
      <c r="H118" s="431" cm="1">
        <f t="array" ref="H118">_xlfn.IFERROR(H$116/H$115-1,0)</f>
        <v>-2.24429032608696</v>
      </c>
      <c r="I118" s="431"/>
      <c r="J118" s="430"/>
      <c r="K118" s="431" cm="1">
        <f t="array" ref="K118">_xlfn.IFERROR('net worth - cash and cash equiv'!B$118/'net worth - cash and cash equiv'!B$117-1,0)</f>
        <v>-0.196570379389794</v>
      </c>
      <c r="L118" s="431"/>
      <c r="M118" s="430"/>
      <c r="N118" s="431" cm="1">
        <f t="array" ref="N118">_xlfn.IFERROR(N$116/N$115-1,0)</f>
        <v>-1.18257606994874</v>
      </c>
      <c r="O118" s="431"/>
      <c r="P118" s="430"/>
      <c r="Q118" s="431" cm="1">
        <f t="array" ref="Q118">_xlfn.IFERROR(Q$117/Q$115,0)</f>
        <v>1.91663375288149</v>
      </c>
      <c r="R118" s="431" cm="1">
        <f t="array" ref="R118">_xlfn.IFERROR(R$117/R$115,0)</f>
        <v>0.434149382062607</v>
      </c>
      <c r="S118" s="431" cm="1">
        <f t="array" ref="S118">_xlfn.IFERROR(S$117/S$115,0)</f>
        <v>0.195816129792478</v>
      </c>
      <c r="T118" s="431"/>
      <c r="U118" s="432" cm="1">
        <f t="array" ref="U118">_xlfn.IFERROR(U$117/U$115,0)</f>
        <v>1.39522497864213</v>
      </c>
      <c r="V118" s="432"/>
    </row>
  </sheetData>
  <mergeCells count="1">
    <mergeCell ref="A1:V1"/>
  </mergeCells>
  <conditionalFormatting sqref="N3:N12">
    <cfRule type="cellIs" dxfId="11" priority="1" operator="equal" stopIfTrue="1">
      <formula>0</formula>
    </cfRule>
  </conditionalFormatting>
  <conditionalFormatting sqref="B118:C118 E118 H118 N118 Q118:U118">
    <cfRule type="cellIs" dxfId="12" priority="1" operator="greaterThan" stopIfTrue="1">
      <formula>2</formula>
    </cfRule>
    <cfRule type="cellIs" dxfId="13" priority="2" operator="lessThan"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2:R120"/>
  <sheetViews>
    <sheetView workbookViewId="0" showGridLines="0" defaultGridColor="1">
      <pane topLeftCell="B4" xSplit="1" ySplit="3" activePane="bottomRight" state="frozen"/>
    </sheetView>
  </sheetViews>
  <sheetFormatPr defaultColWidth="16.3333" defaultRowHeight="18" customHeight="1" outlineLevelRow="0" outlineLevelCol="0"/>
  <cols>
    <col min="1" max="2" width="16.3516" style="433" customWidth="1"/>
    <col min="3" max="3" width="1.49219" style="433" customWidth="1"/>
    <col min="4" max="4" width="16.3516" style="433" customWidth="1"/>
    <col min="5" max="5" width="1.40625" style="433" customWidth="1"/>
    <col min="6" max="6" width="16.3516" style="433" customWidth="1"/>
    <col min="7" max="7" width="1.40625" style="433" customWidth="1"/>
    <col min="8" max="9" width="16.3516" style="433" customWidth="1"/>
    <col min="10" max="10" width="1.40625" style="433" customWidth="1"/>
    <col min="11" max="11" width="16.3516" style="433" customWidth="1"/>
    <col min="12" max="12" width="1.40625" style="433" customWidth="1"/>
    <col min="13" max="13" width="16.3516" style="433" customWidth="1"/>
    <col min="14" max="14" width="1.40625" style="433" customWidth="1"/>
    <col min="15" max="15" width="16.3516" style="433" customWidth="1"/>
    <col min="16" max="16" width="1.40625" style="433" customWidth="1"/>
    <col min="17" max="18" width="16.3516" style="433" customWidth="1"/>
    <col min="19" max="16384" width="16.3516" style="433" customWidth="1"/>
  </cols>
  <sheetData>
    <row r="1" ht="28" customHeight="1">
      <c r="A1" t="s" s="90">
        <v>692</v>
      </c>
      <c r="B1" s="90"/>
      <c r="C1" s="90"/>
      <c r="D1" s="90"/>
      <c r="E1" s="90"/>
      <c r="F1" s="90"/>
      <c r="G1" s="90"/>
      <c r="H1" s="90"/>
      <c r="I1" s="90"/>
      <c r="J1" s="90"/>
      <c r="K1" s="90"/>
      <c r="L1" s="90"/>
      <c r="M1" s="90"/>
      <c r="N1" s="90"/>
      <c r="O1" s="90"/>
      <c r="P1" s="90"/>
      <c r="Q1" s="90"/>
      <c r="R1" s="90"/>
    </row>
    <row r="2" ht="20.3" customHeight="1">
      <c r="A2" s="434" cm="1">
        <f t="array" ref="A2">B$118/'presupuesto - Ingreso líquido'!$B$40</f>
        <v>1.95167927321836</v>
      </c>
      <c r="B2" t="s" s="218">
        <v>599</v>
      </c>
      <c r="C2" s="217"/>
      <c r="D2" t="s" s="218">
        <v>714</v>
      </c>
      <c r="E2" s="217"/>
      <c r="F2" t="s" s="218">
        <v>761</v>
      </c>
      <c r="G2" s="217"/>
      <c r="H2" t="s" s="435">
        <v>762</v>
      </c>
      <c r="I2" s="436" cm="1">
        <f t="array" ref="I2">SUM(H$96:H107)</f>
        <v>0</v>
      </c>
      <c r="J2" s="217"/>
      <c r="K2" t="s" s="218">
        <v>763</v>
      </c>
      <c r="L2" s="217"/>
      <c r="M2" s="217"/>
      <c r="N2" s="217"/>
      <c r="O2" t="s" s="218">
        <v>715</v>
      </c>
      <c r="P2" s="217"/>
      <c r="Q2" s="217"/>
      <c r="R2" s="217"/>
    </row>
    <row r="3" ht="20.3" customHeight="1">
      <c r="A3" s="437" cm="1">
        <f t="array" ref="A3">(D$118+F$118+K$118)/'presupuesto - Ingreso líquido'!$B$40</f>
        <v>1.92459609475667</v>
      </c>
      <c r="B3" s="7"/>
      <c r="C3" s="7"/>
      <c r="D3" s="438" cm="1">
        <f t="array" ref="D3">D116*0</f>
        <v>0</v>
      </c>
      <c r="E3" s="7"/>
      <c r="F3" s="7"/>
      <c r="G3" s="7"/>
      <c r="H3" t="s" s="8">
        <v>764</v>
      </c>
      <c r="I3" t="s" s="8">
        <v>765</v>
      </c>
      <c r="J3" s="7"/>
      <c r="K3" s="7"/>
      <c r="L3" s="7"/>
      <c r="M3" t="s" s="8">
        <v>764</v>
      </c>
      <c r="N3" s="7"/>
      <c r="O3" s="438" cm="1">
        <f t="array" ref="O3">O116*0</f>
        <v>0</v>
      </c>
      <c r="P3" s="7"/>
      <c r="Q3" t="s" s="8">
        <v>766</v>
      </c>
      <c r="R3" t="s" s="8">
        <v>767</v>
      </c>
    </row>
    <row r="4" ht="8.75" customHeight="1" hidden="1">
      <c r="A4" s="400">
        <v>42856</v>
      </c>
      <c r="B4" s="401" cm="1">
        <f t="array" ref="B4">SUM(D4,F4,O4)</f>
        <v>0</v>
      </c>
      <c r="C4" s="439"/>
      <c r="D4" s="402"/>
      <c r="E4" s="439"/>
      <c r="F4" s="402"/>
      <c r="G4" s="402"/>
      <c r="H4" s="402"/>
      <c r="I4" s="402"/>
      <c r="J4" s="439"/>
      <c r="K4" s="402"/>
      <c r="L4" s="402"/>
      <c r="M4" s="402"/>
      <c r="N4" s="439"/>
      <c r="O4" s="402" cm="1">
        <f t="array" ref="O4">SUM(Q4:R4)</f>
        <v>0</v>
      </c>
      <c r="P4" s="402"/>
      <c r="Q4" s="402"/>
      <c r="R4" s="402"/>
    </row>
    <row r="5" ht="8.75" customHeight="1" hidden="1">
      <c r="A5" s="400">
        <v>42887</v>
      </c>
      <c r="B5" s="401" cm="1">
        <f t="array" ref="B5">SUM(D5,F5,O5)</f>
        <v>131724</v>
      </c>
      <c r="C5" s="439"/>
      <c r="D5" s="402">
        <v>104363</v>
      </c>
      <c r="E5" s="439"/>
      <c r="F5" s="402"/>
      <c r="G5" s="402"/>
      <c r="H5" s="402"/>
      <c r="I5" s="402"/>
      <c r="J5" s="439"/>
      <c r="K5" s="402"/>
      <c r="L5" s="402"/>
      <c r="M5" s="402"/>
      <c r="N5" s="439"/>
      <c r="O5" s="402" cm="1">
        <f t="array" ref="O5">SUM(Q5:R5)</f>
        <v>27361</v>
      </c>
      <c r="P5" s="402"/>
      <c r="Q5" s="402"/>
      <c r="R5" s="402">
        <v>27361</v>
      </c>
    </row>
    <row r="6" ht="8.75" customHeight="1" hidden="1">
      <c r="A6" s="400">
        <v>42917</v>
      </c>
      <c r="B6" s="401" cm="1">
        <f t="array" ref="B6">SUM(D6,F6,O6)</f>
        <v>139702</v>
      </c>
      <c r="C6" s="439"/>
      <c r="D6" s="402">
        <v>110596</v>
      </c>
      <c r="E6" s="439"/>
      <c r="F6" s="402"/>
      <c r="G6" s="402"/>
      <c r="H6" s="402"/>
      <c r="I6" s="402"/>
      <c r="J6" s="439"/>
      <c r="K6" s="402"/>
      <c r="L6" s="402"/>
      <c r="M6" s="402"/>
      <c r="N6" s="439"/>
      <c r="O6" s="402" cm="1">
        <f t="array" ref="O6">SUM(Q6:R6)</f>
        <v>29106</v>
      </c>
      <c r="P6" s="402"/>
      <c r="Q6" s="402"/>
      <c r="R6" s="402">
        <v>29106</v>
      </c>
    </row>
    <row r="7" ht="8.75" customHeight="1" hidden="1">
      <c r="A7" s="400">
        <v>42948</v>
      </c>
      <c r="B7" s="401" cm="1">
        <f t="array" ref="B7">SUM(D7,F7,O7)</f>
        <v>149219</v>
      </c>
      <c r="C7" s="439"/>
      <c r="D7" s="402">
        <v>123509</v>
      </c>
      <c r="E7" s="439"/>
      <c r="F7" s="402"/>
      <c r="G7" s="402"/>
      <c r="H7" s="402"/>
      <c r="I7" s="402"/>
      <c r="J7" s="439"/>
      <c r="K7" s="402"/>
      <c r="L7" s="402"/>
      <c r="M7" s="402"/>
      <c r="N7" s="439"/>
      <c r="O7" s="402" cm="1">
        <f t="array" ref="O7">SUM(Q7:R7)</f>
        <v>25710</v>
      </c>
      <c r="P7" s="402"/>
      <c r="Q7" s="402">
        <v>7012</v>
      </c>
      <c r="R7" s="402">
        <v>18698</v>
      </c>
    </row>
    <row r="8" ht="8.75" customHeight="1" hidden="1">
      <c r="A8" s="400">
        <v>42979</v>
      </c>
      <c r="B8" s="401" cm="1">
        <f t="array" ref="B8">SUM(D8,F8,O8)</f>
        <v>148639</v>
      </c>
      <c r="C8" s="439"/>
      <c r="D8" s="402">
        <v>123034</v>
      </c>
      <c r="E8" s="439"/>
      <c r="F8" s="402"/>
      <c r="G8" s="402"/>
      <c r="H8" s="402"/>
      <c r="I8" s="402"/>
      <c r="J8" s="439"/>
      <c r="K8" s="402"/>
      <c r="L8" s="402"/>
      <c r="M8" s="402"/>
      <c r="N8" s="439"/>
      <c r="O8" s="402" cm="1">
        <f t="array" ref="O8">SUM(Q8:R8)</f>
        <v>25605</v>
      </c>
      <c r="P8" s="402"/>
      <c r="Q8" s="402">
        <v>6983</v>
      </c>
      <c r="R8" s="402">
        <v>18622</v>
      </c>
    </row>
    <row r="9" ht="8.75" customHeight="1" hidden="1">
      <c r="A9" s="400">
        <v>43009</v>
      </c>
      <c r="B9" s="401" cm="1">
        <f t="array" ref="B9">SUM(D9,F9,O9)</f>
        <v>156386</v>
      </c>
      <c r="C9" s="439"/>
      <c r="D9" s="402">
        <v>129384</v>
      </c>
      <c r="E9" s="439"/>
      <c r="F9" s="402"/>
      <c r="G9" s="402"/>
      <c r="H9" s="402"/>
      <c r="I9" s="402"/>
      <c r="J9" s="439"/>
      <c r="K9" s="402"/>
      <c r="L9" s="402"/>
      <c r="M9" s="402"/>
      <c r="N9" s="439"/>
      <c r="O9" s="402" cm="1">
        <f t="array" ref="O9">SUM(Q9:R9)</f>
        <v>27002</v>
      </c>
      <c r="P9" s="402"/>
      <c r="Q9" s="402">
        <v>7364</v>
      </c>
      <c r="R9" s="402">
        <v>19638</v>
      </c>
    </row>
    <row r="10" ht="8.75" customHeight="1" hidden="1">
      <c r="A10" s="400">
        <v>43040</v>
      </c>
      <c r="B10" s="401" cm="1">
        <f t="array" ref="B10">SUM(D10,F10,O10)</f>
        <v>148639</v>
      </c>
      <c r="C10" s="439"/>
      <c r="D10" s="402">
        <v>123034</v>
      </c>
      <c r="E10" s="439"/>
      <c r="F10" s="402"/>
      <c r="G10" s="402"/>
      <c r="H10" s="402"/>
      <c r="I10" s="402"/>
      <c r="J10" s="439"/>
      <c r="K10" s="402"/>
      <c r="L10" s="402"/>
      <c r="M10" s="402"/>
      <c r="N10" s="439"/>
      <c r="O10" s="402" cm="1">
        <f t="array" ref="O10">SUM(Q10:R10)</f>
        <v>25605</v>
      </c>
      <c r="P10" s="402"/>
      <c r="Q10" s="402">
        <v>6983</v>
      </c>
      <c r="R10" s="402">
        <v>18622</v>
      </c>
    </row>
    <row r="11" ht="8.75" customHeight="1" hidden="1">
      <c r="A11" s="400">
        <v>43070</v>
      </c>
      <c r="B11" s="401" cm="1">
        <f t="array" ref="B11">SUM(D11,F11,O11)</f>
        <v>148649</v>
      </c>
      <c r="C11" s="439"/>
      <c r="D11" s="402">
        <v>123044</v>
      </c>
      <c r="E11" s="439"/>
      <c r="F11" s="402"/>
      <c r="G11" s="402"/>
      <c r="H11" s="402"/>
      <c r="I11" s="402"/>
      <c r="J11" s="439"/>
      <c r="K11" s="402"/>
      <c r="L11" s="402"/>
      <c r="M11" s="402"/>
      <c r="N11" s="439"/>
      <c r="O11" s="402" cm="1">
        <f t="array" ref="O11">SUM(Q11:R11)</f>
        <v>25605</v>
      </c>
      <c r="P11" s="402"/>
      <c r="Q11" s="402">
        <v>6983</v>
      </c>
      <c r="R11" s="402">
        <v>18622</v>
      </c>
    </row>
    <row r="12" ht="8.75" customHeight="1" hidden="1">
      <c r="A12" s="400">
        <v>43101</v>
      </c>
      <c r="B12" s="401" cm="1">
        <f t="array" ref="B12">SUM(D12,F12,O12)</f>
        <v>149740</v>
      </c>
      <c r="C12" s="439"/>
      <c r="D12" s="402">
        <v>122738</v>
      </c>
      <c r="E12" s="439"/>
      <c r="F12" s="402"/>
      <c r="G12" s="402"/>
      <c r="H12" s="402"/>
      <c r="I12" s="402"/>
      <c r="J12" s="439"/>
      <c r="K12" s="402"/>
      <c r="L12" s="402"/>
      <c r="M12" s="402"/>
      <c r="N12" s="439"/>
      <c r="O12" s="402" cm="1">
        <f t="array" ref="O12">SUM(Q12:R12)</f>
        <v>27002</v>
      </c>
      <c r="P12" s="402"/>
      <c r="Q12" s="402">
        <v>7364</v>
      </c>
      <c r="R12" s="402">
        <v>19638</v>
      </c>
    </row>
    <row r="13" ht="8.75" customHeight="1" hidden="1">
      <c r="A13" s="400">
        <v>43132</v>
      </c>
      <c r="B13" s="401" cm="1">
        <f t="array" ref="B13">SUM(D13,F13,O13)</f>
        <v>142283</v>
      </c>
      <c r="C13" s="439"/>
      <c r="D13" s="402">
        <v>116625</v>
      </c>
      <c r="E13" s="439"/>
      <c r="F13" s="402"/>
      <c r="G13" s="402"/>
      <c r="H13" s="402"/>
      <c r="I13" s="402"/>
      <c r="J13" s="439"/>
      <c r="K13" s="402"/>
      <c r="L13" s="402"/>
      <c r="M13" s="402"/>
      <c r="N13" s="439"/>
      <c r="O13" s="402" cm="1">
        <f t="array" ref="O13">SUM(Q13:R13)</f>
        <v>25658</v>
      </c>
      <c r="P13" s="402"/>
      <c r="Q13" s="402">
        <v>6998</v>
      </c>
      <c r="R13" s="402">
        <v>18660</v>
      </c>
    </row>
    <row r="14" ht="8.75" customHeight="1" hidden="1">
      <c r="A14" s="400">
        <v>43160</v>
      </c>
      <c r="B14" s="401" cm="1">
        <f t="array" ref="B14">SUM(D14,F14,O14)</f>
        <v>192283</v>
      </c>
      <c r="C14" s="439"/>
      <c r="D14" s="402">
        <v>116625</v>
      </c>
      <c r="E14" s="439"/>
      <c r="F14" s="402" cm="1">
        <f t="array" ref="F14">SUM(H14)</f>
        <v>50000</v>
      </c>
      <c r="G14" s="402"/>
      <c r="H14" s="402">
        <v>50000</v>
      </c>
      <c r="I14" s="402"/>
      <c r="J14" s="439"/>
      <c r="K14" s="402"/>
      <c r="L14" s="402"/>
      <c r="M14" s="402"/>
      <c r="N14" s="439"/>
      <c r="O14" s="402" cm="1">
        <f t="array" ref="O14">SUM(Q14:R14)</f>
        <v>25658</v>
      </c>
      <c r="P14" s="402"/>
      <c r="Q14" s="402">
        <v>6998</v>
      </c>
      <c r="R14" s="402">
        <v>18660</v>
      </c>
    </row>
    <row r="15" ht="8.75" customHeight="1" hidden="1">
      <c r="A15" s="400">
        <v>43191</v>
      </c>
      <c r="B15" s="401" cm="1">
        <f t="array" ref="B15">SUM(D15,F15,O15)</f>
        <v>561344</v>
      </c>
      <c r="C15" s="439"/>
      <c r="D15" s="402">
        <v>91265</v>
      </c>
      <c r="E15" s="439"/>
      <c r="F15" s="402" cm="1">
        <f t="array" ref="F15">SUM(H15)</f>
        <v>450000</v>
      </c>
      <c r="G15" s="402"/>
      <c r="H15" s="402" cm="1">
        <f t="array" ref="H15">450000</f>
        <v>450000</v>
      </c>
      <c r="I15" s="402"/>
      <c r="J15" s="439"/>
      <c r="K15" s="402"/>
      <c r="L15" s="402"/>
      <c r="M15" s="402"/>
      <c r="N15" s="439"/>
      <c r="O15" s="402" cm="1">
        <f t="array" ref="O15">SUM(Q15:R15)</f>
        <v>20079</v>
      </c>
      <c r="P15" s="402"/>
      <c r="Q15" s="402">
        <v>5476</v>
      </c>
      <c r="R15" s="402">
        <v>14603</v>
      </c>
    </row>
    <row r="16" ht="8.75" customHeight="1" hidden="1">
      <c r="A16" s="400">
        <v>43221</v>
      </c>
      <c r="B16" s="401" cm="1">
        <f t="array" ref="B16">SUM(D16,F16,O16)</f>
        <v>42379</v>
      </c>
      <c r="C16" s="439"/>
      <c r="D16" s="402">
        <v>34737</v>
      </c>
      <c r="E16" s="439"/>
      <c r="F16" s="402" cm="1">
        <f t="array" ref="F16">SUM(H16)</f>
        <v>0</v>
      </c>
      <c r="G16" s="402"/>
      <c r="H16" s="402">
        <v>0</v>
      </c>
      <c r="I16" s="402"/>
      <c r="J16" s="439"/>
      <c r="K16" s="402"/>
      <c r="L16" s="402"/>
      <c r="M16" s="402"/>
      <c r="N16" s="439"/>
      <c r="O16" s="402" cm="1">
        <f t="array" ref="O16">SUM(Q16:R16)</f>
        <v>7642</v>
      </c>
      <c r="P16" s="402"/>
      <c r="Q16" s="402">
        <v>2084</v>
      </c>
      <c r="R16" s="402">
        <v>5558</v>
      </c>
    </row>
    <row r="17" ht="8.75" customHeight="1" hidden="1">
      <c r="A17" s="400">
        <v>43252</v>
      </c>
      <c r="B17" s="401" cm="1">
        <f t="array" ref="B17">SUM(D17,F17,O17)</f>
        <v>532842</v>
      </c>
      <c r="C17" s="439"/>
      <c r="D17" s="402">
        <v>149871</v>
      </c>
      <c r="E17" s="439"/>
      <c r="F17" s="402" cm="1">
        <f t="array" ref="F17">SUM(H17)</f>
        <v>350000</v>
      </c>
      <c r="G17" s="402"/>
      <c r="H17" s="402" cm="1">
        <f t="array" ref="H17">150000+200000</f>
        <v>350000</v>
      </c>
      <c r="I17" s="402"/>
      <c r="J17" s="439"/>
      <c r="K17" s="402"/>
      <c r="L17" s="402"/>
      <c r="M17" s="402"/>
      <c r="N17" s="439"/>
      <c r="O17" s="402" cm="1">
        <f t="array" ref="O17">SUM(Q17:R17)</f>
        <v>32971</v>
      </c>
      <c r="P17" s="402"/>
      <c r="Q17" s="402">
        <v>8992</v>
      </c>
      <c r="R17" s="402">
        <v>23979</v>
      </c>
    </row>
    <row r="18" ht="8.75" customHeight="1" hidden="1">
      <c r="A18" s="400">
        <v>43282</v>
      </c>
      <c r="B18" s="401" cm="1">
        <f t="array" ref="B18">SUM(D18,F18,O18)</f>
        <v>432842</v>
      </c>
      <c r="C18" s="439"/>
      <c r="D18" s="402">
        <v>149871</v>
      </c>
      <c r="E18" s="439"/>
      <c r="F18" s="402" cm="1">
        <f t="array" ref="F18">SUM(H18)</f>
        <v>250000</v>
      </c>
      <c r="G18" s="402"/>
      <c r="H18" s="402">
        <v>250000</v>
      </c>
      <c r="I18" s="402"/>
      <c r="J18" s="439"/>
      <c r="K18" s="402"/>
      <c r="L18" s="402"/>
      <c r="M18" s="402"/>
      <c r="N18" s="439"/>
      <c r="O18" s="402" cm="1">
        <f t="array" ref="O18">SUM(Q18:R18)</f>
        <v>32971</v>
      </c>
      <c r="P18" s="402"/>
      <c r="Q18" s="402">
        <v>8992</v>
      </c>
      <c r="R18" s="402">
        <v>23979</v>
      </c>
    </row>
    <row r="19" ht="8.75" customHeight="1" hidden="1">
      <c r="A19" s="400">
        <v>43313</v>
      </c>
      <c r="B19" s="401" cm="1">
        <f t="array" ref="B19">SUM(D19,F19,O19)</f>
        <v>434029</v>
      </c>
      <c r="C19" s="439"/>
      <c r="D19" s="402">
        <v>150843</v>
      </c>
      <c r="E19" s="439"/>
      <c r="F19" s="402" cm="1">
        <f t="array" ref="F19">SUM(H19)</f>
        <v>250000</v>
      </c>
      <c r="G19" s="402"/>
      <c r="H19" s="402">
        <v>250000</v>
      </c>
      <c r="I19" s="402"/>
      <c r="J19" s="439"/>
      <c r="K19" s="402"/>
      <c r="L19" s="402"/>
      <c r="M19" s="402"/>
      <c r="N19" s="439"/>
      <c r="O19" s="402" cm="1">
        <f t="array" ref="O19">SUM(Q19:R19)</f>
        <v>33186</v>
      </c>
      <c r="P19" s="402"/>
      <c r="Q19" s="402">
        <v>9051</v>
      </c>
      <c r="R19" s="402">
        <v>24135</v>
      </c>
    </row>
    <row r="20" ht="8.75" customHeight="1" hidden="1">
      <c r="A20" s="400">
        <v>43344</v>
      </c>
      <c r="B20" s="401" cm="1">
        <f t="array" ref="B20">SUM(D20,F20,O20)</f>
        <v>434029</v>
      </c>
      <c r="C20" s="439"/>
      <c r="D20" s="402">
        <v>150843</v>
      </c>
      <c r="E20" s="439"/>
      <c r="F20" s="402" cm="1">
        <f t="array" ref="F20">SUM(H20)</f>
        <v>250000</v>
      </c>
      <c r="G20" s="402"/>
      <c r="H20" s="402">
        <v>250000</v>
      </c>
      <c r="I20" s="402"/>
      <c r="J20" s="439"/>
      <c r="K20" s="402"/>
      <c r="L20" s="402"/>
      <c r="M20" s="402"/>
      <c r="N20" s="439"/>
      <c r="O20" s="402" cm="1">
        <f t="array" ref="O20">SUM(Q20:R20)</f>
        <v>33186</v>
      </c>
      <c r="P20" s="402"/>
      <c r="Q20" s="402">
        <v>9051</v>
      </c>
      <c r="R20" s="402">
        <v>24135</v>
      </c>
    </row>
    <row r="21" ht="8.75" customHeight="1" hidden="1">
      <c r="A21" s="400">
        <v>43374</v>
      </c>
      <c r="B21" s="401" cm="1">
        <f t="array" ref="B21">SUM(D21,F21,O21)</f>
        <v>428918</v>
      </c>
      <c r="C21" s="439"/>
      <c r="D21" s="402">
        <v>146654</v>
      </c>
      <c r="E21" s="439"/>
      <c r="F21" s="402" cm="1">
        <f t="array" ref="F21">SUM(H21)</f>
        <v>250000</v>
      </c>
      <c r="G21" s="402"/>
      <c r="H21" s="402">
        <v>250000</v>
      </c>
      <c r="I21" s="402"/>
      <c r="J21" s="439"/>
      <c r="K21" s="402"/>
      <c r="L21" s="402"/>
      <c r="M21" s="402"/>
      <c r="N21" s="439"/>
      <c r="O21" s="402" cm="1">
        <f t="array" ref="O21">SUM(Q21:R21)</f>
        <v>32264</v>
      </c>
      <c r="P21" s="402"/>
      <c r="Q21" s="402">
        <v>8799</v>
      </c>
      <c r="R21" s="402">
        <v>23465</v>
      </c>
    </row>
    <row r="22" ht="8.75" customHeight="1" hidden="1">
      <c r="A22" s="400">
        <v>43405</v>
      </c>
      <c r="B22" s="401" cm="1">
        <f t="array" ref="B22">SUM(D22,F22,O22)</f>
        <v>262687</v>
      </c>
      <c r="C22" s="439"/>
      <c r="D22" s="402" cm="1">
        <f t="array" ref="D22">214793</f>
        <v>214793</v>
      </c>
      <c r="E22" s="439"/>
      <c r="F22" s="402" cm="1">
        <f t="array" ref="F22">SUM(H22)</f>
        <v>0</v>
      </c>
      <c r="G22" s="402"/>
      <c r="H22" s="402"/>
      <c r="I22" s="402"/>
      <c r="J22" s="439"/>
      <c r="K22" s="402"/>
      <c r="L22" s="402"/>
      <c r="M22" s="402"/>
      <c r="N22" s="439"/>
      <c r="O22" s="402" cm="1">
        <f t="array" ref="O22">SUM(Q22:R22)</f>
        <v>47894</v>
      </c>
      <c r="P22" s="402"/>
      <c r="Q22" s="402">
        <v>13062</v>
      </c>
      <c r="R22" s="402">
        <v>34832</v>
      </c>
    </row>
    <row r="23" ht="20.3" customHeight="1" hidden="1">
      <c r="A23" s="400">
        <v>43435</v>
      </c>
      <c r="B23" s="401" cm="1">
        <f t="array" ref="B23">SUM(D23,F23,O23)</f>
        <v>347596</v>
      </c>
      <c r="C23" s="439"/>
      <c r="D23" s="402" cm="1">
        <f t="array" ref="D23">215582</f>
        <v>215582</v>
      </c>
      <c r="E23" s="439"/>
      <c r="F23" s="402" cm="1">
        <f t="array" ref="F23">SUM(H23)</f>
        <v>84120</v>
      </c>
      <c r="G23" s="402"/>
      <c r="H23" s="402">
        <v>84120</v>
      </c>
      <c r="I23" s="402"/>
      <c r="J23" s="439"/>
      <c r="K23" s="402"/>
      <c r="L23" s="402"/>
      <c r="M23" s="402"/>
      <c r="N23" s="439"/>
      <c r="O23" s="402" cm="1">
        <f t="array" ref="O23">SUM(Q23:R23)</f>
        <v>47894</v>
      </c>
      <c r="P23" s="402"/>
      <c r="Q23" s="402">
        <v>13062</v>
      </c>
      <c r="R23" s="402">
        <v>34832</v>
      </c>
    </row>
    <row r="24" ht="20.3" customHeight="1" hidden="1">
      <c r="A24" s="400">
        <v>43466</v>
      </c>
      <c r="B24" s="401" cm="1">
        <f t="array" ref="B24">SUM(D24,F24,O24)</f>
        <v>263630</v>
      </c>
      <c r="C24" s="439"/>
      <c r="D24" s="402" cm="1">
        <f t="array" ref="D24">215840</f>
        <v>215840</v>
      </c>
      <c r="E24" s="439"/>
      <c r="F24" s="402" cm="1">
        <f t="array" ref="F24">SUM(H24)</f>
        <v>0</v>
      </c>
      <c r="G24" s="402"/>
      <c r="H24" s="402"/>
      <c r="I24" s="402"/>
      <c r="J24" s="439"/>
      <c r="K24" s="402"/>
      <c r="L24" s="402"/>
      <c r="M24" s="402"/>
      <c r="N24" s="439"/>
      <c r="O24" s="402">
        <v>47790</v>
      </c>
      <c r="P24" s="402"/>
      <c r="Q24" s="402">
        <v>13062</v>
      </c>
      <c r="R24" s="402">
        <v>34832</v>
      </c>
    </row>
    <row r="25" ht="20.3" customHeight="1" hidden="1">
      <c r="A25" s="400">
        <v>43497</v>
      </c>
      <c r="B25" s="401" cm="1">
        <f t="array" ref="B25">SUM(D25,F25,O25)</f>
        <v>265490</v>
      </c>
      <c r="C25" s="439"/>
      <c r="D25" s="402">
        <v>217700</v>
      </c>
      <c r="E25" s="439"/>
      <c r="F25" s="402" cm="1">
        <f t="array" ref="F25">SUM(H25)</f>
        <v>0</v>
      </c>
      <c r="G25" s="402"/>
      <c r="H25" s="402"/>
      <c r="I25" s="402"/>
      <c r="J25" s="439"/>
      <c r="K25" s="402"/>
      <c r="L25" s="402"/>
      <c r="M25" s="402"/>
      <c r="N25" s="439"/>
      <c r="O25" s="402">
        <v>47790</v>
      </c>
      <c r="P25" s="402"/>
      <c r="Q25" s="402">
        <v>13062</v>
      </c>
      <c r="R25" s="402">
        <v>34832</v>
      </c>
    </row>
    <row r="26" ht="20.3" customHeight="1" hidden="1">
      <c r="A26" s="400">
        <v>43525</v>
      </c>
      <c r="B26" s="401" cm="1">
        <f t="array" ref="B26">SUM(D26,F26,O26)</f>
        <v>265490</v>
      </c>
      <c r="C26" s="439"/>
      <c r="D26" s="402">
        <v>217700</v>
      </c>
      <c r="E26" s="439"/>
      <c r="F26" s="402" cm="1">
        <f t="array" ref="F26">SUM(H26)</f>
        <v>0</v>
      </c>
      <c r="G26" s="402"/>
      <c r="H26" s="402"/>
      <c r="I26" s="402"/>
      <c r="J26" s="439"/>
      <c r="K26" s="402"/>
      <c r="L26" s="402"/>
      <c r="M26" s="402"/>
      <c r="N26" s="439"/>
      <c r="O26" s="402">
        <v>47790</v>
      </c>
      <c r="P26" s="402"/>
      <c r="Q26" s="402">
        <v>13062</v>
      </c>
      <c r="R26" s="402">
        <v>34832</v>
      </c>
    </row>
    <row r="27" ht="20.3" customHeight="1" hidden="1">
      <c r="A27" s="400">
        <v>43556</v>
      </c>
      <c r="B27" s="401" cm="1">
        <f t="array" ref="B27">SUM(D27,F27,O27)</f>
        <v>266005</v>
      </c>
      <c r="C27" s="439"/>
      <c r="D27" s="402">
        <v>218215</v>
      </c>
      <c r="E27" s="439"/>
      <c r="F27" s="402" cm="1">
        <f t="array" ref="F27">SUM(H27)</f>
        <v>0</v>
      </c>
      <c r="G27" s="402"/>
      <c r="H27" s="402"/>
      <c r="I27" s="402"/>
      <c r="J27" s="439"/>
      <c r="K27" s="402"/>
      <c r="L27" s="402"/>
      <c r="M27" s="402"/>
      <c r="N27" s="439"/>
      <c r="O27" s="402">
        <v>47790</v>
      </c>
      <c r="P27" s="402"/>
      <c r="Q27" s="402">
        <v>13093</v>
      </c>
      <c r="R27" s="402">
        <v>34915</v>
      </c>
    </row>
    <row r="28" ht="20.3" customHeight="1" hidden="1">
      <c r="A28" s="400">
        <v>43586</v>
      </c>
      <c r="B28" s="401" cm="1">
        <f t="array" ref="B28">SUM(D28,F28,O28)</f>
        <v>266223</v>
      </c>
      <c r="C28" s="439"/>
      <c r="D28" s="402" cm="1">
        <f t="array" ref="D28">218215</f>
        <v>218215</v>
      </c>
      <c r="E28" s="439"/>
      <c r="F28" s="402" cm="1">
        <f t="array" ref="F28">SUM(H28)</f>
        <v>0</v>
      </c>
      <c r="G28" s="402"/>
      <c r="H28" s="402"/>
      <c r="I28" s="402"/>
      <c r="J28" s="439"/>
      <c r="K28" s="402"/>
      <c r="L28" s="402"/>
      <c r="M28" s="402"/>
      <c r="N28" s="439"/>
      <c r="O28" s="402" cm="1">
        <f t="array" ref="O28">SUM(Q28:R28)</f>
        <v>48008</v>
      </c>
      <c r="P28" s="402"/>
      <c r="Q28" s="402">
        <v>13093</v>
      </c>
      <c r="R28" s="402">
        <v>34915</v>
      </c>
    </row>
    <row r="29" ht="20.3" customHeight="1" hidden="1">
      <c r="A29" s="400">
        <v>43617</v>
      </c>
      <c r="B29" s="401" cm="1">
        <f t="array" ref="B29">SUM(D29,F29,O29)</f>
        <v>666223</v>
      </c>
      <c r="C29" s="439"/>
      <c r="D29" s="402">
        <v>218215</v>
      </c>
      <c r="E29" s="439"/>
      <c r="F29" s="402" cm="1">
        <f t="array" ref="F29">SUM(H29)</f>
        <v>400000</v>
      </c>
      <c r="G29" s="402"/>
      <c r="H29" s="402" cm="1">
        <f t="array" ref="H29">300000+100000</f>
        <v>400000</v>
      </c>
      <c r="I29" s="402"/>
      <c r="J29" s="439"/>
      <c r="K29" s="402"/>
      <c r="L29" s="402"/>
      <c r="M29" s="402"/>
      <c r="N29" s="439"/>
      <c r="O29" s="402" cm="1">
        <f t="array" ref="O29">SUM(Q29:R29)</f>
        <v>48008</v>
      </c>
      <c r="P29" s="402"/>
      <c r="Q29" s="402">
        <v>13093</v>
      </c>
      <c r="R29" s="402">
        <v>34915</v>
      </c>
    </row>
    <row r="30" ht="20.3" customHeight="1" hidden="1">
      <c r="A30" s="400">
        <v>43647</v>
      </c>
      <c r="B30" s="401" cm="1">
        <f t="array" ref="B30">SUM(D30,F30,O30)</f>
        <v>966223</v>
      </c>
      <c r="C30" s="439"/>
      <c r="D30" s="402">
        <v>218215</v>
      </c>
      <c r="E30" s="439"/>
      <c r="F30" s="402" cm="1">
        <f t="array" ref="F30">SUM(H30)</f>
        <v>700000</v>
      </c>
      <c r="G30" s="402"/>
      <c r="H30" s="402">
        <v>700000</v>
      </c>
      <c r="I30" s="402"/>
      <c r="J30" s="439"/>
      <c r="K30" s="402"/>
      <c r="L30" s="402"/>
      <c r="M30" s="402"/>
      <c r="N30" s="439"/>
      <c r="O30" s="402" cm="1">
        <f t="array" ref="O30">SUM(Q30:R30)</f>
        <v>48008</v>
      </c>
      <c r="P30" s="402"/>
      <c r="Q30" s="402">
        <v>13093</v>
      </c>
      <c r="R30" s="402">
        <v>34915</v>
      </c>
    </row>
    <row r="31" ht="20.3" customHeight="1" hidden="1">
      <c r="A31" s="400">
        <v>43678</v>
      </c>
      <c r="B31" s="401" cm="1">
        <f t="array" ref="B31">SUM(D31,F31,O31)</f>
        <v>1066223</v>
      </c>
      <c r="C31" s="439"/>
      <c r="D31" s="402">
        <v>218215</v>
      </c>
      <c r="E31" s="439"/>
      <c r="F31" s="402" cm="1">
        <f t="array" ref="F31">SUM(H31)</f>
        <v>800000</v>
      </c>
      <c r="G31" s="402"/>
      <c r="H31" s="402">
        <v>800000</v>
      </c>
      <c r="I31" s="402"/>
      <c r="J31" s="439"/>
      <c r="K31" s="402"/>
      <c r="L31" s="402"/>
      <c r="M31" s="402"/>
      <c r="N31" s="439"/>
      <c r="O31" s="402" cm="1">
        <f t="array" ref="O31">SUM(Q31:R31)</f>
        <v>48008</v>
      </c>
      <c r="P31" s="402"/>
      <c r="Q31" s="402">
        <v>13093</v>
      </c>
      <c r="R31" s="402">
        <v>34915</v>
      </c>
    </row>
    <row r="32" ht="20.3" customHeight="1" hidden="1">
      <c r="A32" s="400">
        <v>43709</v>
      </c>
      <c r="B32" s="401" cm="1">
        <f t="array" ref="B32">SUM(D32,F32,O32)</f>
        <v>266223</v>
      </c>
      <c r="C32" s="439"/>
      <c r="D32" s="402">
        <v>218215</v>
      </c>
      <c r="E32" s="439"/>
      <c r="F32" s="402" cm="1">
        <f t="array" ref="F32">SUM(H32)</f>
        <v>0</v>
      </c>
      <c r="G32" s="402"/>
      <c r="H32" s="402"/>
      <c r="I32" s="402"/>
      <c r="J32" s="439"/>
      <c r="K32" s="402"/>
      <c r="L32" s="402"/>
      <c r="M32" s="402"/>
      <c r="N32" s="439"/>
      <c r="O32" s="402" cm="1">
        <f t="array" ref="O32">SUM(Q32:R32)</f>
        <v>48008</v>
      </c>
      <c r="P32" s="402"/>
      <c r="Q32" s="402">
        <v>13093</v>
      </c>
      <c r="R32" s="402">
        <v>34915</v>
      </c>
    </row>
    <row r="33" ht="20.3" customHeight="1" hidden="1">
      <c r="A33" s="400">
        <v>43739</v>
      </c>
      <c r="B33" s="401" cm="1">
        <f t="array" ref="B33">SUM(D33,F33,O33)</f>
        <v>266223</v>
      </c>
      <c r="C33" s="439"/>
      <c r="D33" s="402">
        <v>218215</v>
      </c>
      <c r="E33" s="439"/>
      <c r="F33" s="402" cm="1">
        <f t="array" ref="F33">SUM(H33)</f>
        <v>0</v>
      </c>
      <c r="G33" s="402"/>
      <c r="H33" s="402"/>
      <c r="I33" s="402"/>
      <c r="J33" s="439"/>
      <c r="K33" s="402"/>
      <c r="L33" s="402"/>
      <c r="M33" s="402"/>
      <c r="N33" s="439"/>
      <c r="O33" s="402" cm="1">
        <f t="array" ref="O33">SUM(Q33:R33)*1</f>
        <v>48008</v>
      </c>
      <c r="P33" s="402"/>
      <c r="Q33" s="402">
        <v>13093</v>
      </c>
      <c r="R33" s="402">
        <v>34915</v>
      </c>
    </row>
    <row r="34" ht="20.3" customHeight="1" hidden="1">
      <c r="A34" s="400">
        <v>43770</v>
      </c>
      <c r="B34" s="401" cm="1">
        <f t="array" ref="B34">SUM(D34,F34,O34)</f>
        <v>351143</v>
      </c>
      <c r="C34" s="439"/>
      <c r="D34" s="402">
        <v>218215</v>
      </c>
      <c r="E34" s="439"/>
      <c r="F34" s="402" cm="1">
        <f t="array" ref="F34">SUM(H34)</f>
        <v>84920</v>
      </c>
      <c r="G34" s="402"/>
      <c r="H34" s="402" cm="1">
        <f t="array" ref="H34">84920</f>
        <v>84920</v>
      </c>
      <c r="I34" s="402"/>
      <c r="J34" s="439"/>
      <c r="K34" s="402"/>
      <c r="L34" s="402"/>
      <c r="M34" s="402"/>
      <c r="N34" s="439"/>
      <c r="O34" s="402" cm="1">
        <f t="array" ref="O34">SUM(Q34:R34)*1</f>
        <v>48008</v>
      </c>
      <c r="P34" s="402"/>
      <c r="Q34" s="402">
        <v>13093</v>
      </c>
      <c r="R34" s="402">
        <v>34915</v>
      </c>
    </row>
    <row r="35" ht="20.55" customHeight="1" hidden="1">
      <c r="A35" s="400">
        <v>43800</v>
      </c>
      <c r="B35" s="401" cm="1">
        <f t="array" ref="B35">SUM(D35,F35,O35,K35)</f>
        <v>2700823</v>
      </c>
      <c r="C35" s="439"/>
      <c r="D35" s="402">
        <v>218215</v>
      </c>
      <c r="E35" s="439"/>
      <c r="F35" s="402" cm="1">
        <f t="array" ref="F35">SUM(H35)</f>
        <v>-65400</v>
      </c>
      <c r="G35" s="402"/>
      <c r="H35" s="402">
        <v>-65400</v>
      </c>
      <c r="I35" s="402" cm="1">
        <f t="array" ref="I35">295050+334261+65400*1</f>
        <v>694711</v>
      </c>
      <c r="J35" s="439"/>
      <c r="K35" s="402" cm="1">
        <f t="array" ref="K35">SUM(M35)</f>
        <v>2500000</v>
      </c>
      <c r="L35" s="402"/>
      <c r="M35" s="402">
        <v>2500000</v>
      </c>
      <c r="N35" s="439"/>
      <c r="O35" s="402" cm="1">
        <f t="array" ref="O35">SUM(Q35:R35)*1</f>
        <v>48008</v>
      </c>
      <c r="P35" s="402"/>
      <c r="Q35" s="402">
        <v>13093</v>
      </c>
      <c r="R35" s="402">
        <v>34915</v>
      </c>
    </row>
    <row r="36" ht="20.55" customHeight="1" hidden="1">
      <c r="A36" s="400">
        <v>43831</v>
      </c>
      <c r="B36" s="401" cm="1">
        <f t="array" ref="B36">SUM(D36,F36,O36,K36)</f>
        <v>266223</v>
      </c>
      <c r="C36" s="439"/>
      <c r="D36" s="402">
        <v>218215</v>
      </c>
      <c r="E36" s="439"/>
      <c r="F36" s="402" cm="1">
        <f t="array" ref="F36">SUM(H36)</f>
        <v>0</v>
      </c>
      <c r="G36" s="402"/>
      <c r="H36" s="402"/>
      <c r="I36" s="402"/>
      <c r="J36" s="439"/>
      <c r="K36" s="402" cm="1">
        <f t="array" ref="K36">SUM(M36)</f>
        <v>0</v>
      </c>
      <c r="L36" s="402"/>
      <c r="M36" s="352"/>
      <c r="N36" s="439"/>
      <c r="O36" s="402" cm="1">
        <f t="array" ref="O36">SUM(Q36:R36)*1</f>
        <v>48008</v>
      </c>
      <c r="P36" s="402"/>
      <c r="Q36" s="402">
        <v>13093</v>
      </c>
      <c r="R36" s="402">
        <v>34915</v>
      </c>
    </row>
    <row r="37" ht="20.55" customHeight="1" hidden="1">
      <c r="A37" s="400">
        <v>43862</v>
      </c>
      <c r="B37" s="401" cm="1">
        <f t="array" ref="B37">SUM(D37,F37,O37,K37)</f>
        <v>266223</v>
      </c>
      <c r="C37" s="439"/>
      <c r="D37" s="402">
        <v>218215</v>
      </c>
      <c r="E37" s="439"/>
      <c r="F37" s="402" cm="1">
        <f t="array" ref="F37">SUM(H37)</f>
        <v>0</v>
      </c>
      <c r="G37" s="402"/>
      <c r="H37" s="402"/>
      <c r="I37" s="402"/>
      <c r="J37" s="439"/>
      <c r="K37" s="402" cm="1">
        <f t="array" ref="K37">SUM(M37)</f>
        <v>0</v>
      </c>
      <c r="L37" s="402"/>
      <c r="M37" s="352"/>
      <c r="N37" s="439"/>
      <c r="O37" s="402" cm="1">
        <f t="array" ref="O37">SUM(Q37:R37)*1</f>
        <v>48008</v>
      </c>
      <c r="P37" s="402"/>
      <c r="Q37" s="402">
        <v>13093</v>
      </c>
      <c r="R37" s="402">
        <v>34915</v>
      </c>
    </row>
    <row r="38" ht="20.55" customHeight="1" hidden="1">
      <c r="A38" s="400">
        <v>43891</v>
      </c>
      <c r="B38" s="401" cm="1">
        <f t="array" ref="B38">SUM(D38,F38,O38,K38)</f>
        <v>666223</v>
      </c>
      <c r="C38" s="439"/>
      <c r="D38" s="402">
        <v>218215</v>
      </c>
      <c r="E38" s="439"/>
      <c r="F38" s="402" cm="1">
        <f t="array" ref="F38">SUM(H38)</f>
        <v>400000</v>
      </c>
      <c r="G38" s="402"/>
      <c r="H38" s="402">
        <v>400000</v>
      </c>
      <c r="I38" s="402"/>
      <c r="J38" s="439"/>
      <c r="K38" s="402" cm="1">
        <f t="array" ref="K38">SUM(M38)</f>
        <v>0</v>
      </c>
      <c r="L38" s="402"/>
      <c r="M38" s="352"/>
      <c r="N38" s="439"/>
      <c r="O38" s="402" cm="1">
        <f t="array" ref="O38">SUM(Q38:R38)*1</f>
        <v>48008</v>
      </c>
      <c r="P38" s="402"/>
      <c r="Q38" s="402">
        <v>13093</v>
      </c>
      <c r="R38" s="402">
        <v>34915</v>
      </c>
    </row>
    <row r="39" ht="20.55" customHeight="1" hidden="1">
      <c r="A39" s="400">
        <v>43922</v>
      </c>
      <c r="B39" s="401" cm="1">
        <f t="array" ref="B39">SUM(D39,F39,O39,K39)</f>
        <v>620974</v>
      </c>
      <c r="C39" s="439"/>
      <c r="D39" s="402">
        <v>17192</v>
      </c>
      <c r="E39" s="439"/>
      <c r="F39" s="402" cm="1">
        <f t="array" ref="F39">SUM(H39)</f>
        <v>600000</v>
      </c>
      <c r="G39" s="402"/>
      <c r="H39" s="402">
        <v>600000</v>
      </c>
      <c r="I39" s="402"/>
      <c r="J39" s="439"/>
      <c r="K39" s="402" cm="1">
        <f t="array" ref="K39">SUM(M39)</f>
        <v>0</v>
      </c>
      <c r="L39" s="402"/>
      <c r="M39" s="352"/>
      <c r="N39" s="439"/>
      <c r="O39" s="402" cm="1">
        <f t="array" ref="O39">SUM(Q39:R39)*1</f>
        <v>3782</v>
      </c>
      <c r="P39" s="402"/>
      <c r="Q39" s="402">
        <v>1031</v>
      </c>
      <c r="R39" s="402">
        <v>2751</v>
      </c>
    </row>
    <row r="40" ht="20.55" customHeight="1" hidden="1">
      <c r="A40" s="400">
        <v>43952</v>
      </c>
      <c r="B40" s="401" cm="1">
        <f t="array" ref="B40">SUM(D40,F40,O40,K40)</f>
        <v>400000</v>
      </c>
      <c r="C40" s="439"/>
      <c r="D40" s="402">
        <v>0</v>
      </c>
      <c r="E40" s="439"/>
      <c r="F40" s="402" cm="1">
        <f t="array" ref="F40">SUM(H40)</f>
        <v>400000</v>
      </c>
      <c r="G40" s="402"/>
      <c r="H40" s="402">
        <v>400000</v>
      </c>
      <c r="I40" s="402"/>
      <c r="J40" s="439"/>
      <c r="K40" s="402" cm="1">
        <f t="array" ref="K40">SUM(M40)</f>
        <v>0</v>
      </c>
      <c r="L40" s="402"/>
      <c r="M40" s="352"/>
      <c r="N40" s="439"/>
      <c r="O40" s="402" cm="1">
        <f t="array" ref="O40">SUM(Q40:R40)*1</f>
        <v>0</v>
      </c>
      <c r="P40" s="402"/>
      <c r="Q40" s="402">
        <v>0</v>
      </c>
      <c r="R40" s="402">
        <v>0</v>
      </c>
    </row>
    <row r="41" ht="20.55" customHeight="1" hidden="1">
      <c r="A41" s="400">
        <v>43983</v>
      </c>
      <c r="B41" s="401" cm="1">
        <f t="array" ref="B41">SUM(D41,F41,O41,K41)</f>
        <v>0</v>
      </c>
      <c r="C41" s="439"/>
      <c r="D41" s="402">
        <v>0</v>
      </c>
      <c r="E41" s="439"/>
      <c r="F41" s="402" cm="1">
        <f t="array" ref="F41">SUM(H41)</f>
        <v>0</v>
      </c>
      <c r="G41" s="402"/>
      <c r="H41" s="402"/>
      <c r="I41" s="402"/>
      <c r="J41" s="439"/>
      <c r="K41" s="402" cm="1">
        <f t="array" ref="K41">SUM(M41)</f>
        <v>0</v>
      </c>
      <c r="L41" s="402"/>
      <c r="M41" s="352"/>
      <c r="N41" s="439"/>
      <c r="O41" s="402" cm="1">
        <f t="array" ref="O41">SUM(Q41:R41)*1</f>
        <v>0</v>
      </c>
      <c r="P41" s="402"/>
      <c r="Q41" s="402">
        <v>0</v>
      </c>
      <c r="R41" s="402">
        <v>0</v>
      </c>
    </row>
    <row r="42" ht="20.55" customHeight="1" hidden="1">
      <c r="A42" s="400">
        <v>44013</v>
      </c>
      <c r="B42" s="401" cm="1">
        <f t="array" ref="B42">SUM(D42,F42,O42,K42)</f>
        <v>50131</v>
      </c>
      <c r="C42" s="439"/>
      <c r="D42" s="402">
        <v>0</v>
      </c>
      <c r="E42" s="439"/>
      <c r="F42" s="402" cm="1">
        <f t="array" ref="F42">SUM(H42)</f>
        <v>0</v>
      </c>
      <c r="G42" s="402"/>
      <c r="H42" s="402"/>
      <c r="I42" s="402"/>
      <c r="J42" s="439"/>
      <c r="K42" s="402" cm="1">
        <f t="array" ref="K42">SUM(M42)</f>
        <v>0</v>
      </c>
      <c r="L42" s="402"/>
      <c r="M42" s="352"/>
      <c r="N42" s="439"/>
      <c r="O42" s="402" cm="1">
        <f t="array" ref="O42">SUM(Q42:R42)*1</f>
        <v>50131</v>
      </c>
      <c r="P42" s="402"/>
      <c r="Q42" s="402">
        <v>13672</v>
      </c>
      <c r="R42" s="402">
        <v>36459</v>
      </c>
    </row>
    <row r="43" ht="20.55" customHeight="1" hidden="1">
      <c r="A43" s="400">
        <v>44044</v>
      </c>
      <c r="B43" s="401" cm="1">
        <f t="array" ref="B43">SUM(D43,F43,O42,K43)</f>
        <v>278001</v>
      </c>
      <c r="C43" s="439"/>
      <c r="D43" s="402">
        <v>227870</v>
      </c>
      <c r="E43" s="439"/>
      <c r="F43" s="402" cm="1">
        <f t="array" ref="F43">SUM(H43)</f>
        <v>0</v>
      </c>
      <c r="G43" s="402"/>
      <c r="H43" s="402"/>
      <c r="I43" s="402"/>
      <c r="J43" s="439"/>
      <c r="K43" s="402" cm="1">
        <f t="array" ref="K43">SUM(M43)</f>
        <v>0</v>
      </c>
      <c r="L43" s="402"/>
      <c r="M43" s="352"/>
      <c r="N43" s="439"/>
      <c r="O43" s="402" cm="1">
        <f t="array" ref="O43">SUM(Q43:R43)*1</f>
        <v>50131</v>
      </c>
      <c r="P43" s="402"/>
      <c r="Q43" s="402">
        <v>13672</v>
      </c>
      <c r="R43" s="402">
        <v>36459</v>
      </c>
    </row>
    <row r="44" ht="20.55" customHeight="1" hidden="1">
      <c r="A44" s="400">
        <v>44075</v>
      </c>
      <c r="B44" s="401" cm="1">
        <f t="array" ref="B44">SUM(D44,F44,O43,K44)</f>
        <v>278001</v>
      </c>
      <c r="C44" s="439"/>
      <c r="D44" s="402">
        <v>227870</v>
      </c>
      <c r="E44" s="439"/>
      <c r="F44" s="402" cm="1">
        <f t="array" ref="F44">SUM(H44)</f>
        <v>0</v>
      </c>
      <c r="G44" s="402"/>
      <c r="H44" s="402"/>
      <c r="I44" s="352"/>
      <c r="J44" s="439"/>
      <c r="K44" s="402" cm="1">
        <f t="array" ref="K44">SUM(M44)</f>
        <v>0</v>
      </c>
      <c r="L44" s="402"/>
      <c r="M44" s="352"/>
      <c r="N44" s="439"/>
      <c r="O44" s="402" cm="1">
        <f t="array" ref="O44">SUM(Q44:R44)*1</f>
        <v>50131</v>
      </c>
      <c r="P44" s="402"/>
      <c r="Q44" s="402">
        <v>13672</v>
      </c>
      <c r="R44" s="402">
        <v>36459</v>
      </c>
    </row>
    <row r="45" ht="20.55" customHeight="1" hidden="1">
      <c r="A45" s="400">
        <v>44105</v>
      </c>
      <c r="B45" s="401" cm="1">
        <f t="array" ref="B45">SUM(D45,F45,O44,K45)</f>
        <v>878001</v>
      </c>
      <c r="C45" s="439"/>
      <c r="D45" s="402">
        <v>227870</v>
      </c>
      <c r="E45" s="439"/>
      <c r="F45" s="402" cm="1">
        <f t="array" ref="F45">SUM(H45)</f>
        <v>600000</v>
      </c>
      <c r="G45" s="402"/>
      <c r="H45" s="402">
        <v>600000</v>
      </c>
      <c r="I45" s="402">
        <v>302204</v>
      </c>
      <c r="J45" s="439"/>
      <c r="K45" s="402" cm="1">
        <f t="array" ref="K45">SUM(M45)</f>
        <v>0</v>
      </c>
      <c r="L45" s="402"/>
      <c r="M45" s="352"/>
      <c r="N45" s="439"/>
      <c r="O45" s="402" cm="1">
        <f t="array" ref="O45">SUM(Q45:R45)*1</f>
        <v>50131</v>
      </c>
      <c r="P45" s="402"/>
      <c r="Q45" s="402">
        <v>13672</v>
      </c>
      <c r="R45" s="402">
        <v>36459</v>
      </c>
    </row>
    <row r="46" ht="20.55" customHeight="1" hidden="1">
      <c r="A46" s="400">
        <v>44136</v>
      </c>
      <c r="B46" s="401" cm="1">
        <f t="array" ref="B46">SUM(D46,F46,O45,K46)</f>
        <v>2278001</v>
      </c>
      <c r="C46" s="439"/>
      <c r="D46" s="402">
        <v>227870</v>
      </c>
      <c r="E46" s="439"/>
      <c r="F46" s="402" cm="1">
        <f t="array" ref="F46">SUM(H46)</f>
        <v>0</v>
      </c>
      <c r="G46" s="402"/>
      <c r="H46" s="402"/>
      <c r="I46" s="402"/>
      <c r="J46" s="439"/>
      <c r="K46" s="402" cm="1">
        <f t="array" ref="K46">SUM(M46)</f>
        <v>2000000</v>
      </c>
      <c r="L46" s="402"/>
      <c r="M46" s="402">
        <v>2000000</v>
      </c>
      <c r="N46" s="439"/>
      <c r="O46" s="402" cm="1">
        <f t="array" ref="O46">SUM(Q46:R46)*1</f>
        <v>50392</v>
      </c>
      <c r="P46" s="402"/>
      <c r="Q46" s="402">
        <v>13743</v>
      </c>
      <c r="R46" s="402">
        <v>36649</v>
      </c>
    </row>
    <row r="47" ht="20.55" customHeight="1" hidden="1">
      <c r="A47" s="400">
        <v>44166</v>
      </c>
      <c r="B47" s="401" cm="1">
        <f t="array" ref="B47">SUM(D47,F47,O46,K47)</f>
        <v>819422</v>
      </c>
      <c r="C47" s="439"/>
      <c r="D47" s="402">
        <v>227870</v>
      </c>
      <c r="E47" s="439"/>
      <c r="F47" s="402" cm="1">
        <f t="array" ref="F47">SUM(H47)</f>
        <v>41160</v>
      </c>
      <c r="G47" s="402"/>
      <c r="H47" s="402">
        <v>41160</v>
      </c>
      <c r="I47" s="402"/>
      <c r="J47" s="439"/>
      <c r="K47" s="402" cm="1">
        <f t="array" ref="K47">SUM(M47)</f>
        <v>500000</v>
      </c>
      <c r="L47" s="402"/>
      <c r="M47" s="402">
        <v>500000</v>
      </c>
      <c r="N47" s="439"/>
      <c r="O47" s="402" cm="1">
        <f t="array" ref="O47">SUM(Q47:R47)*1</f>
        <v>50183</v>
      </c>
      <c r="P47" s="402"/>
      <c r="Q47" s="402">
        <v>13686</v>
      </c>
      <c r="R47" s="402">
        <v>36497</v>
      </c>
    </row>
    <row r="48" ht="20.55" customHeight="1" hidden="1">
      <c r="A48" s="400">
        <v>44197</v>
      </c>
      <c r="B48" s="401" cm="1">
        <f t="array" ref="B48">SUM(D48,F48,O47,K48)</f>
        <v>278053</v>
      </c>
      <c r="C48" s="439"/>
      <c r="D48" s="402">
        <v>227870</v>
      </c>
      <c r="E48" s="439"/>
      <c r="F48" s="402" cm="1">
        <f t="array" ref="F48">SUM(H48)</f>
        <v>0</v>
      </c>
      <c r="G48" s="402"/>
      <c r="H48" s="402"/>
      <c r="I48" s="402"/>
      <c r="J48" s="439"/>
      <c r="K48" s="402" cm="1">
        <f t="array" ref="K48">SUM(M48)</f>
        <v>0</v>
      </c>
      <c r="L48" s="402"/>
      <c r="M48" s="402"/>
      <c r="N48" s="439"/>
      <c r="O48" s="402" cm="1">
        <f t="array" ref="O48">SUM(Q48:R48)*1</f>
        <v>18448</v>
      </c>
      <c r="P48" s="402"/>
      <c r="Q48" s="402">
        <v>5031</v>
      </c>
      <c r="R48" s="402">
        <v>13417</v>
      </c>
    </row>
    <row r="49" ht="20.55" customHeight="1" hidden="1">
      <c r="A49" s="400">
        <v>44228</v>
      </c>
      <c r="B49" s="401" cm="1">
        <f t="array" ref="B49">SUM(D49,F49,O48,K49)</f>
        <v>102304</v>
      </c>
      <c r="C49" s="439"/>
      <c r="D49" s="402">
        <v>83856</v>
      </c>
      <c r="E49" s="439"/>
      <c r="F49" s="402" cm="1">
        <f t="array" ref="F49">SUM(H49)</f>
        <v>0</v>
      </c>
      <c r="G49" s="402"/>
      <c r="H49" s="402"/>
      <c r="I49" s="402"/>
      <c r="J49" s="439"/>
      <c r="K49" s="402" cm="1">
        <f t="array" ref="K49">SUM(M49)</f>
        <v>0</v>
      </c>
      <c r="L49" s="402"/>
      <c r="M49" s="402"/>
      <c r="N49" s="439"/>
      <c r="O49" s="352"/>
      <c r="P49" s="352"/>
      <c r="Q49" s="352"/>
      <c r="R49" s="352"/>
    </row>
    <row r="50" ht="20.55" customHeight="1" hidden="1">
      <c r="A50" s="400">
        <v>44256</v>
      </c>
      <c r="B50" s="401" cm="1">
        <f t="array" ref="B50">SUM(D50,F50,O50,K50)</f>
        <v>230355</v>
      </c>
      <c r="C50" s="439"/>
      <c r="D50" s="402" cm="1">
        <f t="array" ref="D50">-(1019948+1014454)</f>
        <v>-2034402</v>
      </c>
      <c r="E50" s="439"/>
      <c r="F50" s="402" cm="1">
        <f t="array" ref="F50">SUM(H50)</f>
        <v>2000000</v>
      </c>
      <c r="G50" s="402"/>
      <c r="H50" s="402" cm="1">
        <f t="array" ref="H50">1600000+400000</f>
        <v>2000000</v>
      </c>
      <c r="I50" s="402"/>
      <c r="J50" s="439"/>
      <c r="K50" s="402" cm="1">
        <f t="array" ref="K50">SUM(M50)</f>
        <v>2000000</v>
      </c>
      <c r="L50" s="402"/>
      <c r="M50" s="402">
        <v>2000000</v>
      </c>
      <c r="N50" s="439"/>
      <c r="O50" s="402" cm="1">
        <f t="array" ref="O50">SUM(Q50:R50)*1</f>
        <v>-1735243</v>
      </c>
      <c r="P50" s="402"/>
      <c r="Q50" s="402">
        <v>-1735243</v>
      </c>
      <c r="R50" s="402"/>
    </row>
    <row r="51" ht="20.55" customHeight="1" hidden="1">
      <c r="A51" s="400">
        <v>44287</v>
      </c>
      <c r="B51" s="401" cm="1">
        <f t="array" ref="B51">SUM(D51,F51,O51,K51)</f>
        <v>0</v>
      </c>
      <c r="C51" s="439"/>
      <c r="D51" s="402"/>
      <c r="E51" s="439"/>
      <c r="F51" s="402" cm="1">
        <f t="array" ref="F51">SUM(H51)</f>
        <v>0</v>
      </c>
      <c r="G51" s="402"/>
      <c r="H51" s="402"/>
      <c r="I51" s="402"/>
      <c r="J51" s="439"/>
      <c r="K51" s="402" cm="1">
        <f t="array" ref="K51">SUM(M51)</f>
        <v>0</v>
      </c>
      <c r="L51" s="402"/>
      <c r="M51" s="402"/>
      <c r="N51" s="439"/>
      <c r="O51" s="402" cm="1">
        <f t="array" ref="O51">SUM(Q51:R51)*1</f>
        <v>0</v>
      </c>
      <c r="P51" s="402"/>
      <c r="Q51" s="402">
        <v>0</v>
      </c>
      <c r="R51" s="402">
        <v>0</v>
      </c>
    </row>
    <row r="52" ht="20.55" customHeight="1" hidden="1">
      <c r="A52" s="400">
        <v>44317</v>
      </c>
      <c r="B52" s="401" cm="1">
        <f t="array" ref="B52">SUM(D52,F52,O52,K52)</f>
        <v>-1020863</v>
      </c>
      <c r="C52" s="439"/>
      <c r="D52" s="402" cm="1">
        <f t="array" ref="D52">'presupuesto - Ingreso líquido'!$B$17*0-1020863</f>
        <v>-1020863</v>
      </c>
      <c r="E52" s="439"/>
      <c r="F52" s="402" cm="1">
        <f t="array" ref="F52">SUM(H52)</f>
        <v>0</v>
      </c>
      <c r="G52" s="402"/>
      <c r="H52" s="402"/>
      <c r="I52" s="402"/>
      <c r="J52" s="439"/>
      <c r="K52" s="402" cm="1">
        <f t="array" ref="K52">SUM(M52)</f>
        <v>0</v>
      </c>
      <c r="L52" s="402"/>
      <c r="M52" s="402"/>
      <c r="N52" s="439"/>
      <c r="O52" s="402" cm="1">
        <f t="array" ref="O52">SUM(Q52:R52)*1</f>
        <v>0</v>
      </c>
      <c r="P52" s="402"/>
      <c r="Q52" s="402">
        <v>0</v>
      </c>
      <c r="R52" s="402">
        <v>0</v>
      </c>
    </row>
    <row r="53" ht="20.55" customHeight="1" hidden="1">
      <c r="A53" s="400">
        <v>44348</v>
      </c>
      <c r="B53" s="401" cm="1">
        <f t="array" ref="B53">SUM(D53,F53,O53,K53)</f>
        <v>0</v>
      </c>
      <c r="C53" s="439"/>
      <c r="D53" s="402"/>
      <c r="E53" s="439"/>
      <c r="F53" s="402" cm="1">
        <f t="array" ref="F53">SUM(H53)</f>
        <v>0</v>
      </c>
      <c r="G53" s="402"/>
      <c r="H53" s="402"/>
      <c r="I53" s="402"/>
      <c r="J53" s="439"/>
      <c r="K53" s="402" cm="1">
        <f t="array" ref="K53">SUM(M53)</f>
        <v>0</v>
      </c>
      <c r="L53" s="402"/>
      <c r="M53" s="402"/>
      <c r="N53" s="439"/>
      <c r="O53" s="402" cm="1">
        <f t="array" ref="O53">SUM(Q53:R53)*1</f>
        <v>0</v>
      </c>
      <c r="P53" s="402"/>
      <c r="Q53" s="402">
        <v>0</v>
      </c>
      <c r="R53" s="402">
        <v>0</v>
      </c>
    </row>
    <row r="54" ht="20.55" customHeight="1" hidden="1">
      <c r="A54" s="400">
        <v>44378</v>
      </c>
      <c r="B54" s="401" cm="1">
        <f t="array" ref="B54">SUM(D54,F54,O54,K54)</f>
        <v>0</v>
      </c>
      <c r="C54" s="439"/>
      <c r="D54" s="402"/>
      <c r="E54" s="439"/>
      <c r="F54" s="402" cm="1">
        <f t="array" ref="F54">SUM(H54)</f>
        <v>0</v>
      </c>
      <c r="G54" s="402"/>
      <c r="H54" s="402"/>
      <c r="I54" s="402"/>
      <c r="J54" s="439"/>
      <c r="K54" s="402" cm="1">
        <f t="array" ref="K54">SUM(M54)</f>
        <v>0</v>
      </c>
      <c r="L54" s="402"/>
      <c r="M54" s="402"/>
      <c r="N54" s="439"/>
      <c r="O54" s="402" cm="1">
        <f t="array" ref="O54">SUM(Q54:R54)*1</f>
        <v>0</v>
      </c>
      <c r="P54" s="402"/>
      <c r="Q54" s="402" cm="1">
        <f t="array" ref="Q54">'presupuesto - Ingreso líquido'!B$20*0</f>
        <v>0</v>
      </c>
      <c r="R54" s="402" cm="1">
        <f t="array" ref="R54">'presupuesto - Ingreso líquido'!B$21*0</f>
        <v>0</v>
      </c>
    </row>
    <row r="55" ht="20.55" customHeight="1" hidden="1">
      <c r="A55" s="400">
        <v>44409</v>
      </c>
      <c r="B55" s="401" cm="1">
        <f t="array" ref="B55">SUM(D55,F55,O55,K55)</f>
        <v>0</v>
      </c>
      <c r="C55" s="439"/>
      <c r="D55" s="402"/>
      <c r="E55" s="439"/>
      <c r="F55" s="402" cm="1">
        <f t="array" ref="F55">SUM(H55)</f>
        <v>0</v>
      </c>
      <c r="G55" s="402"/>
      <c r="H55" s="402"/>
      <c r="I55" s="402"/>
      <c r="J55" s="439"/>
      <c r="K55" s="402" cm="1">
        <f t="array" ref="K55">SUM(M55)</f>
        <v>0</v>
      </c>
      <c r="L55" s="402"/>
      <c r="M55" s="402"/>
      <c r="N55" s="439"/>
      <c r="O55" s="402" cm="1">
        <f t="array" ref="O55">SUM(Q55:R55)*1</f>
        <v>0</v>
      </c>
      <c r="P55" s="402"/>
      <c r="Q55" s="402"/>
      <c r="R55" s="402"/>
    </row>
    <row r="56" ht="20.55" customHeight="1" hidden="1">
      <c r="A56" s="400">
        <v>44440</v>
      </c>
      <c r="B56" s="401" cm="1">
        <f t="array" ref="B56">SUM(D56,F56,O56,K56)</f>
        <v>0</v>
      </c>
      <c r="C56" s="439"/>
      <c r="D56" s="402"/>
      <c r="E56" s="439"/>
      <c r="F56" s="402" cm="1">
        <f t="array" ref="F56">SUM(H56)</f>
        <v>0</v>
      </c>
      <c r="G56" s="402"/>
      <c r="H56" s="402"/>
      <c r="I56" s="402"/>
      <c r="J56" s="439"/>
      <c r="K56" s="402" cm="1">
        <f t="array" ref="K56">SUM(M56)</f>
        <v>0</v>
      </c>
      <c r="L56" s="402"/>
      <c r="M56" s="402"/>
      <c r="N56" s="439"/>
      <c r="O56" s="402" cm="1">
        <f t="array" ref="O56">SUM(Q56:R56)*1</f>
        <v>0</v>
      </c>
      <c r="P56" s="402"/>
      <c r="Q56" s="402"/>
      <c r="R56" s="402"/>
    </row>
    <row r="57" ht="20.55" customHeight="1" hidden="1">
      <c r="A57" s="400">
        <v>44470</v>
      </c>
      <c r="B57" s="401" cm="1">
        <f t="array" ref="B57">SUM(D57,F57,O57,K57)</f>
        <v>0</v>
      </c>
      <c r="C57" s="439"/>
      <c r="D57" s="402"/>
      <c r="E57" s="439"/>
      <c r="F57" s="402" cm="1">
        <f t="array" ref="F57">SUM(H57)</f>
        <v>0</v>
      </c>
      <c r="G57" s="402"/>
      <c r="H57" s="402"/>
      <c r="I57" s="402"/>
      <c r="J57" s="439"/>
      <c r="K57" s="402" cm="1">
        <f t="array" ref="K57">SUM(M57)</f>
        <v>0</v>
      </c>
      <c r="L57" s="402"/>
      <c r="M57" s="402"/>
      <c r="N57" s="439"/>
      <c r="O57" s="402" cm="1">
        <f t="array" ref="O57">SUM(Q57:R57)*1</f>
        <v>0</v>
      </c>
      <c r="P57" s="402"/>
      <c r="Q57" s="402"/>
      <c r="R57" s="402"/>
    </row>
    <row r="58" ht="20.55" customHeight="1" hidden="1">
      <c r="A58" s="400">
        <v>44501</v>
      </c>
      <c r="B58" s="401" cm="1">
        <f t="array" ref="B58">SUM(D58,F58,O58,K58)</f>
        <v>0</v>
      </c>
      <c r="C58" s="439"/>
      <c r="D58" s="402"/>
      <c r="E58" s="439"/>
      <c r="F58" s="402" cm="1">
        <f t="array" ref="F58">SUM(H58)</f>
        <v>0</v>
      </c>
      <c r="G58" s="402"/>
      <c r="H58" s="402"/>
      <c r="I58" s="402">
        <v>325157</v>
      </c>
      <c r="J58" s="439"/>
      <c r="K58" s="402" cm="1">
        <f t="array" ref="K58">SUM(M58)</f>
        <v>0</v>
      </c>
      <c r="L58" s="402"/>
      <c r="M58" s="402"/>
      <c r="N58" s="439"/>
      <c r="O58" s="402" cm="1">
        <f t="array" ref="O58">SUM(Q58:R58)*1</f>
        <v>0</v>
      </c>
      <c r="P58" s="402"/>
      <c r="Q58" s="402"/>
      <c r="R58" s="402"/>
    </row>
    <row r="59" ht="20.55" customHeight="1" hidden="1">
      <c r="A59" s="400">
        <v>44531</v>
      </c>
      <c r="B59" s="401" cm="1">
        <f t="array" ref="B59">SUM(D59,F59,O59,K59)</f>
        <v>166840</v>
      </c>
      <c r="C59" s="439"/>
      <c r="D59" s="402"/>
      <c r="E59" s="439"/>
      <c r="F59" s="402" cm="1">
        <f t="array" ref="F59">SUM(H59)</f>
        <v>166840</v>
      </c>
      <c r="G59" s="402"/>
      <c r="H59" s="402">
        <v>166840</v>
      </c>
      <c r="I59" s="402">
        <v>295050</v>
      </c>
      <c r="J59" s="439"/>
      <c r="K59" s="402" cm="1">
        <f t="array" ref="K59">SUM(M59)</f>
        <v>0</v>
      </c>
      <c r="L59" s="402"/>
      <c r="M59" s="402"/>
      <c r="N59" s="439"/>
      <c r="O59" s="402" cm="1">
        <f t="array" ref="O59">SUM(Q59:R59)*1</f>
        <v>0</v>
      </c>
      <c r="P59" s="402"/>
      <c r="Q59" s="402"/>
      <c r="R59" s="402"/>
    </row>
    <row r="60" ht="20.55" customHeight="1" hidden="1">
      <c r="A60" s="400">
        <v>44562</v>
      </c>
      <c r="B60" s="401" cm="1">
        <f t="array" ref="B60">SUM(D60,F60,O60,K60)</f>
        <v>0</v>
      </c>
      <c r="C60" s="439"/>
      <c r="D60" s="402"/>
      <c r="E60" s="439"/>
      <c r="F60" s="402" cm="1">
        <f t="array" ref="F60">SUM(H60)</f>
        <v>0</v>
      </c>
      <c r="G60" s="402"/>
      <c r="H60" s="402"/>
      <c r="I60" s="402"/>
      <c r="J60" s="439"/>
      <c r="K60" s="402" cm="1">
        <f t="array" ref="K60">SUM(M60)</f>
        <v>0</v>
      </c>
      <c r="L60" s="402"/>
      <c r="M60" s="402"/>
      <c r="N60" s="439"/>
      <c r="O60" s="402" cm="1">
        <f t="array" ref="O60">SUM(Q60:R60)*1</f>
        <v>0</v>
      </c>
      <c r="P60" s="402"/>
      <c r="Q60" s="402"/>
      <c r="R60" s="402"/>
    </row>
    <row r="61" ht="20.55" customHeight="1" hidden="1">
      <c r="A61" s="400">
        <v>44593</v>
      </c>
      <c r="B61" s="401" cm="1">
        <f t="array" ref="B61">SUM(D61,F61,O61,K61)</f>
        <v>2200000</v>
      </c>
      <c r="C61" s="439"/>
      <c r="D61" s="402"/>
      <c r="E61" s="439"/>
      <c r="F61" s="402" cm="1">
        <f t="array" ref="F61">SUM(H61)</f>
        <v>2200000</v>
      </c>
      <c r="G61" s="402"/>
      <c r="H61" s="402">
        <v>2200000</v>
      </c>
      <c r="I61" s="402"/>
      <c r="J61" s="439"/>
      <c r="K61" s="402" cm="1">
        <f t="array" ref="K61">SUM(M61)</f>
        <v>0</v>
      </c>
      <c r="L61" s="402"/>
      <c r="M61" s="402"/>
      <c r="N61" s="439"/>
      <c r="O61" s="402" cm="1">
        <f t="array" ref="O61">SUM(Q61:R61)*1</f>
        <v>0</v>
      </c>
      <c r="P61" s="402"/>
      <c r="Q61" s="402"/>
      <c r="R61" s="402"/>
    </row>
    <row r="62" ht="20.55" customHeight="1" hidden="1">
      <c r="A62" s="400">
        <v>44621</v>
      </c>
      <c r="B62" s="401" cm="1">
        <f t="array" ref="B62">SUM(D62,F62,O62,K62)</f>
        <v>0</v>
      </c>
      <c r="C62" s="439"/>
      <c r="D62" s="402"/>
      <c r="E62" s="439"/>
      <c r="F62" s="402" cm="1">
        <f t="array" ref="F62">SUM(H62)</f>
        <v>0</v>
      </c>
      <c r="G62" s="402"/>
      <c r="H62" s="402"/>
      <c r="I62" s="402"/>
      <c r="J62" s="439"/>
      <c r="K62" s="402" cm="1">
        <f t="array" ref="K62">SUM(M62)</f>
        <v>0</v>
      </c>
      <c r="L62" s="402"/>
      <c r="M62" s="402"/>
      <c r="N62" s="439"/>
      <c r="O62" s="402" cm="1">
        <f t="array" ref="O62">SUM(Q62:R62)*1</f>
        <v>0</v>
      </c>
      <c r="P62" s="402"/>
      <c r="Q62" s="402"/>
      <c r="R62" s="402"/>
    </row>
    <row r="63" ht="20.55" customHeight="1" hidden="1">
      <c r="A63" s="400">
        <v>44652</v>
      </c>
      <c r="B63" s="401" cm="1">
        <f t="array" ref="B63">SUM(D63,F63,O63,K63)</f>
        <v>0</v>
      </c>
      <c r="C63" s="439"/>
      <c r="D63" s="402"/>
      <c r="E63" s="439"/>
      <c r="F63" s="402" cm="1">
        <f t="array" ref="F63">SUM(H63)</f>
        <v>0</v>
      </c>
      <c r="G63" s="402"/>
      <c r="H63" s="402"/>
      <c r="I63" s="402"/>
      <c r="J63" s="439"/>
      <c r="K63" s="402" cm="1">
        <f t="array" ref="K63">SUM(M63)</f>
        <v>0</v>
      </c>
      <c r="L63" s="402"/>
      <c r="M63" s="402"/>
      <c r="N63" s="439"/>
      <c r="O63" s="402" cm="1">
        <f t="array" ref="O63">SUM(Q63:R63)*1</f>
        <v>0</v>
      </c>
      <c r="P63" s="402"/>
      <c r="Q63" s="402"/>
      <c r="R63" s="402"/>
    </row>
    <row r="64" ht="20.55" customHeight="1" hidden="1">
      <c r="A64" s="400">
        <v>44682</v>
      </c>
      <c r="B64" s="401" cm="1">
        <f t="array" ref="B64">SUM(D64,F64,O64,K64)</f>
        <v>0</v>
      </c>
      <c r="C64" s="439"/>
      <c r="D64" s="402"/>
      <c r="E64" s="439"/>
      <c r="F64" s="402" cm="1">
        <f t="array" ref="F64">SUM(H64)</f>
        <v>0</v>
      </c>
      <c r="G64" s="402"/>
      <c r="H64" s="402"/>
      <c r="I64" s="402"/>
      <c r="J64" s="439"/>
      <c r="K64" s="402" cm="1">
        <f t="array" ref="K64">SUM(M64)</f>
        <v>0</v>
      </c>
      <c r="L64" s="402"/>
      <c r="M64" s="402"/>
      <c r="N64" s="439"/>
      <c r="O64" s="402" cm="1">
        <f t="array" ref="O64">SUM(Q64:R64)*1</f>
        <v>0</v>
      </c>
      <c r="P64" s="402"/>
      <c r="Q64" s="402"/>
      <c r="R64" s="402"/>
    </row>
    <row r="65" ht="20.55" customHeight="1" hidden="1">
      <c r="A65" s="400">
        <v>44713</v>
      </c>
      <c r="B65" s="401" cm="1">
        <f t="array" ref="B65">SUM(D65,F65,O65,K65)</f>
        <v>0</v>
      </c>
      <c r="C65" s="439"/>
      <c r="D65" s="402"/>
      <c r="E65" s="439"/>
      <c r="F65" s="402" cm="1">
        <f t="array" ref="F65">SUM(H65)</f>
        <v>0</v>
      </c>
      <c r="G65" s="402"/>
      <c r="H65" s="402"/>
      <c r="I65" s="402"/>
      <c r="J65" s="439"/>
      <c r="K65" s="402" cm="1">
        <f t="array" ref="K65">SUM(M65)</f>
        <v>0</v>
      </c>
      <c r="L65" s="402"/>
      <c r="M65" s="402"/>
      <c r="N65" s="439"/>
      <c r="O65" s="402" cm="1">
        <f t="array" ref="O65">SUM(Q65:R65)*1</f>
        <v>0</v>
      </c>
      <c r="P65" s="402"/>
      <c r="Q65" s="402"/>
      <c r="R65" s="402"/>
    </row>
    <row r="66" ht="20.55" customHeight="1" hidden="1">
      <c r="A66" s="400">
        <v>44743</v>
      </c>
      <c r="B66" s="401" cm="1">
        <f t="array" ref="B66">SUM(D66,F66,O66,K66)</f>
        <v>0</v>
      </c>
      <c r="C66" s="439"/>
      <c r="D66" s="402"/>
      <c r="E66" s="439"/>
      <c r="F66" s="402" cm="1">
        <f t="array" ref="F66">SUM(H66)</f>
        <v>0</v>
      </c>
      <c r="G66" s="402"/>
      <c r="H66" s="402"/>
      <c r="I66" s="402"/>
      <c r="J66" s="439"/>
      <c r="K66" s="402" cm="1">
        <f t="array" ref="K66">SUM(M66)</f>
        <v>0</v>
      </c>
      <c r="L66" s="402"/>
      <c r="M66" s="402"/>
      <c r="N66" s="439"/>
      <c r="O66" s="402" cm="1">
        <f t="array" ref="O66">SUM(Q66:R66)*1</f>
        <v>0</v>
      </c>
      <c r="P66" s="402"/>
      <c r="Q66" s="402"/>
      <c r="R66" s="402"/>
    </row>
    <row r="67" ht="20.55" customHeight="1" hidden="1">
      <c r="A67" s="400">
        <v>44774</v>
      </c>
      <c r="B67" s="401" cm="1">
        <f t="array" ref="B67">SUM(D67,F67,O67,K67)</f>
        <v>0</v>
      </c>
      <c r="C67" s="439"/>
      <c r="D67" s="402"/>
      <c r="E67" s="439"/>
      <c r="F67" s="402" cm="1">
        <f t="array" ref="F67">SUM(H67)</f>
        <v>0</v>
      </c>
      <c r="G67" s="402"/>
      <c r="H67" s="402"/>
      <c r="I67" s="402">
        <v>145314</v>
      </c>
      <c r="J67" s="439"/>
      <c r="K67" s="402" cm="1">
        <f t="array" ref="K67">SUM(M67)</f>
        <v>0</v>
      </c>
      <c r="L67" s="402"/>
      <c r="M67" s="402"/>
      <c r="N67" s="439"/>
      <c r="O67" s="402" cm="1">
        <f t="array" ref="O67">SUM(Q67:R67)*1</f>
        <v>0</v>
      </c>
      <c r="P67" s="402"/>
      <c r="Q67" s="402"/>
      <c r="R67" s="402"/>
    </row>
    <row r="68" ht="20.55" customHeight="1" hidden="1">
      <c r="A68" s="400">
        <v>44805</v>
      </c>
      <c r="B68" s="401" cm="1">
        <f t="array" ref="B68">SUM(D68,F68,O68,K68)</f>
        <v>361422</v>
      </c>
      <c r="C68" s="439"/>
      <c r="D68" s="402">
        <v>279547</v>
      </c>
      <c r="E68" s="439"/>
      <c r="F68" s="402" cm="1">
        <f t="array" ref="F68">SUM(H68)</f>
        <v>0</v>
      </c>
      <c r="G68" s="402"/>
      <c r="H68" s="402"/>
      <c r="I68" s="402"/>
      <c r="J68" s="439"/>
      <c r="K68" s="402" cm="1">
        <f t="array" ref="K68">SUM(M68)</f>
        <v>0</v>
      </c>
      <c r="L68" s="402"/>
      <c r="M68" s="402"/>
      <c r="N68" s="439"/>
      <c r="O68" s="402" cm="1">
        <f t="array" ref="O68">SUM(Q68:R68)</f>
        <v>81875</v>
      </c>
      <c r="P68" s="402"/>
      <c r="Q68" s="402">
        <v>22327</v>
      </c>
      <c r="R68" s="402">
        <v>59548</v>
      </c>
    </row>
    <row r="69" ht="20.55" customHeight="1" hidden="1">
      <c r="A69" s="400">
        <v>44835</v>
      </c>
      <c r="B69" s="401" cm="1">
        <f t="array" ref="B69">SUM(D69,F69,O69,K69)</f>
        <v>567124</v>
      </c>
      <c r="C69" s="439"/>
      <c r="D69" s="402">
        <v>286318</v>
      </c>
      <c r="E69" s="439"/>
      <c r="F69" s="402" cm="1">
        <f t="array" ref="F69">SUM(H69)</f>
        <v>200000</v>
      </c>
      <c r="G69" s="402"/>
      <c r="H69" s="402">
        <v>200000</v>
      </c>
      <c r="I69" s="402"/>
      <c r="J69" s="439"/>
      <c r="K69" s="402" cm="1">
        <f t="array" ref="K69">SUM(M69)</f>
        <v>0</v>
      </c>
      <c r="L69" s="402"/>
      <c r="M69" s="402"/>
      <c r="N69" s="439"/>
      <c r="O69" s="402" cm="1">
        <f t="array" ref="O69">SUM(Q69:R69)</f>
        <v>80806</v>
      </c>
      <c r="P69" s="402"/>
      <c r="Q69" s="402">
        <v>22038</v>
      </c>
      <c r="R69" s="402">
        <v>58768</v>
      </c>
    </row>
    <row r="70" ht="20.55" customHeight="1" hidden="1">
      <c r="A70" s="400">
        <v>44866</v>
      </c>
      <c r="B70" s="401" cm="1">
        <f t="array" ref="B70">SUM(D70,F70,O70,K70)</f>
        <v>411806</v>
      </c>
      <c r="C70" s="439"/>
      <c r="D70" s="402">
        <v>284064</v>
      </c>
      <c r="E70" s="439"/>
      <c r="F70" s="402" cm="1">
        <f t="array" ref="F70">SUM(H70)</f>
        <v>46280</v>
      </c>
      <c r="G70" s="402"/>
      <c r="H70" s="402">
        <v>46280</v>
      </c>
      <c r="I70" s="402"/>
      <c r="J70" s="439"/>
      <c r="K70" s="402" cm="1">
        <f t="array" ref="K70">SUM(M70)</f>
        <v>0</v>
      </c>
      <c r="L70" s="402"/>
      <c r="M70" s="402"/>
      <c r="N70" s="439"/>
      <c r="O70" s="402" cm="1">
        <f t="array" ref="O70">SUM(Q70:R70)</f>
        <v>81462</v>
      </c>
      <c r="P70" s="402"/>
      <c r="Q70" s="402">
        <v>22217</v>
      </c>
      <c r="R70" s="402">
        <v>59245</v>
      </c>
    </row>
    <row r="71" ht="20.55" customHeight="1" hidden="1">
      <c r="A71" s="400">
        <v>44896</v>
      </c>
      <c r="B71" s="401" cm="1">
        <f t="array" ref="B71">SUM(D71,F71,O71,K71)</f>
        <v>867994</v>
      </c>
      <c r="C71" s="439"/>
      <c r="D71" s="402">
        <v>286506</v>
      </c>
      <c r="E71" s="439"/>
      <c r="F71" s="402" cm="1">
        <f t="array" ref="F71">SUM(H71)</f>
        <v>0</v>
      </c>
      <c r="G71" s="402"/>
      <c r="H71" s="402"/>
      <c r="I71" s="402"/>
      <c r="J71" s="439"/>
      <c r="K71" s="402" cm="1">
        <f t="array" ref="K71">SUM(M71)</f>
        <v>500000</v>
      </c>
      <c r="L71" s="402"/>
      <c r="M71" s="402" cm="1">
        <f t="array" ref="M71">500000</f>
        <v>500000</v>
      </c>
      <c r="N71" s="439"/>
      <c r="O71" s="402" cm="1">
        <f t="array" ref="O71">SUM(Q71:R71)</f>
        <v>81488</v>
      </c>
      <c r="P71" s="402"/>
      <c r="Q71" s="402">
        <v>22224</v>
      </c>
      <c r="R71" s="402">
        <v>59264</v>
      </c>
    </row>
    <row r="72" ht="20.55" customHeight="1" hidden="1">
      <c r="A72" s="400">
        <v>44927</v>
      </c>
      <c r="B72" s="401" cm="1">
        <f t="array" ref="B72">SUM(D72,F72,O72,K72)</f>
        <v>769504</v>
      </c>
      <c r="C72" s="439"/>
      <c r="D72" s="402">
        <v>287946</v>
      </c>
      <c r="E72" s="439"/>
      <c r="F72" s="402" cm="1">
        <f t="array" ref="F72">SUM(H72)</f>
        <v>400000</v>
      </c>
      <c r="G72" s="402"/>
      <c r="H72" s="402">
        <v>400000</v>
      </c>
      <c r="I72" s="402"/>
      <c r="J72" s="439"/>
      <c r="K72" s="402" cm="1">
        <f t="array" ref="K72">SUM(M72)</f>
        <v>0</v>
      </c>
      <c r="L72" s="402"/>
      <c r="M72" s="402"/>
      <c r="N72" s="439"/>
      <c r="O72" s="402" cm="1">
        <f t="array" ref="O72">SUM(Q72:R72)</f>
        <v>81558</v>
      </c>
      <c r="P72" s="402"/>
      <c r="Q72" s="402">
        <v>22243</v>
      </c>
      <c r="R72" s="402">
        <v>59315</v>
      </c>
    </row>
    <row r="73" ht="20.55" customHeight="1" hidden="1">
      <c r="A73" s="400">
        <v>44958</v>
      </c>
      <c r="B73" s="401" cm="1">
        <f t="array" ref="B73">SUM(D73,F73,O73,K73)</f>
        <v>871320</v>
      </c>
      <c r="C73" s="439"/>
      <c r="D73" s="402">
        <v>289759</v>
      </c>
      <c r="E73" s="439"/>
      <c r="F73" s="402" cm="1">
        <f t="array" ref="F73">SUM(H73)</f>
        <v>500000</v>
      </c>
      <c r="G73" s="402"/>
      <c r="H73" s="402">
        <v>500000</v>
      </c>
      <c r="I73" s="402"/>
      <c r="J73" s="439"/>
      <c r="K73" s="402" cm="1">
        <f t="array" ref="K73">SUM(M73)</f>
        <v>0</v>
      </c>
      <c r="L73" s="402"/>
      <c r="M73" s="402"/>
      <c r="N73" s="439"/>
      <c r="O73" s="402" cm="1">
        <f t="array" ref="O73">SUM(Q73:R73)</f>
        <v>81561</v>
      </c>
      <c r="P73" s="402"/>
      <c r="Q73" s="402">
        <v>22244</v>
      </c>
      <c r="R73" s="402">
        <v>59317</v>
      </c>
    </row>
    <row r="74" ht="20.55" customHeight="1" hidden="1">
      <c r="A74" s="400">
        <v>44986</v>
      </c>
      <c r="B74" s="401" cm="1">
        <f t="array" ref="B74">SUM(D74,F74,O74,K74)</f>
        <v>371862</v>
      </c>
      <c r="C74" s="439"/>
      <c r="D74" s="402">
        <v>290296</v>
      </c>
      <c r="E74" s="439"/>
      <c r="F74" s="402" cm="1">
        <f t="array" ref="F74">SUM(H74)</f>
        <v>0</v>
      </c>
      <c r="G74" s="402"/>
      <c r="H74" s="402"/>
      <c r="I74" s="402"/>
      <c r="J74" s="439"/>
      <c r="K74" s="402" cm="1">
        <f t="array" ref="K74">SUM(M74)</f>
        <v>0</v>
      </c>
      <c r="L74" s="402"/>
      <c r="M74" s="402"/>
      <c r="N74" s="439"/>
      <c r="O74" s="402" cm="1">
        <f t="array" ref="O74">SUM(Q74:R74)*1</f>
        <v>81566</v>
      </c>
      <c r="P74" s="402"/>
      <c r="Q74" s="402">
        <v>22245</v>
      </c>
      <c r="R74" s="402">
        <v>59321</v>
      </c>
    </row>
    <row r="75" ht="20.55" customHeight="1" hidden="1">
      <c r="A75" s="400">
        <v>45017</v>
      </c>
      <c r="B75" s="401" cm="1">
        <f t="array" ref="B75">SUM(D75,F75,O75,K75)</f>
        <v>974008</v>
      </c>
      <c r="C75" s="439"/>
      <c r="D75" s="402" cm="1">
        <f t="array" ref="D75">292443</f>
        <v>292443</v>
      </c>
      <c r="E75" s="439"/>
      <c r="F75" s="402" cm="1">
        <f t="array" ref="F75">SUM(H75)</f>
        <v>600000</v>
      </c>
      <c r="G75" s="402"/>
      <c r="H75" s="402">
        <v>600000</v>
      </c>
      <c r="I75" s="402"/>
      <c r="J75" s="439"/>
      <c r="K75" s="402" cm="1">
        <f t="array" ref="K75">SUM(M75)</f>
        <v>0</v>
      </c>
      <c r="L75" s="402"/>
      <c r="M75" s="402"/>
      <c r="N75" s="439"/>
      <c r="O75" s="402" cm="1">
        <f t="array" ref="O75">SUM(Q75:R75)</f>
        <v>81565</v>
      </c>
      <c r="P75" s="402"/>
      <c r="Q75" s="402">
        <v>22245</v>
      </c>
      <c r="R75" s="402">
        <v>59320</v>
      </c>
    </row>
    <row r="76" ht="20.55" customHeight="1" hidden="1">
      <c r="A76" s="400">
        <v>45047</v>
      </c>
      <c r="B76" s="401" cm="1">
        <f t="array" ref="B76">SUM(D76,F76,O76,K76)</f>
        <v>977416</v>
      </c>
      <c r="C76" s="439"/>
      <c r="D76" s="402">
        <v>295866</v>
      </c>
      <c r="E76" s="439"/>
      <c r="F76" s="402" cm="1">
        <f t="array" ref="F76">SUM(H76)</f>
        <v>600000</v>
      </c>
      <c r="G76" s="402"/>
      <c r="H76" s="402">
        <v>600000</v>
      </c>
      <c r="I76" s="402"/>
      <c r="J76" s="439"/>
      <c r="K76" s="402" cm="1">
        <f t="array" ref="K76">SUM(M76)</f>
        <v>0</v>
      </c>
      <c r="L76" s="402"/>
      <c r="M76" s="402"/>
      <c r="N76" s="439"/>
      <c r="O76" s="402" cm="1">
        <f t="array" ref="O76">SUM(Q76:R76)</f>
        <v>81550</v>
      </c>
      <c r="P76" s="402"/>
      <c r="Q76" s="402">
        <v>22241</v>
      </c>
      <c r="R76" s="402">
        <v>59309</v>
      </c>
    </row>
    <row r="77" ht="20.55" customHeight="1" hidden="1">
      <c r="A77" s="400">
        <v>45078</v>
      </c>
      <c r="B77" s="401" cm="1">
        <f t="array" ref="B77">SUM(D77,F77,O77,K77)</f>
        <v>376584</v>
      </c>
      <c r="C77" s="439"/>
      <c r="D77" s="402">
        <v>294490</v>
      </c>
      <c r="E77" s="439"/>
      <c r="F77" s="402" cm="1">
        <f t="array" ref="F77">SUM(H77)</f>
        <v>0</v>
      </c>
      <c r="G77" s="402"/>
      <c r="H77" s="402"/>
      <c r="I77" s="402"/>
      <c r="J77" s="439"/>
      <c r="K77" s="402" cm="1">
        <f t="array" ref="K77">SUM(M77)</f>
        <v>0</v>
      </c>
      <c r="L77" s="402"/>
      <c r="M77" s="402"/>
      <c r="N77" s="439"/>
      <c r="O77" s="402" cm="1">
        <f t="array" ref="O77">SUM(Q77:R77)</f>
        <v>82094</v>
      </c>
      <c r="P77" s="402"/>
      <c r="Q77" s="402">
        <v>22389</v>
      </c>
      <c r="R77" s="402">
        <v>59705</v>
      </c>
    </row>
    <row r="78" ht="20.55" customHeight="1" hidden="1">
      <c r="A78" s="400">
        <v>45108</v>
      </c>
      <c r="B78" s="401" cm="1">
        <f t="array" ref="B78">SUM(D78,F78,O78,K78)</f>
        <v>975973</v>
      </c>
      <c r="C78" s="439"/>
      <c r="D78" s="402">
        <v>294160</v>
      </c>
      <c r="E78" s="439"/>
      <c r="F78" s="402" cm="1">
        <f t="array" ref="F78">SUM(H78)</f>
        <v>420000</v>
      </c>
      <c r="G78" s="402"/>
      <c r="H78" s="402">
        <v>420000</v>
      </c>
      <c r="I78" s="402"/>
      <c r="J78" s="439"/>
      <c r="K78" s="402" cm="1">
        <f t="array" ref="K78">SUM(M78)</f>
        <v>180000</v>
      </c>
      <c r="L78" s="402"/>
      <c r="M78" s="402">
        <v>180000</v>
      </c>
      <c r="N78" s="439"/>
      <c r="O78" s="402" cm="1">
        <f t="array" ref="O78">SUM(Q78:R78)</f>
        <v>81813</v>
      </c>
      <c r="P78" s="402"/>
      <c r="Q78" s="402">
        <v>22313</v>
      </c>
      <c r="R78" s="402">
        <v>59500</v>
      </c>
    </row>
    <row r="79" ht="20.55" customHeight="1" hidden="1">
      <c r="A79" s="400">
        <v>45139</v>
      </c>
      <c r="B79" s="401" cm="1">
        <f t="array" ref="B79">SUM(D79,F79,O79,K79)</f>
        <v>976642</v>
      </c>
      <c r="C79" s="439"/>
      <c r="D79" s="402">
        <v>294823</v>
      </c>
      <c r="E79" s="439"/>
      <c r="F79" s="402" cm="1">
        <f t="array" ref="F79">SUM(H79)</f>
        <v>0</v>
      </c>
      <c r="G79" s="402"/>
      <c r="H79" s="402"/>
      <c r="I79" s="402"/>
      <c r="J79" s="439"/>
      <c r="K79" s="402" cm="1">
        <f t="array" ref="K79">SUM(M79)</f>
        <v>600000</v>
      </c>
      <c r="L79" s="402"/>
      <c r="M79" s="402">
        <v>600000</v>
      </c>
      <c r="N79" s="439"/>
      <c r="O79" s="402" cm="1">
        <f t="array" ref="O79">SUM(Q79:R79)</f>
        <v>81819</v>
      </c>
      <c r="P79" s="402"/>
      <c r="Q79" s="402">
        <v>22314</v>
      </c>
      <c r="R79" s="402">
        <v>59505</v>
      </c>
    </row>
    <row r="80" ht="20.55" customHeight="1" hidden="1">
      <c r="A80" s="400">
        <v>45170</v>
      </c>
      <c r="B80" s="401" cm="1">
        <f t="array" ref="B80">SUM(D80,F80,O80,K80)</f>
        <v>379822</v>
      </c>
      <c r="C80" s="439"/>
      <c r="D80" s="402" cm="1">
        <f t="array" ref="D80">295372</f>
        <v>295372</v>
      </c>
      <c r="E80" s="439"/>
      <c r="F80" s="402" cm="1">
        <f t="array" ref="F80">SUM(H80)</f>
        <v>0</v>
      </c>
      <c r="G80" s="402"/>
      <c r="H80" s="402"/>
      <c r="I80" s="402"/>
      <c r="J80" s="439"/>
      <c r="K80" s="402" cm="1">
        <f t="array" ref="K80">SUM(M80)</f>
        <v>0</v>
      </c>
      <c r="L80" s="402"/>
      <c r="M80" s="402"/>
      <c r="N80" s="439"/>
      <c r="O80" s="402" cm="1">
        <f t="array" ref="O80">SUM(Q80:R80)</f>
        <v>84450</v>
      </c>
      <c r="P80" s="402"/>
      <c r="Q80" s="402">
        <v>23032</v>
      </c>
      <c r="R80" s="402">
        <v>61418</v>
      </c>
    </row>
    <row r="81" ht="20.55" customHeight="1" hidden="1">
      <c r="A81" s="400">
        <v>45200</v>
      </c>
      <c r="B81" s="401" cm="1">
        <f t="array" ref="B81">SUM(D81,F81,O81,K81)</f>
        <v>378907</v>
      </c>
      <c r="C81" s="439"/>
      <c r="D81" s="402" cm="1">
        <f t="array" ref="D81">296927</f>
        <v>296927</v>
      </c>
      <c r="E81" s="439"/>
      <c r="F81" s="402" cm="1">
        <f t="array" ref="F81">SUM(H81)</f>
        <v>0</v>
      </c>
      <c r="G81" s="402"/>
      <c r="H81" s="402"/>
      <c r="I81" s="402">
        <v>377583</v>
      </c>
      <c r="J81" s="439"/>
      <c r="K81" s="402" cm="1">
        <f t="array" ref="K81">SUM(M81)</f>
        <v>0</v>
      </c>
      <c r="L81" s="402"/>
      <c r="M81" s="402"/>
      <c r="N81" s="439"/>
      <c r="O81" s="402" cm="1">
        <f t="array" ref="O81">SUM(Q81:R81)</f>
        <v>81980</v>
      </c>
      <c r="P81" s="402"/>
      <c r="Q81" s="402">
        <v>22358</v>
      </c>
      <c r="R81" s="402">
        <v>59622</v>
      </c>
    </row>
    <row r="82" ht="20.55" customHeight="1" hidden="1">
      <c r="A82" s="400">
        <v>45231</v>
      </c>
      <c r="B82" s="401" cm="1">
        <f t="array" ref="B82">SUM(D82,F82,O82,K82)</f>
        <v>380337</v>
      </c>
      <c r="C82" s="439"/>
      <c r="D82" s="402">
        <v>298361</v>
      </c>
      <c r="E82" s="439"/>
      <c r="F82" s="402" cm="1">
        <f t="array" ref="F82">SUM(H82)</f>
        <v>0</v>
      </c>
      <c r="G82" s="402"/>
      <c r="H82" s="402"/>
      <c r="I82" s="402"/>
      <c r="J82" s="439"/>
      <c r="K82" s="402" cm="1">
        <f t="array" ref="K82">SUM(M82)</f>
        <v>0</v>
      </c>
      <c r="L82" s="402"/>
      <c r="M82" s="402"/>
      <c r="N82" s="439"/>
      <c r="O82" s="402" cm="1">
        <f t="array" ref="O82">SUM(Q82:R82)</f>
        <v>81976</v>
      </c>
      <c r="P82" s="402"/>
      <c r="Q82" s="402">
        <v>22357</v>
      </c>
      <c r="R82" s="402">
        <v>59619</v>
      </c>
    </row>
    <row r="83" ht="20.55" customHeight="1" hidden="1">
      <c r="A83" s="400">
        <v>45261</v>
      </c>
      <c r="B83" s="401" cm="1">
        <f t="array" ref="B83">SUM(D83,F83,O83,K83)</f>
        <v>384728</v>
      </c>
      <c r="C83" s="439"/>
      <c r="D83" s="402">
        <v>302749</v>
      </c>
      <c r="E83" s="439"/>
      <c r="F83" s="402" cm="1">
        <f t="array" ref="F83">SUM(H83)</f>
        <v>0</v>
      </c>
      <c r="G83" s="402"/>
      <c r="H83" s="402"/>
      <c r="I83" s="402"/>
      <c r="J83" s="439"/>
      <c r="K83" s="402" cm="1">
        <f t="array" ref="K83">SUM(M83)</f>
        <v>0</v>
      </c>
      <c r="L83" s="402"/>
      <c r="M83" s="402"/>
      <c r="N83" s="439"/>
      <c r="O83" s="402" cm="1">
        <f t="array" ref="O83">SUM(Q83:R83)</f>
        <v>81979</v>
      </c>
      <c r="P83" s="402"/>
      <c r="Q83" s="402">
        <v>22358</v>
      </c>
      <c r="R83" s="402">
        <v>59621</v>
      </c>
    </row>
    <row r="84" ht="20.55" customHeight="1" hidden="1">
      <c r="A84" s="400">
        <v>45292</v>
      </c>
      <c r="B84" s="401" cm="1">
        <f t="array" ref="B84">SUM(D84,F84,O84,K84)</f>
        <v>1391643</v>
      </c>
      <c r="C84" s="439"/>
      <c r="D84" s="402" cm="1">
        <f t="array" ref="D84">309660</f>
        <v>309660</v>
      </c>
      <c r="E84" s="439"/>
      <c r="F84" s="402" cm="1">
        <f t="array" ref="F84">SUM(H84)</f>
        <v>1000000</v>
      </c>
      <c r="G84" s="402"/>
      <c r="H84" s="402">
        <v>1000000</v>
      </c>
      <c r="I84" s="402"/>
      <c r="J84" s="439"/>
      <c r="K84" s="402" cm="1">
        <f t="array" ref="K84">SUM(M84)</f>
        <v>0</v>
      </c>
      <c r="L84" s="402"/>
      <c r="M84" s="402"/>
      <c r="N84" s="439"/>
      <c r="O84" s="402" cm="1">
        <f t="array" ref="O84">SUM(Q84:R84)</f>
        <v>81983</v>
      </c>
      <c r="P84" s="402"/>
      <c r="Q84" s="402">
        <v>22359</v>
      </c>
      <c r="R84" s="402">
        <v>59624</v>
      </c>
    </row>
    <row r="85" ht="20.55" customHeight="1" hidden="1">
      <c r="A85" s="400">
        <v>45323</v>
      </c>
      <c r="B85" s="401" cm="1">
        <f t="array" ref="B85">SUM(D85,F85,O85,K85)</f>
        <v>742681</v>
      </c>
      <c r="C85" s="439"/>
      <c r="D85" s="402" cm="1">
        <f t="array" ref="D85">310701</f>
        <v>310701</v>
      </c>
      <c r="E85" s="439"/>
      <c r="F85" s="402" cm="1">
        <f t="array" ref="F85">SUM(H85)</f>
        <v>350000</v>
      </c>
      <c r="G85" s="402"/>
      <c r="H85" s="402">
        <v>350000</v>
      </c>
      <c r="I85" s="402"/>
      <c r="J85" s="439"/>
      <c r="K85" s="402" cm="1">
        <f t="array" ref="K85">SUM(M85)</f>
        <v>0</v>
      </c>
      <c r="L85" s="402"/>
      <c r="M85" s="402"/>
      <c r="N85" s="439"/>
      <c r="O85" s="402" cm="1">
        <f t="array" ref="O85">SUM(Q85:R85)</f>
        <v>81980</v>
      </c>
      <c r="P85" s="402"/>
      <c r="Q85" s="402">
        <v>22358</v>
      </c>
      <c r="R85" s="402">
        <v>59622</v>
      </c>
    </row>
    <row r="86" ht="20.55" customHeight="1" hidden="1">
      <c r="A86" s="400">
        <v>45352</v>
      </c>
      <c r="B86" s="401" cm="1">
        <f t="array" ref="B86">SUM(D86,F86,O86,K86)</f>
        <v>744683</v>
      </c>
      <c r="C86" s="439"/>
      <c r="D86" s="402">
        <v>312699</v>
      </c>
      <c r="E86" s="439"/>
      <c r="F86" s="402" cm="1">
        <f t="array" ref="F86">SUM(H86)</f>
        <v>350000</v>
      </c>
      <c r="G86" s="402"/>
      <c r="H86" s="402">
        <v>350000</v>
      </c>
      <c r="I86" s="402"/>
      <c r="J86" s="439"/>
      <c r="K86" s="402" cm="1">
        <f t="array" ref="K86">SUM(M86)</f>
        <v>0</v>
      </c>
      <c r="L86" s="402"/>
      <c r="M86" s="402"/>
      <c r="N86" s="439"/>
      <c r="O86" s="402" cm="1">
        <f t="array" ref="O86">SUM(Q86:R86)</f>
        <v>81984</v>
      </c>
      <c r="P86" s="402"/>
      <c r="Q86" s="402">
        <v>22359</v>
      </c>
      <c r="R86" s="402">
        <v>59625</v>
      </c>
    </row>
    <row r="87" ht="20.55" customHeight="1" hidden="1">
      <c r="A87" s="400">
        <v>45383</v>
      </c>
      <c r="B87" s="401" cm="1">
        <f t="array" ref="B87">SUM(D87,F87,O87,K87)</f>
        <v>1096108</v>
      </c>
      <c r="C87" s="439"/>
      <c r="D87" s="402">
        <v>314119</v>
      </c>
      <c r="E87" s="439"/>
      <c r="F87" s="402" cm="1">
        <f t="array" ref="F87">SUM(H87)</f>
        <v>700000</v>
      </c>
      <c r="G87" s="402"/>
      <c r="H87" s="402">
        <v>700000</v>
      </c>
      <c r="I87" s="402"/>
      <c r="J87" s="439"/>
      <c r="K87" s="402" cm="1">
        <f t="array" ref="K87">SUM(M87)</f>
        <v>0</v>
      </c>
      <c r="L87" s="402"/>
      <c r="M87" s="402"/>
      <c r="N87" s="439"/>
      <c r="O87" s="402" cm="1">
        <f t="array" ref="O87">SUM(Q87:R87)</f>
        <v>81989</v>
      </c>
      <c r="P87" s="402"/>
      <c r="Q87" s="402">
        <v>22361</v>
      </c>
      <c r="R87" s="402">
        <v>59628</v>
      </c>
    </row>
    <row r="88" ht="20.55" customHeight="1" hidden="1">
      <c r="A88" s="400">
        <v>45413</v>
      </c>
      <c r="B88" s="401" cm="1">
        <f t="array" ref="B88">SUM(D88,F88,O88,K88)</f>
        <v>397601</v>
      </c>
      <c r="C88" s="439"/>
      <c r="D88" s="402">
        <v>315610</v>
      </c>
      <c r="E88" s="439"/>
      <c r="F88" s="402" cm="1">
        <f t="array" ref="F88">SUM(H88)</f>
        <v>0</v>
      </c>
      <c r="G88" s="402"/>
      <c r="H88" s="402"/>
      <c r="I88" s="402"/>
      <c r="J88" s="439"/>
      <c r="K88" s="402" cm="1">
        <f t="array" ref="K88">SUM(M88)</f>
        <v>0</v>
      </c>
      <c r="L88" s="402"/>
      <c r="M88" s="402"/>
      <c r="N88" s="439"/>
      <c r="O88" s="402" cm="1">
        <f t="array" ref="O88">SUM(Q88:R88)</f>
        <v>81991</v>
      </c>
      <c r="P88" s="402"/>
      <c r="Q88" s="402">
        <v>22361</v>
      </c>
      <c r="R88" s="402">
        <v>59630</v>
      </c>
    </row>
    <row r="89" ht="20.55" customHeight="1" hidden="1">
      <c r="A89" s="400">
        <v>45444</v>
      </c>
      <c r="B89" s="401" cm="1">
        <f t="array" ref="B89">SUM(D89,F89,O89,K89)</f>
        <v>598725</v>
      </c>
      <c r="C89" s="439"/>
      <c r="D89" s="402" cm="1">
        <f t="array" ref="D89">316731</f>
        <v>316731</v>
      </c>
      <c r="E89" s="439"/>
      <c r="F89" s="402" cm="1">
        <f t="array" ref="F89">SUM(H89)</f>
        <v>200000</v>
      </c>
      <c r="G89" s="402"/>
      <c r="H89" s="402">
        <v>200000</v>
      </c>
      <c r="I89" s="402"/>
      <c r="J89" s="439"/>
      <c r="K89" s="402" cm="1">
        <f t="array" ref="K89">SUM(M89)</f>
        <v>0</v>
      </c>
      <c r="L89" s="402"/>
      <c r="M89" s="402"/>
      <c r="N89" s="439"/>
      <c r="O89" s="402" cm="1">
        <f t="array" ref="O89">SUM(Q89:R89)</f>
        <v>81994</v>
      </c>
      <c r="P89" s="402"/>
      <c r="Q89" s="402">
        <v>22362</v>
      </c>
      <c r="R89" s="402">
        <v>59632</v>
      </c>
    </row>
    <row r="90" ht="20.55" customHeight="1" hidden="1">
      <c r="A90" s="400">
        <v>45474</v>
      </c>
      <c r="B90" s="401" cm="1">
        <f t="array" ref="B90">SUM(D90,F90,O90,K90)</f>
        <v>401226</v>
      </c>
      <c r="C90" s="439"/>
      <c r="D90" s="402" cm="1">
        <f t="array" ref="D90">316791</f>
        <v>316791</v>
      </c>
      <c r="E90" s="439"/>
      <c r="F90" s="402" cm="1">
        <f t="array" ref="F90">SUM(H90)</f>
        <v>0</v>
      </c>
      <c r="G90" s="402"/>
      <c r="H90" s="402"/>
      <c r="I90" s="402"/>
      <c r="J90" s="439"/>
      <c r="K90" s="402" cm="1">
        <f t="array" ref="K90">SUM(M90)</f>
        <v>0</v>
      </c>
      <c r="L90" s="402"/>
      <c r="M90" s="402"/>
      <c r="N90" s="439"/>
      <c r="O90" s="402" cm="1">
        <f t="array" ref="O90">SUM(Q90:R90)</f>
        <v>84435</v>
      </c>
      <c r="P90" s="402"/>
      <c r="Q90" s="402">
        <v>23028</v>
      </c>
      <c r="R90" s="402">
        <v>61407</v>
      </c>
    </row>
    <row r="91" ht="20.55" customHeight="1" hidden="1">
      <c r="A91" s="400">
        <v>45505</v>
      </c>
      <c r="B91" s="401" cm="1">
        <f t="array" ref="B91">SUM(D91,F91,O91,K91)</f>
        <v>400615</v>
      </c>
      <c r="C91" s="439"/>
      <c r="D91" s="402">
        <v>318270</v>
      </c>
      <c r="E91" s="439"/>
      <c r="F91" s="402" cm="1">
        <f t="array" ref="F91">SUM(H91)</f>
        <v>0</v>
      </c>
      <c r="G91" s="402"/>
      <c r="H91" s="402"/>
      <c r="I91" s="402"/>
      <c r="J91" s="439"/>
      <c r="K91" s="402" cm="1">
        <f t="array" ref="K91">SUM(M91)</f>
        <v>0</v>
      </c>
      <c r="L91" s="402"/>
      <c r="M91" s="402"/>
      <c r="N91" s="439"/>
      <c r="O91" s="402" cm="1">
        <f t="array" ref="O91">SUM(Q91:R91)</f>
        <v>82345</v>
      </c>
      <c r="P91" s="402"/>
      <c r="Q91" s="402">
        <v>22458</v>
      </c>
      <c r="R91" s="402">
        <v>59887</v>
      </c>
    </row>
    <row r="92" ht="20.55" customHeight="1" hidden="1">
      <c r="A92" s="400">
        <v>45536</v>
      </c>
      <c r="B92" s="401" cm="1">
        <f t="array" ref="B92">SUM(D92,F92,O92,K92)</f>
        <v>401934</v>
      </c>
      <c r="C92" s="439"/>
      <c r="D92" s="402">
        <v>319585</v>
      </c>
      <c r="E92" s="439"/>
      <c r="F92" s="402" cm="1">
        <f t="array" ref="F92">SUM(H92)</f>
        <v>0</v>
      </c>
      <c r="G92" s="402"/>
      <c r="H92" s="402"/>
      <c r="I92" s="402"/>
      <c r="J92" s="439"/>
      <c r="K92" s="402" cm="1">
        <f t="array" ref="K92">SUM(M92)</f>
        <v>0</v>
      </c>
      <c r="L92" s="402"/>
      <c r="M92" s="402"/>
      <c r="N92" s="439"/>
      <c r="O92" s="402" cm="1">
        <f t="array" ref="O92">SUM(Q92:R92)</f>
        <v>82349</v>
      </c>
      <c r="P92" s="402"/>
      <c r="Q92" s="402">
        <v>22459</v>
      </c>
      <c r="R92" s="402">
        <v>59890</v>
      </c>
    </row>
    <row r="93" ht="20.55" customHeight="1" hidden="1">
      <c r="A93" s="400">
        <v>45566</v>
      </c>
      <c r="B93" s="401" cm="1">
        <f t="array" ref="B93">SUM(D93,F93,O93,K93)</f>
        <v>452450</v>
      </c>
      <c r="C93" s="439"/>
      <c r="D93" s="402">
        <v>320099</v>
      </c>
      <c r="E93" s="439"/>
      <c r="F93" s="402" cm="1">
        <f t="array" ref="F93">SUM(H93)</f>
        <v>50000</v>
      </c>
      <c r="G93" s="402"/>
      <c r="H93" s="402">
        <v>50000</v>
      </c>
      <c r="I93" s="402"/>
      <c r="J93" s="439"/>
      <c r="K93" s="402" cm="1">
        <f t="array" ref="K93">SUM(M93)</f>
        <v>0</v>
      </c>
      <c r="L93" s="402"/>
      <c r="M93" s="402"/>
      <c r="N93" s="439"/>
      <c r="O93" s="402" cm="1">
        <f t="array" ref="O93">SUM(Q93:R93)</f>
        <v>82351</v>
      </c>
      <c r="P93" s="402"/>
      <c r="Q93" s="402">
        <v>22459</v>
      </c>
      <c r="R93" s="402">
        <v>59892</v>
      </c>
    </row>
    <row r="94" ht="20.55" customHeight="1" hidden="1">
      <c r="A94" s="400">
        <v>45597</v>
      </c>
      <c r="B94" s="401" cm="1">
        <f t="array" ref="B94">SUM(D94,F94,O94,K94)</f>
        <v>446533</v>
      </c>
      <c r="C94" s="439"/>
      <c r="D94" s="402">
        <v>322430</v>
      </c>
      <c r="E94" s="439"/>
      <c r="F94" s="402" cm="1">
        <f t="array" ref="F94">SUM(H94)</f>
        <v>41760</v>
      </c>
      <c r="G94" s="402"/>
      <c r="H94" s="402">
        <v>41760</v>
      </c>
      <c r="I94" s="402"/>
      <c r="J94" s="439"/>
      <c r="K94" s="402" cm="1">
        <f t="array" ref="K94">SUM(M94)</f>
        <v>0</v>
      </c>
      <c r="L94" s="402"/>
      <c r="M94" s="402"/>
      <c r="N94" s="439"/>
      <c r="O94" s="402" cm="1">
        <f t="array" ref="O94">SUM(Q94:R94)</f>
        <v>82343</v>
      </c>
      <c r="P94" s="402"/>
      <c r="Q94" s="402">
        <v>22457</v>
      </c>
      <c r="R94" s="402">
        <v>59886</v>
      </c>
    </row>
    <row r="95" ht="20.55" customHeight="1" hidden="1">
      <c r="A95" s="400">
        <v>45627</v>
      </c>
      <c r="B95" s="401" cm="1">
        <f t="array" ref="B95">SUM(D95,F95,O95,K95)</f>
        <v>406202</v>
      </c>
      <c r="C95" s="439"/>
      <c r="D95" s="402">
        <v>323853</v>
      </c>
      <c r="E95" s="439"/>
      <c r="F95" s="402" cm="1">
        <f t="array" ref="F95">SUM(H95)</f>
        <v>0</v>
      </c>
      <c r="G95" s="402"/>
      <c r="H95" s="402"/>
      <c r="I95" s="402">
        <v>401093</v>
      </c>
      <c r="J95" s="439"/>
      <c r="K95" s="402" cm="1">
        <f t="array" ref="K95">SUM(M95)</f>
        <v>0</v>
      </c>
      <c r="L95" s="402"/>
      <c r="M95" s="402"/>
      <c r="N95" s="439"/>
      <c r="O95" s="402" cm="1">
        <f t="array" ref="O95">SUM(Q95:R95)</f>
        <v>82349</v>
      </c>
      <c r="P95" s="402"/>
      <c r="Q95" s="402">
        <v>22459</v>
      </c>
      <c r="R95" s="402">
        <v>59890</v>
      </c>
    </row>
    <row r="96" ht="20.55" customHeight="1" hidden="1">
      <c r="A96" s="400">
        <v>45658</v>
      </c>
      <c r="B96" s="401" cm="1">
        <f t="array" ref="B96">SUM(D96,F96,O96,K96)</f>
        <v>406055</v>
      </c>
      <c r="C96" s="439"/>
      <c r="D96" s="402">
        <v>323581</v>
      </c>
      <c r="E96" s="439"/>
      <c r="F96" s="402" cm="1">
        <f t="array" ref="F96">SUM(H96)</f>
        <v>0</v>
      </c>
      <c r="G96" s="402"/>
      <c r="H96" s="402"/>
      <c r="I96" s="402"/>
      <c r="J96" s="439"/>
      <c r="K96" s="402" cm="1">
        <f t="array" ref="K96">SUM(M96)</f>
        <v>0</v>
      </c>
      <c r="L96" s="402"/>
      <c r="M96" s="402"/>
      <c r="N96" s="439"/>
      <c r="O96" s="402" cm="1">
        <f t="array" ref="O96">SUM(Q96:R96)</f>
        <v>82474</v>
      </c>
      <c r="P96" s="402"/>
      <c r="Q96" s="402">
        <v>22493</v>
      </c>
      <c r="R96" s="402">
        <v>59981</v>
      </c>
    </row>
    <row r="97" ht="20.55" customHeight="1" hidden="1">
      <c r="A97" s="400">
        <v>45689</v>
      </c>
      <c r="B97" s="401" cm="1">
        <f t="array" ref="B97">SUM(D97,F97,O97,K97)</f>
        <v>421984</v>
      </c>
      <c r="C97" s="439"/>
      <c r="D97" s="402">
        <v>339329</v>
      </c>
      <c r="E97" s="439"/>
      <c r="F97" s="402" cm="1">
        <f t="array" ref="F97">SUM(H97)</f>
        <v>0</v>
      </c>
      <c r="G97" s="402"/>
      <c r="H97" s="402"/>
      <c r="I97" s="402"/>
      <c r="J97" s="439"/>
      <c r="K97" s="402" cm="1">
        <f t="array" ref="K97">SUM(M97)</f>
        <v>0</v>
      </c>
      <c r="L97" s="402"/>
      <c r="M97" s="402"/>
      <c r="N97" s="439"/>
      <c r="O97" s="402" cm="1">
        <f t="array" ref="O97">SUM(Q97:R97)</f>
        <v>82655</v>
      </c>
      <c r="P97" s="402"/>
      <c r="Q97" s="402">
        <v>22542</v>
      </c>
      <c r="R97" s="402">
        <v>60113</v>
      </c>
    </row>
    <row r="98" ht="20.55" customHeight="1" hidden="1">
      <c r="A98" s="400">
        <v>45717</v>
      </c>
      <c r="B98" s="401" cm="1">
        <f t="array" ref="B98">SUM(D98,F98,O98,K98)</f>
        <v>427144</v>
      </c>
      <c r="C98" s="439"/>
      <c r="D98" s="402">
        <v>341490</v>
      </c>
      <c r="E98" s="439"/>
      <c r="F98" s="402" cm="1">
        <f t="array" ref="F98">SUM(H98)</f>
        <v>0</v>
      </c>
      <c r="G98" s="402"/>
      <c r="H98" s="402"/>
      <c r="I98" s="402"/>
      <c r="J98" s="439"/>
      <c r="K98" s="402" cm="1">
        <f t="array" ref="K98">SUM(M98)</f>
        <v>0</v>
      </c>
      <c r="L98" s="402"/>
      <c r="M98" s="402"/>
      <c r="N98" s="439"/>
      <c r="O98" s="402" cm="1">
        <f t="array" ref="O98">SUM(Q98:R98)</f>
        <v>85654</v>
      </c>
      <c r="P98" s="402"/>
      <c r="Q98" s="402">
        <v>23360</v>
      </c>
      <c r="R98" s="402">
        <v>62294</v>
      </c>
    </row>
    <row r="99" ht="20.55" customHeight="1" hidden="1">
      <c r="A99" s="400">
        <v>45748</v>
      </c>
      <c r="B99" s="401" cm="1">
        <f t="array" ref="B99">SUM(D99,F99,O99,K99)</f>
        <v>428739</v>
      </c>
      <c r="C99" s="439"/>
      <c r="D99" s="402">
        <v>343082</v>
      </c>
      <c r="E99" s="439"/>
      <c r="F99" s="402" cm="1">
        <f t="array" ref="F99">SUM(H99)</f>
        <v>0</v>
      </c>
      <c r="G99" s="402"/>
      <c r="H99" s="402"/>
      <c r="I99" s="402"/>
      <c r="J99" s="439"/>
      <c r="K99" s="402" cm="1">
        <f t="array" ref="K99">SUM(M99)</f>
        <v>0</v>
      </c>
      <c r="L99" s="402"/>
      <c r="M99" s="402"/>
      <c r="N99" s="439"/>
      <c r="O99" s="402" cm="1">
        <f t="array" ref="O99">SUM(Q99:R99)</f>
        <v>85657</v>
      </c>
      <c r="P99" s="402"/>
      <c r="Q99" s="402">
        <v>23361</v>
      </c>
      <c r="R99" s="402">
        <v>62296</v>
      </c>
    </row>
    <row r="100" ht="20.55" customHeight="1" hidden="1">
      <c r="A100" s="400">
        <v>45778</v>
      </c>
      <c r="B100" s="407" cm="1">
        <f t="array" ref="B100">SUM(D100,F100,O100,K100)</f>
        <v>429744</v>
      </c>
      <c r="C100" s="440"/>
      <c r="D100" s="408">
        <v>344083</v>
      </c>
      <c r="E100" s="440"/>
      <c r="F100" s="408" cm="1">
        <f t="array" ref="F100">SUM(H100)</f>
        <v>0</v>
      </c>
      <c r="G100" s="408"/>
      <c r="H100" s="408"/>
      <c r="I100" s="408"/>
      <c r="J100" s="440"/>
      <c r="K100" s="408" cm="1">
        <f t="array" ref="K100">SUM(M100)</f>
        <v>0</v>
      </c>
      <c r="L100" s="408"/>
      <c r="M100" s="408"/>
      <c r="N100" s="440"/>
      <c r="O100" s="408" cm="1">
        <f t="array" ref="O100">SUM(Q100:R100)</f>
        <v>85661</v>
      </c>
      <c r="P100" s="408"/>
      <c r="Q100" s="408">
        <v>23362</v>
      </c>
      <c r="R100" s="408">
        <v>62299</v>
      </c>
    </row>
    <row r="101" ht="20.55" customHeight="1" hidden="1">
      <c r="A101" s="400">
        <v>45809</v>
      </c>
      <c r="B101" s="407" cm="1">
        <f t="array" ref="B101">SUM(D101,F101,O101,K101)</f>
        <v>430428</v>
      </c>
      <c r="C101" s="440"/>
      <c r="D101" s="408">
        <v>344765</v>
      </c>
      <c r="E101" s="440"/>
      <c r="F101" s="408" cm="1">
        <f t="array" ref="F101">SUM(H101)</f>
        <v>0</v>
      </c>
      <c r="G101" s="408"/>
      <c r="H101" s="408"/>
      <c r="I101" s="408"/>
      <c r="J101" s="440"/>
      <c r="K101" s="408" cm="1">
        <f t="array" ref="K101">SUM(M101)</f>
        <v>0</v>
      </c>
      <c r="L101" s="408"/>
      <c r="M101" s="408"/>
      <c r="N101" s="440"/>
      <c r="O101" s="408" cm="1">
        <f t="array" ref="O101">SUM(Q101:R101)</f>
        <v>85663</v>
      </c>
      <c r="P101" s="408"/>
      <c r="Q101" s="408">
        <v>23363</v>
      </c>
      <c r="R101" s="408">
        <v>62300</v>
      </c>
    </row>
    <row r="102" ht="20.55" customHeight="1" hidden="1">
      <c r="A102" s="400">
        <v>45839</v>
      </c>
      <c r="B102" s="407" cm="1">
        <f t="array" ref="B102">SUM(D102,F102,O102,K102)</f>
        <v>430775</v>
      </c>
      <c r="C102" s="440"/>
      <c r="D102" s="408">
        <v>343992</v>
      </c>
      <c r="E102" s="440"/>
      <c r="F102" s="408" cm="1">
        <f t="array" ref="F102">SUM(H102)</f>
        <v>0</v>
      </c>
      <c r="G102" s="408"/>
      <c r="H102" s="408"/>
      <c r="I102" s="408"/>
      <c r="J102" s="440"/>
      <c r="K102" s="408" cm="1">
        <f t="array" ref="K102">SUM(M102)</f>
        <v>0</v>
      </c>
      <c r="L102" s="408"/>
      <c r="M102" s="408"/>
      <c r="N102" s="440"/>
      <c r="O102" s="408" cm="1">
        <f t="array" ref="O102">SUM(Q102:R102)</f>
        <v>86783</v>
      </c>
      <c r="P102" s="408"/>
      <c r="Q102" s="408">
        <v>23668</v>
      </c>
      <c r="R102" s="408">
        <v>63115</v>
      </c>
    </row>
    <row r="103" ht="20.55" customHeight="1" hidden="1">
      <c r="A103" s="400">
        <v>45870</v>
      </c>
      <c r="B103" s="407" cm="1">
        <f t="array" ref="B103">SUM(D103,F103,O103,K103)</f>
        <v>435063</v>
      </c>
      <c r="C103" s="440"/>
      <c r="D103" s="408">
        <v>349242</v>
      </c>
      <c r="E103" s="440"/>
      <c r="F103" s="408" cm="1">
        <f t="array" ref="F103">SUM(H103)</f>
        <v>0</v>
      </c>
      <c r="G103" s="408"/>
      <c r="H103" s="408"/>
      <c r="I103" s="408"/>
      <c r="J103" s="440"/>
      <c r="K103" s="408" cm="1">
        <f t="array" ref="K103">SUM(M103)</f>
        <v>0</v>
      </c>
      <c r="L103" s="408"/>
      <c r="M103" s="408"/>
      <c r="N103" s="440"/>
      <c r="O103" s="408" cm="1">
        <f t="array" ref="O103">SUM(Q103:R103)</f>
        <v>85821</v>
      </c>
      <c r="P103" s="408"/>
      <c r="Q103" s="408">
        <v>23406</v>
      </c>
      <c r="R103" s="408">
        <v>62415</v>
      </c>
    </row>
    <row r="104" ht="20.55" customHeight="1" hidden="1">
      <c r="A104" s="400">
        <v>45901</v>
      </c>
      <c r="B104" s="407" cm="1">
        <f t="array" ref="B104">SUM(D104,F104,O104,K104)</f>
        <v>435980</v>
      </c>
      <c r="C104" s="440"/>
      <c r="D104" s="408">
        <v>350151</v>
      </c>
      <c r="E104" s="440"/>
      <c r="F104" s="408" cm="1">
        <f t="array" ref="F104">SUM(H104)</f>
        <v>0</v>
      </c>
      <c r="G104" s="408"/>
      <c r="H104" s="408"/>
      <c r="I104" s="408"/>
      <c r="J104" s="440"/>
      <c r="K104" s="408" cm="1">
        <f t="array" ref="K104">SUM(M104)</f>
        <v>0</v>
      </c>
      <c r="L104" s="408"/>
      <c r="M104" s="408"/>
      <c r="N104" s="440"/>
      <c r="O104" s="408" cm="1">
        <f t="array" ref="O104">SUM(Q104:R104)</f>
        <v>85829</v>
      </c>
      <c r="P104" s="408"/>
      <c r="Q104" s="408">
        <v>23408</v>
      </c>
      <c r="R104" s="408">
        <v>62421</v>
      </c>
    </row>
    <row r="105" ht="20.55" customHeight="1">
      <c r="A105" s="177">
        <v>45931</v>
      </c>
      <c r="B105" s="411" cm="1">
        <f t="array" ref="B105">SUM(D105,F105,O105,K105)</f>
        <v>436970</v>
      </c>
      <c r="C105" s="441"/>
      <c r="D105" s="414">
        <v>351144</v>
      </c>
      <c r="E105" s="441"/>
      <c r="F105" s="414" cm="1">
        <f t="array" ref="F105">SUM(H105)</f>
        <v>0</v>
      </c>
      <c r="G105" s="414"/>
      <c r="H105" s="414"/>
      <c r="I105" s="414"/>
      <c r="J105" s="441"/>
      <c r="K105" s="414" cm="1">
        <f t="array" ref="K105">SUM(M105)</f>
        <v>0</v>
      </c>
      <c r="L105" s="414"/>
      <c r="M105" s="414"/>
      <c r="N105" s="441"/>
      <c r="O105" s="414" cm="1">
        <f t="array" ref="O105">SUM(Q105:R105)</f>
        <v>85826</v>
      </c>
      <c r="P105" s="414"/>
      <c r="Q105" s="414">
        <v>23407</v>
      </c>
      <c r="R105" s="414">
        <v>62419</v>
      </c>
    </row>
    <row r="106" ht="20.55" customHeight="1">
      <c r="A106" s="186">
        <v>45962</v>
      </c>
      <c r="B106" s="363" cm="1">
        <f t="array" ref="B106">SUM(D106,F106,O106,K106)</f>
        <v>437388</v>
      </c>
      <c r="C106" s="442"/>
      <c r="D106" s="364">
        <v>351552</v>
      </c>
      <c r="E106" s="442"/>
      <c r="F106" s="364" cm="1">
        <f t="array" ref="F106">SUM(H106)</f>
        <v>0</v>
      </c>
      <c r="G106" s="364"/>
      <c r="H106" s="364"/>
      <c r="I106" s="364">
        <v>416684</v>
      </c>
      <c r="J106" s="442"/>
      <c r="K106" s="364" cm="1">
        <f t="array" ref="K106">SUM(M106)</f>
        <v>0</v>
      </c>
      <c r="L106" s="364"/>
      <c r="M106" s="364"/>
      <c r="N106" s="442"/>
      <c r="O106" s="364" cm="1">
        <f t="array" ref="O106">SUM(Q106:R106)</f>
        <v>85836</v>
      </c>
      <c r="P106" s="364"/>
      <c r="Q106" s="364">
        <v>23410</v>
      </c>
      <c r="R106" s="364">
        <v>62426</v>
      </c>
    </row>
    <row r="107" ht="20.55" customHeight="1">
      <c r="A107" s="186">
        <v>45992</v>
      </c>
      <c r="B107" s="363" cm="1">
        <f t="array" ref="B107">SUM(D107,F107,O107,K107)</f>
        <v>438139</v>
      </c>
      <c r="C107" s="442"/>
      <c r="D107" s="364">
        <v>352300</v>
      </c>
      <c r="E107" s="442"/>
      <c r="F107" s="364" cm="1">
        <f t="array" ref="F107">SUM(H107)</f>
        <v>0</v>
      </c>
      <c r="G107" s="364"/>
      <c r="H107" s="364"/>
      <c r="I107" s="364"/>
      <c r="J107" s="442"/>
      <c r="K107" s="364" cm="1">
        <f t="array" ref="K107">SUM(M107)</f>
        <v>0</v>
      </c>
      <c r="L107" s="364"/>
      <c r="M107" s="364"/>
      <c r="N107" s="442"/>
      <c r="O107" s="364" cm="1">
        <f t="array" ref="O107">SUM(Q107:R107)</f>
        <v>85839</v>
      </c>
      <c r="P107" s="364"/>
      <c r="Q107" s="364">
        <v>23411</v>
      </c>
      <c r="R107" s="364">
        <v>62428</v>
      </c>
    </row>
    <row r="108" ht="20.55" customHeight="1">
      <c r="A108" s="186">
        <v>46023</v>
      </c>
      <c r="B108" s="363" cm="1">
        <f t="array" ref="B108">SUM(D108,F108,O108,K108)</f>
        <v>446453</v>
      </c>
      <c r="C108" s="442"/>
      <c r="D108" s="364">
        <v>360528</v>
      </c>
      <c r="E108" s="442"/>
      <c r="F108" s="364" cm="1">
        <f t="array" ref="F108">SUM(H108)</f>
        <v>0</v>
      </c>
      <c r="G108" s="364"/>
      <c r="H108" s="364"/>
      <c r="I108" s="364"/>
      <c r="J108" s="442"/>
      <c r="K108" s="364" cm="1">
        <f t="array" ref="K108">SUM(M108)</f>
        <v>0</v>
      </c>
      <c r="L108" s="364"/>
      <c r="M108" s="364"/>
      <c r="N108" s="442"/>
      <c r="O108" s="364" cm="1">
        <f t="array" ref="O108">SUM(Q108:R108)</f>
        <v>85925</v>
      </c>
      <c r="P108" s="364"/>
      <c r="Q108" s="364">
        <v>23434</v>
      </c>
      <c r="R108" s="364">
        <v>62491</v>
      </c>
    </row>
    <row r="109" ht="20.55" customHeight="1">
      <c r="A109" s="186">
        <v>46054</v>
      </c>
      <c r="B109" s="363" cm="1">
        <f t="array" ref="B109">SUM(D109,F109,O109,K109)</f>
        <v>447701</v>
      </c>
      <c r="C109" s="442"/>
      <c r="D109" s="364">
        <v>361776</v>
      </c>
      <c r="E109" s="442"/>
      <c r="F109" s="364" cm="1">
        <f t="array" ref="F109">SUM(H109)</f>
        <v>0</v>
      </c>
      <c r="G109" s="364"/>
      <c r="H109" s="364"/>
      <c r="I109" s="364"/>
      <c r="J109" s="442"/>
      <c r="K109" s="364" cm="1">
        <f t="array" ref="K109">SUM(M109)</f>
        <v>0</v>
      </c>
      <c r="L109" s="364"/>
      <c r="M109" s="364"/>
      <c r="N109" s="442"/>
      <c r="O109" s="364" cm="1">
        <f t="array" ref="O109">SUM(Q109:R109)</f>
        <v>85925</v>
      </c>
      <c r="P109" s="364"/>
      <c r="Q109" s="364">
        <v>23434</v>
      </c>
      <c r="R109" s="364">
        <v>62491</v>
      </c>
    </row>
    <row r="110" ht="20.55" customHeight="1">
      <c r="A110" s="186">
        <v>46082</v>
      </c>
      <c r="B110" s="363" cm="1">
        <f t="array" ref="B110">SUM(D110,F110,O110,K110)</f>
        <v>448170</v>
      </c>
      <c r="C110" s="442"/>
      <c r="D110" s="364">
        <v>362242</v>
      </c>
      <c r="E110" s="442"/>
      <c r="F110" s="364" cm="1">
        <f t="array" ref="F110">SUM(H110)</f>
        <v>0</v>
      </c>
      <c r="G110" s="364"/>
      <c r="H110" s="364"/>
      <c r="I110" s="364"/>
      <c r="J110" s="442"/>
      <c r="K110" s="364" cm="1">
        <f t="array" ref="K110">SUM(M110)</f>
        <v>0</v>
      </c>
      <c r="L110" s="364"/>
      <c r="M110" s="364"/>
      <c r="N110" s="442"/>
      <c r="O110" s="364" cm="1">
        <f t="array" ref="O110">SUM(Q110:R110)</f>
        <v>85928</v>
      </c>
      <c r="P110" s="364"/>
      <c r="Q110" s="364">
        <v>23435</v>
      </c>
      <c r="R110" s="364">
        <v>62493</v>
      </c>
    </row>
    <row r="111" ht="20.55" customHeight="1">
      <c r="A111" s="186">
        <v>46113</v>
      </c>
      <c r="B111" s="363" cm="1">
        <f t="array" ref="B111">SUM(D111,F111,O111,K111)</f>
        <v>0</v>
      </c>
      <c r="C111" s="442"/>
      <c r="D111" s="364" cm="1">
        <f t="array" ref="D111">'presupuesto - Ingreso líquido'!$B$17*0</f>
        <v>0</v>
      </c>
      <c r="E111" s="442"/>
      <c r="F111" s="364" cm="1">
        <f t="array" ref="F111">SUM(H111)</f>
        <v>0</v>
      </c>
      <c r="G111" s="364"/>
      <c r="H111" s="364"/>
      <c r="I111" s="364"/>
      <c r="J111" s="442"/>
      <c r="K111" s="364" cm="1">
        <f t="array" ref="K111">SUM(M111)</f>
        <v>0</v>
      </c>
      <c r="L111" s="364"/>
      <c r="M111" s="364"/>
      <c r="N111" s="442"/>
      <c r="O111" s="364" cm="1">
        <f t="array" ref="O111">SUM(Q111:R111)</f>
        <v>0</v>
      </c>
      <c r="P111" s="364"/>
      <c r="Q111" s="364" cm="1">
        <f t="array" ref="Q111">'presupuesto - Ingreso líquido'!$B$20*0</f>
        <v>0</v>
      </c>
      <c r="R111" s="364" cm="1">
        <f t="array" ref="R111">'presupuesto - Ingreso líquido'!$B$21*0</f>
        <v>0</v>
      </c>
    </row>
    <row r="112" ht="20.55" customHeight="1">
      <c r="A112" s="186">
        <v>46143</v>
      </c>
      <c r="B112" s="363" cm="1">
        <f t="array" ref="B112">SUM(D112,F112,O112,K112)</f>
        <v>-2772870</v>
      </c>
      <c r="C112" s="442"/>
      <c r="D112" s="443" cm="1">
        <f t="array" ref="D112">'presupuesto - Ingreso líquido'!$B$17*0+280644*0</f>
        <v>0</v>
      </c>
      <c r="E112" s="442"/>
      <c r="F112" s="364" cm="1">
        <f t="array" ref="F112">SUM(H112)</f>
        <v>0</v>
      </c>
      <c r="G112" s="364"/>
      <c r="H112" s="364"/>
      <c r="I112" s="364"/>
      <c r="J112" s="442"/>
      <c r="K112" s="364" cm="1">
        <f t="array" ref="K112">SUM(M112)</f>
        <v>0</v>
      </c>
      <c r="L112" s="364"/>
      <c r="M112" s="364"/>
      <c r="N112" s="442"/>
      <c r="O112" s="443">
        <v>-2772870</v>
      </c>
      <c r="P112" s="364"/>
      <c r="Q112" s="364" cm="1">
        <f t="array" ref="Q112">'presupuesto - Ingreso líquido'!$B$20*0</f>
        <v>0</v>
      </c>
      <c r="R112" s="364" cm="1">
        <f t="array" ref="R112">'presupuesto - Ingreso líquido'!$B$21*0</f>
        <v>0</v>
      </c>
    </row>
    <row r="113" ht="20.55" customHeight="1">
      <c r="A113" s="186">
        <v>46174</v>
      </c>
      <c r="B113" s="363" cm="1">
        <f t="array" ref="B113">SUM(D113,F113,O113,K113)</f>
        <v>0</v>
      </c>
      <c r="C113" s="442"/>
      <c r="D113" s="443" cm="1">
        <f t="array" ref="D113">'presupuesto - Ingreso líquido'!$B$17*0+125260*0</f>
        <v>0</v>
      </c>
      <c r="E113" s="442"/>
      <c r="F113" s="364" cm="1">
        <f t="array" ref="F113">SUM(H113)</f>
        <v>0</v>
      </c>
      <c r="G113" s="364"/>
      <c r="H113" s="364"/>
      <c r="I113" s="364"/>
      <c r="J113" s="442"/>
      <c r="K113" s="364" cm="1">
        <f t="array" ref="K113">SUM(M113)</f>
        <v>0</v>
      </c>
      <c r="L113" s="364"/>
      <c r="M113" s="364"/>
      <c r="N113" s="442"/>
      <c r="O113" s="443" cm="1">
        <f t="array" ref="O113">SUM(Q113:R113)-1280799*0</f>
        <v>0</v>
      </c>
      <c r="P113" s="364"/>
      <c r="Q113" s="364" cm="1">
        <f t="array" ref="Q113">'presupuesto - Ingreso líquido'!$B$20*0</f>
        <v>0</v>
      </c>
      <c r="R113" s="364" cm="1">
        <f t="array" ref="R113">'presupuesto - Ingreso líquido'!$B$21*0</f>
        <v>0</v>
      </c>
    </row>
    <row r="114" ht="20.55" customHeight="1">
      <c r="A114" s="186">
        <v>46204</v>
      </c>
      <c r="B114" s="363" cm="1">
        <f t="array" ref="B114">SUM(D114,F114,O114,K114)</f>
        <v>0</v>
      </c>
      <c r="C114" s="442"/>
      <c r="D114" s="364" cm="1">
        <f t="array" ref="D114">'presupuesto - Ingreso líquido'!$B$17*0</f>
        <v>0</v>
      </c>
      <c r="E114" s="442"/>
      <c r="F114" s="364" cm="1">
        <f t="array" ref="F114">SUM(H114)</f>
        <v>0</v>
      </c>
      <c r="G114" s="364"/>
      <c r="H114" s="364"/>
      <c r="I114" s="364"/>
      <c r="J114" s="442"/>
      <c r="K114" s="364" cm="1">
        <f t="array" ref="K114">SUM(M114)</f>
        <v>0</v>
      </c>
      <c r="L114" s="364"/>
      <c r="M114" s="364"/>
      <c r="N114" s="442"/>
      <c r="O114" s="364" cm="1">
        <f t="array" ref="O114">SUM(Q114:R114)</f>
        <v>0</v>
      </c>
      <c r="P114" s="364"/>
      <c r="Q114" s="364" cm="1">
        <f t="array" ref="Q114">'presupuesto - Ingreso líquido'!$B$20*0</f>
        <v>0</v>
      </c>
      <c r="R114" s="364" cm="1">
        <f t="array" ref="R114">'presupuesto - Ingreso líquido'!$B$21*0</f>
        <v>0</v>
      </c>
    </row>
    <row r="115" ht="20.55" customHeight="1">
      <c r="A115" s="186">
        <v>46235</v>
      </c>
      <c r="B115" s="363" cm="1">
        <f t="array" ref="B115">SUM(D115,F115,O115,K115)</f>
        <v>0</v>
      </c>
      <c r="C115" s="442"/>
      <c r="D115" s="364" cm="1">
        <f t="array" ref="D115">'presupuesto - Ingreso líquido'!$B$17*0</f>
        <v>0</v>
      </c>
      <c r="E115" s="442"/>
      <c r="F115" s="364" cm="1">
        <f t="array" ref="F115">SUM(H115)</f>
        <v>0</v>
      </c>
      <c r="G115" s="364"/>
      <c r="H115" s="364"/>
      <c r="I115" s="364"/>
      <c r="J115" s="442"/>
      <c r="K115" s="364" cm="1">
        <f t="array" ref="K115">SUM(M115)</f>
        <v>0</v>
      </c>
      <c r="L115" s="364"/>
      <c r="M115" s="364"/>
      <c r="N115" s="442"/>
      <c r="O115" s="364" cm="1">
        <f t="array" ref="O115">SUM(Q115:R115)</f>
        <v>0</v>
      </c>
      <c r="P115" s="364"/>
      <c r="Q115" s="364" cm="1">
        <f t="array" ref="Q115">'presupuesto - Ingreso líquido'!$B$20*0</f>
        <v>0</v>
      </c>
      <c r="R115" s="364" cm="1">
        <f t="array" ref="R115">'presupuesto - Ingreso líquido'!$B$21*0</f>
        <v>0</v>
      </c>
    </row>
    <row r="116" ht="20.55" customHeight="1">
      <c r="A116" s="196">
        <v>46266</v>
      </c>
      <c r="B116" s="384" cm="1">
        <f t="array" ref="B116">SUM(D116,F116,O116,K116)</f>
        <v>0</v>
      </c>
      <c r="C116" s="444"/>
      <c r="D116" s="422" cm="1">
        <f t="array" ref="D116">'presupuesto - Ingreso líquido'!$B$17*0</f>
        <v>0</v>
      </c>
      <c r="E116" s="444"/>
      <c r="F116" s="422" cm="1">
        <f t="array" ref="F116">SUM(H116)</f>
        <v>0</v>
      </c>
      <c r="G116" s="422"/>
      <c r="H116" s="422"/>
      <c r="I116" s="422"/>
      <c r="J116" s="444"/>
      <c r="K116" s="422" cm="1">
        <f t="array" ref="K116">SUM(M116)</f>
        <v>0</v>
      </c>
      <c r="L116" s="422"/>
      <c r="M116" s="422"/>
      <c r="N116" s="444"/>
      <c r="O116" s="422" cm="1">
        <f t="array" ref="O116">SUM(Q116:R116)</f>
        <v>0</v>
      </c>
      <c r="P116" s="422"/>
      <c r="Q116" s="422" cm="1">
        <f t="array" ref="Q116">'presupuesto - Ingreso líquido'!$B$20*0</f>
        <v>0</v>
      </c>
      <c r="R116" s="422" cm="1">
        <f t="array" ref="R116">'presupuesto - Ingreso líquido'!$B$21*0</f>
        <v>0</v>
      </c>
    </row>
    <row r="117" ht="20.55" customHeight="1">
      <c r="A117" t="s" s="86">
        <v>665</v>
      </c>
      <c r="B117" s="414" cm="1">
        <f t="array" ref="B117">SUM(D117,F117,O117,K$117)</f>
        <v>42535320</v>
      </c>
      <c r="C117" s="445"/>
      <c r="D117" s="234" cm="1">
        <f t="array" ref="D117">SUM(D4:D116)</f>
        <v>17869666</v>
      </c>
      <c r="E117" s="445"/>
      <c r="F117" s="234" cm="1">
        <f t="array" ref="F117">SUM(F4:F116)</f>
        <v>15719680</v>
      </c>
      <c r="G117" s="234"/>
      <c r="H117" s="234" cm="1">
        <f t="array" ref="H117">SUM(H4:H116,I$117)</f>
        <v>18677476</v>
      </c>
      <c r="I117" s="234" cm="1">
        <f t="array" ref="I117">SUM(I4:I116)</f>
        <v>2957796</v>
      </c>
      <c r="J117" s="445"/>
      <c r="K117" s="234" cm="1">
        <f t="array" ref="K117">SUM(M$117)</f>
        <v>8280000</v>
      </c>
      <c r="L117" s="234"/>
      <c r="M117" s="234" cm="1">
        <f t="array" ref="M117">SUM(M4:M116)</f>
        <v>8280000</v>
      </c>
      <c r="N117" s="445"/>
      <c r="O117" s="234" cm="1">
        <f t="array" ref="O117">SUM(O4:O116)</f>
        <v>665974</v>
      </c>
      <c r="P117" s="234"/>
      <c r="Q117" s="234"/>
      <c r="R117" s="234"/>
    </row>
    <row r="118" ht="20.3" customHeight="1">
      <c r="A118" t="s" s="56">
        <v>757</v>
      </c>
      <c r="B118" s="364" cm="1">
        <f t="array" ref="B118">SUM(D118,F118,O118,K$118)</f>
        <v>93254171</v>
      </c>
      <c r="C118" s="446"/>
      <c r="D118" s="426" cm="1">
        <f t="array" ref="D118">'net worth - balances'!B11+D$3</f>
        <v>28084955</v>
      </c>
      <c r="E118" s="446"/>
      <c r="F118" s="371" cm="1">
        <f t="array" ref="F118">H$118</f>
        <v>44047447</v>
      </c>
      <c r="G118" s="426"/>
      <c r="H118" s="426" cm="1">
        <f t="array" ref="H118">'net worth - balances'!B9</f>
        <v>44047447</v>
      </c>
      <c r="I118" s="374"/>
      <c r="J118" s="446"/>
      <c r="K118" s="371" cm="1">
        <f t="array" ref="K118">M$118</f>
        <v>19827694</v>
      </c>
      <c r="L118" s="426"/>
      <c r="M118" s="426" cm="1">
        <f t="array" ref="M118">'net worth - balances'!B10</f>
        <v>19827694</v>
      </c>
      <c r="N118" s="446"/>
      <c r="O118" s="371" cm="1">
        <f t="array" ref="O118">'net worth - balances'!B12+O$3</f>
        <v>1294075</v>
      </c>
      <c r="P118" s="426"/>
      <c r="Q118" s="447"/>
      <c r="R118" s="374"/>
    </row>
    <row r="119" ht="20.3" customHeight="1">
      <c r="A119" t="s" s="56">
        <v>65</v>
      </c>
      <c r="B119" s="364" cm="1">
        <f t="array" ref="B119">SUM(D119,F119,O119,K$119)</f>
        <v>50718851</v>
      </c>
      <c r="C119" s="446"/>
      <c r="D119" s="426" cm="1">
        <f t="array" ref="D119">D$118-D$117</f>
        <v>10215289</v>
      </c>
      <c r="E119" s="446"/>
      <c r="F119" s="426" cm="1">
        <f t="array" ref="F119">F$118-F$117</f>
        <v>28327767</v>
      </c>
      <c r="G119" s="426"/>
      <c r="H119" s="426" cm="1">
        <f t="array" ref="H119">H$118-H$117</f>
        <v>25369971</v>
      </c>
      <c r="I119" s="426"/>
      <c r="J119" s="446"/>
      <c r="K119" s="426" cm="1">
        <f t="array" ref="K119">K$118-K$117</f>
        <v>11547694</v>
      </c>
      <c r="L119" s="426"/>
      <c r="M119" s="426" cm="1">
        <f t="array" ref="M119">M$118-M$117</f>
        <v>11547694</v>
      </c>
      <c r="N119" s="446"/>
      <c r="O119" s="426" cm="1">
        <f t="array" ref="O119">O$118-O$117</f>
        <v>628101</v>
      </c>
      <c r="P119" s="426"/>
      <c r="Q119" s="448"/>
      <c r="R119" s="448"/>
    </row>
    <row r="120" ht="20.3" customHeight="1">
      <c r="A120" t="s" s="449">
        <v>759</v>
      </c>
      <c r="B120" s="431" cm="1">
        <f t="array" ref="B120">_xlfn.IFERROR(B$118/B$117-1,0)</f>
        <v>1.19239378003974</v>
      </c>
      <c r="C120" s="450"/>
      <c r="D120" s="431" cm="1">
        <f t="array" ref="D120">_xlfn.IFERROR(D$118/D$117-1,0)</f>
        <v>0.5716552844356459</v>
      </c>
      <c r="E120" s="450"/>
      <c r="F120" s="431" cm="1">
        <f t="array" ref="F120">_xlfn.IFERROR(F$118/F$117-1,0)</f>
        <v>1.80205748463073</v>
      </c>
      <c r="G120" s="431"/>
      <c r="H120" s="431" cm="1">
        <f t="array" ref="H120">_xlfn.IFERROR(H$118/H$117-1,0)</f>
        <v>1.35831902554713</v>
      </c>
      <c r="I120" s="431"/>
      <c r="J120" s="450"/>
      <c r="K120" s="431" cm="1">
        <f t="array" ref="K120">_xlfn.IFERROR(K$118/K$117-1,0)</f>
        <v>1.39464903381643</v>
      </c>
      <c r="L120" s="431"/>
      <c r="M120" s="431" cm="1">
        <f t="array" ref="M120">_xlfn.IFERROR(M$118/M$117-1,0)</f>
        <v>1.39464903381643</v>
      </c>
      <c r="N120" s="450"/>
      <c r="O120" s="431" cm="1">
        <f t="array" ref="O120">_xlfn.IFERROR(O$118/O$117-1,0)</f>
        <v>0.943131413538667</v>
      </c>
      <c r="P120" s="431"/>
      <c r="Q120" s="451"/>
      <c r="R120" s="451"/>
    </row>
  </sheetData>
  <mergeCells count="1">
    <mergeCell ref="A1:R1"/>
  </mergeCells>
  <conditionalFormatting sqref="B120 D120 F120 H120:I120 K120 M120 O120">
    <cfRule type="cellIs" dxfId="14" priority="1" operator="greaterThan" stopIfTrue="1">
      <formula>2</formula>
    </cfRule>
    <cfRule type="cellIs" dxfId="15" priority="2" operator="lessThan"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2:J119"/>
  <sheetViews>
    <sheetView workbookViewId="0" showGridLines="0" defaultGridColor="1">
      <pane topLeftCell="B4" xSplit="1" ySplit="3" activePane="bottomRight" state="frozen"/>
    </sheetView>
  </sheetViews>
  <sheetFormatPr defaultColWidth="16.3333" defaultRowHeight="18" customHeight="1" outlineLevelRow="0" outlineLevelCol="0"/>
  <cols>
    <col min="1" max="1" width="16.3516" style="452" customWidth="1"/>
    <col min="2" max="2" width="17.5312" style="452" customWidth="1"/>
    <col min="3" max="3" width="1.40625" style="452" customWidth="1"/>
    <col min="4" max="4" width="16.3516" style="452" customWidth="1"/>
    <col min="5" max="5" width="1.40625" style="452" customWidth="1"/>
    <col min="6" max="6" width="16.3516" style="452" customWidth="1"/>
    <col min="7" max="7" width="1.40625" style="452" customWidth="1"/>
    <col min="8" max="8" width="16.3516" style="452" customWidth="1"/>
    <col min="9" max="9" width="1.40625" style="452" customWidth="1"/>
    <col min="10" max="10" width="16.3516" style="452" customWidth="1"/>
    <col min="11" max="16384" width="16.3516" style="452" customWidth="1"/>
  </cols>
  <sheetData>
    <row r="1" ht="28" customHeight="1">
      <c r="A1" t="s" s="90">
        <v>691</v>
      </c>
      <c r="B1" s="90"/>
      <c r="C1" s="90"/>
      <c r="D1" s="90"/>
      <c r="E1" s="90"/>
      <c r="F1" s="90"/>
      <c r="G1" s="90"/>
      <c r="H1" s="90"/>
      <c r="I1" s="90"/>
      <c r="J1" s="90"/>
    </row>
    <row r="2" ht="20.15" customHeight="1">
      <c r="A2" s="217"/>
      <c r="B2" s="217"/>
      <c r="C2" s="217"/>
      <c r="D2" t="s" s="218">
        <v>85</v>
      </c>
      <c r="E2" s="217"/>
      <c r="F2" s="217"/>
      <c r="G2" s="217"/>
      <c r="H2" s="217"/>
      <c r="I2" s="217"/>
      <c r="J2" s="217"/>
    </row>
    <row r="3" ht="20.35" customHeight="1">
      <c r="A3" s="7"/>
      <c r="B3" s="453"/>
      <c r="C3" s="7"/>
      <c r="D3" s="7"/>
      <c r="E3" s="454"/>
      <c r="F3" t="s" s="455">
        <v>769</v>
      </c>
      <c r="G3" s="7"/>
      <c r="H3" s="454"/>
      <c r="I3" s="454"/>
      <c r="J3" t="s" s="455">
        <v>770</v>
      </c>
    </row>
    <row r="4" ht="8.75" customHeight="1" hidden="1">
      <c r="A4" s="400">
        <v>42887</v>
      </c>
      <c r="B4" s="349">
        <v>1000000</v>
      </c>
      <c r="C4" s="456"/>
      <c r="D4" s="350" cm="1">
        <f t="array" ref="D4">SUM(F4)</f>
        <v>1000000</v>
      </c>
      <c r="E4" s="402"/>
      <c r="F4" s="402">
        <v>1000000</v>
      </c>
      <c r="G4" s="456"/>
      <c r="H4" s="402"/>
      <c r="I4" s="402"/>
      <c r="J4" s="402"/>
    </row>
    <row r="5" ht="20.25" customHeight="1" hidden="1">
      <c r="A5" s="400">
        <v>42917</v>
      </c>
      <c r="B5" s="349">
        <v>0</v>
      </c>
      <c r="C5" s="456"/>
      <c r="D5" s="350" cm="1">
        <f t="array" ref="D5">SUM(F5)</f>
        <v>0</v>
      </c>
      <c r="E5" s="402"/>
      <c r="F5" s="402"/>
      <c r="G5" s="456"/>
      <c r="H5" s="402"/>
      <c r="I5" s="402"/>
      <c r="J5" s="402"/>
    </row>
    <row r="6" ht="20.25" customHeight="1" hidden="1">
      <c r="A6" s="400">
        <v>42948</v>
      </c>
      <c r="B6" s="349">
        <v>0</v>
      </c>
      <c r="C6" s="456"/>
      <c r="D6" s="350" cm="1">
        <f t="array" ref="D6">SUM(F6)</f>
        <v>0</v>
      </c>
      <c r="E6" s="402"/>
      <c r="F6" s="402"/>
      <c r="G6" s="456"/>
      <c r="H6" s="402"/>
      <c r="I6" s="402"/>
      <c r="J6" s="402"/>
    </row>
    <row r="7" ht="20.25" customHeight="1" hidden="1">
      <c r="A7" s="400">
        <v>42979</v>
      </c>
      <c r="B7" s="349">
        <v>0</v>
      </c>
      <c r="C7" s="456"/>
      <c r="D7" s="350" cm="1">
        <f t="array" ref="D7">SUM(F7)</f>
        <v>0</v>
      </c>
      <c r="E7" s="402"/>
      <c r="F7" s="402"/>
      <c r="G7" s="456"/>
      <c r="H7" s="402"/>
      <c r="I7" s="402"/>
      <c r="J7" s="402"/>
    </row>
    <row r="8" ht="20.25" customHeight="1" hidden="1">
      <c r="A8" s="400">
        <v>43009</v>
      </c>
      <c r="B8" s="349" cm="1">
        <f t="array" ref="B8">D8</f>
        <v>200000</v>
      </c>
      <c r="C8" s="456"/>
      <c r="D8" s="350" cm="1">
        <f t="array" ref="D8">SUM(F8)</f>
        <v>200000</v>
      </c>
      <c r="E8" s="402"/>
      <c r="F8" s="402">
        <v>200000</v>
      </c>
      <c r="G8" s="456"/>
      <c r="H8" s="402"/>
      <c r="I8" s="402"/>
      <c r="J8" s="402"/>
    </row>
    <row r="9" ht="20.25" customHeight="1" hidden="1">
      <c r="A9" s="400">
        <v>43040</v>
      </c>
      <c r="B9" s="349">
        <v>350000</v>
      </c>
      <c r="C9" s="456"/>
      <c r="D9" s="350" cm="1">
        <f t="array" ref="D9">SUM(F9)</f>
        <v>350000</v>
      </c>
      <c r="E9" s="402"/>
      <c r="F9" s="402">
        <v>350000</v>
      </c>
      <c r="G9" s="456"/>
      <c r="H9" s="402"/>
      <c r="I9" s="402"/>
      <c r="J9" s="402"/>
    </row>
    <row r="10" ht="20.25" customHeight="1" hidden="1">
      <c r="A10" s="400">
        <v>43070</v>
      </c>
      <c r="B10" s="349">
        <v>200000</v>
      </c>
      <c r="C10" s="456"/>
      <c r="D10" s="350" cm="1">
        <f t="array" ref="D10">SUM(F10)</f>
        <v>0</v>
      </c>
      <c r="E10" s="402"/>
      <c r="F10" s="402"/>
      <c r="G10" s="456"/>
      <c r="H10" s="402"/>
      <c r="I10" s="402"/>
      <c r="J10" s="402"/>
    </row>
    <row r="11" ht="20.25" customHeight="1" hidden="1">
      <c r="A11" s="400">
        <v>43101</v>
      </c>
      <c r="B11" s="349">
        <v>0</v>
      </c>
      <c r="C11" s="456"/>
      <c r="D11" s="350" cm="1">
        <f t="array" ref="D11">SUM(F11)</f>
        <v>0</v>
      </c>
      <c r="E11" s="402"/>
      <c r="F11" s="402"/>
      <c r="G11" s="456"/>
      <c r="H11" s="402"/>
      <c r="I11" s="402"/>
      <c r="J11" s="402"/>
    </row>
    <row r="12" ht="20.25" customHeight="1" hidden="1">
      <c r="A12" s="400">
        <v>43132</v>
      </c>
      <c r="B12" s="349">
        <v>200000</v>
      </c>
      <c r="C12" s="456"/>
      <c r="D12" s="350" cm="1">
        <f t="array" ref="D12">SUM(F12)</f>
        <v>0</v>
      </c>
      <c r="E12" s="402"/>
      <c r="F12" s="402"/>
      <c r="G12" s="456"/>
      <c r="H12" s="402"/>
      <c r="I12" s="402"/>
      <c r="J12" s="402"/>
    </row>
    <row r="13" ht="20.25" customHeight="1" hidden="1">
      <c r="A13" s="400">
        <v>43160</v>
      </c>
      <c r="B13" s="349" cm="1">
        <f t="array" ref="B13">D13</f>
        <v>150000</v>
      </c>
      <c r="C13" s="456"/>
      <c r="D13" s="350" cm="1">
        <f t="array" ref="D13">SUM(F13)</f>
        <v>150000</v>
      </c>
      <c r="E13" s="402"/>
      <c r="F13" s="402" cm="1">
        <f t="array" ref="F13">150000</f>
        <v>150000</v>
      </c>
      <c r="G13" s="456"/>
      <c r="H13" s="402"/>
      <c r="I13" s="402"/>
      <c r="J13" s="402"/>
    </row>
    <row r="14" ht="20.45" customHeight="1" hidden="1">
      <c r="A14" s="400">
        <v>43191</v>
      </c>
      <c r="B14" s="349">
        <v>250000</v>
      </c>
      <c r="C14" s="456"/>
      <c r="D14" s="350" cm="1">
        <f t="array" ref="D14">SUM(F14)</f>
        <v>150000</v>
      </c>
      <c r="E14" s="402"/>
      <c r="F14" s="402">
        <v>150000</v>
      </c>
      <c r="G14" s="456"/>
      <c r="H14" s="402"/>
      <c r="I14" s="402"/>
      <c r="J14" s="402"/>
    </row>
    <row r="15" ht="20.45" customHeight="1" hidden="1">
      <c r="A15" s="400">
        <v>43221</v>
      </c>
      <c r="B15" s="349">
        <v>0</v>
      </c>
      <c r="C15" s="456"/>
      <c r="D15" s="350" cm="1">
        <f t="array" ref="D15">SUM(F15)</f>
        <v>0</v>
      </c>
      <c r="E15" s="402"/>
      <c r="F15" s="402"/>
      <c r="G15" s="456"/>
      <c r="H15" s="402"/>
      <c r="I15" s="402"/>
      <c r="J15" s="402"/>
    </row>
    <row r="16" ht="20.45" customHeight="1" hidden="1">
      <c r="A16" s="400">
        <v>43252</v>
      </c>
      <c r="B16" s="349">
        <v>150000</v>
      </c>
      <c r="C16" s="456"/>
      <c r="D16" s="350" cm="1">
        <f t="array" ref="D16">SUM(F16)</f>
        <v>150000</v>
      </c>
      <c r="E16" s="402"/>
      <c r="F16" s="402">
        <v>150000</v>
      </c>
      <c r="G16" s="456"/>
      <c r="H16" s="402"/>
      <c r="I16" s="402"/>
      <c r="J16" s="402"/>
    </row>
    <row r="17" ht="20.45" customHeight="1" hidden="1">
      <c r="A17" s="400">
        <v>43282</v>
      </c>
      <c r="B17" s="349" cm="1">
        <f t="array" ref="B17">D17-700000</f>
        <v>150000</v>
      </c>
      <c r="C17" s="456"/>
      <c r="D17" s="350" cm="1">
        <f t="array" ref="D17">SUM(F17)</f>
        <v>850000</v>
      </c>
      <c r="E17" s="402"/>
      <c r="F17" s="402" cm="1">
        <f t="array" ref="F17">150000+700000</f>
        <v>850000</v>
      </c>
      <c r="G17" s="456"/>
      <c r="H17" s="402"/>
      <c r="I17" s="402"/>
      <c r="J17" s="402"/>
    </row>
    <row r="18" ht="20.45" customHeight="1" hidden="1">
      <c r="A18" s="400">
        <v>43313</v>
      </c>
      <c r="B18" s="349" cm="1">
        <f t="array" ref="B18">D18</f>
        <v>0</v>
      </c>
      <c r="C18" s="456"/>
      <c r="D18" s="350" cm="1">
        <f t="array" ref="D18">SUM(F18)</f>
        <v>0</v>
      </c>
      <c r="E18" s="402"/>
      <c r="F18" s="402"/>
      <c r="G18" s="456"/>
      <c r="H18" s="402"/>
      <c r="I18" s="402"/>
      <c r="J18" s="402"/>
    </row>
    <row r="19" ht="20.45" customHeight="1" hidden="1">
      <c r="A19" s="400">
        <v>43344</v>
      </c>
      <c r="B19" s="349" cm="1">
        <f t="array" ref="B19">D19</f>
        <v>150000</v>
      </c>
      <c r="C19" s="456"/>
      <c r="D19" s="350" cm="1">
        <f t="array" ref="D19">SUM(F19)</f>
        <v>150000</v>
      </c>
      <c r="E19" s="402"/>
      <c r="F19" s="402">
        <v>150000</v>
      </c>
      <c r="G19" s="456"/>
      <c r="H19" s="402"/>
      <c r="I19" s="402"/>
      <c r="J19" s="402"/>
    </row>
    <row r="20" ht="20.45" customHeight="1" hidden="1">
      <c r="A20" s="400">
        <v>43374</v>
      </c>
      <c r="B20" s="349" cm="1">
        <f t="array" ref="B20">D20</f>
        <v>250000</v>
      </c>
      <c r="C20" s="456"/>
      <c r="D20" s="350" cm="1">
        <f t="array" ref="D20">SUM(F20)</f>
        <v>250000</v>
      </c>
      <c r="E20" s="402"/>
      <c r="F20" s="402">
        <v>250000</v>
      </c>
      <c r="G20" s="456"/>
      <c r="H20" s="402"/>
      <c r="I20" s="402"/>
      <c r="J20" s="402"/>
    </row>
    <row r="21" ht="20.45" customHeight="1" hidden="1">
      <c r="A21" s="400">
        <v>43405</v>
      </c>
      <c r="B21" s="349" cm="1">
        <f t="array" ref="B21">D21</f>
        <v>450000</v>
      </c>
      <c r="C21" s="456"/>
      <c r="D21" s="350" cm="1">
        <f t="array" ref="D21">SUM(F21)</f>
        <v>450000</v>
      </c>
      <c r="E21" s="402"/>
      <c r="F21" s="402">
        <v>450000</v>
      </c>
      <c r="G21" s="456"/>
      <c r="H21" s="402"/>
      <c r="I21" s="402"/>
      <c r="J21" s="402"/>
    </row>
    <row r="22" ht="20.35" customHeight="1" hidden="1">
      <c r="A22" s="400">
        <v>43435</v>
      </c>
      <c r="B22" s="349" cm="1">
        <f t="array" ref="B22">D22</f>
        <v>600000</v>
      </c>
      <c r="C22" s="456"/>
      <c r="D22" s="350" cm="1">
        <f t="array" ref="D22">SUM(F22)</f>
        <v>600000</v>
      </c>
      <c r="E22" s="402"/>
      <c r="F22" s="402">
        <v>600000</v>
      </c>
      <c r="G22" s="456"/>
      <c r="H22" s="402"/>
      <c r="I22" s="402"/>
      <c r="J22" s="402"/>
    </row>
    <row r="23" ht="20.35" customHeight="1" hidden="1">
      <c r="A23" s="400">
        <v>43466</v>
      </c>
      <c r="B23" s="349" cm="1">
        <f t="array" ref="B23">D23</f>
        <v>300000</v>
      </c>
      <c r="C23" s="456"/>
      <c r="D23" s="350" cm="1">
        <f t="array" ref="D23">SUM(F23)</f>
        <v>300000</v>
      </c>
      <c r="E23" s="402"/>
      <c r="F23" s="402">
        <v>300000</v>
      </c>
      <c r="G23" s="456"/>
      <c r="H23" s="402"/>
      <c r="I23" s="402"/>
      <c r="J23" s="402"/>
    </row>
    <row r="24" ht="20.35" customHeight="1" hidden="1">
      <c r="A24" s="400">
        <v>43497</v>
      </c>
      <c r="B24" s="349" cm="1">
        <f t="array" ref="B24">D24</f>
        <v>700000</v>
      </c>
      <c r="C24" s="456"/>
      <c r="D24" s="350" cm="1">
        <f t="array" ref="D24">SUM(F24)</f>
        <v>700000</v>
      </c>
      <c r="E24" s="402"/>
      <c r="F24" s="402">
        <v>700000</v>
      </c>
      <c r="G24" s="456"/>
      <c r="H24" s="402"/>
      <c r="I24" s="402"/>
      <c r="J24" s="402"/>
    </row>
    <row r="25" ht="20.35" customHeight="1" hidden="1">
      <c r="A25" s="400">
        <v>43525</v>
      </c>
      <c r="B25" s="349" cm="1">
        <f t="array" ref="B25">D25</f>
        <v>1100000</v>
      </c>
      <c r="C25" s="456"/>
      <c r="D25" s="350" cm="1">
        <f t="array" ref="D25">SUM(F25)</f>
        <v>1100000</v>
      </c>
      <c r="E25" s="402"/>
      <c r="F25" s="402" cm="1">
        <f t="array" ref="F25">700000+400000</f>
        <v>1100000</v>
      </c>
      <c r="G25" s="456"/>
      <c r="H25" s="402"/>
      <c r="I25" s="402"/>
      <c r="J25" s="402"/>
    </row>
    <row r="26" ht="20.35" customHeight="1" hidden="1">
      <c r="A26" s="400">
        <v>43556</v>
      </c>
      <c r="B26" s="349" cm="1">
        <f t="array" ref="B26">D26</f>
        <v>700000</v>
      </c>
      <c r="C26" s="456"/>
      <c r="D26" s="350" cm="1">
        <f t="array" ref="D26">SUM(F26)</f>
        <v>700000</v>
      </c>
      <c r="E26" s="402"/>
      <c r="F26" s="402">
        <v>700000</v>
      </c>
      <c r="G26" s="456"/>
      <c r="H26" s="402"/>
      <c r="I26" s="402"/>
      <c r="J26" s="402"/>
    </row>
    <row r="27" ht="20.35" customHeight="1" hidden="1">
      <c r="A27" s="400">
        <v>43586</v>
      </c>
      <c r="B27" s="349" cm="1">
        <f t="array" ref="B27">D27</f>
        <v>1000000</v>
      </c>
      <c r="C27" s="456"/>
      <c r="D27" s="350" cm="1">
        <f t="array" ref="D27">SUM(F27)</f>
        <v>1000000</v>
      </c>
      <c r="E27" s="402"/>
      <c r="F27" s="402">
        <v>1000000</v>
      </c>
      <c r="G27" s="456"/>
      <c r="H27" s="402"/>
      <c r="I27" s="402"/>
      <c r="J27" s="402"/>
    </row>
    <row r="28" ht="20.35" customHeight="1" hidden="1">
      <c r="A28" s="400">
        <v>43617</v>
      </c>
      <c r="B28" s="349" cm="1">
        <f t="array" ref="B28">D28</f>
        <v>1000000</v>
      </c>
      <c r="C28" s="456"/>
      <c r="D28" s="350" cm="1">
        <f t="array" ref="D28">SUM(F28)</f>
        <v>1000000</v>
      </c>
      <c r="E28" s="402"/>
      <c r="F28" s="402" cm="1">
        <f t="array" ref="F28">1000000</f>
        <v>1000000</v>
      </c>
      <c r="G28" s="456"/>
      <c r="H28" s="402"/>
      <c r="I28" s="402"/>
      <c r="J28" s="402"/>
    </row>
    <row r="29" ht="20.35" customHeight="1" hidden="1">
      <c r="A29" s="400">
        <v>43647</v>
      </c>
      <c r="B29" s="349" cm="1">
        <f t="array" ref="B29">D29</f>
        <v>300000</v>
      </c>
      <c r="C29" s="456"/>
      <c r="D29" s="350" cm="1">
        <f t="array" ref="D29">SUM(F29)</f>
        <v>300000</v>
      </c>
      <c r="E29" s="402"/>
      <c r="F29" s="402">
        <v>300000</v>
      </c>
      <c r="G29" s="456"/>
      <c r="H29" s="402"/>
      <c r="I29" s="402"/>
      <c r="J29" s="402"/>
    </row>
    <row r="30" ht="20.35" customHeight="1" hidden="1">
      <c r="A30" s="400">
        <v>43678</v>
      </c>
      <c r="B30" s="349" cm="1">
        <f t="array" ref="B30">D30</f>
        <v>0</v>
      </c>
      <c r="C30" s="456"/>
      <c r="D30" s="350" cm="1">
        <f t="array" ref="D30">SUM(F30)</f>
        <v>0</v>
      </c>
      <c r="E30" s="402"/>
      <c r="F30" s="402"/>
      <c r="G30" s="456"/>
      <c r="H30" s="402"/>
      <c r="I30" s="402"/>
      <c r="J30" s="402"/>
    </row>
    <row r="31" ht="20.35" customHeight="1" hidden="1">
      <c r="A31" s="400">
        <v>43709</v>
      </c>
      <c r="B31" s="349" cm="1">
        <f t="array" ref="B31">D31</f>
        <v>600000</v>
      </c>
      <c r="C31" s="456"/>
      <c r="D31" s="350" cm="1">
        <f t="array" ref="D31">SUM(F31)</f>
        <v>600000</v>
      </c>
      <c r="E31" s="402"/>
      <c r="F31" s="402">
        <v>600000</v>
      </c>
      <c r="G31" s="456"/>
      <c r="H31" s="402"/>
      <c r="I31" s="402"/>
      <c r="J31" s="402"/>
    </row>
    <row r="32" ht="20.35" customHeight="1" hidden="1">
      <c r="A32" s="400">
        <v>43739</v>
      </c>
      <c r="B32" s="349" cm="1">
        <f t="array" ref="B32">D32</f>
        <v>300000</v>
      </c>
      <c r="C32" s="456"/>
      <c r="D32" s="350" cm="1">
        <f t="array" ref="D32">SUM(F32)</f>
        <v>300000</v>
      </c>
      <c r="E32" s="402"/>
      <c r="F32" s="402">
        <v>300000</v>
      </c>
      <c r="G32" s="456"/>
      <c r="H32" s="402"/>
      <c r="I32" s="402"/>
      <c r="J32" s="402"/>
    </row>
    <row r="33" ht="20.35" customHeight="1" hidden="1">
      <c r="A33" s="400">
        <v>43770</v>
      </c>
      <c r="B33" s="349" cm="1">
        <f t="array" ref="B33">D33</f>
        <v>300000</v>
      </c>
      <c r="C33" s="456"/>
      <c r="D33" s="350" cm="1">
        <f t="array" ref="D33">SUM(F33)</f>
        <v>300000</v>
      </c>
      <c r="E33" s="402"/>
      <c r="F33" s="402">
        <v>300000</v>
      </c>
      <c r="G33" s="456"/>
      <c r="H33" s="402"/>
      <c r="I33" s="402"/>
      <c r="J33" s="402"/>
    </row>
    <row r="34" ht="20.35" customHeight="1" hidden="1">
      <c r="A34" s="400">
        <v>43800</v>
      </c>
      <c r="B34" s="349" cm="1">
        <f t="array" ref="B34">D34</f>
        <v>0</v>
      </c>
      <c r="C34" s="456"/>
      <c r="D34" s="350" cm="1">
        <f t="array" ref="D34">SUM(F34)</f>
        <v>0</v>
      </c>
      <c r="E34" s="402"/>
      <c r="F34" s="402"/>
      <c r="G34" s="456"/>
      <c r="H34" s="402"/>
      <c r="I34" s="402"/>
      <c r="J34" s="402"/>
    </row>
    <row r="35" ht="20.35" customHeight="1" hidden="1">
      <c r="A35" s="400">
        <v>43831</v>
      </c>
      <c r="B35" s="349" cm="1">
        <f t="array" ref="B35">D35</f>
        <v>0</v>
      </c>
      <c r="C35" s="456"/>
      <c r="D35" s="350" cm="1">
        <f t="array" ref="D35">SUM(F35)</f>
        <v>0</v>
      </c>
      <c r="E35" s="402"/>
      <c r="F35" s="402"/>
      <c r="G35" s="456"/>
      <c r="H35" s="402"/>
      <c r="I35" s="402"/>
      <c r="J35" s="402"/>
    </row>
    <row r="36" ht="20.35" customHeight="1" hidden="1">
      <c r="A36" s="400">
        <v>43862</v>
      </c>
      <c r="B36" s="349" cm="1">
        <f t="array" ref="B36">D36</f>
        <v>0</v>
      </c>
      <c r="C36" s="456"/>
      <c r="D36" s="350" cm="1">
        <f t="array" ref="D36">SUM(F36)</f>
        <v>0</v>
      </c>
      <c r="E36" s="402"/>
      <c r="F36" s="402"/>
      <c r="G36" s="456"/>
      <c r="H36" s="402"/>
      <c r="I36" s="402"/>
      <c r="J36" s="402"/>
    </row>
    <row r="37" ht="20.35" customHeight="1" hidden="1">
      <c r="A37" s="400">
        <v>43891</v>
      </c>
      <c r="B37" s="349" cm="1">
        <f t="array" ref="B37">D37</f>
        <v>0</v>
      </c>
      <c r="C37" s="456"/>
      <c r="D37" s="350" cm="1">
        <f t="array" ref="D37">SUM(F37)</f>
        <v>0</v>
      </c>
      <c r="E37" s="402"/>
      <c r="F37" s="402"/>
      <c r="G37" s="456"/>
      <c r="H37" s="402"/>
      <c r="I37" s="402"/>
      <c r="J37" s="402"/>
    </row>
    <row r="38" ht="20.35" customHeight="1" hidden="1">
      <c r="A38" s="400">
        <v>43922</v>
      </c>
      <c r="B38" s="349" cm="1">
        <f t="array" ref="B38">D38</f>
        <v>0</v>
      </c>
      <c r="C38" s="456"/>
      <c r="D38" s="350" cm="1">
        <f t="array" ref="D38">SUM(F38)</f>
        <v>0</v>
      </c>
      <c r="E38" s="402"/>
      <c r="F38" s="402"/>
      <c r="G38" s="456"/>
      <c r="H38" s="402"/>
      <c r="I38" s="402"/>
      <c r="J38" s="402"/>
    </row>
    <row r="39" ht="20.35" customHeight="1" hidden="1">
      <c r="A39" s="400">
        <v>43952</v>
      </c>
      <c r="B39" s="349" cm="1">
        <f t="array" ref="B39">D39</f>
        <v>0</v>
      </c>
      <c r="C39" s="456"/>
      <c r="D39" s="350" cm="1">
        <f t="array" ref="D39">SUM(F39)</f>
        <v>0</v>
      </c>
      <c r="E39" s="402"/>
      <c r="F39" s="402"/>
      <c r="G39" s="456"/>
      <c r="H39" s="402"/>
      <c r="I39" s="402"/>
      <c r="J39" s="402"/>
    </row>
    <row r="40" ht="20.35" customHeight="1" hidden="1">
      <c r="A40" s="400">
        <v>43983</v>
      </c>
      <c r="B40" s="349" cm="1">
        <f t="array" ref="B40">D40</f>
        <v>0</v>
      </c>
      <c r="C40" s="456"/>
      <c r="D40" s="350" cm="1">
        <f t="array" ref="D40">SUM(F40)</f>
        <v>0</v>
      </c>
      <c r="E40" s="402"/>
      <c r="F40" s="402"/>
      <c r="G40" s="456"/>
      <c r="H40" s="402"/>
      <c r="I40" s="402"/>
      <c r="J40" s="402"/>
    </row>
    <row r="41" ht="20.35" customHeight="1" hidden="1">
      <c r="A41" s="400">
        <v>44013</v>
      </c>
      <c r="B41" s="349" cm="1">
        <f t="array" ref="B41">D41</f>
        <v>0</v>
      </c>
      <c r="C41" s="456"/>
      <c r="D41" s="350" cm="1">
        <f t="array" ref="D41">SUM(F41)</f>
        <v>0</v>
      </c>
      <c r="E41" s="402"/>
      <c r="F41" s="402"/>
      <c r="G41" s="456"/>
      <c r="H41" s="402"/>
      <c r="I41" s="402"/>
      <c r="J41" s="402"/>
    </row>
    <row r="42" ht="20.35" customHeight="1" hidden="1">
      <c r="A42" s="400">
        <v>44044</v>
      </c>
      <c r="B42" s="349" cm="1">
        <f t="array" ref="B42">D42</f>
        <v>0</v>
      </c>
      <c r="C42" s="456"/>
      <c r="D42" s="350" cm="1">
        <f t="array" ref="D42">SUM(F42)</f>
        <v>0</v>
      </c>
      <c r="E42" s="402"/>
      <c r="F42" s="402"/>
      <c r="G42" s="456"/>
      <c r="H42" s="402"/>
      <c r="I42" s="402"/>
      <c r="J42" s="402"/>
    </row>
    <row r="43" ht="20.35" customHeight="1" hidden="1">
      <c r="A43" s="400">
        <v>44075</v>
      </c>
      <c r="B43" s="349" cm="1">
        <f t="array" ref="B43">D43</f>
        <v>-3000000</v>
      </c>
      <c r="C43" s="456"/>
      <c r="D43" s="350" cm="1">
        <f t="array" ref="D43">SUM(F43)</f>
        <v>-3000000</v>
      </c>
      <c r="E43" s="402"/>
      <c r="F43" s="402">
        <v>-3000000</v>
      </c>
      <c r="G43" s="456"/>
      <c r="H43" s="402"/>
      <c r="I43" s="402"/>
      <c r="J43" s="402"/>
    </row>
    <row r="44" ht="20.35" customHeight="1" hidden="1">
      <c r="A44" s="400">
        <v>44105</v>
      </c>
      <c r="B44" s="349" cm="1">
        <f t="array" ref="B44">D44</f>
        <v>0</v>
      </c>
      <c r="C44" s="456"/>
      <c r="D44" s="350" cm="1">
        <f t="array" ref="D44">SUM(F44)</f>
        <v>0</v>
      </c>
      <c r="E44" s="402"/>
      <c r="F44" s="402"/>
      <c r="G44" s="456"/>
      <c r="H44" s="402"/>
      <c r="I44" s="402"/>
      <c r="J44" s="402"/>
    </row>
    <row r="45" ht="20.35" customHeight="1" hidden="1">
      <c r="A45" s="400">
        <v>44136</v>
      </c>
      <c r="B45" s="349" cm="1">
        <f t="array" ref="B45">D45</f>
        <v>0</v>
      </c>
      <c r="C45" s="456"/>
      <c r="D45" s="350" cm="1">
        <f t="array" ref="D45">SUM(F45)</f>
        <v>0</v>
      </c>
      <c r="E45" s="402"/>
      <c r="F45" s="402"/>
      <c r="G45" s="456"/>
      <c r="H45" s="402"/>
      <c r="I45" s="402"/>
      <c r="J45" s="402"/>
    </row>
    <row r="46" ht="20.35" customHeight="1" hidden="1">
      <c r="A46" s="400">
        <v>44166</v>
      </c>
      <c r="B46" s="349" cm="1">
        <f t="array" ref="B46">D46</f>
        <v>0</v>
      </c>
      <c r="C46" s="456"/>
      <c r="D46" s="350" cm="1">
        <f t="array" ref="D46">SUM(F46)</f>
        <v>0</v>
      </c>
      <c r="E46" s="402"/>
      <c r="F46" s="402"/>
      <c r="G46" s="456"/>
      <c r="H46" s="402"/>
      <c r="I46" s="402"/>
      <c r="J46" s="402"/>
    </row>
    <row r="47" ht="20.35" customHeight="1" hidden="1">
      <c r="A47" s="400">
        <v>44197</v>
      </c>
      <c r="B47" s="349" cm="1">
        <f t="array" ref="B47">D47</f>
        <v>0</v>
      </c>
      <c r="C47" s="456"/>
      <c r="D47" s="350" cm="1">
        <f t="array" ref="D47">SUM(F47)</f>
        <v>0</v>
      </c>
      <c r="E47" s="402"/>
      <c r="F47" s="402"/>
      <c r="G47" s="456"/>
      <c r="H47" s="402"/>
      <c r="I47" s="402"/>
      <c r="J47" s="402"/>
    </row>
    <row r="48" ht="20.35" customHeight="1" hidden="1">
      <c r="A48" s="400">
        <v>44228</v>
      </c>
      <c r="B48" s="349" cm="1">
        <f t="array" ref="B48">D48</f>
        <v>0</v>
      </c>
      <c r="C48" s="456"/>
      <c r="D48" s="350" cm="1">
        <f t="array" ref="D48">SUM(F48)</f>
        <v>0</v>
      </c>
      <c r="E48" s="402"/>
      <c r="F48" s="402"/>
      <c r="G48" s="456"/>
      <c r="H48" s="402"/>
      <c r="I48" s="402"/>
      <c r="J48" s="402"/>
    </row>
    <row r="49" ht="20.35" customHeight="1" hidden="1">
      <c r="A49" s="400">
        <v>44256</v>
      </c>
      <c r="B49" s="349" cm="1">
        <f t="array" ref="B49">D49</f>
        <v>0</v>
      </c>
      <c r="C49" s="456"/>
      <c r="D49" s="350" cm="1">
        <f t="array" ref="D49">SUM(F49)</f>
        <v>0</v>
      </c>
      <c r="E49" s="402"/>
      <c r="F49" s="402"/>
      <c r="G49" s="456"/>
      <c r="H49" s="402"/>
      <c r="I49" s="402"/>
      <c r="J49" s="402"/>
    </row>
    <row r="50" ht="20.35" customHeight="1" hidden="1">
      <c r="A50" s="400">
        <v>44287</v>
      </c>
      <c r="B50" s="349" cm="1">
        <f t="array" ref="B50">D50</f>
        <v>600000</v>
      </c>
      <c r="C50" s="456"/>
      <c r="D50" s="350" cm="1">
        <f t="array" ref="D50">SUM(F50)</f>
        <v>600000</v>
      </c>
      <c r="E50" s="402"/>
      <c r="F50" s="402">
        <v>600000</v>
      </c>
      <c r="G50" s="456"/>
      <c r="H50" s="402"/>
      <c r="I50" s="402"/>
      <c r="J50" s="402"/>
    </row>
    <row r="51" ht="20.35" customHeight="1" hidden="1">
      <c r="A51" s="400">
        <v>44317</v>
      </c>
      <c r="B51" s="349" cm="1">
        <f t="array" ref="B51">D51</f>
        <v>600000</v>
      </c>
      <c r="C51" s="456"/>
      <c r="D51" s="350" cm="1">
        <f t="array" ref="D51">SUM(F51)</f>
        <v>600000</v>
      </c>
      <c r="E51" s="402"/>
      <c r="F51" s="402">
        <v>600000</v>
      </c>
      <c r="G51" s="456"/>
      <c r="H51" s="402"/>
      <c r="I51" s="402"/>
      <c r="J51" s="402"/>
    </row>
    <row r="52" ht="20.35" customHeight="1" hidden="1">
      <c r="A52" s="400">
        <v>44348</v>
      </c>
      <c r="B52" s="349" cm="1">
        <f t="array" ref="B52">D52</f>
        <v>700000</v>
      </c>
      <c r="C52" s="456"/>
      <c r="D52" s="350" cm="1">
        <f t="array" ref="D52">SUM(F52)</f>
        <v>700000</v>
      </c>
      <c r="E52" s="402"/>
      <c r="F52" s="402">
        <v>700000</v>
      </c>
      <c r="G52" s="456"/>
      <c r="H52" s="402"/>
      <c r="I52" s="402"/>
      <c r="J52" s="402"/>
    </row>
    <row r="53" ht="20.35" customHeight="1" hidden="1">
      <c r="A53" s="400">
        <v>44378</v>
      </c>
      <c r="B53" s="349" cm="1">
        <f t="array" ref="B53">D53</f>
        <v>600000</v>
      </c>
      <c r="C53" s="456"/>
      <c r="D53" s="350" cm="1">
        <f t="array" ref="D53">SUM(F53)</f>
        <v>600000</v>
      </c>
      <c r="E53" s="402"/>
      <c r="F53" s="402">
        <v>600000</v>
      </c>
      <c r="G53" s="456"/>
      <c r="H53" s="402"/>
      <c r="I53" s="402"/>
      <c r="J53" s="402"/>
    </row>
    <row r="54" ht="20.35" customHeight="1" hidden="1">
      <c r="A54" s="400">
        <v>44409</v>
      </c>
      <c r="B54" s="349" cm="1">
        <f t="array" ref="B54">D54</f>
        <v>0</v>
      </c>
      <c r="C54" s="456"/>
      <c r="D54" s="350" cm="1">
        <f t="array" ref="D54">SUM(F54)</f>
        <v>0</v>
      </c>
      <c r="E54" s="402"/>
      <c r="F54" s="402"/>
      <c r="G54" s="456"/>
      <c r="H54" s="402"/>
      <c r="I54" s="402"/>
      <c r="J54" s="402"/>
    </row>
    <row r="55" ht="20.35" customHeight="1" hidden="1">
      <c r="A55" s="400">
        <v>44440</v>
      </c>
      <c r="B55" s="349" cm="1">
        <f t="array" ref="B55">D55</f>
        <v>0</v>
      </c>
      <c r="C55" s="456"/>
      <c r="D55" s="350" cm="1">
        <f t="array" ref="D55">SUM(F55)</f>
        <v>0</v>
      </c>
      <c r="E55" s="402"/>
      <c r="F55" s="402"/>
      <c r="G55" s="456"/>
      <c r="H55" s="402"/>
      <c r="I55" s="402"/>
      <c r="J55" s="402"/>
    </row>
    <row r="56" ht="20.35" customHeight="1" hidden="1">
      <c r="A56" s="400">
        <v>44470</v>
      </c>
      <c r="B56" s="349" cm="1">
        <f t="array" ref="B56">D56</f>
        <v>0</v>
      </c>
      <c r="C56" s="456"/>
      <c r="D56" s="350" cm="1">
        <f t="array" ref="D56">SUM(F56)</f>
        <v>0</v>
      </c>
      <c r="E56" s="402"/>
      <c r="F56" s="402"/>
      <c r="G56" s="456"/>
      <c r="H56" s="402"/>
      <c r="I56" s="402"/>
      <c r="J56" s="402"/>
    </row>
    <row r="57" ht="20.35" customHeight="1" hidden="1">
      <c r="A57" s="400">
        <v>44501</v>
      </c>
      <c r="B57" s="349" cm="1">
        <f t="array" ref="B57">D57</f>
        <v>0</v>
      </c>
      <c r="C57" s="456"/>
      <c r="D57" s="350" cm="1">
        <f t="array" ref="D57">SUM(F57)</f>
        <v>0</v>
      </c>
      <c r="E57" s="402"/>
      <c r="F57" s="402"/>
      <c r="G57" s="456"/>
      <c r="H57" s="402"/>
      <c r="I57" s="402"/>
      <c r="J57" s="402"/>
    </row>
    <row r="58" ht="20.35" customHeight="1" hidden="1">
      <c r="A58" s="400">
        <v>44531</v>
      </c>
      <c r="B58" s="349" cm="1">
        <f t="array" ref="B58">D58</f>
        <v>0</v>
      </c>
      <c r="C58" s="456"/>
      <c r="D58" s="350" cm="1">
        <f t="array" ref="D58">SUM(F58)</f>
        <v>0</v>
      </c>
      <c r="E58" s="402"/>
      <c r="F58" s="402"/>
      <c r="G58" s="456"/>
      <c r="H58" s="402"/>
      <c r="I58" s="402"/>
      <c r="J58" s="402"/>
    </row>
    <row r="59" ht="20.35" customHeight="1" hidden="1">
      <c r="A59" s="400">
        <v>44562</v>
      </c>
      <c r="B59" s="349" cm="1">
        <f t="array" ref="B59">D59</f>
        <v>0</v>
      </c>
      <c r="C59" s="456"/>
      <c r="D59" s="350" cm="1">
        <f t="array" ref="D59">SUM(F59)</f>
        <v>0</v>
      </c>
      <c r="E59" s="402"/>
      <c r="F59" s="402"/>
      <c r="G59" s="456"/>
      <c r="H59" s="402"/>
      <c r="I59" s="402"/>
      <c r="J59" s="402"/>
    </row>
    <row r="60" ht="20.35" customHeight="1" hidden="1">
      <c r="A60" s="400">
        <v>44593</v>
      </c>
      <c r="B60" s="349" cm="1">
        <f t="array" ref="B60">D60</f>
        <v>800000</v>
      </c>
      <c r="C60" s="456"/>
      <c r="D60" s="350" cm="1">
        <f t="array" ref="D60">SUM(F60)</f>
        <v>800000</v>
      </c>
      <c r="E60" s="402"/>
      <c r="F60" s="402">
        <v>800000</v>
      </c>
      <c r="G60" s="456"/>
      <c r="H60" s="402"/>
      <c r="I60" s="402"/>
      <c r="J60" s="402"/>
    </row>
    <row r="61" ht="20.35" customHeight="1" hidden="1">
      <c r="A61" s="400">
        <v>44621</v>
      </c>
      <c r="B61" s="349" cm="1">
        <f t="array" ref="B61">D61</f>
        <v>2000000</v>
      </c>
      <c r="C61" s="456"/>
      <c r="D61" s="350" cm="1">
        <f t="array" ref="D61">SUM(F61)</f>
        <v>2000000</v>
      </c>
      <c r="E61" s="402"/>
      <c r="F61" s="402">
        <v>2000000</v>
      </c>
      <c r="G61" s="456"/>
      <c r="H61" s="402"/>
      <c r="I61" s="402"/>
      <c r="J61" s="402"/>
    </row>
    <row r="62" ht="20.35" customHeight="1" hidden="1">
      <c r="A62" s="400">
        <v>44652</v>
      </c>
      <c r="B62" s="349" cm="1">
        <f t="array" ref="B62">D62</f>
        <v>0</v>
      </c>
      <c r="C62" s="456"/>
      <c r="D62" s="350" cm="1">
        <f t="array" ref="D62">SUM(F62)</f>
        <v>0</v>
      </c>
      <c r="E62" s="402"/>
      <c r="F62" s="402"/>
      <c r="G62" s="456"/>
      <c r="H62" s="402"/>
      <c r="I62" s="402"/>
      <c r="J62" s="402"/>
    </row>
    <row r="63" ht="20.35" customHeight="1" hidden="1">
      <c r="A63" s="400">
        <v>44682</v>
      </c>
      <c r="B63" s="349" cm="1">
        <f t="array" ref="B63">D63</f>
        <v>0</v>
      </c>
      <c r="C63" s="456"/>
      <c r="D63" s="350" cm="1">
        <f t="array" ref="D63">SUM(F63)</f>
        <v>0</v>
      </c>
      <c r="E63" s="402"/>
      <c r="F63" s="402"/>
      <c r="G63" s="456"/>
      <c r="H63" s="402"/>
      <c r="I63" s="402"/>
      <c r="J63" s="402"/>
    </row>
    <row r="64" ht="20.35" customHeight="1" hidden="1">
      <c r="A64" s="400">
        <v>44713</v>
      </c>
      <c r="B64" s="349" cm="1">
        <f t="array" ref="B64">D64</f>
        <v>0</v>
      </c>
      <c r="C64" s="456"/>
      <c r="D64" s="350" cm="1">
        <f t="array" ref="D64">SUM(F64)</f>
        <v>0</v>
      </c>
      <c r="E64" s="402"/>
      <c r="F64" s="402"/>
      <c r="G64" s="456"/>
      <c r="H64" s="402"/>
      <c r="I64" s="402"/>
      <c r="J64" s="402"/>
    </row>
    <row r="65" ht="20.35" customHeight="1" hidden="1">
      <c r="A65" s="400">
        <v>44743</v>
      </c>
      <c r="B65" s="349" cm="1">
        <f t="array" ref="B65">D65</f>
        <v>0</v>
      </c>
      <c r="C65" s="456"/>
      <c r="D65" s="350" cm="1">
        <f t="array" ref="D65">SUM(F65)</f>
        <v>0</v>
      </c>
      <c r="E65" s="402"/>
      <c r="F65" s="402"/>
      <c r="G65" s="456"/>
      <c r="H65" s="402"/>
      <c r="I65" s="402"/>
      <c r="J65" s="402"/>
    </row>
    <row r="66" ht="20.35" customHeight="1" hidden="1">
      <c r="A66" s="400">
        <v>44774</v>
      </c>
      <c r="B66" s="349" cm="1">
        <f t="array" ref="B66">D66</f>
        <v>0</v>
      </c>
      <c r="C66" s="456"/>
      <c r="D66" s="350" cm="1">
        <f t="array" ref="D66">SUM(F66)</f>
        <v>0</v>
      </c>
      <c r="E66" s="402"/>
      <c r="F66" s="402"/>
      <c r="G66" s="456"/>
      <c r="H66" s="402"/>
      <c r="I66" s="402"/>
      <c r="J66" s="402"/>
    </row>
    <row r="67" ht="20.35" customHeight="1" hidden="1">
      <c r="A67" s="400">
        <v>44805</v>
      </c>
      <c r="B67" s="349" cm="1">
        <f t="array" ref="B67">D67</f>
        <v>0</v>
      </c>
      <c r="C67" s="456"/>
      <c r="D67" s="350" cm="1">
        <f t="array" ref="D67">SUM(F67)</f>
        <v>0</v>
      </c>
      <c r="E67" s="402"/>
      <c r="F67" s="402"/>
      <c r="G67" s="456"/>
      <c r="H67" s="402"/>
      <c r="I67" s="402"/>
      <c r="J67" s="402"/>
    </row>
    <row r="68" ht="20.35" customHeight="1" hidden="1">
      <c r="A68" s="400">
        <v>44835</v>
      </c>
      <c r="B68" s="349" cm="1">
        <f t="array" ref="B68">D68</f>
        <v>0</v>
      </c>
      <c r="C68" s="456"/>
      <c r="D68" s="350" cm="1">
        <f t="array" ref="D68">SUM(F68)</f>
        <v>0</v>
      </c>
      <c r="E68" s="402"/>
      <c r="F68" s="402"/>
      <c r="G68" s="456"/>
      <c r="H68" s="402"/>
      <c r="I68" s="402"/>
      <c r="J68" s="402"/>
    </row>
    <row r="69" ht="20.35" customHeight="1" hidden="1">
      <c r="A69" s="400">
        <v>44866</v>
      </c>
      <c r="B69" s="349" cm="1">
        <f t="array" ref="B69">D69</f>
        <v>0</v>
      </c>
      <c r="C69" s="456"/>
      <c r="D69" s="350" cm="1">
        <f t="array" ref="D69">SUM(F69)</f>
        <v>0</v>
      </c>
      <c r="E69" s="402"/>
      <c r="F69" s="402"/>
      <c r="G69" s="456"/>
      <c r="H69" s="402"/>
      <c r="I69" s="402"/>
      <c r="J69" s="402"/>
    </row>
    <row r="70" ht="20.35" customHeight="1" hidden="1">
      <c r="A70" s="400">
        <v>44896</v>
      </c>
      <c r="B70" s="349" cm="1">
        <f t="array" ref="B70">D70</f>
        <v>1300000</v>
      </c>
      <c r="C70" s="456"/>
      <c r="D70" s="350" cm="1">
        <f t="array" ref="D70">SUM(F70)</f>
        <v>1300000</v>
      </c>
      <c r="E70" s="402"/>
      <c r="F70" s="402" cm="1">
        <f t="array" ref="F70">1300000</f>
        <v>1300000</v>
      </c>
      <c r="G70" s="456"/>
      <c r="H70" s="402"/>
      <c r="I70" s="402"/>
      <c r="J70" s="402"/>
    </row>
    <row r="71" ht="20.35" customHeight="1" hidden="1">
      <c r="A71" s="400">
        <v>44927</v>
      </c>
      <c r="B71" s="349" cm="1">
        <f t="array" ref="B71">D71</f>
        <v>0</v>
      </c>
      <c r="C71" s="456"/>
      <c r="D71" s="350" cm="1">
        <f t="array" ref="D71">SUM(F71)</f>
        <v>0</v>
      </c>
      <c r="E71" s="402"/>
      <c r="F71" s="402"/>
      <c r="G71" s="456"/>
      <c r="H71" s="402"/>
      <c r="I71" s="402"/>
      <c r="J71" s="402"/>
    </row>
    <row r="72" ht="20.35" customHeight="1" hidden="1">
      <c r="A72" s="400">
        <v>44958</v>
      </c>
      <c r="B72" s="349" cm="1">
        <f t="array" ref="B72">D72</f>
        <v>0</v>
      </c>
      <c r="C72" s="456"/>
      <c r="D72" s="350" cm="1">
        <f t="array" ref="D72">SUM(F72)</f>
        <v>0</v>
      </c>
      <c r="E72" s="402"/>
      <c r="F72" s="402"/>
      <c r="G72" s="456"/>
      <c r="H72" s="402"/>
      <c r="I72" s="402"/>
      <c r="J72" s="402"/>
    </row>
    <row r="73" ht="20.35" customHeight="1" hidden="1">
      <c r="A73" s="400">
        <v>44986</v>
      </c>
      <c r="B73" s="349" cm="1">
        <f t="array" ref="B73">D73</f>
        <v>0</v>
      </c>
      <c r="C73" s="456"/>
      <c r="D73" s="350" cm="1">
        <f t="array" ref="D73">SUM(F73)</f>
        <v>0</v>
      </c>
      <c r="E73" s="402"/>
      <c r="F73" s="402"/>
      <c r="G73" s="456"/>
      <c r="H73" s="402"/>
      <c r="I73" s="402"/>
      <c r="J73" s="402"/>
    </row>
    <row r="74" ht="20.35" customHeight="1" hidden="1">
      <c r="A74" s="400">
        <v>45017</v>
      </c>
      <c r="B74" s="349" cm="1">
        <f t="array" ref="B74">D74</f>
        <v>0</v>
      </c>
      <c r="C74" s="456"/>
      <c r="D74" s="350" cm="1">
        <f t="array" ref="D74">SUM(F74)</f>
        <v>0</v>
      </c>
      <c r="E74" s="402"/>
      <c r="F74" s="402"/>
      <c r="G74" s="456"/>
      <c r="H74" s="402"/>
      <c r="I74" s="402"/>
      <c r="J74" s="402"/>
    </row>
    <row r="75" ht="20.35" customHeight="1" hidden="1">
      <c r="A75" s="400">
        <v>45047</v>
      </c>
      <c r="B75" s="349" cm="1">
        <f t="array" ref="B75">D75</f>
        <v>250000</v>
      </c>
      <c r="C75" s="456"/>
      <c r="D75" s="350" cm="1">
        <f t="array" ref="D75">SUM(F75)</f>
        <v>250000</v>
      </c>
      <c r="E75" s="402"/>
      <c r="F75" s="402">
        <v>250000</v>
      </c>
      <c r="G75" s="456"/>
      <c r="H75" s="402"/>
      <c r="I75" s="402"/>
      <c r="J75" s="402"/>
    </row>
    <row r="76" ht="20.35" customHeight="1" hidden="1">
      <c r="A76" s="400">
        <v>45078</v>
      </c>
      <c r="B76" s="349" cm="1">
        <f t="array" ref="B76">D76</f>
        <v>0</v>
      </c>
      <c r="C76" s="456"/>
      <c r="D76" s="350" cm="1">
        <f t="array" ref="D76">SUM(F76)</f>
        <v>0</v>
      </c>
      <c r="E76" s="402"/>
      <c r="F76" s="402"/>
      <c r="G76" s="456"/>
      <c r="H76" s="402"/>
      <c r="I76" s="402"/>
      <c r="J76" s="402"/>
    </row>
    <row r="77" ht="20.35" customHeight="1" hidden="1">
      <c r="A77" s="400">
        <v>45108</v>
      </c>
      <c r="B77" s="349" cm="1">
        <f t="array" ref="B77">D77</f>
        <v>0</v>
      </c>
      <c r="C77" s="456"/>
      <c r="D77" s="350" cm="1">
        <f t="array" ref="D77">SUM(F77)</f>
        <v>0</v>
      </c>
      <c r="E77" s="402"/>
      <c r="F77" s="402"/>
      <c r="G77" s="456"/>
      <c r="H77" s="402"/>
      <c r="I77" s="402"/>
      <c r="J77" s="402"/>
    </row>
    <row r="78" ht="20.35" customHeight="1" hidden="1">
      <c r="A78" s="400">
        <v>45139</v>
      </c>
      <c r="B78" s="349" cm="1">
        <f t="array" ref="B78">D78</f>
        <v>0</v>
      </c>
      <c r="C78" s="456"/>
      <c r="D78" s="350" cm="1">
        <f t="array" ref="D78">SUM(F78)</f>
        <v>0</v>
      </c>
      <c r="E78" s="402"/>
      <c r="F78" s="402"/>
      <c r="G78" s="456"/>
      <c r="H78" s="402"/>
      <c r="I78" s="402"/>
      <c r="J78" s="402"/>
    </row>
    <row r="79" ht="20.35" customHeight="1" hidden="1">
      <c r="A79" s="400">
        <v>45170</v>
      </c>
      <c r="B79" s="349" cm="1">
        <f t="array" ref="B79">D79</f>
        <v>0</v>
      </c>
      <c r="C79" s="456"/>
      <c r="D79" s="350" cm="1">
        <f t="array" ref="D79">SUM(F79)</f>
        <v>0</v>
      </c>
      <c r="E79" s="402"/>
      <c r="F79" s="402"/>
      <c r="G79" s="456"/>
      <c r="H79" s="402"/>
      <c r="I79" s="402"/>
      <c r="J79" s="402"/>
    </row>
    <row r="80" ht="20.35" customHeight="1" hidden="1">
      <c r="A80" s="400">
        <v>45200</v>
      </c>
      <c r="B80" s="349" cm="1">
        <f t="array" ref="B80">D80</f>
        <v>0</v>
      </c>
      <c r="C80" s="456"/>
      <c r="D80" s="350" cm="1">
        <f t="array" ref="D80">SUM(F80)</f>
        <v>0</v>
      </c>
      <c r="E80" s="402"/>
      <c r="F80" s="402"/>
      <c r="G80" s="456"/>
      <c r="H80" s="402"/>
      <c r="I80" s="402"/>
      <c r="J80" s="402"/>
    </row>
    <row r="81" ht="20.35" customHeight="1" hidden="1">
      <c r="A81" s="400">
        <v>45231</v>
      </c>
      <c r="B81" s="349" cm="1">
        <f t="array" ref="B81">D81</f>
        <v>0</v>
      </c>
      <c r="C81" s="456"/>
      <c r="D81" s="350" cm="1">
        <f t="array" ref="D81">SUM(F81)</f>
        <v>0</v>
      </c>
      <c r="E81" s="402"/>
      <c r="F81" s="402"/>
      <c r="G81" s="456"/>
      <c r="H81" s="402"/>
      <c r="I81" s="402"/>
      <c r="J81" s="402"/>
    </row>
    <row r="82" ht="20.35" customHeight="1" hidden="1">
      <c r="A82" s="400">
        <v>45261</v>
      </c>
      <c r="B82" s="349" cm="1">
        <f t="array" ref="B82">D82</f>
        <v>0</v>
      </c>
      <c r="C82" s="456"/>
      <c r="D82" s="350" cm="1">
        <f t="array" ref="D82">SUM(F82)</f>
        <v>0</v>
      </c>
      <c r="E82" s="402"/>
      <c r="F82" s="402"/>
      <c r="G82" s="456"/>
      <c r="H82" s="402"/>
      <c r="I82" s="402"/>
      <c r="J82" s="402"/>
    </row>
    <row r="83" ht="20.35" customHeight="1" hidden="1">
      <c r="A83" s="400">
        <v>45292</v>
      </c>
      <c r="B83" s="349" cm="1">
        <f t="array" ref="B83">D83</f>
        <v>0</v>
      </c>
      <c r="C83" s="456"/>
      <c r="D83" s="350" cm="1">
        <f t="array" ref="D83">SUM(F83)</f>
        <v>0</v>
      </c>
      <c r="E83" s="402"/>
      <c r="F83" s="402"/>
      <c r="G83" s="456"/>
      <c r="H83" s="402"/>
      <c r="I83" s="402"/>
      <c r="J83" s="402"/>
    </row>
    <row r="84" ht="20.35" customHeight="1" hidden="1">
      <c r="A84" s="400">
        <v>45323</v>
      </c>
      <c r="B84" s="349" cm="1">
        <f t="array" ref="B84">J84+F84</f>
        <v>0</v>
      </c>
      <c r="C84" s="456"/>
      <c r="D84" s="350" cm="1">
        <f t="array" ref="D84">SUM(F84)</f>
        <v>0</v>
      </c>
      <c r="E84" s="402"/>
      <c r="F84" s="402"/>
      <c r="G84" s="456"/>
      <c r="H84" s="402"/>
      <c r="I84" s="402"/>
      <c r="J84" s="402"/>
    </row>
    <row r="85" ht="20.35" customHeight="1" hidden="1">
      <c r="A85" s="400">
        <v>45352</v>
      </c>
      <c r="B85" s="349" cm="1">
        <f t="array" ref="B85">J85+F85</f>
        <v>0</v>
      </c>
      <c r="C85" s="456"/>
      <c r="D85" s="350" cm="1">
        <f t="array" ref="D85">SUM(F85)</f>
        <v>0</v>
      </c>
      <c r="E85" s="402"/>
      <c r="F85" s="402"/>
      <c r="G85" s="456"/>
      <c r="H85" s="402"/>
      <c r="I85" s="402"/>
      <c r="J85" s="402"/>
    </row>
    <row r="86" ht="20.35" customHeight="1" hidden="1">
      <c r="A86" s="400">
        <v>45383</v>
      </c>
      <c r="B86" s="349" cm="1">
        <f t="array" ref="B86">J86+F86</f>
        <v>0</v>
      </c>
      <c r="C86" s="456"/>
      <c r="D86" s="350" cm="1">
        <f t="array" ref="D86">SUM(F86)</f>
        <v>0</v>
      </c>
      <c r="E86" s="402"/>
      <c r="F86" s="402"/>
      <c r="G86" s="456"/>
      <c r="H86" s="402"/>
      <c r="I86" s="402"/>
      <c r="J86" s="402"/>
    </row>
    <row r="87" ht="20.35" customHeight="1" hidden="1">
      <c r="A87" s="400">
        <v>45413</v>
      </c>
      <c r="B87" s="349" cm="1">
        <f t="array" ref="B87">J87+F87</f>
        <v>0</v>
      </c>
      <c r="C87" s="456"/>
      <c r="D87" s="350" cm="1">
        <f t="array" ref="D87">SUM(F87)</f>
        <v>0</v>
      </c>
      <c r="E87" s="402"/>
      <c r="F87" s="402"/>
      <c r="G87" s="456"/>
      <c r="H87" s="402"/>
      <c r="I87" s="402"/>
      <c r="J87" s="402"/>
    </row>
    <row r="88" ht="20.35" customHeight="1" hidden="1">
      <c r="A88" s="400">
        <v>45444</v>
      </c>
      <c r="B88" s="349" cm="1">
        <f t="array" ref="B88">J88+F88</f>
        <v>0</v>
      </c>
      <c r="C88" s="456"/>
      <c r="D88" s="350" cm="1">
        <f t="array" ref="D88">SUM(F88)</f>
        <v>0</v>
      </c>
      <c r="E88" s="402"/>
      <c r="F88" s="402"/>
      <c r="G88" s="456"/>
      <c r="H88" s="402"/>
      <c r="I88" s="402"/>
      <c r="J88" s="402"/>
    </row>
    <row r="89" ht="20.35" customHeight="1" hidden="1">
      <c r="A89" s="400">
        <v>45474</v>
      </c>
      <c r="B89" s="349" cm="1">
        <f t="array" ref="B89">J89+F89</f>
        <v>0</v>
      </c>
      <c r="C89" s="456"/>
      <c r="D89" s="350" cm="1">
        <f t="array" ref="D89">SUM(F89)</f>
        <v>0</v>
      </c>
      <c r="E89" s="402"/>
      <c r="F89" s="402"/>
      <c r="G89" s="456"/>
      <c r="H89" s="402"/>
      <c r="I89" s="402"/>
      <c r="J89" s="402"/>
    </row>
    <row r="90" ht="20.35" customHeight="1" hidden="1">
      <c r="A90" s="400">
        <v>45505</v>
      </c>
      <c r="B90" s="349" cm="1">
        <f t="array" ref="B90">J90+F90</f>
        <v>0</v>
      </c>
      <c r="C90" s="456"/>
      <c r="D90" s="350" cm="1">
        <f t="array" ref="D90">SUM(F90)</f>
        <v>0</v>
      </c>
      <c r="E90" s="402"/>
      <c r="F90" s="402"/>
      <c r="G90" s="456"/>
      <c r="H90" s="402"/>
      <c r="I90" s="402"/>
      <c r="J90" s="402"/>
    </row>
    <row r="91" ht="20.35" customHeight="1" hidden="1">
      <c r="A91" s="400">
        <v>45536</v>
      </c>
      <c r="B91" s="349" cm="1">
        <f t="array" ref="B91">J91+F91</f>
        <v>0</v>
      </c>
      <c r="C91" s="456"/>
      <c r="D91" s="350" cm="1">
        <f t="array" ref="D91">SUM(F91)</f>
        <v>0</v>
      </c>
      <c r="E91" s="402"/>
      <c r="F91" s="402"/>
      <c r="G91" s="456"/>
      <c r="H91" s="402"/>
      <c r="I91" s="402"/>
      <c r="J91" s="402"/>
    </row>
    <row r="92" ht="20.35" customHeight="1" hidden="1">
      <c r="A92" s="400">
        <v>45566</v>
      </c>
      <c r="B92" s="349" cm="1">
        <f t="array" ref="B92">J92+F92</f>
        <v>450000</v>
      </c>
      <c r="C92" s="456"/>
      <c r="D92" s="350" cm="1">
        <f t="array" ref="D92">SUM(F92)</f>
        <v>450000</v>
      </c>
      <c r="E92" s="402"/>
      <c r="F92" s="402">
        <v>450000</v>
      </c>
      <c r="G92" s="456"/>
      <c r="H92" s="402"/>
      <c r="I92" s="402"/>
      <c r="J92" s="402"/>
    </row>
    <row r="93" ht="20.35" customHeight="1" hidden="1">
      <c r="A93" s="400">
        <v>45597</v>
      </c>
      <c r="B93" s="349" cm="1">
        <f t="array" ref="B93">J93+F93</f>
        <v>0</v>
      </c>
      <c r="C93" s="456"/>
      <c r="D93" s="350" cm="1">
        <f t="array" ref="D93">SUM(F93)</f>
        <v>0</v>
      </c>
      <c r="E93" s="402"/>
      <c r="F93" s="402"/>
      <c r="G93" s="456"/>
      <c r="H93" s="402"/>
      <c r="I93" s="402"/>
      <c r="J93" s="402"/>
    </row>
    <row r="94" ht="20.35" customHeight="1" hidden="1">
      <c r="A94" s="400">
        <v>45627</v>
      </c>
      <c r="B94" s="349" cm="1">
        <f t="array" ref="B94">J94+F94</f>
        <v>-2900000</v>
      </c>
      <c r="C94" s="456"/>
      <c r="D94" s="350" cm="1">
        <f t="array" ref="D94">SUM(F94)</f>
        <v>-3500000</v>
      </c>
      <c r="E94" s="402"/>
      <c r="F94" s="402">
        <v>-3500000</v>
      </c>
      <c r="G94" s="456"/>
      <c r="H94" s="402"/>
      <c r="I94" s="402"/>
      <c r="J94" s="402">
        <v>600000</v>
      </c>
    </row>
    <row r="95" ht="20.35" customHeight="1" hidden="1">
      <c r="A95" s="400">
        <v>45658</v>
      </c>
      <c r="B95" s="349" cm="1">
        <f t="array" ref="B95">J95+F95</f>
        <v>-4000000</v>
      </c>
      <c r="C95" s="456"/>
      <c r="D95" s="350" cm="1">
        <f t="array" ref="D95">SUM(F95)</f>
        <v>-4000000</v>
      </c>
      <c r="E95" s="402"/>
      <c r="F95" s="402">
        <v>-4000000</v>
      </c>
      <c r="G95" s="456"/>
      <c r="H95" s="402"/>
      <c r="I95" s="402"/>
      <c r="J95" s="402"/>
    </row>
    <row r="96" ht="20.35" customHeight="1" hidden="1">
      <c r="A96" s="400">
        <v>45689</v>
      </c>
      <c r="B96" s="349" cm="1">
        <f t="array" ref="B96">J96+F96</f>
        <v>-10000000</v>
      </c>
      <c r="C96" s="456"/>
      <c r="D96" s="350" cm="1">
        <f t="array" ref="D96">SUM(F96)</f>
        <v>-10000000</v>
      </c>
      <c r="E96" s="402"/>
      <c r="F96" s="402">
        <v>-10000000</v>
      </c>
      <c r="G96" s="456"/>
      <c r="H96" s="402"/>
      <c r="I96" s="402"/>
      <c r="J96" s="402"/>
    </row>
    <row r="97" ht="20.35" customHeight="1" hidden="1">
      <c r="A97" s="400">
        <v>45717</v>
      </c>
      <c r="B97" s="349" cm="1">
        <f t="array" ref="B97">J97+F97</f>
        <v>-6500000</v>
      </c>
      <c r="C97" s="456"/>
      <c r="D97" s="350" cm="1">
        <f t="array" ref="D97">SUM(F97)</f>
        <v>-6500000</v>
      </c>
      <c r="E97" s="402"/>
      <c r="F97" s="402">
        <v>-6500000</v>
      </c>
      <c r="G97" s="456"/>
      <c r="H97" s="402"/>
      <c r="I97" s="402"/>
      <c r="J97" s="402"/>
    </row>
    <row r="98" ht="20.35" customHeight="1" hidden="1">
      <c r="A98" s="400">
        <v>45748</v>
      </c>
      <c r="B98" s="349" cm="1">
        <f t="array" ref="B98">J98+F98</f>
        <v>-1100000</v>
      </c>
      <c r="C98" s="456"/>
      <c r="D98" s="350" cm="1">
        <f t="array" ref="D98">SUM(F98)</f>
        <v>-1100000</v>
      </c>
      <c r="E98" s="402"/>
      <c r="F98" s="402">
        <v>-1100000</v>
      </c>
      <c r="G98" s="456"/>
      <c r="H98" s="402"/>
      <c r="I98" s="402"/>
      <c r="J98" s="402"/>
    </row>
    <row r="99" ht="20.35" customHeight="1" hidden="1">
      <c r="A99" s="400">
        <v>45778</v>
      </c>
      <c r="B99" s="349" cm="1">
        <f t="array" ref="B99">J99+F99</f>
        <v>0</v>
      </c>
      <c r="C99" s="456"/>
      <c r="D99" s="350" cm="1">
        <f t="array" ref="D99">SUM(F99)</f>
        <v>0</v>
      </c>
      <c r="E99" s="402"/>
      <c r="F99" s="402"/>
      <c r="G99" s="456"/>
      <c r="H99" s="402"/>
      <c r="I99" s="402"/>
      <c r="J99" s="402"/>
    </row>
    <row r="100" ht="20.35" customHeight="1" hidden="1">
      <c r="A100" s="400">
        <v>45809</v>
      </c>
      <c r="B100" s="349" cm="1">
        <f t="array" ref="B100">J100+F100</f>
        <v>0</v>
      </c>
      <c r="C100" s="456"/>
      <c r="D100" s="350" cm="1">
        <f t="array" ref="D100">SUM(F100)</f>
        <v>0</v>
      </c>
      <c r="E100" s="402"/>
      <c r="F100" s="402"/>
      <c r="G100" s="456"/>
      <c r="H100" s="402"/>
      <c r="I100" s="402"/>
      <c r="J100" s="402"/>
    </row>
    <row r="101" ht="20.35" customHeight="1" hidden="1">
      <c r="A101" s="400">
        <v>45839</v>
      </c>
      <c r="B101" s="349" cm="1">
        <f t="array" ref="B101">J101+F101</f>
        <v>0</v>
      </c>
      <c r="C101" s="456"/>
      <c r="D101" s="350" cm="1">
        <f t="array" ref="D101">SUM(F101)</f>
        <v>0</v>
      </c>
      <c r="E101" s="402"/>
      <c r="F101" s="402"/>
      <c r="G101" s="456"/>
      <c r="H101" s="402"/>
      <c r="I101" s="402"/>
      <c r="J101" s="402"/>
    </row>
    <row r="102" ht="20.35" customHeight="1" hidden="1">
      <c r="A102" s="400">
        <v>45870</v>
      </c>
      <c r="B102" s="349" cm="1">
        <f t="array" ref="B102">J102+F102</f>
        <v>0</v>
      </c>
      <c r="C102" s="456"/>
      <c r="D102" s="350" cm="1">
        <f t="array" ref="D102">SUM(F102)</f>
        <v>0</v>
      </c>
      <c r="E102" s="402"/>
      <c r="F102" s="402"/>
      <c r="G102" s="456"/>
      <c r="H102" s="402"/>
      <c r="I102" s="402"/>
      <c r="J102" s="402"/>
    </row>
    <row r="103" ht="20.35" customHeight="1" hidden="1">
      <c r="A103" s="400">
        <v>45901</v>
      </c>
      <c r="B103" s="349" cm="1">
        <f t="array" ref="B103">J103+F103</f>
        <v>0</v>
      </c>
      <c r="C103" s="456"/>
      <c r="D103" s="350" cm="1">
        <f t="array" ref="D103">SUM(F103)</f>
        <v>0</v>
      </c>
      <c r="E103" s="402"/>
      <c r="F103" s="402"/>
      <c r="G103" s="456"/>
      <c r="H103" s="402"/>
      <c r="I103" s="402"/>
      <c r="J103" s="402"/>
    </row>
    <row r="104" ht="20.35" customHeight="1">
      <c r="A104" s="177">
        <v>45931</v>
      </c>
      <c r="B104" s="81" cm="1">
        <f t="array" ref="B104">J104+F104</f>
        <v>0</v>
      </c>
      <c r="C104" s="457"/>
      <c r="D104" s="48" cm="1">
        <f t="array" ref="D104">SUM(F104)</f>
        <v>0</v>
      </c>
      <c r="E104" s="59"/>
      <c r="F104" s="59"/>
      <c r="G104" s="457"/>
      <c r="H104" s="59"/>
      <c r="I104" s="59"/>
      <c r="J104" s="59"/>
    </row>
    <row r="105" ht="20.35" customHeight="1">
      <c r="A105" s="186">
        <v>45962</v>
      </c>
      <c r="B105" s="83" cm="1">
        <f t="array" ref="B105">J105+F105</f>
        <v>0</v>
      </c>
      <c r="C105" s="458"/>
      <c r="D105" s="26" cm="1">
        <f t="array" ref="D105">SUM(F105)</f>
        <v>0</v>
      </c>
      <c r="E105" s="30"/>
      <c r="F105" s="30"/>
      <c r="G105" s="458"/>
      <c r="H105" s="30"/>
      <c r="I105" s="30"/>
      <c r="J105" s="30"/>
    </row>
    <row r="106" ht="20.35" customHeight="1">
      <c r="A106" s="186">
        <v>45992</v>
      </c>
      <c r="B106" s="83" cm="1">
        <f t="array" ref="B106">J106+F106</f>
        <v>0</v>
      </c>
      <c r="C106" s="458"/>
      <c r="D106" s="26" cm="1">
        <f t="array" ref="D106">SUM(F106)</f>
        <v>0</v>
      </c>
      <c r="E106" s="30"/>
      <c r="F106" s="30"/>
      <c r="G106" s="458"/>
      <c r="H106" s="30"/>
      <c r="I106" s="30"/>
      <c r="J106" s="30"/>
    </row>
    <row r="107" ht="20.35" customHeight="1">
      <c r="A107" s="186">
        <v>46023</v>
      </c>
      <c r="B107" s="83" cm="1">
        <f t="array" ref="B107">J107+F107</f>
        <v>0</v>
      </c>
      <c r="C107" s="458"/>
      <c r="D107" s="26" cm="1">
        <f t="array" ref="D107">SUM(F107)</f>
        <v>0</v>
      </c>
      <c r="E107" s="30"/>
      <c r="F107" s="30"/>
      <c r="G107" s="458"/>
      <c r="H107" s="30"/>
      <c r="I107" s="30"/>
      <c r="J107" s="30"/>
    </row>
    <row r="108" ht="20.35" customHeight="1">
      <c r="A108" s="186">
        <v>46054</v>
      </c>
      <c r="B108" s="83" cm="1">
        <f t="array" ref="B108">J108+F108</f>
        <v>0</v>
      </c>
      <c r="C108" s="458"/>
      <c r="D108" s="26" cm="1">
        <f t="array" ref="D108">SUM(F108)</f>
        <v>0</v>
      </c>
      <c r="E108" s="30"/>
      <c r="F108" s="30"/>
      <c r="G108" s="458"/>
      <c r="H108" s="30"/>
      <c r="I108" s="30"/>
      <c r="J108" s="30"/>
    </row>
    <row r="109" ht="20.35" customHeight="1">
      <c r="A109" s="186">
        <v>46082</v>
      </c>
      <c r="B109" s="83" cm="1">
        <f t="array" ref="B109">J109+F109</f>
        <v>400000</v>
      </c>
      <c r="C109" s="458"/>
      <c r="D109" s="26" cm="1">
        <f t="array" ref="D109">SUM(F109)</f>
        <v>0</v>
      </c>
      <c r="E109" s="30"/>
      <c r="F109" s="30"/>
      <c r="G109" s="458"/>
      <c r="H109" s="30"/>
      <c r="I109" s="30"/>
      <c r="J109" s="30" cm="1">
        <f t="array" ref="J109">50000+300000+50000</f>
        <v>400000</v>
      </c>
    </row>
    <row r="110" ht="20.35" customHeight="1">
      <c r="A110" s="186">
        <v>46113</v>
      </c>
      <c r="B110" s="83" cm="1">
        <f t="array" ref="B110">J110+F110</f>
        <v>0</v>
      </c>
      <c r="C110" s="458"/>
      <c r="D110" s="26" cm="1">
        <f t="array" ref="D110">SUM(F110)</f>
        <v>0</v>
      </c>
      <c r="E110" s="30"/>
      <c r="F110" s="30"/>
      <c r="G110" s="458"/>
      <c r="H110" s="30"/>
      <c r="I110" s="30"/>
      <c r="J110" s="30"/>
    </row>
    <row r="111" ht="20.35" customHeight="1">
      <c r="A111" s="186">
        <v>46143</v>
      </c>
      <c r="B111" s="83" cm="1">
        <f t="array" ref="B111">J111+F111</f>
        <v>0</v>
      </c>
      <c r="C111" s="458"/>
      <c r="D111" s="26" cm="1">
        <f t="array" ref="D111">SUM(F111)</f>
        <v>0</v>
      </c>
      <c r="E111" s="30"/>
      <c r="F111" s="30"/>
      <c r="G111" s="458"/>
      <c r="H111" s="30"/>
      <c r="I111" s="30"/>
      <c r="J111" s="30"/>
    </row>
    <row r="112" ht="20.35" customHeight="1">
      <c r="A112" s="186">
        <v>46174</v>
      </c>
      <c r="B112" s="83" cm="1">
        <f t="array" ref="B112">J112+F112</f>
        <v>0</v>
      </c>
      <c r="C112" s="458"/>
      <c r="D112" s="26" cm="1">
        <f t="array" ref="D112">SUM(F112)</f>
        <v>0</v>
      </c>
      <c r="E112" s="30"/>
      <c r="F112" s="30"/>
      <c r="G112" s="458"/>
      <c r="H112" s="30"/>
      <c r="I112" s="30"/>
      <c r="J112" s="30"/>
    </row>
    <row r="113" ht="20.35" customHeight="1">
      <c r="A113" s="186">
        <v>46204</v>
      </c>
      <c r="B113" s="83" cm="1">
        <f t="array" ref="B113">J113+F113</f>
        <v>0</v>
      </c>
      <c r="C113" s="458"/>
      <c r="D113" s="26" cm="1">
        <f t="array" ref="D113">SUM(F113)</f>
        <v>0</v>
      </c>
      <c r="E113" s="30"/>
      <c r="F113" s="30"/>
      <c r="G113" s="458"/>
      <c r="H113" s="30"/>
      <c r="I113" s="30"/>
      <c r="J113" s="30"/>
    </row>
    <row r="114" ht="20.35" customHeight="1">
      <c r="A114" s="186">
        <v>46235</v>
      </c>
      <c r="B114" s="83" cm="1">
        <f t="array" ref="B114">J114+F114</f>
        <v>0</v>
      </c>
      <c r="C114" s="458"/>
      <c r="D114" s="26" cm="1">
        <f t="array" ref="D114">SUM(F114)</f>
        <v>0</v>
      </c>
      <c r="E114" s="30"/>
      <c r="F114" s="30"/>
      <c r="G114" s="458"/>
      <c r="H114" s="30"/>
      <c r="I114" s="30"/>
      <c r="J114" s="30"/>
    </row>
    <row r="115" ht="20.35" customHeight="1">
      <c r="A115" s="196">
        <v>46266</v>
      </c>
      <c r="B115" s="459" cm="1">
        <f t="array" ref="B115">J115+F115</f>
        <v>0</v>
      </c>
      <c r="C115" s="460"/>
      <c r="D115" s="44" cm="1">
        <f t="array" ref="D115">SUM(F115)</f>
        <v>0</v>
      </c>
      <c r="E115" s="75"/>
      <c r="F115" s="75"/>
      <c r="G115" s="460"/>
      <c r="H115" s="75"/>
      <c r="I115" s="75"/>
      <c r="J115" s="75"/>
    </row>
    <row r="116" ht="20.35" customHeight="1">
      <c r="A116" t="s" s="86">
        <v>665</v>
      </c>
      <c r="B116" s="79" cm="1">
        <f t="array" ref="B116">F$116+J$116</f>
        <v>-9200000</v>
      </c>
      <c r="C116" s="461"/>
      <c r="D116" s="79" cm="1">
        <f t="array" ref="D116">SUM(F116)</f>
        <v>-10200000</v>
      </c>
      <c r="E116" s="48"/>
      <c r="F116" s="48" cm="1">
        <f t="array" ref="F116">SUM(F4:F115)</f>
        <v>-10200000</v>
      </c>
      <c r="G116" s="461"/>
      <c r="H116" s="48"/>
      <c r="I116" s="48"/>
      <c r="J116" s="48" cm="1">
        <f t="array" ref="J116">SUM(J4:J115)</f>
        <v>1000000</v>
      </c>
    </row>
    <row r="117" ht="20.15" customHeight="1">
      <c r="A117" t="s" s="56">
        <v>757</v>
      </c>
      <c r="B117" s="88" cm="1">
        <f t="array" ref="B117">F$117+J$117</f>
        <v>11447471</v>
      </c>
      <c r="C117" s="462"/>
      <c r="D117" s="88" cm="1">
        <f t="array" ref="D117">SUM(F117)</f>
        <v>10361465</v>
      </c>
      <c r="E117" s="88"/>
      <c r="F117" s="88" cm="1">
        <f t="array" ref="F117">'net worth - balances'!B5</f>
        <v>10361465</v>
      </c>
      <c r="G117" s="462"/>
      <c r="H117" s="88"/>
      <c r="I117" s="88"/>
      <c r="J117" s="88" cm="1">
        <f t="array" ref="J117">'net worth - stocks'!I13</f>
        <v>1086006</v>
      </c>
    </row>
    <row r="118" ht="20.15" customHeight="1">
      <c r="A118" t="s" s="56">
        <v>65</v>
      </c>
      <c r="B118" s="88" cm="1">
        <f t="array" ref="B118">SUM(F$118,J$118)</f>
        <v>20647471</v>
      </c>
      <c r="C118" s="462"/>
      <c r="D118" s="429" cm="1">
        <f t="array" ref="D118">D$117-D$116</f>
        <v>20561465</v>
      </c>
      <c r="E118" s="429"/>
      <c r="F118" s="429" cm="1">
        <f t="array" ref="F118">F$117-F$116</f>
        <v>20561465</v>
      </c>
      <c r="G118" s="462"/>
      <c r="H118" s="429"/>
      <c r="I118" s="429"/>
      <c r="J118" s="429" cm="1">
        <f t="array" ref="J118">J$117-J$116</f>
        <v>86006</v>
      </c>
    </row>
    <row r="119" ht="20.15" customHeight="1">
      <c r="A119" t="s" s="56">
        <v>759</v>
      </c>
      <c r="B119" s="432" cm="1">
        <f t="array" ref="B119">_xlfn.IFERROR(B$117/B$116-1,0)</f>
        <v>-2.24429032608696</v>
      </c>
      <c r="C119" s="462"/>
      <c r="D119" s="432" cm="1">
        <f t="array" ref="D119">_xlfn.IFERROR(D$117/D$116-1,0)</f>
        <v>-2.01582990196078</v>
      </c>
      <c r="E119" s="432"/>
      <c r="F119" s="432" cm="1">
        <f t="array" ref="F119">_xlfn.IFERROR(F$117/F$116-1,0)</f>
        <v>-2.01582990196078</v>
      </c>
      <c r="G119" s="462"/>
      <c r="H119" s="432"/>
      <c r="I119" s="432"/>
      <c r="J119" s="432" cm="1">
        <f t="array" ref="J119">_xlfn.IFERROR(J$117/J$116-1,0)</f>
        <v>0.086006</v>
      </c>
    </row>
  </sheetData>
  <mergeCells count="1">
    <mergeCell ref="A1:J1"/>
  </mergeCells>
  <conditionalFormatting sqref="B3">
    <cfRule type="cellIs" dxfId="16" priority="1" operator="equal" stopIfTrue="1">
      <formula>0</formula>
    </cfRule>
  </conditionalFormatting>
  <conditionalFormatting sqref="B119 D119 F119 H119 J119">
    <cfRule type="cellIs" dxfId="17" priority="1" operator="greaterThan" stopIfTrue="1">
      <formula>2</formula>
    </cfRule>
    <cfRule type="cellIs" dxfId="18" priority="2" operator="lessThan"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2:I120"/>
  <sheetViews>
    <sheetView workbookViewId="0" showGridLines="0" defaultGridColor="1">
      <pane topLeftCell="B4" xSplit="1" ySplit="3" activePane="bottomRight" state="frozen"/>
    </sheetView>
  </sheetViews>
  <sheetFormatPr defaultColWidth="16.3333" defaultRowHeight="18" customHeight="1" outlineLevelRow="0" outlineLevelCol="0"/>
  <cols>
    <col min="1" max="2" width="16.3516" style="463" customWidth="1"/>
    <col min="3" max="3" width="1.49219" style="463" customWidth="1"/>
    <col min="4" max="6" width="16.3516" style="463" customWidth="1"/>
    <col min="7" max="7" width="1.49219" style="463" customWidth="1"/>
    <col min="8" max="9" width="16.3516" style="463" customWidth="1"/>
    <col min="10" max="16384" width="16.3516" style="463" customWidth="1"/>
  </cols>
  <sheetData>
    <row r="1" ht="28" customHeight="1">
      <c r="A1" t="s" s="90">
        <v>771</v>
      </c>
      <c r="B1" s="90"/>
      <c r="C1" s="90"/>
      <c r="D1" s="90"/>
      <c r="E1" s="90"/>
      <c r="F1" s="90"/>
      <c r="G1" s="90"/>
      <c r="H1" s="90"/>
      <c r="I1" s="90"/>
    </row>
    <row r="2" ht="20.35" customHeight="1">
      <c r="A2" t="s" s="218">
        <v>773</v>
      </c>
      <c r="B2" s="217"/>
      <c r="C2" s="217"/>
      <c r="D2" t="s" s="218">
        <v>774</v>
      </c>
      <c r="E2" s="217"/>
      <c r="F2" s="217"/>
      <c r="G2" s="217"/>
      <c r="H2" t="s" s="218">
        <v>686</v>
      </c>
      <c r="I2" s="217"/>
    </row>
    <row r="3" ht="20.55" customHeight="1">
      <c r="A3" s="7"/>
      <c r="B3" s="7"/>
      <c r="C3" s="7"/>
      <c r="D3" t="s" s="8">
        <v>775</v>
      </c>
      <c r="E3" t="s" s="8">
        <v>776</v>
      </c>
      <c r="F3" t="s" s="8">
        <v>777</v>
      </c>
      <c r="G3" s="7"/>
      <c r="H3" s="7"/>
      <c r="I3" s="9"/>
    </row>
    <row r="4" ht="8.75" customHeight="1" hidden="1">
      <c r="A4" s="400">
        <v>42856</v>
      </c>
      <c r="B4" s="401" cm="1">
        <f t="array" ref="B4">SUM(D4)</f>
        <v>2758366</v>
      </c>
      <c r="C4" s="439"/>
      <c r="D4" s="402" cm="1">
        <f t="array" ref="D4">1591730+53265+1113371</f>
        <v>2758366</v>
      </c>
      <c r="E4" s="402" cm="1">
        <f t="array" ref="E4">239533-F4</f>
        <v>199533</v>
      </c>
      <c r="F4" s="402">
        <v>40000</v>
      </c>
      <c r="G4" s="439"/>
      <c r="H4" s="402"/>
      <c r="I4" s="402"/>
    </row>
    <row r="5" ht="8.75" customHeight="1" hidden="1">
      <c r="A5" s="400">
        <v>42887</v>
      </c>
      <c r="B5" s="401" cm="1">
        <f t="array" ref="B5">SUM(D5:F5)</f>
        <v>128608</v>
      </c>
      <c r="C5" s="439"/>
      <c r="D5" s="402">
        <v>53332</v>
      </c>
      <c r="E5" s="402">
        <v>64034</v>
      </c>
      <c r="F5" s="402">
        <v>11242</v>
      </c>
      <c r="G5" s="439"/>
      <c r="H5" s="402"/>
      <c r="I5" s="402"/>
    </row>
    <row r="6" ht="8.75" customHeight="1" hidden="1">
      <c r="A6" s="400">
        <v>42917</v>
      </c>
      <c r="B6" s="401" cm="1">
        <f t="array" ref="B6">SUM(D6:F6)</f>
        <v>53188</v>
      </c>
      <c r="C6" s="439"/>
      <c r="D6" s="402" cm="1">
        <f t="array" ref="D6">53188</f>
        <v>53188</v>
      </c>
      <c r="E6" s="402"/>
      <c r="F6" s="402"/>
      <c r="G6" s="439"/>
      <c r="H6" s="402"/>
      <c r="I6" s="402"/>
    </row>
    <row r="7" ht="8.75" customHeight="1" hidden="1">
      <c r="A7" s="400">
        <v>42948</v>
      </c>
      <c r="B7" s="401" cm="1">
        <f t="array" ref="B7">SUM(D7:F7)</f>
        <v>53212</v>
      </c>
      <c r="C7" s="439"/>
      <c r="D7" s="402" cm="1">
        <f t="array" ref="D7">53212</f>
        <v>53212</v>
      </c>
      <c r="E7" s="402"/>
      <c r="F7" s="402"/>
      <c r="G7" s="439"/>
      <c r="H7" s="402"/>
      <c r="I7" s="402"/>
    </row>
    <row r="8" ht="8.75" customHeight="1" hidden="1">
      <c r="A8" s="400">
        <v>42979</v>
      </c>
      <c r="B8" s="401" cm="1">
        <f t="array" ref="B8">SUM(D8:F8)</f>
        <v>353306</v>
      </c>
      <c r="C8" s="439"/>
      <c r="D8" s="402" cm="1">
        <f t="array" ref="D8">300000+53306</f>
        <v>353306</v>
      </c>
      <c r="E8" s="402"/>
      <c r="F8" s="402"/>
      <c r="G8" s="439"/>
      <c r="H8" s="402"/>
      <c r="I8" s="402"/>
    </row>
    <row r="9" ht="8.75" customHeight="1" hidden="1">
      <c r="A9" s="400">
        <v>43009</v>
      </c>
      <c r="B9" s="401" cm="1">
        <f t="array" ref="B9">SUM(D9:F9)</f>
        <v>653266</v>
      </c>
      <c r="C9" s="439"/>
      <c r="D9" s="402" cm="1">
        <f t="array" ref="D9">600000+53266</f>
        <v>653266</v>
      </c>
      <c r="E9" s="464"/>
      <c r="F9" s="464"/>
      <c r="G9" s="439"/>
      <c r="H9" s="464"/>
      <c r="I9" s="464"/>
    </row>
    <row r="10" ht="8.75" customHeight="1" hidden="1">
      <c r="A10" s="400">
        <v>43040</v>
      </c>
      <c r="B10" s="401" cm="1">
        <f t="array" ref="B10">SUM(D10:F10)</f>
        <v>553462</v>
      </c>
      <c r="C10" s="439"/>
      <c r="D10" s="402" cm="1">
        <f t="array" ref="D10">300000+53462+200000</f>
        <v>553462</v>
      </c>
      <c r="E10" s="464"/>
      <c r="F10" s="464"/>
      <c r="G10" s="439"/>
      <c r="H10" s="464"/>
      <c r="I10" s="464"/>
    </row>
    <row r="11" ht="8.75" customHeight="1" hidden="1">
      <c r="A11" s="400">
        <v>43070</v>
      </c>
      <c r="B11" s="401" cm="1">
        <f t="array" ref="B11">SUM(D11:F11)</f>
        <v>60655</v>
      </c>
      <c r="C11" s="439"/>
      <c r="D11" s="402" cm="1">
        <f t="array" ref="D11">7059+53596</f>
        <v>60655</v>
      </c>
      <c r="E11" s="464"/>
      <c r="F11" s="464"/>
      <c r="G11" s="439"/>
      <c r="H11" s="464"/>
      <c r="I11" s="464"/>
    </row>
    <row r="12" ht="8.75" customHeight="1" hidden="1">
      <c r="A12" s="400">
        <v>43101</v>
      </c>
      <c r="B12" s="401" cm="1">
        <f t="array" ref="B12">SUM(D12:F12)</f>
        <v>146404</v>
      </c>
      <c r="C12" s="439"/>
      <c r="D12" s="402" cm="1">
        <f t="array" ref="D12">46404+90000+10000</f>
        <v>146404</v>
      </c>
      <c r="E12" s="464"/>
      <c r="F12" s="464"/>
      <c r="G12" s="439"/>
      <c r="H12" s="464"/>
      <c r="I12" s="464"/>
    </row>
    <row r="13" ht="8.75" customHeight="1" hidden="1">
      <c r="A13" s="400">
        <v>43132</v>
      </c>
      <c r="B13" s="401" cm="1">
        <f t="array" ref="B13">SUM(D13:F13)</f>
        <v>200000</v>
      </c>
      <c r="C13" s="439"/>
      <c r="D13" s="402">
        <v>200000</v>
      </c>
      <c r="E13" s="464"/>
      <c r="F13" s="464"/>
      <c r="G13" s="439"/>
      <c r="H13" s="464"/>
      <c r="I13" s="464"/>
    </row>
    <row r="14" ht="8.75" customHeight="1" hidden="1">
      <c r="A14" s="400">
        <v>43160</v>
      </c>
      <c r="B14" s="401" cm="1">
        <f t="array" ref="B14">SUM(D14:F14)</f>
        <v>403934</v>
      </c>
      <c r="C14" s="439"/>
      <c r="D14" s="402" cm="1">
        <f t="array" ref="D14">200000+107868+42132+53934</f>
        <v>403934</v>
      </c>
      <c r="E14" s="464"/>
      <c r="F14" s="464"/>
      <c r="G14" s="439"/>
      <c r="H14" s="464"/>
      <c r="I14" s="464"/>
    </row>
    <row r="15" ht="8.75" customHeight="1" hidden="1">
      <c r="A15" s="400">
        <v>43191</v>
      </c>
      <c r="B15" s="401" cm="1">
        <f t="array" ref="B15">SUM(D15:F15)</f>
        <v>254042</v>
      </c>
      <c r="C15" s="439"/>
      <c r="D15" s="402" cm="1">
        <f t="array" ref="D15">200000+54042</f>
        <v>254042</v>
      </c>
      <c r="E15" s="464"/>
      <c r="F15" s="464"/>
      <c r="G15" s="439"/>
      <c r="H15" s="464"/>
      <c r="I15" s="464"/>
    </row>
    <row r="16" ht="8.75" customHeight="1" hidden="1">
      <c r="A16" s="400">
        <v>43221</v>
      </c>
      <c r="B16" s="401" cm="1">
        <f t="array" ref="B16">SUM(D16:F16)</f>
        <v>54157</v>
      </c>
      <c r="C16" s="439"/>
      <c r="D16" s="402" cm="1">
        <f t="array" ref="D16">54157</f>
        <v>54157</v>
      </c>
      <c r="E16" s="464"/>
      <c r="F16" s="464"/>
      <c r="G16" s="439"/>
      <c r="H16" s="464"/>
      <c r="I16" s="464"/>
    </row>
    <row r="17" ht="8.75" customHeight="1" hidden="1">
      <c r="A17" s="400">
        <v>43252</v>
      </c>
      <c r="B17" s="401" cm="1">
        <f t="array" ref="B17">SUM(D17:F17)</f>
        <v>807246</v>
      </c>
      <c r="C17" s="439"/>
      <c r="D17" s="402" cm="1">
        <f t="array" ref="D17">133867+200000+200000+100000+54318</f>
        <v>688185</v>
      </c>
      <c r="E17" s="402">
        <v>99526</v>
      </c>
      <c r="F17" s="402">
        <v>19535</v>
      </c>
      <c r="G17" s="439"/>
      <c r="H17" s="402"/>
      <c r="I17" s="402"/>
    </row>
    <row r="18" ht="8.75" customHeight="1" hidden="1">
      <c r="A18" s="400">
        <v>43282</v>
      </c>
      <c r="B18" s="401" cm="1">
        <f t="array" ref="B18">SUM(D18:F18)</f>
        <v>354405</v>
      </c>
      <c r="C18" s="439"/>
      <c r="D18" s="402" cm="1">
        <f t="array" ref="D18">300000+54405</f>
        <v>354405</v>
      </c>
      <c r="E18" s="464"/>
      <c r="F18" s="464"/>
      <c r="G18" s="439"/>
      <c r="H18" s="464"/>
      <c r="I18" s="464"/>
    </row>
    <row r="19" ht="8.75" customHeight="1" hidden="1">
      <c r="A19" s="400">
        <v>43313</v>
      </c>
      <c r="B19" s="401" cm="1">
        <f t="array" ref="B19">SUM(D19:F19)</f>
        <v>354575</v>
      </c>
      <c r="C19" s="439"/>
      <c r="D19" s="402" cm="1">
        <f t="array" ref="D19">300000+54575</f>
        <v>354575</v>
      </c>
      <c r="E19" s="464"/>
      <c r="F19" s="464"/>
      <c r="G19" s="439"/>
      <c r="H19" s="464"/>
      <c r="I19" s="464"/>
    </row>
    <row r="20" ht="8.75" customHeight="1" hidden="1">
      <c r="A20" s="400">
        <v>43344</v>
      </c>
      <c r="B20" s="401" cm="1">
        <f t="array" ref="B20">SUM(D20:F20)</f>
        <v>354715</v>
      </c>
      <c r="C20" s="439"/>
      <c r="D20" s="402" cm="1">
        <f t="array" ref="D20">300000+54715</f>
        <v>354715</v>
      </c>
      <c r="E20" s="464"/>
      <c r="F20" s="464"/>
      <c r="G20" s="439"/>
      <c r="H20" s="464"/>
      <c r="I20" s="464"/>
    </row>
    <row r="21" ht="8.75" customHeight="1" hidden="1">
      <c r="A21" s="400">
        <v>43374</v>
      </c>
      <c r="B21" s="401" cm="1">
        <f t="array" ref="B21">SUM(D21:F21)</f>
        <v>704864</v>
      </c>
      <c r="C21" s="439"/>
      <c r="D21" s="402" cm="1">
        <f t="array" ref="D21">300000+350000+54864</f>
        <v>704864</v>
      </c>
      <c r="E21" s="464"/>
      <c r="F21" s="464"/>
      <c r="G21" s="439"/>
      <c r="H21" s="464"/>
      <c r="I21" s="464"/>
    </row>
    <row r="22" ht="8.75" customHeight="1" hidden="1">
      <c r="A22" s="400">
        <v>43405</v>
      </c>
      <c r="B22" s="401" cm="1">
        <f t="array" ref="B22">SUM(D22:F22)</f>
        <v>867128</v>
      </c>
      <c r="C22" s="439"/>
      <c r="D22" s="402" cm="1">
        <f t="array" ref="D22">812062+55066</f>
        <v>867128</v>
      </c>
      <c r="E22" s="464"/>
      <c r="F22" s="464"/>
      <c r="G22" s="439"/>
      <c r="H22" s="464"/>
      <c r="I22" s="464"/>
    </row>
    <row r="23" ht="8.75" customHeight="1" hidden="1">
      <c r="A23" s="400">
        <v>43435</v>
      </c>
      <c r="B23" s="401" cm="1">
        <f t="array" ref="B23">SUM(D23:F23)</f>
        <v>655132</v>
      </c>
      <c r="C23" s="439"/>
      <c r="D23" s="402" cm="1">
        <f t="array" ref="D23">600000+55132</f>
        <v>655132</v>
      </c>
      <c r="E23" s="464"/>
      <c r="F23" s="464"/>
      <c r="G23" s="439"/>
      <c r="H23" s="464"/>
      <c r="I23" s="464"/>
    </row>
    <row r="24" ht="8.75" customHeight="1" hidden="1">
      <c r="A24" s="400">
        <v>43466</v>
      </c>
      <c r="B24" s="401" cm="1">
        <f t="array" ref="B24">SUM(D24:F24)</f>
        <v>100000</v>
      </c>
      <c r="C24" s="439"/>
      <c r="D24" s="402" cm="1">
        <f t="array" ref="D24">100000</f>
        <v>100000</v>
      </c>
      <c r="E24" s="464"/>
      <c r="F24" s="464"/>
      <c r="G24" s="439"/>
      <c r="H24" s="464"/>
      <c r="I24" s="464"/>
    </row>
    <row r="25" ht="8.75" customHeight="1" hidden="1">
      <c r="A25" s="400">
        <v>43497</v>
      </c>
      <c r="B25" s="401" cm="1">
        <f t="array" ref="B25">SUM(D25:F25)</f>
        <v>110206</v>
      </c>
      <c r="C25" s="439"/>
      <c r="D25" s="402" cm="1">
        <f t="array" ref="D25">55092+55114</f>
        <v>110206</v>
      </c>
      <c r="E25" s="464"/>
      <c r="F25" s="464"/>
      <c r="G25" s="439"/>
      <c r="H25" s="464"/>
      <c r="I25" s="464"/>
    </row>
    <row r="26" ht="8.75" customHeight="1" hidden="1">
      <c r="A26" s="400">
        <v>43525</v>
      </c>
      <c r="B26" s="401" cm="1">
        <f t="array" ref="B26">SUM(D26:F26)</f>
        <v>405132</v>
      </c>
      <c r="C26" s="439"/>
      <c r="D26" s="402" cm="1">
        <f t="array" ref="D26">250000+100000+55132</f>
        <v>405132</v>
      </c>
      <c r="E26" s="464"/>
      <c r="F26" s="464"/>
      <c r="G26" s="439"/>
      <c r="H26" s="464"/>
      <c r="I26" s="464"/>
    </row>
    <row r="27" ht="8.75" customHeight="1" hidden="1">
      <c r="A27" s="400">
        <v>43556</v>
      </c>
      <c r="B27" s="401" cm="1">
        <f t="array" ref="B27">SUM(D27:F27)</f>
        <v>500000</v>
      </c>
      <c r="C27" s="439"/>
      <c r="D27" s="402">
        <v>500000</v>
      </c>
      <c r="E27" s="464"/>
      <c r="F27" s="464"/>
      <c r="G27" s="439"/>
      <c r="H27" s="464"/>
      <c r="I27" s="464"/>
    </row>
    <row r="28" ht="8.75" customHeight="1" hidden="1">
      <c r="A28" s="400">
        <v>43586</v>
      </c>
      <c r="B28" s="401" cm="1">
        <f t="array" ref="B28">SUM(D28:F28)</f>
        <v>175168</v>
      </c>
      <c r="C28" s="439"/>
      <c r="D28" s="402" cm="1">
        <f t="array" ref="D28">36355+138813</f>
        <v>175168</v>
      </c>
      <c r="E28" s="464"/>
      <c r="F28" s="464"/>
      <c r="G28" s="439"/>
      <c r="H28" s="464"/>
      <c r="I28" s="464"/>
    </row>
    <row r="29" ht="8.75" customHeight="1" hidden="1">
      <c r="A29" s="400">
        <v>43617</v>
      </c>
      <c r="B29" s="401" cm="1">
        <f t="array" ref="B29">SUM(D29:F29)</f>
        <v>442174</v>
      </c>
      <c r="C29" s="439"/>
      <c r="D29" s="402" cm="1">
        <f t="array" ref="D29">139517</f>
        <v>139517</v>
      </c>
      <c r="E29" s="402">
        <v>263160</v>
      </c>
      <c r="F29" s="402">
        <v>39497</v>
      </c>
      <c r="G29" s="439"/>
      <c r="H29" s="402"/>
      <c r="I29" s="402"/>
    </row>
    <row r="30" ht="8.75" customHeight="1" hidden="1">
      <c r="A30" s="400">
        <v>43647</v>
      </c>
      <c r="B30" s="401" cm="1">
        <f t="array" ref="B30">SUM(D30:F30)</f>
        <v>279534</v>
      </c>
      <c r="C30" s="439"/>
      <c r="D30" s="402" cm="1">
        <f t="array" ref="D30">279534</f>
        <v>279534</v>
      </c>
      <c r="E30" s="464"/>
      <c r="F30" s="464"/>
      <c r="G30" s="439"/>
      <c r="H30" s="464"/>
      <c r="I30" s="464"/>
    </row>
    <row r="31" ht="8.75" customHeight="1" hidden="1">
      <c r="A31" s="400">
        <v>43678</v>
      </c>
      <c r="B31" s="401" cm="1">
        <f t="array" ref="B31">SUM(D31:F31)</f>
        <v>559826</v>
      </c>
      <c r="C31" s="439"/>
      <c r="D31" s="402">
        <v>559826</v>
      </c>
      <c r="E31" s="464"/>
      <c r="F31" s="464"/>
      <c r="G31" s="439"/>
      <c r="H31" s="464"/>
      <c r="I31" s="464"/>
    </row>
    <row r="32" ht="8.75" customHeight="1" hidden="1">
      <c r="A32" s="400">
        <v>43709</v>
      </c>
      <c r="B32" s="401" cm="1">
        <f t="array" ref="B32">SUM(D32:F32)</f>
        <v>0</v>
      </c>
      <c r="C32" s="439"/>
      <c r="D32" s="402"/>
      <c r="E32" s="464"/>
      <c r="F32" s="464"/>
      <c r="G32" s="439"/>
      <c r="H32" s="464"/>
      <c r="I32" s="464"/>
    </row>
    <row r="33" ht="8.75" customHeight="1" hidden="1">
      <c r="A33" s="400">
        <v>43739</v>
      </c>
      <c r="B33" s="401" cm="1">
        <f t="array" ref="B33">SUM(D33:F33)</f>
        <v>0</v>
      </c>
      <c r="C33" s="439"/>
      <c r="D33" s="402"/>
      <c r="E33" s="464"/>
      <c r="F33" s="464"/>
      <c r="G33" s="439"/>
      <c r="H33" s="464"/>
      <c r="I33" s="464"/>
    </row>
    <row r="34" ht="8.75" customHeight="1" hidden="1">
      <c r="A34" s="400">
        <v>43770</v>
      </c>
      <c r="B34" s="401" cm="1">
        <f t="array" ref="B34">SUM(D34:F34)</f>
        <v>282073</v>
      </c>
      <c r="C34" s="439"/>
      <c r="D34" s="402">
        <v>282073</v>
      </c>
      <c r="E34" s="464"/>
      <c r="F34" s="464"/>
      <c r="G34" s="439"/>
      <c r="H34" s="464"/>
      <c r="I34" s="464"/>
    </row>
    <row r="35" ht="8.75" customHeight="1" hidden="1">
      <c r="A35" s="400">
        <v>43800</v>
      </c>
      <c r="B35" s="401" cm="1">
        <f t="array" ref="B35">SUM(D35:F35)</f>
        <v>283000</v>
      </c>
      <c r="C35" s="439"/>
      <c r="D35" s="402" cm="1">
        <f t="array" ref="D35">283000</f>
        <v>283000</v>
      </c>
      <c r="E35" s="464"/>
      <c r="F35" s="464"/>
      <c r="G35" s="439"/>
      <c r="H35" s="464"/>
      <c r="I35" s="464"/>
    </row>
    <row r="36" ht="8.75" customHeight="1" hidden="1">
      <c r="A36" s="400">
        <v>43831</v>
      </c>
      <c r="B36" s="401" cm="1">
        <f t="array" ref="B36">SUM(D36:F36)</f>
        <v>300000</v>
      </c>
      <c r="C36" s="439"/>
      <c r="D36" s="402">
        <v>300000</v>
      </c>
      <c r="E36" s="464"/>
      <c r="F36" s="464"/>
      <c r="G36" s="439"/>
      <c r="H36" s="464"/>
      <c r="I36" s="464"/>
    </row>
    <row r="37" ht="8.75" customHeight="1" hidden="1">
      <c r="A37" s="400">
        <v>43862</v>
      </c>
      <c r="B37" s="401" cm="1">
        <f t="array" ref="B37">SUM(D37:F37)</f>
        <v>300000</v>
      </c>
      <c r="C37" s="439"/>
      <c r="D37" s="402">
        <v>300000</v>
      </c>
      <c r="E37" s="464"/>
      <c r="F37" s="464"/>
      <c r="G37" s="439"/>
      <c r="H37" s="464"/>
      <c r="I37" s="464"/>
    </row>
    <row r="38" ht="8.75" customHeight="1" hidden="1">
      <c r="A38" s="400">
        <v>43891</v>
      </c>
      <c r="B38" s="401" cm="1">
        <f t="array" ref="B38">SUM(D38:F38)</f>
        <v>0</v>
      </c>
      <c r="C38" s="439"/>
      <c r="D38" s="402"/>
      <c r="E38" s="464"/>
      <c r="F38" s="464"/>
      <c r="G38" s="439"/>
      <c r="H38" s="464"/>
      <c r="I38" s="464"/>
    </row>
    <row r="39" ht="8.75" customHeight="1" hidden="1">
      <c r="A39" s="400">
        <v>43922</v>
      </c>
      <c r="B39" s="401" cm="1">
        <f t="array" ref="B39">SUM(D39:F39)</f>
        <v>0</v>
      </c>
      <c r="C39" s="439"/>
      <c r="D39" s="402"/>
      <c r="E39" s="464"/>
      <c r="F39" s="464"/>
      <c r="G39" s="439"/>
      <c r="H39" s="464"/>
      <c r="I39" s="464"/>
    </row>
    <row r="40" ht="8.75" customHeight="1" hidden="1">
      <c r="A40" s="400">
        <v>43952</v>
      </c>
      <c r="B40" s="401" cm="1">
        <f t="array" ref="B40">SUM(D40:F40)</f>
        <v>150000</v>
      </c>
      <c r="C40" s="439"/>
      <c r="D40" s="402">
        <v>150000</v>
      </c>
      <c r="E40" s="464"/>
      <c r="F40" s="464"/>
      <c r="G40" s="439"/>
      <c r="H40" s="464"/>
      <c r="I40" s="464"/>
    </row>
    <row r="41" ht="8.75" customHeight="1" hidden="1">
      <c r="A41" s="400">
        <v>43983</v>
      </c>
      <c r="B41" s="401" cm="1">
        <f t="array" ref="B41">SUM(D41:F41)</f>
        <v>388507</v>
      </c>
      <c r="C41" s="439"/>
      <c r="D41" s="402"/>
      <c r="E41" s="402">
        <v>371719</v>
      </c>
      <c r="F41" s="402">
        <v>16788</v>
      </c>
      <c r="G41" s="439"/>
      <c r="H41" s="402"/>
      <c r="I41" s="402"/>
    </row>
    <row r="42" ht="8.75" customHeight="1" hidden="1">
      <c r="A42" s="400">
        <v>44013</v>
      </c>
      <c r="B42" s="401" cm="1">
        <f t="array" ref="B42">SUM(D42:F42)</f>
        <v>0</v>
      </c>
      <c r="C42" s="439"/>
      <c r="D42" s="402"/>
      <c r="E42" s="464"/>
      <c r="F42" s="464"/>
      <c r="G42" s="439"/>
      <c r="H42" s="464"/>
      <c r="I42" s="464"/>
    </row>
    <row r="43" ht="8.75" customHeight="1" hidden="1">
      <c r="A43" s="400">
        <v>44044</v>
      </c>
      <c r="B43" s="401" cm="1">
        <f t="array" ref="B43">SUM(D43:F43)</f>
        <v>0</v>
      </c>
      <c r="C43" s="439"/>
      <c r="D43" s="402"/>
      <c r="E43" s="464"/>
      <c r="F43" s="464"/>
      <c r="G43" s="439"/>
      <c r="H43" s="464"/>
      <c r="I43" s="464"/>
    </row>
    <row r="44" ht="8.75" customHeight="1" hidden="1">
      <c r="A44" s="400">
        <v>44075</v>
      </c>
      <c r="B44" s="401" cm="1">
        <f t="array" ref="B44">SUM(D44:F44)</f>
        <v>0</v>
      </c>
      <c r="C44" s="439"/>
      <c r="D44" s="402"/>
      <c r="E44" s="464"/>
      <c r="F44" s="464"/>
      <c r="G44" s="439"/>
      <c r="H44" s="464"/>
      <c r="I44" s="464"/>
    </row>
    <row r="45" ht="8.75" customHeight="1" hidden="1">
      <c r="A45" s="400">
        <v>44105</v>
      </c>
      <c r="B45" s="401" cm="1">
        <f t="array" ref="B45">SUM(D45:F45)</f>
        <v>0</v>
      </c>
      <c r="C45" s="439"/>
      <c r="D45" s="402"/>
      <c r="E45" s="464"/>
      <c r="F45" s="464"/>
      <c r="G45" s="439"/>
      <c r="H45" s="464"/>
      <c r="I45" s="464"/>
    </row>
    <row r="46" ht="8.75" customHeight="1" hidden="1">
      <c r="A46" s="400">
        <v>44136</v>
      </c>
      <c r="B46" s="401" cm="1">
        <f t="array" ref="B46">SUM(D46:F46)</f>
        <v>0</v>
      </c>
      <c r="C46" s="439"/>
      <c r="D46" s="402"/>
      <c r="E46" s="464"/>
      <c r="F46" s="464"/>
      <c r="G46" s="439"/>
      <c r="H46" s="464"/>
      <c r="I46" s="464"/>
    </row>
    <row r="47" ht="8.75" customHeight="1" hidden="1">
      <c r="A47" s="400">
        <v>44166</v>
      </c>
      <c r="B47" s="401" cm="1">
        <f t="array" ref="B47">SUM(D47:F47)</f>
        <v>0</v>
      </c>
      <c r="C47" s="439"/>
      <c r="D47" s="402"/>
      <c r="E47" s="464"/>
      <c r="F47" s="464"/>
      <c r="G47" s="439"/>
      <c r="H47" s="464"/>
      <c r="I47" s="464"/>
    </row>
    <row r="48" ht="8.75" customHeight="1" hidden="1">
      <c r="A48" s="400">
        <v>44197</v>
      </c>
      <c r="B48" s="401" cm="1">
        <f t="array" ref="B48">SUM(D48:F48)</f>
        <v>400000</v>
      </c>
      <c r="C48" s="439"/>
      <c r="D48" s="402">
        <v>400000</v>
      </c>
      <c r="E48" s="464"/>
      <c r="F48" s="464"/>
      <c r="G48" s="439"/>
      <c r="H48" s="464"/>
      <c r="I48" s="464"/>
    </row>
    <row r="49" ht="8.75" customHeight="1" hidden="1">
      <c r="A49" s="400">
        <v>44228</v>
      </c>
      <c r="B49" s="401" cm="1">
        <f t="array" ref="B49">SUM(D49:F49)</f>
        <v>1000000</v>
      </c>
      <c r="C49" s="439"/>
      <c r="D49" s="402" cm="1">
        <f t="array" ref="D49">500000+500000</f>
        <v>1000000</v>
      </c>
      <c r="E49" s="464"/>
      <c r="F49" s="464"/>
      <c r="G49" s="439"/>
      <c r="H49" s="464"/>
      <c r="I49" s="464"/>
    </row>
    <row r="50" ht="8.75" customHeight="1" hidden="1">
      <c r="A50" s="400">
        <v>44256</v>
      </c>
      <c r="B50" s="401" cm="1">
        <f t="array" ref="B50">SUM(D50:F50)</f>
        <v>1500000</v>
      </c>
      <c r="C50" s="439"/>
      <c r="D50" s="402">
        <v>1500000</v>
      </c>
      <c r="E50" s="464"/>
      <c r="F50" s="464"/>
      <c r="G50" s="439"/>
      <c r="H50" s="464"/>
      <c r="I50" s="464"/>
    </row>
    <row r="51" ht="8.75" customHeight="1" hidden="1">
      <c r="A51" s="400">
        <v>44287</v>
      </c>
      <c r="B51" s="401" cm="1">
        <f t="array" ref="B51">SUM(D51:F51)</f>
        <v>814182</v>
      </c>
      <c r="C51" s="439"/>
      <c r="D51" s="402" cm="1">
        <f t="array" ref="D51">600000+214182</f>
        <v>814182</v>
      </c>
      <c r="E51" s="464"/>
      <c r="F51" s="464"/>
      <c r="G51" s="439"/>
      <c r="H51" s="464"/>
      <c r="I51" s="464"/>
    </row>
    <row r="52" ht="8.75" customHeight="1" hidden="1">
      <c r="A52" s="400">
        <v>44317</v>
      </c>
      <c r="B52" s="401" cm="1">
        <f t="array" ref="B52">SUM(D52:F52)</f>
        <v>1000000</v>
      </c>
      <c r="C52" s="439"/>
      <c r="D52" s="402">
        <v>1000000</v>
      </c>
      <c r="E52" s="464"/>
      <c r="F52" s="464"/>
      <c r="G52" s="439"/>
      <c r="H52" s="464"/>
      <c r="I52" s="464"/>
    </row>
    <row r="53" ht="8.75" customHeight="1" hidden="1">
      <c r="A53" s="400">
        <v>44348</v>
      </c>
      <c r="B53" s="401" cm="1">
        <f t="array" ref="B53">SUM(D53:F53)</f>
        <v>1000000</v>
      </c>
      <c r="C53" s="439"/>
      <c r="D53" s="402">
        <v>1000000</v>
      </c>
      <c r="E53" s="464"/>
      <c r="F53" s="464"/>
      <c r="G53" s="439"/>
      <c r="H53" s="464"/>
      <c r="I53" s="464"/>
    </row>
    <row r="54" ht="8.75" customHeight="1" hidden="1">
      <c r="A54" s="400">
        <v>44378</v>
      </c>
      <c r="B54" s="401" cm="1">
        <f t="array" ref="B54">SUM(D54:F54)</f>
        <v>600000</v>
      </c>
      <c r="C54" s="439"/>
      <c r="D54" s="402">
        <v>27729</v>
      </c>
      <c r="E54" s="402">
        <v>561892</v>
      </c>
      <c r="F54" s="402">
        <v>10379</v>
      </c>
      <c r="G54" s="439"/>
      <c r="H54" s="402"/>
      <c r="I54" s="402"/>
    </row>
    <row r="55" ht="8.75" customHeight="1" hidden="1">
      <c r="A55" s="400">
        <v>44409</v>
      </c>
      <c r="B55" s="401" cm="1">
        <f t="array" ref="B55">SUM(D55:F55)</f>
        <v>0</v>
      </c>
      <c r="C55" s="439"/>
      <c r="D55" s="402"/>
      <c r="E55" s="402"/>
      <c r="F55" s="402"/>
      <c r="G55" s="439"/>
      <c r="H55" s="402"/>
      <c r="I55" s="402"/>
    </row>
    <row r="56" ht="8.75" customHeight="1" hidden="1">
      <c r="A56" s="400">
        <v>44440</v>
      </c>
      <c r="B56" s="401" cm="1">
        <f t="array" ref="B56">SUM(D56:F56)</f>
        <v>0</v>
      </c>
      <c r="C56" s="439"/>
      <c r="D56" s="402"/>
      <c r="E56" s="402"/>
      <c r="F56" s="402"/>
      <c r="G56" s="439"/>
      <c r="H56" s="402"/>
      <c r="I56" s="402"/>
    </row>
    <row r="57" ht="8.75" customHeight="1" hidden="1">
      <c r="A57" s="400">
        <v>44470</v>
      </c>
      <c r="B57" s="401" cm="1">
        <f t="array" ref="B57">SUM(D57:F57)</f>
        <v>0</v>
      </c>
      <c r="C57" s="439"/>
      <c r="D57" s="402"/>
      <c r="E57" s="402"/>
      <c r="F57" s="402"/>
      <c r="G57" s="439"/>
      <c r="H57" s="402"/>
      <c r="I57" s="402"/>
    </row>
    <row r="58" ht="8.75" customHeight="1" hidden="1">
      <c r="A58" s="400">
        <v>44501</v>
      </c>
      <c r="B58" s="401" cm="1">
        <f t="array" ref="B58">SUM(D58:F58)</f>
        <v>-800000</v>
      </c>
      <c r="C58" s="439"/>
      <c r="D58" s="402">
        <v>-800000</v>
      </c>
      <c r="E58" s="402"/>
      <c r="F58" s="402"/>
      <c r="G58" s="439"/>
      <c r="H58" s="402"/>
      <c r="I58" s="402"/>
    </row>
    <row r="59" ht="8.75" customHeight="1" hidden="1">
      <c r="A59" s="400">
        <v>44531</v>
      </c>
      <c r="B59" s="401" cm="1">
        <f t="array" ref="B59">SUM(D59:F59)</f>
        <v>-800000</v>
      </c>
      <c r="C59" s="439"/>
      <c r="D59" s="402">
        <v>-800000</v>
      </c>
      <c r="E59" s="402"/>
      <c r="F59" s="402"/>
      <c r="G59" s="439"/>
      <c r="H59" s="402"/>
      <c r="I59" s="402"/>
    </row>
    <row r="60" ht="8.75" customHeight="1" hidden="1">
      <c r="A60" s="400">
        <v>44562</v>
      </c>
      <c r="B60" s="401" cm="1">
        <f t="array" ref="B60">SUM(D60:F60)</f>
        <v>-800000</v>
      </c>
      <c r="C60" s="439"/>
      <c r="D60" s="402">
        <v>-800000</v>
      </c>
      <c r="E60" s="402"/>
      <c r="F60" s="402"/>
      <c r="G60" s="439"/>
      <c r="H60" s="402"/>
      <c r="I60" s="402"/>
    </row>
    <row r="61" ht="8.75" customHeight="1" hidden="1">
      <c r="A61" s="400">
        <v>44593</v>
      </c>
      <c r="B61" s="401" cm="1">
        <f t="array" ref="B61">SUM(D61:F61)</f>
        <v>-5000000</v>
      </c>
      <c r="C61" s="439"/>
      <c r="D61" s="402">
        <v>-5000000</v>
      </c>
      <c r="E61" s="402"/>
      <c r="F61" s="402"/>
      <c r="G61" s="439"/>
      <c r="H61" s="402"/>
      <c r="I61" s="402"/>
    </row>
    <row r="62" ht="8.75" customHeight="1" hidden="1">
      <c r="A62" s="400">
        <v>44621</v>
      </c>
      <c r="B62" s="401" cm="1">
        <f t="array" ref="B62">SUM(D62:F62)</f>
        <v>-4000000</v>
      </c>
      <c r="C62" s="439"/>
      <c r="D62" s="402">
        <v>-4000000</v>
      </c>
      <c r="E62" s="402"/>
      <c r="F62" s="402"/>
      <c r="G62" s="439"/>
      <c r="H62" s="402"/>
      <c r="I62" s="402"/>
    </row>
    <row r="63" ht="8.75" customHeight="1" hidden="1">
      <c r="A63" s="400">
        <v>44652</v>
      </c>
      <c r="B63" s="401" cm="1">
        <f t="array" ref="B63">SUM(D63:F63)</f>
        <v>0</v>
      </c>
      <c r="C63" s="439"/>
      <c r="D63" s="402"/>
      <c r="E63" s="402"/>
      <c r="F63" s="402"/>
      <c r="G63" s="439"/>
      <c r="H63" s="402"/>
      <c r="I63" s="402"/>
    </row>
    <row r="64" ht="8.75" customHeight="1" hidden="1">
      <c r="A64" s="400">
        <v>44682</v>
      </c>
      <c r="B64" s="401" cm="1">
        <f t="array" ref="B64">SUM(D64:F64)</f>
        <v>-2000000</v>
      </c>
      <c r="C64" s="439"/>
      <c r="D64" s="402">
        <v>-2000000</v>
      </c>
      <c r="E64" s="402"/>
      <c r="F64" s="402"/>
      <c r="G64" s="439"/>
      <c r="H64" s="402"/>
      <c r="I64" s="402"/>
    </row>
    <row r="65" ht="8.75" customHeight="1" hidden="1">
      <c r="A65" s="400">
        <v>44713</v>
      </c>
      <c r="B65" s="401" cm="1">
        <f t="array" ref="B65">SUM(D65:F65)</f>
        <v>1725852</v>
      </c>
      <c r="C65" s="439"/>
      <c r="D65" s="402"/>
      <c r="E65" s="402">
        <v>1683841</v>
      </c>
      <c r="F65" s="402">
        <v>42011</v>
      </c>
      <c r="G65" s="439"/>
      <c r="H65" s="402"/>
      <c r="I65" s="402"/>
    </row>
    <row r="66" ht="8.75" customHeight="1" hidden="1">
      <c r="A66" s="400">
        <v>44743</v>
      </c>
      <c r="B66" s="401" cm="1">
        <f t="array" ref="B66">SUM(D66:F66)</f>
        <v>-900000</v>
      </c>
      <c r="C66" s="439"/>
      <c r="D66" s="402">
        <v>-900000</v>
      </c>
      <c r="E66" s="402"/>
      <c r="F66" s="402"/>
      <c r="G66" s="439"/>
      <c r="H66" s="402"/>
      <c r="I66" s="402"/>
    </row>
    <row r="67" ht="8.75" customHeight="1" hidden="1">
      <c r="A67" s="400">
        <v>44774</v>
      </c>
      <c r="B67" s="401" cm="1">
        <f t="array" ref="B67">SUM(D67:F67)</f>
        <v>-900000</v>
      </c>
      <c r="C67" s="439"/>
      <c r="D67" s="402">
        <v>-900000</v>
      </c>
      <c r="E67" s="402"/>
      <c r="F67" s="402"/>
      <c r="G67" s="439"/>
      <c r="H67" s="402"/>
      <c r="I67" s="402"/>
    </row>
    <row r="68" ht="8.75" customHeight="1" hidden="1">
      <c r="A68" s="400">
        <v>44805</v>
      </c>
      <c r="B68" s="401" cm="1">
        <f t="array" ref="B68">SUM(D68:F68)</f>
        <v>-900000</v>
      </c>
      <c r="C68" s="439"/>
      <c r="D68" s="402">
        <v>-900000</v>
      </c>
      <c r="E68" s="402"/>
      <c r="F68" s="402"/>
      <c r="G68" s="439"/>
      <c r="H68" s="402"/>
      <c r="I68" s="402"/>
    </row>
    <row r="69" ht="8.75" customHeight="1" hidden="1">
      <c r="A69" s="400">
        <v>44835</v>
      </c>
      <c r="B69" s="401" cm="1">
        <f t="array" ref="B69">SUM(D69:F69)</f>
        <v>0</v>
      </c>
      <c r="C69" s="439"/>
      <c r="D69" s="402"/>
      <c r="E69" s="402"/>
      <c r="F69" s="402"/>
      <c r="G69" s="439"/>
      <c r="H69" s="402"/>
      <c r="I69" s="402"/>
    </row>
    <row r="70" ht="8.75" customHeight="1" hidden="1">
      <c r="A70" s="400">
        <v>44866</v>
      </c>
      <c r="B70" s="401" cm="1">
        <f t="array" ref="B70">SUM(D70:F70)</f>
        <v>0</v>
      </c>
      <c r="C70" s="439"/>
      <c r="D70" s="402"/>
      <c r="E70" s="402"/>
      <c r="F70" s="402"/>
      <c r="G70" s="439"/>
      <c r="H70" s="402"/>
      <c r="I70" s="402"/>
    </row>
    <row r="71" ht="8.75" customHeight="1" hidden="1">
      <c r="A71" s="400">
        <v>44896</v>
      </c>
      <c r="B71" s="401" cm="1">
        <f t="array" ref="B71">SUM(D71:F71)</f>
        <v>774148</v>
      </c>
      <c r="C71" s="439"/>
      <c r="D71" s="402">
        <v>774148</v>
      </c>
      <c r="E71" s="402"/>
      <c r="F71" s="402"/>
      <c r="G71" s="439"/>
      <c r="H71" s="402"/>
      <c r="I71" s="402"/>
    </row>
    <row r="72" ht="8.75" customHeight="1" hidden="1">
      <c r="A72" s="400">
        <v>44927</v>
      </c>
      <c r="B72" s="401" cm="1">
        <f t="array" ref="B72">SUM(D72:F72)</f>
        <v>600000</v>
      </c>
      <c r="C72" s="439"/>
      <c r="D72" s="402">
        <v>600000</v>
      </c>
      <c r="E72" s="402"/>
      <c r="F72" s="402"/>
      <c r="G72" s="439"/>
      <c r="H72" s="402"/>
      <c r="I72" s="402"/>
    </row>
    <row r="73" ht="8.75" customHeight="1" hidden="1">
      <c r="A73" s="400">
        <v>44958</v>
      </c>
      <c r="B73" s="401" cm="1">
        <f t="array" ref="B73">SUM(D73:F73,H73:I73)</f>
        <v>500000</v>
      </c>
      <c r="C73" s="439"/>
      <c r="D73" s="402">
        <v>500000</v>
      </c>
      <c r="E73" s="402"/>
      <c r="F73" s="402"/>
      <c r="G73" s="439"/>
      <c r="H73" s="402"/>
      <c r="I73" s="402"/>
    </row>
    <row r="74" ht="8.75" customHeight="1" hidden="1">
      <c r="A74" s="400">
        <v>44986</v>
      </c>
      <c r="B74" s="401" cm="1">
        <f t="array" ref="B74">SUM(D74:F74,H74:I74)</f>
        <v>600000</v>
      </c>
      <c r="C74" s="439"/>
      <c r="D74" s="402">
        <v>600000</v>
      </c>
      <c r="E74" s="402"/>
      <c r="F74" s="402"/>
      <c r="G74" s="439"/>
      <c r="H74" s="402"/>
      <c r="I74" s="402"/>
    </row>
    <row r="75" ht="8.75" customHeight="1" hidden="1">
      <c r="A75" s="400">
        <v>45017</v>
      </c>
      <c r="B75" s="401" cm="1">
        <f t="array" ref="B75">SUM(D75:F75,H75:I75)</f>
        <v>0</v>
      </c>
      <c r="C75" s="439"/>
      <c r="D75" s="402"/>
      <c r="E75" s="402"/>
      <c r="F75" s="402"/>
      <c r="G75" s="439"/>
      <c r="H75" s="402"/>
      <c r="I75" s="402"/>
    </row>
    <row r="76" ht="8.75" customHeight="1" hidden="1">
      <c r="A76" s="400">
        <v>45047</v>
      </c>
      <c r="B76" s="401" cm="1">
        <f t="array" ref="B76">SUM(D76:F76,H76:I76)</f>
        <v>527950</v>
      </c>
      <c r="C76" s="439"/>
      <c r="D76" s="402">
        <v>527950</v>
      </c>
      <c r="E76" s="402"/>
      <c r="F76" s="402"/>
      <c r="G76" s="439"/>
      <c r="H76" s="402"/>
      <c r="I76" s="402"/>
    </row>
    <row r="77" ht="8.75" customHeight="1" hidden="1">
      <c r="A77" s="400">
        <v>45078</v>
      </c>
      <c r="B77" s="401" cm="1">
        <f t="array" ref="B77">SUM(D77:F77,H77:I77)</f>
        <v>872050</v>
      </c>
      <c r="C77" s="439"/>
      <c r="D77" s="402">
        <v>59935</v>
      </c>
      <c r="E77" s="402">
        <v>676445</v>
      </c>
      <c r="F77" s="402">
        <v>135670</v>
      </c>
      <c r="G77" s="439"/>
      <c r="H77" s="402"/>
      <c r="I77" s="402"/>
    </row>
    <row r="78" ht="8.75" customHeight="1" hidden="1">
      <c r="A78" s="400">
        <v>45108</v>
      </c>
      <c r="B78" s="401" cm="1">
        <f t="array" ref="B78">SUM(D78:F78,H78:I78)</f>
        <v>0</v>
      </c>
      <c r="C78" s="439"/>
      <c r="D78" s="402"/>
      <c r="E78" s="402"/>
      <c r="F78" s="402"/>
      <c r="G78" s="439"/>
      <c r="H78" s="402"/>
      <c r="I78" s="402"/>
    </row>
    <row r="79" ht="8.75" customHeight="1" hidden="1">
      <c r="A79" s="400">
        <v>45139</v>
      </c>
      <c r="B79" s="401" cm="1">
        <f t="array" ref="B79">SUM(D79:F79,H79:I79)</f>
        <v>0</v>
      </c>
      <c r="C79" s="439"/>
      <c r="D79" s="402"/>
      <c r="E79" s="402"/>
      <c r="F79" s="402"/>
      <c r="G79" s="439"/>
      <c r="H79" s="402"/>
      <c r="I79" s="402"/>
    </row>
    <row r="80" ht="8.75" customHeight="1" hidden="1">
      <c r="A80" s="400">
        <v>45170</v>
      </c>
      <c r="B80" s="401" cm="1">
        <f t="array" ref="B80">SUM(D80:F80,H80:I80)</f>
        <v>0</v>
      </c>
      <c r="C80" s="439"/>
      <c r="D80" s="402"/>
      <c r="E80" s="402"/>
      <c r="F80" s="402"/>
      <c r="G80" s="439"/>
      <c r="H80" s="402"/>
      <c r="I80" s="402"/>
    </row>
    <row r="81" ht="8.75" customHeight="1" hidden="1">
      <c r="A81" s="400">
        <v>45200</v>
      </c>
      <c r="B81" s="401" cm="1">
        <f t="array" ref="B81">SUM(D81:F81,H81:I81)</f>
        <v>0</v>
      </c>
      <c r="C81" s="439"/>
      <c r="D81" s="402"/>
      <c r="E81" s="402"/>
      <c r="F81" s="402"/>
      <c r="G81" s="439"/>
      <c r="H81" s="402"/>
      <c r="I81" s="402"/>
    </row>
    <row r="82" ht="8.75" customHeight="1" hidden="1">
      <c r="A82" s="400">
        <v>45231</v>
      </c>
      <c r="B82" s="401" cm="1">
        <f t="array" ref="B82">SUM(D82:F82,H82:I82)</f>
        <v>0</v>
      </c>
      <c r="C82" s="439"/>
      <c r="D82" s="402"/>
      <c r="E82" s="402"/>
      <c r="F82" s="402"/>
      <c r="G82" s="439"/>
      <c r="H82" s="402"/>
      <c r="I82" s="402"/>
    </row>
    <row r="83" ht="8.75" customHeight="1" hidden="1">
      <c r="A83" s="400">
        <v>45261</v>
      </c>
      <c r="B83" s="401" cm="1">
        <f t="array" ref="B83">SUM(D83:F83,H83:I83)</f>
        <v>0</v>
      </c>
      <c r="C83" s="439"/>
      <c r="D83" s="402"/>
      <c r="E83" s="402"/>
      <c r="F83" s="402"/>
      <c r="G83" s="439"/>
      <c r="H83" s="402"/>
      <c r="I83" s="402"/>
    </row>
    <row r="84" ht="8.75" customHeight="1" hidden="1">
      <c r="A84" s="400">
        <v>45292</v>
      </c>
      <c r="B84" s="401" cm="1">
        <f t="array" ref="B84">SUM(D84:F84,H84:I84)</f>
        <v>30014000</v>
      </c>
      <c r="C84" s="439"/>
      <c r="D84" s="350">
        <v>30014000</v>
      </c>
      <c r="E84" s="402"/>
      <c r="F84" s="402"/>
      <c r="G84" s="439"/>
      <c r="H84" s="402"/>
      <c r="I84" s="402"/>
    </row>
    <row r="85" ht="8.75" customHeight="1" hidden="1">
      <c r="A85" s="400">
        <v>45323</v>
      </c>
      <c r="B85" s="401" cm="1">
        <f t="array" ref="B85">SUM(D85:F85,H85:I85)</f>
        <v>12147361</v>
      </c>
      <c r="C85" s="439"/>
      <c r="D85" s="350">
        <v>12147361</v>
      </c>
      <c r="E85" s="402"/>
      <c r="F85" s="402"/>
      <c r="G85" s="439"/>
      <c r="H85" s="402"/>
      <c r="I85" s="402"/>
    </row>
    <row r="86" ht="8.75" customHeight="1" hidden="1">
      <c r="A86" s="400">
        <v>45352</v>
      </c>
      <c r="B86" s="401" cm="1">
        <f t="array" ref="B86">SUM(D86:F86,H86:I86)</f>
        <v>-10100000</v>
      </c>
      <c r="C86" s="439"/>
      <c r="D86" s="350">
        <v>-10100000</v>
      </c>
      <c r="E86" s="402"/>
      <c r="F86" s="402"/>
      <c r="G86" s="439"/>
      <c r="H86" s="402"/>
      <c r="I86" s="402"/>
    </row>
    <row r="87" ht="8.75" customHeight="1" hidden="1">
      <c r="A87" s="400">
        <v>45383</v>
      </c>
      <c r="B87" s="401" cm="1">
        <f t="array" ref="B87">SUM(D87:F87,H87:I87)</f>
        <v>-38099733</v>
      </c>
      <c r="C87" s="439"/>
      <c r="D87" s="350" cm="1">
        <f t="array" ref="D87">5638639-47800000</f>
        <v>-42161361</v>
      </c>
      <c r="E87" s="402"/>
      <c r="F87" s="402"/>
      <c r="G87" s="439"/>
      <c r="H87" s="402">
        <v>4061628</v>
      </c>
      <c r="I87" s="402"/>
    </row>
    <row r="88" ht="8.75" customHeight="1" hidden="1">
      <c r="A88" s="400">
        <v>45413</v>
      </c>
      <c r="B88" s="401" cm="1">
        <f t="array" ref="B88">SUM(D88:F88,H88:I88)</f>
        <v>0</v>
      </c>
      <c r="C88" s="439"/>
      <c r="D88" s="350"/>
      <c r="E88" s="402"/>
      <c r="F88" s="402"/>
      <c r="G88" s="439"/>
      <c r="H88" s="402"/>
      <c r="I88" s="402"/>
    </row>
    <row r="89" ht="8.75" customHeight="1" hidden="1">
      <c r="A89" s="400">
        <v>45444</v>
      </c>
      <c r="B89" s="401" cm="1">
        <f t="array" ref="B89">SUM(D89:F89,H89:I89)</f>
        <v>377786</v>
      </c>
      <c r="C89" s="439"/>
      <c r="D89" s="350"/>
      <c r="E89" s="402">
        <v>250570</v>
      </c>
      <c r="F89" s="402">
        <v>127216</v>
      </c>
      <c r="G89" s="439"/>
      <c r="H89" s="402"/>
      <c r="I89" s="402"/>
    </row>
    <row r="90" ht="8.75" customHeight="1" hidden="1">
      <c r="A90" s="400">
        <v>45474</v>
      </c>
      <c r="B90" s="401" cm="1">
        <f t="array" ref="B90">SUM(D90:F90,H90:I90)</f>
        <v>-377786</v>
      </c>
      <c r="C90" s="439"/>
      <c r="D90" s="350">
        <v>-377786</v>
      </c>
      <c r="E90" s="402"/>
      <c r="F90" s="402"/>
      <c r="G90" s="439"/>
      <c r="H90" s="402"/>
      <c r="I90" s="402"/>
    </row>
    <row r="91" ht="8.75" customHeight="1" hidden="1">
      <c r="A91" s="400">
        <v>45505</v>
      </c>
      <c r="B91" s="401" cm="1">
        <f t="array" ref="B91">SUM(D91:F91,H91:I91)</f>
        <v>295600</v>
      </c>
      <c r="C91" s="439"/>
      <c r="D91" s="350"/>
      <c r="E91" s="402"/>
      <c r="F91" s="402"/>
      <c r="G91" s="439"/>
      <c r="H91" s="402" cm="1">
        <f t="array" ref="H91">295600</f>
        <v>295600</v>
      </c>
      <c r="I91" s="402"/>
    </row>
    <row r="92" ht="8.75" customHeight="1" hidden="1">
      <c r="A92" s="400">
        <v>45536</v>
      </c>
      <c r="B92" s="401" cm="1">
        <f t="array" ref="B92">SUM(D92:F92,H92:I92)</f>
        <v>8300000</v>
      </c>
      <c r="C92" s="439"/>
      <c r="D92" s="350"/>
      <c r="E92" s="402"/>
      <c r="F92" s="402"/>
      <c r="G92" s="439"/>
      <c r="H92" s="402" cm="1">
        <f t="array" ref="H92">5000000+1000000+1000000+1300000</f>
        <v>8300000</v>
      </c>
      <c r="I92" s="402"/>
    </row>
    <row r="93" ht="8.75" customHeight="1" hidden="1">
      <c r="A93" s="400">
        <v>45566</v>
      </c>
      <c r="B93" s="401" cm="1">
        <f t="array" ref="B93">SUM(D93:F93,H93:I93)</f>
        <v>6852410</v>
      </c>
      <c r="C93" s="439"/>
      <c r="D93" s="350"/>
      <c r="E93" s="402"/>
      <c r="F93" s="402"/>
      <c r="G93" s="439"/>
      <c r="H93" s="402" cm="1">
        <f t="array" ref="H93">2852410+4000000</f>
        <v>6852410</v>
      </c>
      <c r="I93" s="402"/>
    </row>
    <row r="94" ht="8.75" customHeight="1" hidden="1">
      <c r="A94" s="400">
        <v>45597</v>
      </c>
      <c r="B94" s="401" cm="1">
        <f t="array" ref="B94">SUM(D94:F94,H94:I94)</f>
        <v>-13500000</v>
      </c>
      <c r="C94" s="439"/>
      <c r="D94" s="350"/>
      <c r="E94" s="402"/>
      <c r="F94" s="402"/>
      <c r="G94" s="439"/>
      <c r="H94" s="402" cm="1">
        <f t="array" ref="H94">3000000+3000000</f>
        <v>6000000</v>
      </c>
      <c r="I94" s="402" cm="1">
        <f t="array" ref="I94">-19500000</f>
        <v>-19500000</v>
      </c>
    </row>
    <row r="95" ht="8.75" customHeight="1" hidden="1">
      <c r="A95" s="400">
        <v>45627</v>
      </c>
      <c r="B95" s="401" cm="1">
        <f t="array" ref="B95">SUM(D95:F95,H95:I95)</f>
        <v>9000000</v>
      </c>
      <c r="C95" s="439"/>
      <c r="D95" s="350"/>
      <c r="E95" s="402"/>
      <c r="F95" s="402"/>
      <c r="G95" s="439"/>
      <c r="H95" s="402" cm="1">
        <f t="array" ref="H95">5000000+4000000</f>
        <v>9000000</v>
      </c>
      <c r="I95" s="402"/>
    </row>
    <row r="96" ht="8.75" customHeight="1" hidden="1">
      <c r="A96" s="400">
        <v>45658</v>
      </c>
      <c r="B96" s="401" cm="1">
        <f t="array" ref="B96">SUM(D96:F96,H96:I96)</f>
        <v>20500000</v>
      </c>
      <c r="C96" s="439"/>
      <c r="D96" s="350"/>
      <c r="E96" s="402"/>
      <c r="F96" s="402"/>
      <c r="G96" s="439"/>
      <c r="H96" s="402" cm="1">
        <f t="array" ref="H96">(2.5+4+4+5+5)*1000000</f>
        <v>20500000</v>
      </c>
      <c r="I96" s="402"/>
    </row>
    <row r="97" ht="8.75" customHeight="1" hidden="1">
      <c r="A97" s="400">
        <v>45689</v>
      </c>
      <c r="B97" s="401" cm="1">
        <f t="array" ref="B97">SUM(D97:F97,H97:I97)</f>
        <v>-15000000</v>
      </c>
      <c r="C97" s="439"/>
      <c r="D97" s="350"/>
      <c r="E97" s="402"/>
      <c r="F97" s="402"/>
      <c r="G97" s="439"/>
      <c r="H97" s="402" cm="1">
        <f t="array" ref="H97">10000000</f>
        <v>10000000</v>
      </c>
      <c r="I97" s="402" cm="1">
        <f t="array" ref="I97">(-10-2-13)*1000000</f>
        <v>-25000000</v>
      </c>
    </row>
    <row r="98" ht="8.75" customHeight="1" hidden="1">
      <c r="A98" s="400">
        <v>45717</v>
      </c>
      <c r="B98" s="401" cm="1">
        <f t="array" ref="B98">SUM(D98:F98,H98:I98)</f>
        <v>-3550000</v>
      </c>
      <c r="C98" s="439"/>
      <c r="D98" s="350"/>
      <c r="E98" s="402"/>
      <c r="F98" s="402"/>
      <c r="G98" s="439"/>
      <c r="H98" s="402">
        <v>6500000</v>
      </c>
      <c r="I98" s="402" cm="1">
        <f t="array" ref="I98">-350000-4300000-3400000-2000000</f>
        <v>-10050000</v>
      </c>
    </row>
    <row r="99" ht="8.75" customHeight="1" hidden="1">
      <c r="A99" s="400">
        <v>45748</v>
      </c>
      <c r="B99" s="401" cm="1">
        <f t="array" ref="B99">SUM(D99:F99,H99:I99)</f>
        <v>-3700000</v>
      </c>
      <c r="C99" s="439"/>
      <c r="D99" s="350"/>
      <c r="E99" s="402"/>
      <c r="F99" s="402"/>
      <c r="G99" s="439"/>
      <c r="H99" s="402">
        <v>1100000</v>
      </c>
      <c r="I99" s="402" cm="1">
        <f t="array" ref="I99">-400000-800000-3600000</f>
        <v>-4800000</v>
      </c>
    </row>
    <row r="100" ht="8.75" customHeight="1" hidden="1">
      <c r="A100" s="400">
        <v>45778</v>
      </c>
      <c r="B100" s="401" cm="1">
        <f t="array" ref="B100">SUM(D100:F100,H100:I100)</f>
        <v>-1000000</v>
      </c>
      <c r="C100" s="439"/>
      <c r="D100" s="350"/>
      <c r="E100" s="402"/>
      <c r="F100" s="402"/>
      <c r="G100" s="439"/>
      <c r="H100" s="402"/>
      <c r="I100" s="402">
        <v>-1000000</v>
      </c>
    </row>
    <row r="101" ht="8.75" customHeight="1" hidden="1">
      <c r="A101" s="400">
        <v>45809</v>
      </c>
      <c r="B101" s="401" cm="1">
        <f t="array" ref="B101">SUM(D101:F101,H101:I101)</f>
        <v>-1050000</v>
      </c>
      <c r="C101" s="439"/>
      <c r="D101" s="350"/>
      <c r="E101" s="402"/>
      <c r="F101" s="402"/>
      <c r="G101" s="439"/>
      <c r="H101" s="402">
        <v>250000</v>
      </c>
      <c r="I101" s="350">
        <v>-1300000</v>
      </c>
    </row>
    <row r="102" ht="8.75" customHeight="1" hidden="1">
      <c r="A102" s="400">
        <v>45839</v>
      </c>
      <c r="B102" s="401" cm="1">
        <f t="array" ref="B102">SUM(D102:F102,H102:I102)</f>
        <v>-4300000</v>
      </c>
      <c r="C102" s="439"/>
      <c r="D102" s="350"/>
      <c r="E102" s="402"/>
      <c r="F102" s="402"/>
      <c r="G102" s="439"/>
      <c r="H102" s="402" cm="1">
        <f t="array" ref="H102">700000</f>
        <v>700000</v>
      </c>
      <c r="I102" s="402" cm="1">
        <f t="array" ref="I102">(-2-3)*1000000</f>
        <v>-5000000</v>
      </c>
    </row>
    <row r="103" ht="8.75" customHeight="1" hidden="1">
      <c r="A103" s="400">
        <v>45870</v>
      </c>
      <c r="B103" s="401" cm="1">
        <f t="array" ref="B103">SUM(D103:F103,H103:I103)</f>
        <v>-4400000</v>
      </c>
      <c r="C103" s="439"/>
      <c r="D103" s="350"/>
      <c r="E103" s="402"/>
      <c r="F103" s="402"/>
      <c r="G103" s="439"/>
      <c r="H103" s="402"/>
      <c r="I103" s="402" cm="1">
        <f t="array" ref="I103">-4200000-50000-50000-100000</f>
        <v>-4400000</v>
      </c>
    </row>
    <row r="104" ht="8.75" customHeight="1" hidden="1">
      <c r="A104" s="400">
        <v>45901</v>
      </c>
      <c r="B104" s="401" cm="1">
        <f t="array" ref="B104">SUM(D104:F104,H104:I104)</f>
        <v>1750000</v>
      </c>
      <c r="C104" s="439"/>
      <c r="D104" s="350"/>
      <c r="E104" s="402"/>
      <c r="F104" s="402"/>
      <c r="G104" s="439"/>
      <c r="H104" s="402" cm="1">
        <f t="array" ref="H104">300000+150000+1500000</f>
        <v>1950000</v>
      </c>
      <c r="I104" s="402">
        <v>-200000</v>
      </c>
    </row>
    <row r="105" ht="20.55" customHeight="1">
      <c r="A105" s="177">
        <v>45931</v>
      </c>
      <c r="B105" s="91" cm="1">
        <f t="array" ref="B105">SUM(D105:F105,H105:I105)</f>
        <v>-50000</v>
      </c>
      <c r="C105" s="465"/>
      <c r="D105" s="48"/>
      <c r="E105" s="59"/>
      <c r="F105" s="59"/>
      <c r="G105" s="465"/>
      <c r="H105" s="59"/>
      <c r="I105" s="59">
        <v>-50000</v>
      </c>
    </row>
    <row r="106" ht="20.35" customHeight="1">
      <c r="A106" s="186">
        <v>45962</v>
      </c>
      <c r="B106" s="92" cm="1">
        <f t="array" ref="B106">SUM(D106:F106,H106:I106)</f>
        <v>-550000</v>
      </c>
      <c r="C106" s="466"/>
      <c r="D106" s="26"/>
      <c r="E106" s="30"/>
      <c r="F106" s="30"/>
      <c r="G106" s="466"/>
      <c r="H106" s="30">
        <v>100000</v>
      </c>
      <c r="I106" s="30">
        <v>-650000</v>
      </c>
    </row>
    <row r="107" ht="20.35" customHeight="1">
      <c r="A107" s="186">
        <v>45992</v>
      </c>
      <c r="B107" s="92" cm="1">
        <f t="array" ref="B107">SUM(D107:F107,H107:I107)</f>
        <v>650000</v>
      </c>
      <c r="C107" s="466"/>
      <c r="D107" s="26"/>
      <c r="E107" s="30"/>
      <c r="F107" s="30"/>
      <c r="G107" s="466"/>
      <c r="H107" s="30">
        <v>650000</v>
      </c>
      <c r="I107" s="30"/>
    </row>
    <row r="108" ht="20.35" customHeight="1">
      <c r="A108" s="186">
        <v>46023</v>
      </c>
      <c r="B108" s="92" cm="1">
        <f t="array" ref="B108">SUM(D108:F108,H108:I108)</f>
        <v>-200000</v>
      </c>
      <c r="C108" s="466"/>
      <c r="D108" s="26"/>
      <c r="E108" s="30"/>
      <c r="F108" s="30"/>
      <c r="G108" s="466"/>
      <c r="H108" s="30"/>
      <c r="I108" s="30">
        <v>-200000</v>
      </c>
    </row>
    <row r="109" ht="20.35" customHeight="1">
      <c r="A109" s="186">
        <v>46054</v>
      </c>
      <c r="B109" s="92" cm="1">
        <f t="array" ref="B109">SUM(D109:F109,H109:I109)</f>
        <v>900000</v>
      </c>
      <c r="C109" s="466"/>
      <c r="D109" s="26"/>
      <c r="E109" s="30"/>
      <c r="F109" s="30"/>
      <c r="G109" s="466"/>
      <c r="H109" s="30">
        <v>900000</v>
      </c>
      <c r="I109" s="30"/>
    </row>
    <row r="110" ht="20.35" customHeight="1">
      <c r="A110" s="186">
        <v>46082</v>
      </c>
      <c r="B110" s="92" cm="1">
        <f t="array" ref="B110">SUM(D110:F110,H110:I110)</f>
        <v>-400000</v>
      </c>
      <c r="C110" s="466"/>
      <c r="D110" s="26"/>
      <c r="E110" s="30"/>
      <c r="F110" s="30"/>
      <c r="G110" s="466"/>
      <c r="H110" s="30">
        <v>4000000</v>
      </c>
      <c r="I110" s="30">
        <v>-4400000</v>
      </c>
    </row>
    <row r="111" ht="20.35" customHeight="1">
      <c r="A111" s="186">
        <v>46113</v>
      </c>
      <c r="B111" s="92" cm="1">
        <f t="array" ref="B111">SUM(D111:F111,H111:I111)</f>
        <v>24500000</v>
      </c>
      <c r="C111" s="466"/>
      <c r="D111" s="26"/>
      <c r="E111" s="30"/>
      <c r="F111" s="30"/>
      <c r="G111" s="466"/>
      <c r="H111" s="30" cm="1">
        <f t="array" ref="H111">(1.5+5+18)*1000000</f>
        <v>24500000</v>
      </c>
      <c r="I111" s="30"/>
    </row>
    <row r="112" ht="20.35" customHeight="1">
      <c r="A112" s="186">
        <v>46143</v>
      </c>
      <c r="B112" s="92" cm="1">
        <f t="array" ref="B112">SUM(D112:F112,H112:I112)</f>
        <v>-2700000</v>
      </c>
      <c r="C112" s="466"/>
      <c r="D112" s="26"/>
      <c r="E112" s="30"/>
      <c r="F112" s="30"/>
      <c r="G112" s="466"/>
      <c r="H112" s="30">
        <v>2800000</v>
      </c>
      <c r="I112" s="30">
        <v>-5500000</v>
      </c>
    </row>
    <row r="113" ht="20.35" customHeight="1">
      <c r="A113" s="186">
        <v>46174</v>
      </c>
      <c r="B113" s="92" cm="1">
        <f t="array" ref="B113">SUM(D113:F113,H113:I113)</f>
        <v>0</v>
      </c>
      <c r="C113" s="466"/>
      <c r="D113" s="26"/>
      <c r="E113" s="30"/>
      <c r="F113" s="30"/>
      <c r="G113" s="466"/>
      <c r="H113" s="30"/>
      <c r="I113" s="30"/>
    </row>
    <row r="114" ht="20.35" customHeight="1">
      <c r="A114" s="186">
        <v>46204</v>
      </c>
      <c r="B114" s="92" cm="1">
        <f t="array" ref="B114">SUM(D114:F114,H114:I114)</f>
        <v>0</v>
      </c>
      <c r="C114" s="466"/>
      <c r="D114" s="26"/>
      <c r="E114" s="30"/>
      <c r="F114" s="30"/>
      <c r="G114" s="466"/>
      <c r="H114" s="30"/>
      <c r="I114" s="30"/>
    </row>
    <row r="115" ht="20.35" customHeight="1">
      <c r="A115" s="186">
        <v>46235</v>
      </c>
      <c r="B115" s="92" cm="1">
        <f t="array" ref="B115">SUM(D115:F115,H115:I115)</f>
        <v>0</v>
      </c>
      <c r="C115" s="466"/>
      <c r="D115" s="26"/>
      <c r="E115" s="30"/>
      <c r="F115" s="30"/>
      <c r="G115" s="466"/>
      <c r="H115" s="30"/>
      <c r="I115" s="30"/>
    </row>
    <row r="116" ht="20.55" customHeight="1">
      <c r="A116" s="196">
        <v>46266</v>
      </c>
      <c r="B116" s="171" cm="1">
        <f t="array" ref="B116">SUM(D116:F116,H116:I116)</f>
        <v>0</v>
      </c>
      <c r="C116" s="467"/>
      <c r="D116" s="44"/>
      <c r="E116" s="75"/>
      <c r="F116" s="75"/>
      <c r="G116" s="467"/>
      <c r="H116" s="75"/>
      <c r="I116" s="75"/>
    </row>
    <row r="117" ht="20.55" customHeight="1">
      <c r="A117" t="s" s="86">
        <v>665</v>
      </c>
      <c r="B117" s="59" cm="1">
        <f t="array" ref="B117">SUM(D117,H$117:I$117)</f>
        <v>21796580</v>
      </c>
      <c r="C117" s="468"/>
      <c r="D117" s="48" cm="1">
        <f t="array" ref="D117">SUM(D4:D116)</f>
        <v>-4613058</v>
      </c>
      <c r="E117" s="48" cm="1">
        <f t="array" ref="E117">SUM(E4:E116)</f>
        <v>4170720</v>
      </c>
      <c r="F117" s="48" cm="1">
        <f t="array" ref="F117">SUM(F4:F116)</f>
        <v>442338</v>
      </c>
      <c r="G117" s="468"/>
      <c r="H117" s="48" cm="1">
        <f t="array" ref="H117">SUM(H4:H116)</f>
        <v>108459638</v>
      </c>
      <c r="I117" s="48" cm="1">
        <f t="array" ref="I117">SUM(I4:I116)</f>
        <v>-82050000</v>
      </c>
    </row>
    <row r="118" ht="20.35" customHeight="1">
      <c r="A118" t="s" s="56">
        <v>757</v>
      </c>
      <c r="B118" s="30" cm="1">
        <f t="array" ref="B118">D$118+H$118+IF('net worth - cash'!$B$2-'net worth - cash'!B$11&lt;0,'net worth - cash'!$B$2-'net worth - cash'!B$11,0)</f>
        <v>17512018</v>
      </c>
      <c r="C118" s="462"/>
      <c r="D118" s="26" cm="1">
        <f t="array" ref="D118">SUM(D$117:F$117)</f>
        <v>0</v>
      </c>
      <c r="E118" s="469"/>
      <c r="F118" s="469"/>
      <c r="G118" s="462"/>
      <c r="H118" s="429" cm="1">
        <f t="array" ref="H118">'net worth - balances'!B4</f>
        <v>27351662</v>
      </c>
      <c r="I118" s="469"/>
    </row>
    <row r="119" ht="20.35" customHeight="1">
      <c r="A119" t="s" s="56">
        <v>65</v>
      </c>
      <c r="B119" s="30" cm="1">
        <f t="array" ref="B119">SUM(D119,H$119)</f>
        <v>5555082</v>
      </c>
      <c r="C119" s="462"/>
      <c r="D119" s="429" cm="1">
        <f t="array" ref="D119">D$118-D$117</f>
        <v>4613058</v>
      </c>
      <c r="E119" s="469"/>
      <c r="F119" s="429"/>
      <c r="G119" s="462"/>
      <c r="H119" s="429" cm="1">
        <f t="array" ref="H119">H$118-(H$117+I$117)</f>
        <v>942024</v>
      </c>
      <c r="I119" s="429"/>
    </row>
    <row r="120" ht="20.35" customHeight="1">
      <c r="A120" t="s" s="56">
        <v>759</v>
      </c>
      <c r="B120" s="432" cm="1">
        <f t="array" ref="B120">_xlfn.IFERROR($B$118/$B$117-1,0)</f>
        <v>-0.196570379389794</v>
      </c>
      <c r="C120" s="470"/>
      <c r="D120" s="432" cm="1">
        <f t="array" ref="D120">_xlfn.IFERROR(D$119/D$117,0)</f>
        <v>-1</v>
      </c>
      <c r="E120" s="432"/>
      <c r="F120" s="432"/>
      <c r="G120" s="470"/>
      <c r="H120" s="432"/>
      <c r="I120" s="432"/>
    </row>
  </sheetData>
  <mergeCells count="1">
    <mergeCell ref="A1:I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2:E120"/>
  <sheetViews>
    <sheetView workbookViewId="0" showGridLines="0" defaultGridColor="1">
      <pane topLeftCell="B4" xSplit="1" ySplit="3" activePane="bottomRight" state="frozen"/>
    </sheetView>
  </sheetViews>
  <sheetFormatPr defaultColWidth="16.3333" defaultRowHeight="18" customHeight="1" outlineLevelRow="0" outlineLevelCol="0"/>
  <cols>
    <col min="1" max="2" width="16.3516" style="471" customWidth="1"/>
    <col min="3" max="3" width="1.40625" style="471" customWidth="1"/>
    <col min="4" max="5" width="16.3516" style="471" customWidth="1"/>
    <col min="6" max="16384" width="16.3516" style="471" customWidth="1"/>
  </cols>
  <sheetData>
    <row r="1" ht="28" customHeight="1">
      <c r="A1" t="s" s="90">
        <v>778</v>
      </c>
      <c r="B1" s="90"/>
      <c r="C1" s="90"/>
      <c r="D1" s="90"/>
      <c r="E1" s="90"/>
    </row>
    <row r="2" ht="20.35" customHeight="1">
      <c r="A2" s="217"/>
      <c r="B2" t="s" s="218">
        <v>678</v>
      </c>
      <c r="C2" s="217"/>
      <c r="D2" t="s" s="218">
        <v>780</v>
      </c>
      <c r="E2" t="s" s="218">
        <v>781</v>
      </c>
    </row>
    <row r="3" ht="20.55" customHeight="1">
      <c r="A3" s="7"/>
      <c r="B3" s="472" cm="1">
        <f t="array" ref="B3">B$117/B$118</f>
        <v>-5.47716905222438</v>
      </c>
      <c r="C3" s="7"/>
      <c r="D3" s="472" cm="1">
        <f t="array" ref="D3">D$117/D$118</f>
        <v>-2.25089341948427</v>
      </c>
      <c r="E3" s="472" cm="1">
        <f t="array" ref="E3">E$117/E$118</f>
        <v>-40.6655226306916</v>
      </c>
    </row>
    <row r="4" ht="8.75" customHeight="1" hidden="1">
      <c r="A4" s="400">
        <v>42856</v>
      </c>
      <c r="B4" s="401"/>
      <c r="C4" s="352"/>
      <c r="D4" s="352"/>
      <c r="E4" s="352"/>
    </row>
    <row r="5" ht="8.75" customHeight="1" hidden="1">
      <c r="A5" s="400">
        <v>42887</v>
      </c>
      <c r="B5" s="401"/>
      <c r="C5" s="352"/>
      <c r="D5" s="352"/>
      <c r="E5" s="352"/>
    </row>
    <row r="6" ht="8.75" customHeight="1" hidden="1">
      <c r="A6" s="400">
        <v>42917</v>
      </c>
      <c r="B6" s="401"/>
      <c r="C6" s="352"/>
      <c r="D6" s="352"/>
      <c r="E6" s="352"/>
    </row>
    <row r="7" ht="8.75" customHeight="1" hidden="1">
      <c r="A7" s="400">
        <v>42948</v>
      </c>
      <c r="B7" s="401"/>
      <c r="C7" s="352"/>
      <c r="D7" s="352"/>
      <c r="E7" s="352"/>
    </row>
    <row r="8" ht="8.75" customHeight="1" hidden="1">
      <c r="A8" s="400">
        <v>42979</v>
      </c>
      <c r="B8" s="401"/>
      <c r="C8" s="352"/>
      <c r="D8" s="352"/>
      <c r="E8" s="352"/>
    </row>
    <row r="9" ht="8.75" customHeight="1" hidden="1">
      <c r="A9" s="400">
        <v>43009</v>
      </c>
      <c r="B9" s="401"/>
      <c r="C9" s="352"/>
      <c r="D9" s="352"/>
      <c r="E9" s="352"/>
    </row>
    <row r="10" ht="8.75" customHeight="1" hidden="1">
      <c r="A10" s="400">
        <v>43040</v>
      </c>
      <c r="B10" s="401" cm="1">
        <f t="array" ref="B10">SUM(D10:E10)-30100-40000-70000-5000</f>
        <v>940418</v>
      </c>
      <c r="C10" s="352"/>
      <c r="D10" s="402">
        <v>699397</v>
      </c>
      <c r="E10" s="350" cm="1">
        <f t="array" ref="E10">'cripto - Ether – ETH'!B9</f>
        <v>386121</v>
      </c>
    </row>
    <row r="11" ht="8.75" customHeight="1" hidden="1">
      <c r="A11" s="400">
        <v>43070</v>
      </c>
      <c r="B11" s="401" cm="1">
        <f t="array" ref="B11">SUM(D11:E11)-860000-260000+4070+80664</f>
        <v>452316</v>
      </c>
      <c r="C11" s="352"/>
      <c r="D11" s="402" cm="1">
        <f t="array" ref="D11">'cripto - Bitcoin – BTC'!B10</f>
        <v>557521</v>
      </c>
      <c r="E11" s="350" cm="1">
        <f t="array" ref="E11">'cripto - Ether – ETH'!B10</f>
        <v>930061</v>
      </c>
    </row>
    <row r="12" ht="8.75" customHeight="1" hidden="1">
      <c r="A12" s="400">
        <v>43101</v>
      </c>
      <c r="B12" s="401" cm="1">
        <f t="array" ref="B12">SUM(D12:E12)</f>
        <v>254436.85</v>
      </c>
      <c r="C12" s="352"/>
      <c r="D12" s="402" cm="1">
        <f t="array" ref="D12">'cripto - Bitcoin – BTC'!B11</f>
        <v>0</v>
      </c>
      <c r="E12" s="350" cm="1">
        <f t="array" ref="E12">'cripto - Ether – ETH'!B11</f>
        <v>254436.85</v>
      </c>
    </row>
    <row r="13" ht="8.75" customHeight="1" hidden="1">
      <c r="A13" s="400">
        <v>43132</v>
      </c>
      <c r="B13" s="401" cm="1">
        <f t="array" ref="B13">SUM(D13:E13)</f>
        <v>271169</v>
      </c>
      <c r="C13" s="352"/>
      <c r="D13" s="402" cm="1">
        <f t="array" ref="D13">'cripto - Bitcoin – BTC'!B12</f>
        <v>0</v>
      </c>
      <c r="E13" s="350" cm="1">
        <f t="array" ref="E13">'cripto - Ether – ETH'!B12</f>
        <v>271169</v>
      </c>
    </row>
    <row r="14" ht="8.75" customHeight="1" hidden="1">
      <c r="A14" s="400">
        <v>43160</v>
      </c>
      <c r="B14" s="401" cm="1">
        <f t="array" ref="B14">SUM(D14:E14)</f>
        <v>200000</v>
      </c>
      <c r="C14" s="352"/>
      <c r="D14" s="402" cm="1">
        <f t="array" ref="D14">'cripto - Bitcoin – BTC'!B13</f>
        <v>70000</v>
      </c>
      <c r="E14" s="350" cm="1">
        <f t="array" ref="E14">'cripto - Ether – ETH'!B13</f>
        <v>130000</v>
      </c>
    </row>
    <row r="15" ht="8.75" customHeight="1" hidden="1">
      <c r="A15" s="400">
        <v>43191</v>
      </c>
      <c r="B15" s="401" cm="1">
        <f t="array" ref="B15">SUM(D15:E15)</f>
        <v>450000</v>
      </c>
      <c r="C15" s="352"/>
      <c r="D15" s="402" cm="1">
        <f t="array" ref="D15">'cripto - Bitcoin – BTC'!B14</f>
        <v>0</v>
      </c>
      <c r="E15" s="350" cm="1">
        <f t="array" ref="E15">'cripto - Ether – ETH'!B14</f>
        <v>450000</v>
      </c>
    </row>
    <row r="16" ht="8.75" customHeight="1" hidden="1">
      <c r="A16" s="400">
        <v>43221</v>
      </c>
      <c r="B16" s="401" cm="1">
        <f t="array" ref="B16">SUM(D16:E16)</f>
        <v>0</v>
      </c>
      <c r="C16" s="352"/>
      <c r="D16" s="402" cm="1">
        <f t="array" ref="D16">'cripto - Bitcoin – BTC'!B15</f>
        <v>0</v>
      </c>
      <c r="E16" s="350" cm="1">
        <f t="array" ref="E16">'cripto - Ether – ETH'!B15</f>
        <v>0</v>
      </c>
    </row>
    <row r="17" ht="8.75" customHeight="1" hidden="1">
      <c r="A17" s="400">
        <v>43252</v>
      </c>
      <c r="B17" s="401" cm="1">
        <f t="array" ref="B17">SUM(D17:E17)</f>
        <v>0</v>
      </c>
      <c r="C17" s="352"/>
      <c r="D17" s="402" cm="1">
        <f t="array" ref="D17">'cripto - Bitcoin – BTC'!B16</f>
        <v>0</v>
      </c>
      <c r="E17" s="350" cm="1">
        <f t="array" ref="E17">'cripto - Ether – ETH'!B16</f>
        <v>0</v>
      </c>
    </row>
    <row r="18" ht="8.75" customHeight="1" hidden="1">
      <c r="A18" s="400">
        <v>43282</v>
      </c>
      <c r="B18" s="401" cm="1">
        <f t="array" ref="B18">SUM(D18:E18)</f>
        <v>0</v>
      </c>
      <c r="C18" s="352"/>
      <c r="D18" s="402" cm="1">
        <f t="array" ref="D18">'cripto - Bitcoin – BTC'!B17</f>
        <v>0</v>
      </c>
      <c r="E18" s="350" cm="1">
        <f t="array" ref="E18">'cripto - Ether – ETH'!B17</f>
        <v>0</v>
      </c>
    </row>
    <row r="19" ht="8.75" customHeight="1" hidden="1">
      <c r="A19" s="400">
        <v>43313</v>
      </c>
      <c r="B19" s="401" cm="1">
        <f t="array" ref="B19">SUM(D19:E19)</f>
        <v>0</v>
      </c>
      <c r="C19" s="352"/>
      <c r="D19" s="402" cm="1">
        <f t="array" ref="D19">'cripto - Bitcoin – BTC'!B18</f>
        <v>0</v>
      </c>
      <c r="E19" s="350" cm="1">
        <f t="array" ref="E19">'cripto - Ether – ETH'!B18</f>
        <v>0</v>
      </c>
    </row>
    <row r="20" ht="8.75" customHeight="1" hidden="1">
      <c r="A20" s="400">
        <v>43344</v>
      </c>
      <c r="B20" s="401" cm="1">
        <f t="array" ref="B20">SUM(D20:E20)</f>
        <v>0</v>
      </c>
      <c r="C20" s="352"/>
      <c r="D20" s="402" cm="1">
        <f t="array" ref="D20">'cripto - Bitcoin – BTC'!B19</f>
        <v>0</v>
      </c>
      <c r="E20" s="350" cm="1">
        <f t="array" ref="E20">'cripto - Ether – ETH'!B19</f>
        <v>0</v>
      </c>
    </row>
    <row r="21" ht="8.75" customHeight="1" hidden="1">
      <c r="A21" s="400">
        <v>43374</v>
      </c>
      <c r="B21" s="401" cm="1">
        <f t="array" ref="B21">SUM(D21:E21)</f>
        <v>0</v>
      </c>
      <c r="C21" s="352"/>
      <c r="D21" s="402" cm="1">
        <f t="array" ref="D21">'cripto - Bitcoin – BTC'!B20</f>
        <v>0</v>
      </c>
      <c r="E21" s="350" cm="1">
        <f t="array" ref="E21">'cripto - Ether – ETH'!B20</f>
        <v>0</v>
      </c>
    </row>
    <row r="22" ht="8.75" customHeight="1" hidden="1">
      <c r="A22" s="400">
        <v>43405</v>
      </c>
      <c r="B22" s="401" cm="1">
        <f t="array" ref="B22">SUM(D22:E22)</f>
        <v>0</v>
      </c>
      <c r="C22" s="352"/>
      <c r="D22" s="402" cm="1">
        <f t="array" ref="D22">'cripto - Bitcoin – BTC'!B21</f>
        <v>0</v>
      </c>
      <c r="E22" s="350" cm="1">
        <f t="array" ref="E22">'cripto - Ether – ETH'!B21</f>
        <v>0</v>
      </c>
    </row>
    <row r="23" ht="8.75" customHeight="1" hidden="1">
      <c r="A23" s="400">
        <v>43435</v>
      </c>
      <c r="B23" s="401" cm="1">
        <f t="array" ref="B23">SUM(D23:E23)</f>
        <v>0</v>
      </c>
      <c r="C23" s="352"/>
      <c r="D23" s="402" cm="1">
        <f t="array" ref="D23">'cripto - Bitcoin – BTC'!B22</f>
        <v>0</v>
      </c>
      <c r="E23" s="350" cm="1">
        <f t="array" ref="E23">'cripto - Ether – ETH'!B22</f>
        <v>0</v>
      </c>
    </row>
    <row r="24" ht="8.75" customHeight="1" hidden="1">
      <c r="A24" s="400">
        <v>43466</v>
      </c>
      <c r="B24" s="401" cm="1">
        <f t="array" ref="B24">SUM(D24:E24)</f>
        <v>0</v>
      </c>
      <c r="C24" s="352"/>
      <c r="D24" s="402" cm="1">
        <f t="array" ref="D24">'cripto - Bitcoin – BTC'!B23</f>
        <v>0</v>
      </c>
      <c r="E24" s="350" cm="1">
        <f t="array" ref="E24">'cripto - Ether – ETH'!B23</f>
        <v>0</v>
      </c>
    </row>
    <row r="25" ht="8.75" customHeight="1" hidden="1">
      <c r="A25" s="400">
        <v>43497</v>
      </c>
      <c r="B25" s="401" cm="1">
        <f t="array" ref="B25">SUM(D25:E25)</f>
        <v>0</v>
      </c>
      <c r="C25" s="352"/>
      <c r="D25" s="402" cm="1">
        <f t="array" ref="D25">'cripto - Bitcoin – BTC'!B24</f>
        <v>0</v>
      </c>
      <c r="E25" s="350" cm="1">
        <f t="array" ref="E25">'cripto - Ether – ETH'!B24</f>
        <v>0</v>
      </c>
    </row>
    <row r="26" ht="8.75" customHeight="1" hidden="1">
      <c r="A26" s="400">
        <v>43525</v>
      </c>
      <c r="B26" s="401" cm="1">
        <f t="array" ref="B26">SUM(D26:E26)</f>
        <v>0</v>
      </c>
      <c r="C26" s="352"/>
      <c r="D26" s="402" cm="1">
        <f t="array" ref="D26">'cripto - Bitcoin – BTC'!B25</f>
        <v>0</v>
      </c>
      <c r="E26" s="350" cm="1">
        <f t="array" ref="E26">'cripto - Ether – ETH'!B25</f>
        <v>0</v>
      </c>
    </row>
    <row r="27" ht="8.75" customHeight="1" hidden="1">
      <c r="A27" s="400">
        <v>43556</v>
      </c>
      <c r="B27" s="401" cm="1">
        <f t="array" ref="B27">SUM(D27:E27)</f>
        <v>0</v>
      </c>
      <c r="C27" s="352"/>
      <c r="D27" s="402" cm="1">
        <f t="array" ref="D27">'cripto - Bitcoin – BTC'!B26</f>
        <v>0</v>
      </c>
      <c r="E27" s="350" cm="1">
        <f t="array" ref="E27">'cripto - Ether – ETH'!B26</f>
        <v>0</v>
      </c>
    </row>
    <row r="28" ht="8.75" customHeight="1" hidden="1">
      <c r="A28" s="400">
        <v>43586</v>
      </c>
      <c r="B28" s="401" cm="1">
        <f t="array" ref="B28">SUM(D28:E28)</f>
        <v>0</v>
      </c>
      <c r="C28" s="352"/>
      <c r="D28" s="402" cm="1">
        <f t="array" ref="D28">'cripto - Bitcoin – BTC'!B27</f>
        <v>0</v>
      </c>
      <c r="E28" s="350" cm="1">
        <f t="array" ref="E28">'cripto - Ether – ETH'!B27</f>
        <v>0</v>
      </c>
    </row>
    <row r="29" ht="8.75" customHeight="1" hidden="1">
      <c r="A29" s="400">
        <v>43617</v>
      </c>
      <c r="B29" s="401" cm="1">
        <f t="array" ref="B29">SUM(D29:E29)</f>
        <v>0</v>
      </c>
      <c r="C29" s="352"/>
      <c r="D29" s="402" cm="1">
        <f t="array" ref="D29">'cripto - Bitcoin – BTC'!B28</f>
        <v>0</v>
      </c>
      <c r="E29" s="350" cm="1">
        <f t="array" ref="E29">'cripto - Ether – ETH'!B28</f>
        <v>0</v>
      </c>
    </row>
    <row r="30" ht="8.75" customHeight="1" hidden="1">
      <c r="A30" s="400">
        <v>43647</v>
      </c>
      <c r="B30" s="401" cm="1">
        <f t="array" ref="B30">SUM(D30:E30)</f>
        <v>0</v>
      </c>
      <c r="C30" s="352"/>
      <c r="D30" s="402" cm="1">
        <f t="array" ref="D30">'cripto - Bitcoin – BTC'!B29</f>
        <v>0</v>
      </c>
      <c r="E30" s="350" cm="1">
        <f t="array" ref="E30">'cripto - Ether – ETH'!B29</f>
        <v>0</v>
      </c>
    </row>
    <row r="31" ht="8.75" customHeight="1" hidden="1">
      <c r="A31" s="400">
        <v>43678</v>
      </c>
      <c r="B31" s="401" cm="1">
        <f t="array" ref="B31">SUM(D31:E31)</f>
        <v>0</v>
      </c>
      <c r="C31" s="352"/>
      <c r="D31" s="402" cm="1">
        <f t="array" ref="D31">'cripto - Bitcoin – BTC'!B30</f>
        <v>0</v>
      </c>
      <c r="E31" s="350" cm="1">
        <f t="array" ref="E31">'cripto - Ether – ETH'!B30</f>
        <v>0</v>
      </c>
    </row>
    <row r="32" ht="8.75" customHeight="1" hidden="1">
      <c r="A32" s="400">
        <v>43709</v>
      </c>
      <c r="B32" s="401" cm="1">
        <f t="array" ref="B32">SUM(D32:E32)</f>
        <v>0</v>
      </c>
      <c r="C32" s="352"/>
      <c r="D32" s="402" cm="1">
        <f t="array" ref="D32">'cripto - Bitcoin – BTC'!B31</f>
        <v>0</v>
      </c>
      <c r="E32" s="350" cm="1">
        <f t="array" ref="E32">'cripto - Ether – ETH'!B31</f>
        <v>0</v>
      </c>
    </row>
    <row r="33" ht="8.75" customHeight="1" hidden="1">
      <c r="A33" s="400">
        <v>43739</v>
      </c>
      <c r="B33" s="401" cm="1">
        <f t="array" ref="B33">SUM(D33:E33)</f>
        <v>0</v>
      </c>
      <c r="C33" s="352"/>
      <c r="D33" s="402" cm="1">
        <f t="array" ref="D33">'cripto - Bitcoin – BTC'!B32</f>
        <v>0</v>
      </c>
      <c r="E33" s="350" cm="1">
        <f t="array" ref="E33">'cripto - Ether – ETH'!B32</f>
        <v>0</v>
      </c>
    </row>
    <row r="34" ht="8.75" customHeight="1" hidden="1">
      <c r="A34" s="400">
        <v>43770</v>
      </c>
      <c r="B34" s="401" cm="1">
        <f t="array" ref="B34">SUM(D34:E34)</f>
        <v>0</v>
      </c>
      <c r="C34" s="352"/>
      <c r="D34" s="402" cm="1">
        <f t="array" ref="D34">'cripto - Bitcoin – BTC'!B33</f>
        <v>0</v>
      </c>
      <c r="E34" s="350" cm="1">
        <f t="array" ref="E34">'cripto - Ether – ETH'!B33</f>
        <v>0</v>
      </c>
    </row>
    <row r="35" ht="8.75" customHeight="1" hidden="1">
      <c r="A35" s="400">
        <v>43800</v>
      </c>
      <c r="B35" s="401" cm="1">
        <f t="array" ref="B35">SUM(D35:E35)</f>
        <v>0</v>
      </c>
      <c r="C35" s="352"/>
      <c r="D35" s="402" cm="1">
        <f t="array" ref="D35">'cripto - Bitcoin – BTC'!B34</f>
        <v>0</v>
      </c>
      <c r="E35" s="350" cm="1">
        <f t="array" ref="E35">'cripto - Ether – ETH'!B34</f>
        <v>0</v>
      </c>
    </row>
    <row r="36" ht="8.75" customHeight="1" hidden="1">
      <c r="A36" s="400">
        <v>43831</v>
      </c>
      <c r="B36" s="401" cm="1">
        <f t="array" ref="B36">SUM(D36:E36)</f>
        <v>0</v>
      </c>
      <c r="C36" s="352"/>
      <c r="D36" s="402" cm="1">
        <f t="array" ref="D36">'cripto - Bitcoin – BTC'!B35</f>
        <v>0</v>
      </c>
      <c r="E36" s="350" cm="1">
        <f t="array" ref="E36">'cripto - Ether – ETH'!B35</f>
        <v>0</v>
      </c>
    </row>
    <row r="37" ht="8.75" customHeight="1" hidden="1">
      <c r="A37" s="400">
        <v>43862</v>
      </c>
      <c r="B37" s="401" cm="1">
        <f t="array" ref="B37">SUM(D37:E37)</f>
        <v>0</v>
      </c>
      <c r="C37" s="352"/>
      <c r="D37" s="402" cm="1">
        <f t="array" ref="D37">'cripto - Bitcoin – BTC'!B36</f>
        <v>0</v>
      </c>
      <c r="E37" s="350" cm="1">
        <f t="array" ref="E37">'cripto - Ether – ETH'!B36</f>
        <v>0</v>
      </c>
    </row>
    <row r="38" ht="8.75" customHeight="1" hidden="1">
      <c r="A38" s="400">
        <v>43891</v>
      </c>
      <c r="B38" s="401" cm="1">
        <f t="array" ref="B38">SUM(D38:E38)</f>
        <v>0</v>
      </c>
      <c r="C38" s="352"/>
      <c r="D38" s="402" cm="1">
        <f t="array" ref="D38">'cripto - Bitcoin – BTC'!B37</f>
        <v>0</v>
      </c>
      <c r="E38" s="350" cm="1">
        <f t="array" ref="E38">'cripto - Ether – ETH'!B37</f>
        <v>0</v>
      </c>
    </row>
    <row r="39" ht="8.75" customHeight="1" hidden="1">
      <c r="A39" s="400">
        <v>43922</v>
      </c>
      <c r="B39" s="401" cm="1">
        <f t="array" ref="B39">SUM(D39:E39)</f>
        <v>0</v>
      </c>
      <c r="C39" s="352"/>
      <c r="D39" s="402" cm="1">
        <f t="array" ref="D39">'cripto - Bitcoin – BTC'!B38</f>
        <v>0</v>
      </c>
      <c r="E39" s="350" cm="1">
        <f t="array" ref="E39">'cripto - Ether – ETH'!B38</f>
        <v>0</v>
      </c>
    </row>
    <row r="40" ht="8.75" customHeight="1" hidden="1">
      <c r="A40" s="400">
        <v>43952</v>
      </c>
      <c r="B40" s="401" cm="1">
        <f t="array" ref="B40">SUM(D40:E40)</f>
        <v>0</v>
      </c>
      <c r="C40" s="352"/>
      <c r="D40" s="402" cm="1">
        <f t="array" ref="D40">'cripto - Bitcoin – BTC'!B39</f>
        <v>0</v>
      </c>
      <c r="E40" s="350" cm="1">
        <f t="array" ref="E40">'cripto - Ether – ETH'!B39</f>
        <v>0</v>
      </c>
    </row>
    <row r="41" ht="8.75" customHeight="1" hidden="1">
      <c r="A41" s="400">
        <v>43983</v>
      </c>
      <c r="B41" s="401" cm="1">
        <f t="array" ref="B41">SUM(D41:E41)</f>
        <v>0</v>
      </c>
      <c r="C41" s="352"/>
      <c r="D41" s="402" cm="1">
        <f t="array" ref="D41">'cripto - Bitcoin – BTC'!B40</f>
        <v>0</v>
      </c>
      <c r="E41" s="350" cm="1">
        <f t="array" ref="E41">'cripto - Ether – ETH'!B40</f>
        <v>0</v>
      </c>
    </row>
    <row r="42" ht="8.75" customHeight="1" hidden="1">
      <c r="A42" s="400">
        <v>44013</v>
      </c>
      <c r="B42" s="401" cm="1">
        <f t="array" ref="B42">SUM(D42:E42)</f>
        <v>0</v>
      </c>
      <c r="C42" s="352"/>
      <c r="D42" s="402" cm="1">
        <f t="array" ref="D42">'cripto - Bitcoin – BTC'!B41</f>
        <v>0</v>
      </c>
      <c r="E42" s="350" cm="1">
        <f t="array" ref="E42">'cripto - Ether – ETH'!B41</f>
        <v>0</v>
      </c>
    </row>
    <row r="43" ht="8.75" customHeight="1" hidden="1">
      <c r="A43" s="400">
        <v>44044</v>
      </c>
      <c r="B43" s="401" cm="1">
        <f t="array" ref="B43">SUM(D43:E43)</f>
        <v>0</v>
      </c>
      <c r="C43" s="352"/>
      <c r="D43" s="402" cm="1">
        <f t="array" ref="D43">'cripto - Bitcoin – BTC'!B42</f>
        <v>0</v>
      </c>
      <c r="E43" s="350" cm="1">
        <f t="array" ref="E43">'cripto - Ether – ETH'!B42</f>
        <v>0</v>
      </c>
    </row>
    <row r="44" ht="8.75" customHeight="1" hidden="1">
      <c r="A44" s="400">
        <v>44075</v>
      </c>
      <c r="B44" s="401" cm="1">
        <f t="array" ref="B44">SUM(D44:E44)</f>
        <v>0</v>
      </c>
      <c r="C44" s="352"/>
      <c r="D44" s="402" cm="1">
        <f t="array" ref="D44">'cripto - Bitcoin – BTC'!B43</f>
        <v>0</v>
      </c>
      <c r="E44" s="350" cm="1">
        <f t="array" ref="E44">'cripto - Ether – ETH'!B43</f>
        <v>0</v>
      </c>
    </row>
    <row r="45" ht="8.75" customHeight="1" hidden="1">
      <c r="A45" s="400">
        <v>44105</v>
      </c>
      <c r="B45" s="401" cm="1">
        <f t="array" ref="B45">SUM(D45:E45)</f>
        <v>0</v>
      </c>
      <c r="C45" s="352"/>
      <c r="D45" s="402" cm="1">
        <f t="array" ref="D45">'cripto - Bitcoin – BTC'!B44</f>
        <v>0</v>
      </c>
      <c r="E45" s="350" cm="1">
        <f t="array" ref="E45">'cripto - Ether – ETH'!B44</f>
        <v>0</v>
      </c>
    </row>
    <row r="46" ht="8.75" customHeight="1" hidden="1">
      <c r="A46" s="400">
        <v>44136</v>
      </c>
      <c r="B46" s="401" cm="1">
        <f t="array" ref="B46">SUM(D46:E46)</f>
        <v>0</v>
      </c>
      <c r="C46" s="352"/>
      <c r="D46" s="402" cm="1">
        <f t="array" ref="D46">'cripto - Bitcoin – BTC'!B45</f>
        <v>0</v>
      </c>
      <c r="E46" s="350" cm="1">
        <f t="array" ref="E46">'cripto - Ether – ETH'!B45</f>
        <v>0</v>
      </c>
    </row>
    <row r="47" ht="8.75" customHeight="1" hidden="1">
      <c r="A47" s="400">
        <v>44166</v>
      </c>
      <c r="B47" s="401" cm="1">
        <f t="array" ref="B47">SUM(D47:E47)</f>
        <v>0</v>
      </c>
      <c r="C47" s="352"/>
      <c r="D47" s="402" cm="1">
        <f t="array" ref="D47">'cripto - Bitcoin – BTC'!B46</f>
        <v>0</v>
      </c>
      <c r="E47" s="350" cm="1">
        <f t="array" ref="E47">'cripto - Ether – ETH'!B46</f>
        <v>0</v>
      </c>
    </row>
    <row r="48" ht="8.75" customHeight="1" hidden="1">
      <c r="A48" s="400">
        <v>44197</v>
      </c>
      <c r="B48" s="401" cm="1">
        <f t="array" ref="B48">SUM(D48:E48)</f>
        <v>-2200000</v>
      </c>
      <c r="C48" s="352"/>
      <c r="D48" s="402" cm="1">
        <f t="array" ref="D48">'cripto - Bitcoin – BTC'!B47-'cripto - Bitcoin – BTC'!E47</f>
        <v>-600000</v>
      </c>
      <c r="E48" s="350" cm="1">
        <f t="array" ref="E48">'cripto - Ether – ETH'!B47-'cripto - Ether – ETH'!E47</f>
        <v>-1600000</v>
      </c>
    </row>
    <row r="49" ht="8.75" customHeight="1" hidden="1">
      <c r="A49" s="400">
        <v>44228</v>
      </c>
      <c r="B49" s="401" cm="1">
        <f t="array" ref="B49">SUM(D49:E49)</f>
        <v>-1500000</v>
      </c>
      <c r="C49" s="352"/>
      <c r="D49" s="402" cm="1">
        <f t="array" ref="D49">'cripto - Bitcoin – BTC'!B48-'cripto - Bitcoin – BTC'!E48</f>
        <v>-450000</v>
      </c>
      <c r="E49" s="350" cm="1">
        <f t="array" ref="E49">'cripto - Ether – ETH'!B48-'cripto - Ether – ETH'!E48</f>
        <v>-1050000</v>
      </c>
    </row>
    <row r="50" ht="8.75" customHeight="1" hidden="1">
      <c r="A50" s="400">
        <v>44256</v>
      </c>
      <c r="B50" s="401" cm="1">
        <f t="array" ref="B50">SUM(D50:E50)</f>
        <v>0</v>
      </c>
      <c r="C50" s="352"/>
      <c r="D50" s="402" cm="1">
        <f t="array" ref="D50">'cripto - Bitcoin – BTC'!B49-'cripto - Bitcoin – BTC'!E49</f>
        <v>0</v>
      </c>
      <c r="E50" s="350" cm="1">
        <f t="array" ref="E50">'cripto - Ether – ETH'!B49-'cripto - Ether – ETH'!E49</f>
        <v>0</v>
      </c>
    </row>
    <row r="51" ht="8.75" customHeight="1" hidden="1">
      <c r="A51" s="400">
        <v>44287</v>
      </c>
      <c r="B51" s="401" cm="1">
        <f t="array" ref="B51">SUM(D51:E51)</f>
        <v>0</v>
      </c>
      <c r="C51" s="352"/>
      <c r="D51" s="402" cm="1">
        <f t="array" ref="D51">'cripto - Bitcoin – BTC'!B50-'cripto - Bitcoin – BTC'!E50</f>
        <v>0</v>
      </c>
      <c r="E51" s="350" cm="1">
        <f t="array" ref="E51">'cripto - Ether – ETH'!B50-'cripto - Ether – ETH'!E50</f>
        <v>0</v>
      </c>
    </row>
    <row r="52" ht="8.75" customHeight="1" hidden="1">
      <c r="A52" s="400">
        <v>44317</v>
      </c>
      <c r="B52" s="401" cm="1">
        <f t="array" ref="B52">SUM(D52:E52)</f>
        <v>-1000000</v>
      </c>
      <c r="C52" s="352"/>
      <c r="D52" s="402" cm="1">
        <f t="array" ref="D52">'cripto - Bitcoin – BTC'!B51-'cripto - Bitcoin – BTC'!E51</f>
        <v>0</v>
      </c>
      <c r="E52" s="350" cm="1">
        <f t="array" ref="E52">'cripto - Ether – ETH'!B51-'cripto - Ether – ETH'!E51</f>
        <v>-1000000</v>
      </c>
    </row>
    <row r="53" ht="8.75" customHeight="1" hidden="1">
      <c r="A53" s="400">
        <v>44348</v>
      </c>
      <c r="B53" s="401" cm="1">
        <f t="array" ref="B53">SUM(D53:E53)</f>
        <v>0</v>
      </c>
      <c r="C53" s="352"/>
      <c r="D53" s="402" cm="1">
        <f t="array" ref="D53">'cripto - Bitcoin – BTC'!B52-'cripto - Bitcoin – BTC'!E52</f>
        <v>0</v>
      </c>
      <c r="E53" s="350" cm="1">
        <f t="array" ref="E53">'cripto - Ether – ETH'!B52-'cripto - Ether – ETH'!E52</f>
        <v>0</v>
      </c>
    </row>
    <row r="54" ht="8.75" customHeight="1" hidden="1">
      <c r="A54" s="400">
        <v>44378</v>
      </c>
      <c r="B54" s="401" cm="1">
        <f t="array" ref="B54">SUM(D54:E54)</f>
        <v>0</v>
      </c>
      <c r="C54" s="352"/>
      <c r="D54" s="402" cm="1">
        <f t="array" ref="D54">'cripto - Bitcoin – BTC'!B53-'cripto - Bitcoin – BTC'!E53</f>
        <v>0</v>
      </c>
      <c r="E54" s="350" cm="1">
        <f t="array" ref="E54">'cripto - Ether – ETH'!B53-'cripto - Ether – ETH'!E53</f>
        <v>0</v>
      </c>
    </row>
    <row r="55" ht="8.75" customHeight="1" hidden="1">
      <c r="A55" s="400">
        <v>44409</v>
      </c>
      <c r="B55" s="401" cm="1">
        <f t="array" ref="B55">SUM(D55:E55)</f>
        <v>0</v>
      </c>
      <c r="C55" s="352"/>
      <c r="D55" s="402" cm="1">
        <f t="array" ref="D55">'cripto - Bitcoin – BTC'!B54-'cripto - Bitcoin – BTC'!E54</f>
        <v>0</v>
      </c>
      <c r="E55" s="350" cm="1">
        <f t="array" ref="E55">'cripto - Ether – ETH'!B54-'cripto - Ether – ETH'!E54</f>
        <v>0</v>
      </c>
    </row>
    <row r="56" ht="8.75" customHeight="1" hidden="1">
      <c r="A56" s="400">
        <v>44440</v>
      </c>
      <c r="B56" s="401" cm="1">
        <f t="array" ref="B56">SUM(D56:E56)</f>
        <v>0</v>
      </c>
      <c r="C56" s="352"/>
      <c r="D56" s="402" cm="1">
        <f t="array" ref="D56">'cripto - Bitcoin – BTC'!B55-'cripto - Bitcoin – BTC'!E55</f>
        <v>0</v>
      </c>
      <c r="E56" s="350" cm="1">
        <f t="array" ref="E56">'cripto - Ether – ETH'!B55-'cripto - Ether – ETH'!E55</f>
        <v>0</v>
      </c>
    </row>
    <row r="57" ht="8.75" customHeight="1" hidden="1">
      <c r="A57" s="400">
        <v>44470</v>
      </c>
      <c r="B57" s="401" cm="1">
        <f t="array" ref="B57">SUM(D57:E57)</f>
        <v>0</v>
      </c>
      <c r="C57" s="352"/>
      <c r="D57" s="402" cm="1">
        <f t="array" ref="D57">'cripto - Bitcoin – BTC'!B56-'cripto - Bitcoin – BTC'!E56</f>
        <v>0</v>
      </c>
      <c r="E57" s="350" cm="1">
        <f t="array" ref="E57">'cripto - Ether – ETH'!B56-'cripto - Ether – ETH'!E56</f>
        <v>0</v>
      </c>
    </row>
    <row r="58" ht="8.75" customHeight="1" hidden="1">
      <c r="A58" s="400">
        <v>44501</v>
      </c>
      <c r="B58" s="401" cm="1">
        <f t="array" ref="B58">SUM(D58:E58)</f>
        <v>0</v>
      </c>
      <c r="C58" s="352"/>
      <c r="D58" s="402" cm="1">
        <f t="array" ref="D58">'cripto - Bitcoin – BTC'!B57-'cripto - Bitcoin – BTC'!E57</f>
        <v>0</v>
      </c>
      <c r="E58" s="350" cm="1">
        <f t="array" ref="E58">'cripto - Ether – ETH'!B57-'cripto - Ether – ETH'!E57</f>
        <v>0</v>
      </c>
    </row>
    <row r="59" ht="8.75" customHeight="1" hidden="1">
      <c r="A59" s="400">
        <v>44531</v>
      </c>
      <c r="B59" s="401" cm="1">
        <f t="array" ref="B59">SUM(D59:E59)</f>
        <v>0</v>
      </c>
      <c r="C59" s="352"/>
      <c r="D59" s="402" cm="1">
        <f t="array" ref="D59">'cripto - Bitcoin – BTC'!B58-'cripto - Bitcoin – BTC'!E58</f>
        <v>0</v>
      </c>
      <c r="E59" s="350" cm="1">
        <f t="array" ref="E59">'cripto - Ether – ETH'!B58-'cripto - Ether – ETH'!E58</f>
        <v>0</v>
      </c>
    </row>
    <row r="60" ht="8.75" customHeight="1" hidden="1">
      <c r="A60" s="400">
        <v>44562</v>
      </c>
      <c r="B60" s="401" cm="1">
        <f t="array" ref="B60">SUM(D60:E60)</f>
        <v>0</v>
      </c>
      <c r="C60" s="352"/>
      <c r="D60" s="402" cm="1">
        <f t="array" ref="D60">'cripto - Bitcoin – BTC'!B59-'cripto - Bitcoin – BTC'!E59</f>
        <v>0</v>
      </c>
      <c r="E60" s="350" cm="1">
        <f t="array" ref="E60">'cripto - Ether – ETH'!B59-'cripto - Ether – ETH'!E59</f>
        <v>0</v>
      </c>
    </row>
    <row r="61" ht="8.75" customHeight="1" hidden="1">
      <c r="A61" s="400">
        <v>44593</v>
      </c>
      <c r="B61" s="401" cm="1">
        <f t="array" ref="B61">SUM(D61:E61)</f>
        <v>0</v>
      </c>
      <c r="C61" s="352"/>
      <c r="D61" s="402" cm="1">
        <f t="array" ref="D61">'cripto - Bitcoin – BTC'!B60-'cripto - Bitcoin – BTC'!E60</f>
        <v>0</v>
      </c>
      <c r="E61" s="350" cm="1">
        <f t="array" ref="E61">'cripto - Ether – ETH'!B60-'cripto - Ether – ETH'!E60</f>
        <v>0</v>
      </c>
    </row>
    <row r="62" ht="8.75" customHeight="1" hidden="1">
      <c r="A62" s="400">
        <v>44621</v>
      </c>
      <c r="B62" s="401" cm="1">
        <f t="array" ref="B62">SUM(D62:E62)</f>
        <v>0</v>
      </c>
      <c r="C62" s="352"/>
      <c r="D62" s="402" cm="1">
        <f t="array" ref="D62">'cripto - Bitcoin – BTC'!B61-'cripto - Bitcoin – BTC'!E61</f>
        <v>0</v>
      </c>
      <c r="E62" s="350" cm="1">
        <f t="array" ref="E62">'cripto - Ether – ETH'!B61-'cripto - Ether – ETH'!E61</f>
        <v>0</v>
      </c>
    </row>
    <row r="63" ht="8.75" customHeight="1" hidden="1">
      <c r="A63" s="400">
        <v>44652</v>
      </c>
      <c r="B63" s="401" cm="1">
        <f t="array" ref="B63">SUM(D63:E63)</f>
        <v>0</v>
      </c>
      <c r="C63" s="352"/>
      <c r="D63" s="402" cm="1">
        <f t="array" ref="D63">'cripto - Bitcoin – BTC'!B62-'cripto - Bitcoin – BTC'!E62</f>
        <v>0</v>
      </c>
      <c r="E63" s="350" cm="1">
        <f t="array" ref="E63">'cripto - Ether – ETH'!B62-'cripto - Ether – ETH'!E62</f>
        <v>0</v>
      </c>
    </row>
    <row r="64" ht="8.75" customHeight="1" hidden="1">
      <c r="A64" s="400">
        <v>44682</v>
      </c>
      <c r="B64" s="401" cm="1">
        <f t="array" ref="B64">SUM(D64:E64)</f>
        <v>0</v>
      </c>
      <c r="C64" s="352"/>
      <c r="D64" s="402" cm="1">
        <f t="array" ref="D64">'cripto - Bitcoin – BTC'!B63-'cripto - Bitcoin – BTC'!E63</f>
        <v>0</v>
      </c>
      <c r="E64" s="350" cm="1">
        <f t="array" ref="E64">'cripto - Ether – ETH'!B63-'cripto - Ether – ETH'!E63</f>
        <v>0</v>
      </c>
    </row>
    <row r="65" ht="8.75" customHeight="1" hidden="1">
      <c r="A65" s="400">
        <v>44713</v>
      </c>
      <c r="B65" s="401" cm="1">
        <f t="array" ref="B65">SUM(D65:E65)</f>
        <v>0</v>
      </c>
      <c r="C65" s="352"/>
      <c r="D65" s="402" cm="1">
        <f t="array" ref="D65">'cripto - Bitcoin – BTC'!B64-'cripto - Bitcoin – BTC'!E64</f>
        <v>0</v>
      </c>
      <c r="E65" s="350" cm="1">
        <f t="array" ref="E65">'cripto - Ether – ETH'!B64-'cripto - Ether – ETH'!E64</f>
        <v>0</v>
      </c>
    </row>
    <row r="66" ht="8.75" customHeight="1" hidden="1">
      <c r="A66" s="400">
        <v>44743</v>
      </c>
      <c r="B66" s="401" cm="1">
        <f t="array" ref="B66">SUM(D66:E66)</f>
        <v>0</v>
      </c>
      <c r="C66" s="352"/>
      <c r="D66" s="402" cm="1">
        <f t="array" ref="D66">'cripto - Bitcoin – BTC'!B65-'cripto - Bitcoin – BTC'!E65</f>
        <v>0</v>
      </c>
      <c r="E66" s="350" cm="1">
        <f t="array" ref="E66">'cripto - Ether – ETH'!B65-'cripto - Ether – ETH'!E65</f>
        <v>0</v>
      </c>
    </row>
    <row r="67" ht="8.75" customHeight="1" hidden="1">
      <c r="A67" s="400">
        <v>44774</v>
      </c>
      <c r="B67" s="401" cm="1">
        <f t="array" ref="B67">SUM(D67:E67)</f>
        <v>0</v>
      </c>
      <c r="C67" s="352"/>
      <c r="D67" s="402" cm="1">
        <f t="array" ref="D67">'cripto - Bitcoin – BTC'!B66-'cripto - Bitcoin – BTC'!E66</f>
        <v>0</v>
      </c>
      <c r="E67" s="350" cm="1">
        <f t="array" ref="E67">'cripto - Ether – ETH'!B66-'cripto - Ether – ETH'!E66</f>
        <v>0</v>
      </c>
    </row>
    <row r="68" ht="8.75" customHeight="1" hidden="1">
      <c r="A68" s="400">
        <v>44805</v>
      </c>
      <c r="B68" s="401" cm="1">
        <f t="array" ref="B68">SUM(D68:E68)</f>
        <v>0</v>
      </c>
      <c r="C68" s="352"/>
      <c r="D68" s="402" cm="1">
        <f t="array" ref="D68">'cripto - Bitcoin – BTC'!B67-'cripto - Bitcoin – BTC'!E67</f>
        <v>0</v>
      </c>
      <c r="E68" s="350" cm="1">
        <f t="array" ref="E68">'cripto - Ether – ETH'!B67-'cripto - Ether – ETH'!E67</f>
        <v>0</v>
      </c>
    </row>
    <row r="69" ht="8.75" customHeight="1" hidden="1">
      <c r="A69" s="400">
        <v>44835</v>
      </c>
      <c r="B69" s="401" cm="1">
        <f t="array" ref="B69">SUM(D69:E69)</f>
        <v>0</v>
      </c>
      <c r="C69" s="352"/>
      <c r="D69" s="402" cm="1">
        <f t="array" ref="D69">'cripto - Bitcoin – BTC'!B68-'cripto - Bitcoin – BTC'!E68</f>
        <v>0</v>
      </c>
      <c r="E69" s="350" cm="1">
        <f t="array" ref="E69">'cripto - Ether – ETH'!B68-'cripto - Ether – ETH'!E68</f>
        <v>0</v>
      </c>
    </row>
    <row r="70" ht="8.75" customHeight="1" hidden="1">
      <c r="A70" s="400">
        <v>44866</v>
      </c>
      <c r="B70" s="401" cm="1">
        <f t="array" ref="B70">SUM(D70:E70)</f>
        <v>0</v>
      </c>
      <c r="C70" s="352"/>
      <c r="D70" s="402" cm="1">
        <f t="array" ref="D70">'cripto - Bitcoin – BTC'!B69-'cripto - Bitcoin – BTC'!E69</f>
        <v>0</v>
      </c>
      <c r="E70" s="350" cm="1">
        <f t="array" ref="E70">'cripto - Ether – ETH'!B69-'cripto - Ether – ETH'!E69</f>
        <v>0</v>
      </c>
    </row>
    <row r="71" ht="8.75" customHeight="1" hidden="1">
      <c r="A71" s="400">
        <v>44896</v>
      </c>
      <c r="B71" s="401" cm="1">
        <f t="array" ref="B71">SUM(D71:E71)</f>
        <v>0</v>
      </c>
      <c r="C71" s="352"/>
      <c r="D71" s="402" cm="1">
        <f t="array" ref="D71">'cripto - Bitcoin – BTC'!B70-'cripto - Bitcoin – BTC'!E70</f>
        <v>0</v>
      </c>
      <c r="E71" s="350" cm="1">
        <f t="array" ref="E71">'cripto - Ether – ETH'!B70-'cripto - Ether – ETH'!E70</f>
        <v>0</v>
      </c>
    </row>
    <row r="72" ht="8.75" customHeight="1" hidden="1">
      <c r="A72" s="400">
        <v>44927</v>
      </c>
      <c r="B72" s="401" cm="1">
        <f t="array" ref="B72">SUM(D72:E72)</f>
        <v>0</v>
      </c>
      <c r="C72" s="352"/>
      <c r="D72" s="402" cm="1">
        <f t="array" ref="D72">'cripto - Bitcoin – BTC'!B71-'cripto - Bitcoin – BTC'!E71</f>
        <v>0</v>
      </c>
      <c r="E72" s="350" cm="1">
        <f t="array" ref="E72">'cripto - Ether – ETH'!B71-'cripto - Ether – ETH'!E71</f>
        <v>0</v>
      </c>
    </row>
    <row r="73" ht="8.75" customHeight="1" hidden="1">
      <c r="A73" s="400">
        <v>44958</v>
      </c>
      <c r="B73" s="401" cm="1">
        <f t="array" ref="B73">SUM(D73:E73)</f>
        <v>0</v>
      </c>
      <c r="C73" s="352"/>
      <c r="D73" s="402" cm="1">
        <f t="array" ref="D73">'cripto - Bitcoin – BTC'!B72-'cripto - Bitcoin – BTC'!E72</f>
        <v>0</v>
      </c>
      <c r="E73" s="350" cm="1">
        <f t="array" ref="E73">'cripto - Ether – ETH'!B72-'cripto - Ether – ETH'!E72</f>
        <v>0</v>
      </c>
    </row>
    <row r="74" ht="8.75" customHeight="1" hidden="1">
      <c r="A74" s="400">
        <v>44986</v>
      </c>
      <c r="B74" s="401" cm="1">
        <f t="array" ref="B74">SUM(D74:E74)</f>
        <v>0</v>
      </c>
      <c r="C74" s="352"/>
      <c r="D74" s="402" cm="1">
        <f t="array" ref="D74">'cripto - Bitcoin – BTC'!B73-'cripto - Bitcoin – BTC'!E73</f>
        <v>0</v>
      </c>
      <c r="E74" s="350" cm="1">
        <f t="array" ref="E74">'cripto - Ether – ETH'!B73-'cripto - Ether – ETH'!E73</f>
        <v>0</v>
      </c>
    </row>
    <row r="75" ht="8.75" customHeight="1" hidden="1">
      <c r="A75" s="400">
        <v>45017</v>
      </c>
      <c r="B75" s="401" cm="1">
        <f t="array" ref="B75">SUM(D75:E75)</f>
        <v>0</v>
      </c>
      <c r="C75" s="352"/>
      <c r="D75" s="402" cm="1">
        <f t="array" ref="D75">'cripto - Bitcoin – BTC'!B74-'cripto - Bitcoin – BTC'!E74</f>
        <v>0</v>
      </c>
      <c r="E75" s="350" cm="1">
        <f t="array" ref="E75">'cripto - Ether – ETH'!B74-'cripto - Ether – ETH'!E74</f>
        <v>0</v>
      </c>
    </row>
    <row r="76" ht="8.75" customHeight="1" hidden="1">
      <c r="A76" s="400">
        <v>45047</v>
      </c>
      <c r="B76" s="401" cm="1">
        <f t="array" ref="B76">SUM(D76:E76)</f>
        <v>0</v>
      </c>
      <c r="C76" s="352"/>
      <c r="D76" s="402" cm="1">
        <f t="array" ref="D76">'cripto - Bitcoin – BTC'!B75-'cripto - Bitcoin – BTC'!E75</f>
        <v>0</v>
      </c>
      <c r="E76" s="350" cm="1">
        <f t="array" ref="E76">'cripto - Ether – ETH'!B75-'cripto - Ether – ETH'!E75</f>
        <v>0</v>
      </c>
    </row>
    <row r="77" ht="8.75" customHeight="1" hidden="1">
      <c r="A77" s="400">
        <v>45078</v>
      </c>
      <c r="B77" s="401" cm="1">
        <f t="array" ref="B77">SUM(D77:E77)</f>
        <v>0</v>
      </c>
      <c r="C77" s="352"/>
      <c r="D77" s="402" cm="1">
        <f t="array" ref="D77">'cripto - Bitcoin – BTC'!B76-'cripto - Bitcoin – BTC'!E76</f>
        <v>0</v>
      </c>
      <c r="E77" s="350" cm="1">
        <f t="array" ref="E77">'cripto - Ether – ETH'!B76-'cripto - Ether – ETH'!E76</f>
        <v>0</v>
      </c>
    </row>
    <row r="78" ht="8.75" customHeight="1" hidden="1">
      <c r="A78" s="400">
        <v>45108</v>
      </c>
      <c r="B78" s="401" cm="1">
        <f t="array" ref="B78">SUM(D78:E78)</f>
        <v>0</v>
      </c>
      <c r="C78" s="352"/>
      <c r="D78" s="402" cm="1">
        <f t="array" ref="D78">'cripto - Bitcoin – BTC'!B77-'cripto - Bitcoin – BTC'!E77</f>
        <v>0</v>
      </c>
      <c r="E78" s="350" cm="1">
        <f t="array" ref="E78">'cripto - Ether – ETH'!B77-'cripto - Ether – ETH'!E77</f>
        <v>0</v>
      </c>
    </row>
    <row r="79" ht="8.75" customHeight="1" hidden="1">
      <c r="A79" s="400">
        <v>45139</v>
      </c>
      <c r="B79" s="401" cm="1">
        <f t="array" ref="B79">SUM(D79:E79)</f>
        <v>0</v>
      </c>
      <c r="C79" s="352"/>
      <c r="D79" s="402" cm="1">
        <f t="array" ref="D79">'cripto - Bitcoin – BTC'!B78-'cripto - Bitcoin – BTC'!E78</f>
        <v>0</v>
      </c>
      <c r="E79" s="350" cm="1">
        <f t="array" ref="E79">'cripto - Ether – ETH'!B78-'cripto - Ether – ETH'!E78</f>
        <v>0</v>
      </c>
    </row>
    <row r="80" ht="8.75" customHeight="1" hidden="1">
      <c r="A80" s="400">
        <v>45170</v>
      </c>
      <c r="B80" s="401" cm="1">
        <f t="array" ref="B80">SUM(D80:E80)</f>
        <v>0</v>
      </c>
      <c r="C80" s="352"/>
      <c r="D80" s="402" cm="1">
        <f t="array" ref="D80">'cripto - Bitcoin – BTC'!B79-'cripto - Bitcoin – BTC'!E79</f>
        <v>0</v>
      </c>
      <c r="E80" s="350" cm="1">
        <f t="array" ref="E80">'cripto - Ether – ETH'!B79-'cripto - Ether – ETH'!E79</f>
        <v>0</v>
      </c>
    </row>
    <row r="81" ht="8.75" customHeight="1" hidden="1">
      <c r="A81" s="400">
        <v>45200</v>
      </c>
      <c r="B81" s="401" cm="1">
        <f t="array" ref="B81">SUM(D81:E81)</f>
        <v>0</v>
      </c>
      <c r="C81" s="352"/>
      <c r="D81" s="402" cm="1">
        <f t="array" ref="D81">'cripto - Bitcoin – BTC'!B80-'cripto - Bitcoin – BTC'!E80</f>
        <v>0</v>
      </c>
      <c r="E81" s="350" cm="1">
        <f t="array" ref="E81">'cripto - Ether – ETH'!B80-'cripto - Ether – ETH'!E80</f>
        <v>0</v>
      </c>
    </row>
    <row r="82" ht="8.75" customHeight="1" hidden="1">
      <c r="A82" s="400">
        <v>45231</v>
      </c>
      <c r="B82" s="401" cm="1">
        <f t="array" ref="B82">SUM(D82:E82)</f>
        <v>0</v>
      </c>
      <c r="C82" s="352"/>
      <c r="D82" s="402" cm="1">
        <f t="array" ref="D82">'cripto - Bitcoin – BTC'!B81-'cripto - Bitcoin – BTC'!E81</f>
        <v>0</v>
      </c>
      <c r="E82" s="350" cm="1">
        <f t="array" ref="E82">'cripto - Ether – ETH'!B81-'cripto - Ether – ETH'!E81</f>
        <v>0</v>
      </c>
    </row>
    <row r="83" ht="8.75" customHeight="1" hidden="1">
      <c r="A83" s="400">
        <v>45261</v>
      </c>
      <c r="B83" s="401" cm="1">
        <f t="array" ref="B83">SUM(D83:E83)</f>
        <v>0</v>
      </c>
      <c r="C83" s="352"/>
      <c r="D83" s="402" cm="1">
        <f t="array" ref="D83">'cripto - Bitcoin – BTC'!B82-'cripto - Bitcoin – BTC'!E82</f>
        <v>0</v>
      </c>
      <c r="E83" s="350" cm="1">
        <f t="array" ref="E83">'cripto - Ether – ETH'!B82-'cripto - Ether – ETH'!E82</f>
        <v>0</v>
      </c>
    </row>
    <row r="84" ht="8.75" customHeight="1" hidden="1">
      <c r="A84" s="400">
        <v>45292</v>
      </c>
      <c r="B84" s="401" cm="1">
        <f t="array" ref="B84">SUM(D84:E84)</f>
        <v>0</v>
      </c>
      <c r="C84" s="352"/>
      <c r="D84" s="402" cm="1">
        <f t="array" ref="D84">'cripto - Bitcoin – BTC'!B83-'cripto - Bitcoin – BTC'!E83</f>
        <v>0</v>
      </c>
      <c r="E84" s="350" cm="1">
        <f t="array" ref="E84">'cripto - Ether – ETH'!B83-'cripto - Ether – ETH'!E83</f>
        <v>0</v>
      </c>
    </row>
    <row r="85" ht="8.75" customHeight="1" hidden="1">
      <c r="A85" s="400">
        <v>45323</v>
      </c>
      <c r="B85" s="401" cm="1">
        <f t="array" ref="B85">SUM(D85:E85)</f>
        <v>0</v>
      </c>
      <c r="C85" s="352"/>
      <c r="D85" s="402" cm="1">
        <f t="array" ref="D85">'cripto - Bitcoin – BTC'!B84-'cripto - Bitcoin – BTC'!E84</f>
        <v>0</v>
      </c>
      <c r="E85" s="350" cm="1">
        <f t="array" ref="E85">'cripto - Ether – ETH'!B84-'cripto - Ether – ETH'!E84</f>
        <v>0</v>
      </c>
    </row>
    <row r="86" ht="8.75" customHeight="1" hidden="1">
      <c r="A86" s="400">
        <v>45352</v>
      </c>
      <c r="B86" s="401" cm="1">
        <f t="array" ref="B86">SUM(D86:E86)</f>
        <v>0</v>
      </c>
      <c r="C86" s="352"/>
      <c r="D86" s="402" cm="1">
        <f t="array" ref="D86">'cripto - Bitcoin – BTC'!B85-'cripto - Bitcoin – BTC'!E85</f>
        <v>0</v>
      </c>
      <c r="E86" s="350" cm="1">
        <f t="array" ref="E86">'cripto - Ether – ETH'!B85-'cripto - Ether – ETH'!E85</f>
        <v>0</v>
      </c>
    </row>
    <row r="87" ht="8.75" customHeight="1" hidden="1">
      <c r="A87" s="400">
        <v>45383</v>
      </c>
      <c r="B87" s="401" cm="1">
        <f t="array" ref="B87">SUM(D87:E87)</f>
        <v>0</v>
      </c>
      <c r="C87" s="352"/>
      <c r="D87" s="402" cm="1">
        <f t="array" ref="D87">'cripto - Bitcoin – BTC'!B86-'cripto - Bitcoin – BTC'!E86</f>
        <v>0</v>
      </c>
      <c r="E87" s="350" cm="1">
        <f t="array" ref="E87">'cripto - Ether – ETH'!B86-'cripto - Ether – ETH'!E86</f>
        <v>0</v>
      </c>
    </row>
    <row r="88" ht="8.75" customHeight="1" hidden="1">
      <c r="A88" s="400">
        <v>45413</v>
      </c>
      <c r="B88" s="401" cm="1">
        <f t="array" ref="B88">SUM(D88:E88)</f>
        <v>0</v>
      </c>
      <c r="C88" s="352"/>
      <c r="D88" s="402" cm="1">
        <f t="array" ref="D88">'cripto - Bitcoin – BTC'!B87-'cripto - Bitcoin – BTC'!E87</f>
        <v>0</v>
      </c>
      <c r="E88" s="350" cm="1">
        <f t="array" ref="E88">'cripto - Ether – ETH'!B87-'cripto - Ether – ETH'!E87</f>
        <v>0</v>
      </c>
    </row>
    <row r="89" ht="8.75" customHeight="1" hidden="1">
      <c r="A89" s="400">
        <v>45444</v>
      </c>
      <c r="B89" s="401" cm="1">
        <f t="array" ref="B89">SUM(D89:E89)</f>
        <v>0</v>
      </c>
      <c r="C89" s="352"/>
      <c r="D89" s="402" cm="1">
        <f t="array" ref="D89">'cripto - Bitcoin – BTC'!B88-'cripto - Bitcoin – BTC'!E88</f>
        <v>0</v>
      </c>
      <c r="E89" s="350" cm="1">
        <f t="array" ref="E89">'cripto - Ether – ETH'!B88-'cripto - Ether – ETH'!E88</f>
        <v>0</v>
      </c>
    </row>
    <row r="90" ht="8.75" customHeight="1" hidden="1">
      <c r="A90" s="400">
        <v>45474</v>
      </c>
      <c r="B90" s="401" cm="1">
        <f t="array" ref="B90">SUM(D90:E90)</f>
        <v>0</v>
      </c>
      <c r="C90" s="352"/>
      <c r="D90" s="402" cm="1">
        <f t="array" ref="D90">'cripto - Bitcoin – BTC'!B89-'cripto - Bitcoin – BTC'!E89</f>
        <v>0</v>
      </c>
      <c r="E90" s="350" cm="1">
        <f t="array" ref="E90">'cripto - Ether – ETH'!B89-'cripto - Ether – ETH'!E89</f>
        <v>0</v>
      </c>
    </row>
    <row r="91" ht="8.75" customHeight="1" hidden="1">
      <c r="A91" s="400">
        <v>45505</v>
      </c>
      <c r="B91" s="401" cm="1">
        <f t="array" ref="B91">SUM(D91:E91)</f>
        <v>0</v>
      </c>
      <c r="C91" s="352"/>
      <c r="D91" s="402" cm="1">
        <f t="array" ref="D91">'cripto - Bitcoin – BTC'!B90-'cripto - Bitcoin – BTC'!E90</f>
        <v>0</v>
      </c>
      <c r="E91" s="350" cm="1">
        <f t="array" ref="E91">'cripto - Ether – ETH'!B90-'cripto - Ether – ETH'!E90</f>
        <v>0</v>
      </c>
    </row>
    <row r="92" ht="8.75" customHeight="1" hidden="1">
      <c r="A92" s="400">
        <v>45536</v>
      </c>
      <c r="B92" s="401" cm="1">
        <f t="array" ref="B92">SUM(D92:E92)</f>
        <v>0</v>
      </c>
      <c r="C92" s="352"/>
      <c r="D92" s="402" cm="1">
        <f t="array" ref="D92">'cripto - Bitcoin – BTC'!B91-'cripto - Bitcoin – BTC'!E91</f>
        <v>0</v>
      </c>
      <c r="E92" s="350" cm="1">
        <f t="array" ref="E92">'cripto - Ether – ETH'!B91-'cripto - Ether – ETH'!E91</f>
        <v>0</v>
      </c>
    </row>
    <row r="93" ht="8.75" customHeight="1" hidden="1">
      <c r="A93" s="400">
        <v>45566</v>
      </c>
      <c r="B93" s="401" cm="1">
        <f t="array" ref="B93">SUM(D93:E93)</f>
        <v>0</v>
      </c>
      <c r="C93" s="352"/>
      <c r="D93" s="402" cm="1">
        <f t="array" ref="D93">'cripto - Bitcoin – BTC'!B92-'cripto - Bitcoin – BTC'!E92</f>
        <v>0</v>
      </c>
      <c r="E93" s="350" cm="1">
        <f t="array" ref="E93">'cripto - Ether – ETH'!B92-'cripto - Ether – ETH'!E92</f>
        <v>0</v>
      </c>
    </row>
    <row r="94" ht="8.75" customHeight="1" hidden="1">
      <c r="A94" s="400">
        <v>45597</v>
      </c>
      <c r="B94" s="401" cm="1">
        <f t="array" ref="B94">SUM(D94:E94)</f>
        <v>-600000</v>
      </c>
      <c r="C94" s="352"/>
      <c r="D94" s="402" cm="1">
        <f t="array" ref="D94">'cripto - Bitcoin – BTC'!B93-'cripto - Bitcoin – BTC'!E93</f>
        <v>0</v>
      </c>
      <c r="E94" s="350" cm="1">
        <f t="array" ref="E94">'cripto - Ether – ETH'!B93-'cripto - Ether – ETH'!E93</f>
        <v>-600000</v>
      </c>
    </row>
    <row r="95" ht="8.75" customHeight="1" hidden="1">
      <c r="A95" s="400">
        <v>45627</v>
      </c>
      <c r="B95" s="401" cm="1">
        <f t="array" ref="B95">SUM(D95:E95)</f>
        <v>0</v>
      </c>
      <c r="C95" s="352"/>
      <c r="D95" s="402" cm="1">
        <f t="array" ref="D95">'cripto - Bitcoin – BTC'!B94-'cripto - Bitcoin – BTC'!E94</f>
        <v>0</v>
      </c>
      <c r="E95" s="350" cm="1">
        <f t="array" ref="E95">'cripto - Ether – ETH'!B94-'cripto - Ether – ETH'!E94</f>
        <v>0</v>
      </c>
    </row>
    <row r="96" ht="8.75" customHeight="1" hidden="1">
      <c r="A96" s="400">
        <v>45658</v>
      </c>
      <c r="B96" s="401" cm="1">
        <f t="array" ref="B96">SUM(D96:E96)</f>
        <v>-900000</v>
      </c>
      <c r="C96" s="352"/>
      <c r="D96" s="402" cm="1">
        <f t="array" ref="D96">'cripto - Bitcoin – BTC'!B95-'cripto - Bitcoin – BTC'!E95</f>
        <v>-900000</v>
      </c>
      <c r="E96" s="350" cm="1">
        <f t="array" ref="E96">'cripto - Ether – ETH'!B95-'cripto - Ether – ETH'!E95</f>
        <v>0</v>
      </c>
    </row>
    <row r="97" ht="8.75" customHeight="1" hidden="1">
      <c r="A97" s="400">
        <v>45689</v>
      </c>
      <c r="B97" s="401" cm="1">
        <f t="array" ref="B97">SUM(D97:E97)</f>
        <v>-3000000</v>
      </c>
      <c r="C97" s="352"/>
      <c r="D97" s="402" cm="1">
        <f t="array" ref="D97">'cripto - Bitcoin – BTC'!B96-'cripto - Bitcoin – BTC'!E96</f>
        <v>0</v>
      </c>
      <c r="E97" s="350" cm="1">
        <f t="array" ref="E97">'cripto - Ether – ETH'!B96-'cripto - Ether – ETH'!E96</f>
        <v>-3000000</v>
      </c>
    </row>
    <row r="98" ht="8.75" customHeight="1" hidden="1">
      <c r="A98" s="400">
        <v>45717</v>
      </c>
      <c r="B98" s="401" cm="1">
        <f t="array" ref="B98">SUM(D98:E98)</f>
        <v>-2939581</v>
      </c>
      <c r="C98" s="352"/>
      <c r="D98" s="402" cm="1">
        <f t="array" ref="D98">'cripto - Bitcoin – BTC'!B97-'cripto - Bitcoin – BTC'!E97</f>
        <v>-2000000</v>
      </c>
      <c r="E98" s="350" cm="1">
        <f t="array" ref="E98">'cripto - Ether – ETH'!B97-'cripto - Ether – ETH'!E97</f>
        <v>-939581</v>
      </c>
    </row>
    <row r="99" ht="8.75" customHeight="1" hidden="1">
      <c r="A99" s="400">
        <v>45748</v>
      </c>
      <c r="B99" s="401" cm="1">
        <f t="array" ref="B99">SUM(D99:E99)</f>
        <v>0</v>
      </c>
      <c r="C99" s="352"/>
      <c r="D99" s="402" cm="1">
        <f t="array" ref="D99">'cripto - Bitcoin – BTC'!B98-'cripto - Bitcoin – BTC'!E98</f>
        <v>0</v>
      </c>
      <c r="E99" s="350" cm="1">
        <f t="array" ref="E99">'cripto - Ether – ETH'!B98-'cripto - Ether – ETH'!E98</f>
        <v>0</v>
      </c>
    </row>
    <row r="100" ht="8.75" customHeight="1" hidden="1">
      <c r="A100" s="400">
        <v>45778</v>
      </c>
      <c r="B100" s="401" cm="1">
        <f t="array" ref="B100">SUM(D100:E100)</f>
        <v>0</v>
      </c>
      <c r="C100" s="352"/>
      <c r="D100" s="402" cm="1">
        <f t="array" ref="D100">'cripto - Bitcoin – BTC'!B99-'cripto - Bitcoin – BTC'!E99</f>
        <v>0</v>
      </c>
      <c r="E100" s="350" cm="1">
        <f t="array" ref="E100">'cripto - Ether – ETH'!B99-'cripto - Ether – ETH'!E99</f>
        <v>0</v>
      </c>
    </row>
    <row r="101" ht="8.75" customHeight="1" hidden="1">
      <c r="A101" s="400">
        <v>45809</v>
      </c>
      <c r="B101" s="401" cm="1">
        <f t="array" ref="B101">SUM(D101:E101)</f>
        <v>0</v>
      </c>
      <c r="C101" s="352"/>
      <c r="D101" s="402" cm="1">
        <f t="array" ref="D101">'cripto - Bitcoin – BTC'!B100-'cripto - Bitcoin – BTC'!E100</f>
        <v>0</v>
      </c>
      <c r="E101" s="350" cm="1">
        <f t="array" ref="E101">'cripto - Ether – ETH'!B100-'cripto - Ether – ETH'!E100</f>
        <v>0</v>
      </c>
    </row>
    <row r="102" ht="8.75" customHeight="1" hidden="1">
      <c r="A102" s="400">
        <v>45839</v>
      </c>
      <c r="B102" s="401" cm="1">
        <f t="array" ref="B102">SUM(D102:E102)</f>
        <v>250000</v>
      </c>
      <c r="C102" s="352"/>
      <c r="D102" s="402" cm="1">
        <f t="array" ref="D102">'cripto - Bitcoin – BTC'!B101-'cripto - Bitcoin – BTC'!E101</f>
        <v>0</v>
      </c>
      <c r="E102" s="350" cm="1">
        <f t="array" ref="E102">'cripto - Ether – ETH'!B101-'cripto - Ether – ETH'!E101</f>
        <v>250000</v>
      </c>
    </row>
    <row r="103" ht="8.75" customHeight="1" hidden="1">
      <c r="A103" s="400">
        <v>45870</v>
      </c>
      <c r="B103" s="401" cm="1">
        <f t="array" ref="B103">SUM(D103:E103)</f>
        <v>0</v>
      </c>
      <c r="C103" s="352"/>
      <c r="D103" s="402" cm="1">
        <f t="array" ref="D103">'cripto - Bitcoin – BTC'!B102-'cripto - Bitcoin – BTC'!E102</f>
        <v>0</v>
      </c>
      <c r="E103" s="350" cm="1">
        <f t="array" ref="E103">'cripto - Ether – ETH'!B102-'cripto - Ether – ETH'!E102</f>
        <v>0</v>
      </c>
    </row>
    <row r="104" ht="8.75" customHeight="1" hidden="1">
      <c r="A104" s="400">
        <v>45901</v>
      </c>
      <c r="B104" s="401" cm="1">
        <f t="array" ref="B104">SUM(D104:E104)</f>
        <v>0</v>
      </c>
      <c r="C104" s="352"/>
      <c r="D104" s="402" cm="1">
        <f t="array" ref="D104">'cripto - Bitcoin – BTC'!B103-'cripto - Bitcoin – BTC'!E103</f>
        <v>0</v>
      </c>
      <c r="E104" s="350" cm="1">
        <f t="array" ref="E104">'cripto - Ether – ETH'!B103-'cripto - Ether – ETH'!E103</f>
        <v>0</v>
      </c>
    </row>
    <row r="105" ht="20.55" customHeight="1">
      <c r="A105" s="177">
        <v>45931</v>
      </c>
      <c r="B105" s="91" cm="1">
        <f t="array" ref="B105">SUM(D105:E105)</f>
        <v>0</v>
      </c>
      <c r="C105" s="82"/>
      <c r="D105" s="59" cm="1">
        <f t="array" ref="D105">'cripto - Bitcoin – BTC'!B104-'cripto - Bitcoin – BTC'!E104</f>
        <v>0</v>
      </c>
      <c r="E105" s="48" cm="1">
        <f t="array" ref="E105">'cripto - Ether – ETH'!B104-'cripto - Ether – ETH'!E104</f>
        <v>0</v>
      </c>
    </row>
    <row r="106" ht="20.35" customHeight="1">
      <c r="A106" s="186">
        <v>45962</v>
      </c>
      <c r="B106" s="92" cm="1">
        <f t="array" ref="B106">SUM(D106:E106)</f>
        <v>0</v>
      </c>
      <c r="C106" s="32"/>
      <c r="D106" s="30" cm="1">
        <f t="array" ref="D106">'cripto - Bitcoin – BTC'!B105-'cripto - Bitcoin – BTC'!E105</f>
        <v>0</v>
      </c>
      <c r="E106" s="26" cm="1">
        <f t="array" ref="E106">'cripto - Ether – ETH'!B105-'cripto - Ether – ETH'!E105</f>
        <v>0</v>
      </c>
    </row>
    <row r="107" ht="20.35" customHeight="1">
      <c r="A107" s="186">
        <v>45992</v>
      </c>
      <c r="B107" s="92" cm="1">
        <f t="array" ref="B107">SUM(D107:E107)</f>
        <v>0</v>
      </c>
      <c r="C107" s="32"/>
      <c r="D107" s="30" cm="1">
        <f t="array" ref="D107">'cripto - Bitcoin – BTC'!B106-'cripto - Bitcoin – BTC'!E106</f>
        <v>0</v>
      </c>
      <c r="E107" s="26" cm="1">
        <f t="array" ref="E107">'cripto - Ether – ETH'!B106-'cripto - Ether – ETH'!E106</f>
        <v>0</v>
      </c>
    </row>
    <row r="108" ht="20.35" customHeight="1">
      <c r="A108" s="186">
        <v>46023</v>
      </c>
      <c r="B108" s="92" cm="1">
        <f t="array" ref="B108">SUM(D108:E108)</f>
        <v>0</v>
      </c>
      <c r="C108" s="32"/>
      <c r="D108" s="30" cm="1">
        <f t="array" ref="D108">'cripto - Bitcoin – BTC'!B107-'cripto - Bitcoin – BTC'!E107</f>
        <v>0</v>
      </c>
      <c r="E108" s="26" cm="1">
        <f t="array" ref="E108">'cripto - Ether – ETH'!B107-'cripto - Ether – ETH'!E107</f>
        <v>0</v>
      </c>
    </row>
    <row r="109" ht="20.35" customHeight="1">
      <c r="A109" s="186">
        <v>46054</v>
      </c>
      <c r="B109" s="92" cm="1">
        <f t="array" ref="B109">SUM(D109:E109)</f>
        <v>0</v>
      </c>
      <c r="C109" s="32"/>
      <c r="D109" s="30" cm="1">
        <f t="array" ref="D109">'cripto - Bitcoin – BTC'!B108-'cripto - Bitcoin – BTC'!E108</f>
        <v>0</v>
      </c>
      <c r="E109" s="26" cm="1">
        <f t="array" ref="E109">'cripto - Ether – ETH'!B108-'cripto - Ether – ETH'!E108</f>
        <v>0</v>
      </c>
    </row>
    <row r="110" ht="20.35" customHeight="1">
      <c r="A110" s="186">
        <v>46082</v>
      </c>
      <c r="B110" s="92" cm="1">
        <f t="array" ref="B110">SUM(D110:E110)</f>
        <v>0</v>
      </c>
      <c r="C110" s="32"/>
      <c r="D110" s="30" cm="1">
        <f t="array" ref="D110">'cripto - Bitcoin – BTC'!B109-'cripto - Bitcoin – BTC'!E109</f>
        <v>0</v>
      </c>
      <c r="E110" s="26" cm="1">
        <f t="array" ref="E110">'cripto - Ether – ETH'!B109-'cripto - Ether – ETH'!E109</f>
        <v>0</v>
      </c>
    </row>
    <row r="111" ht="20.35" customHeight="1">
      <c r="A111" s="186">
        <v>46113</v>
      </c>
      <c r="B111" s="92" cm="1">
        <f t="array" ref="B111">SUM(D111:E111)</f>
        <v>0</v>
      </c>
      <c r="C111" s="32"/>
      <c r="D111" s="30" cm="1">
        <f t="array" ref="D111">'cripto - Bitcoin – BTC'!B110-'cripto - Bitcoin – BTC'!E110</f>
        <v>0</v>
      </c>
      <c r="E111" s="26" cm="1">
        <f t="array" ref="E111">'cripto - Ether – ETH'!B110-'cripto - Ether – ETH'!E110</f>
        <v>0</v>
      </c>
    </row>
    <row r="112" ht="20.35" customHeight="1">
      <c r="A112" s="186">
        <v>46143</v>
      </c>
      <c r="B112" s="92" cm="1">
        <f t="array" ref="B112">SUM(D112:E112)</f>
        <v>0</v>
      </c>
      <c r="C112" s="32"/>
      <c r="D112" s="30" cm="1">
        <f t="array" ref="D112">'cripto - Bitcoin – BTC'!B111-'cripto - Bitcoin – BTC'!E111</f>
        <v>0</v>
      </c>
      <c r="E112" s="26" cm="1">
        <f t="array" ref="E112">'cripto - Ether – ETH'!B111-'cripto - Ether – ETH'!E111</f>
        <v>0</v>
      </c>
    </row>
    <row r="113" ht="20.35" customHeight="1">
      <c r="A113" s="186">
        <v>46174</v>
      </c>
      <c r="B113" s="92" cm="1">
        <f t="array" ref="B113">SUM(D113:E113)</f>
        <v>0</v>
      </c>
      <c r="C113" s="32"/>
      <c r="D113" s="30" cm="1">
        <f t="array" ref="D113">'cripto - Bitcoin – BTC'!B112-'cripto - Bitcoin – BTC'!E112</f>
        <v>0</v>
      </c>
      <c r="E113" s="26" cm="1">
        <f t="array" ref="E113">'cripto - Ether – ETH'!B112-'cripto - Ether – ETH'!E112</f>
        <v>0</v>
      </c>
    </row>
    <row r="114" ht="20.35" customHeight="1">
      <c r="A114" s="186">
        <v>46204</v>
      </c>
      <c r="B114" s="92" cm="1">
        <f t="array" ref="B114">SUM(D114:E114)</f>
        <v>0</v>
      </c>
      <c r="C114" s="32"/>
      <c r="D114" s="30" cm="1">
        <f t="array" ref="D114">'cripto - Bitcoin – BTC'!B113-'cripto - Bitcoin – BTC'!E113</f>
        <v>0</v>
      </c>
      <c r="E114" s="26" cm="1">
        <f t="array" ref="E114">'cripto - Ether – ETH'!B113-'cripto - Ether – ETH'!E113</f>
        <v>0</v>
      </c>
    </row>
    <row r="115" ht="20.35" customHeight="1">
      <c r="A115" s="186">
        <v>46235</v>
      </c>
      <c r="B115" s="92" cm="1">
        <f t="array" ref="B115">SUM(D115:E115)</f>
        <v>0</v>
      </c>
      <c r="C115" s="32"/>
      <c r="D115" s="30" cm="1">
        <f t="array" ref="D115">'cripto - Bitcoin – BTC'!B114-'cripto - Bitcoin – BTC'!E114</f>
        <v>0</v>
      </c>
      <c r="E115" s="26" cm="1">
        <f t="array" ref="E115">'cripto - Ether – ETH'!B114-'cripto - Ether – ETH'!E114</f>
        <v>0</v>
      </c>
    </row>
    <row r="116" ht="20.55" customHeight="1">
      <c r="A116" s="196">
        <v>46266</v>
      </c>
      <c r="B116" s="171" cm="1">
        <f t="array" ref="B116">SUM(D116:E116)</f>
        <v>0</v>
      </c>
      <c r="C116" s="73"/>
      <c r="D116" s="75" cm="1">
        <f t="array" ref="D116">'cripto - Bitcoin – BTC'!B115-'cripto - Bitcoin – BTC'!E115</f>
        <v>0</v>
      </c>
      <c r="E116" s="44" cm="1">
        <f t="array" ref="E116">'cripto - Ether – ETH'!B115-'cripto - Ether – ETH'!E115</f>
        <v>0</v>
      </c>
    </row>
    <row r="117" ht="20.55" customHeight="1">
      <c r="A117" t="s" s="86">
        <v>665</v>
      </c>
      <c r="B117" s="48" cm="1">
        <f t="array" ref="B117">SUM(D117:E117)</f>
        <v>-9275350.271672741</v>
      </c>
      <c r="C117" s="79"/>
      <c r="D117" s="48" cm="1">
        <f t="array" ref="D117">'cripto - Bitcoin – BTC'!B$120</f>
        <v>-3491655.65</v>
      </c>
      <c r="E117" s="48" cm="1">
        <f t="array" ref="E117">'cripto - Ether – ETH'!B$123</f>
        <v>-5783694.62167274</v>
      </c>
    </row>
    <row r="118" ht="20.35" customHeight="1">
      <c r="A118" t="s" s="56">
        <v>757</v>
      </c>
      <c r="B118" s="26" cm="1">
        <f t="array" ref="B118">SUM(D118:E118)</f>
        <v>1693457</v>
      </c>
      <c r="C118" s="429"/>
      <c r="D118" s="429" cm="1">
        <f t="array" ref="D118">ROUND('cripto - Bitcoin – BTC'!C$120*'variables - Table 1-4'!B1,0)</f>
        <v>1551231</v>
      </c>
      <c r="E118" s="429" cm="1">
        <f t="array" ref="E118">ROUND('cripto - Ether – ETH'!C$123*'variables - Table 1-4'!B2,0)</f>
        <v>142226</v>
      </c>
    </row>
    <row r="119" ht="20.35" customHeight="1">
      <c r="A119" t="s" s="56">
        <v>65</v>
      </c>
      <c r="B119" s="26" cm="1">
        <f t="array" ref="B119">ROUND(SUM(D119:E119),0)</f>
        <v>10968807</v>
      </c>
      <c r="C119" s="429"/>
      <c r="D119" s="429" cm="1">
        <f t="array" ref="D119">D$118-D$117</f>
        <v>5042886.65</v>
      </c>
      <c r="E119" s="429" cm="1">
        <f t="array" ref="E119">E$118-E$117</f>
        <v>5925920.62167274</v>
      </c>
    </row>
    <row r="120" ht="20.35" customHeight="1">
      <c r="A120" t="s" s="56">
        <v>759</v>
      </c>
      <c r="B120" s="432" cm="1">
        <f t="array" ref="B120">_xlfn.IFERROR(B$118/B$117-1,0)</f>
        <v>-1.18257606994874</v>
      </c>
      <c r="C120" s="429"/>
      <c r="D120" s="432" cm="1">
        <f t="array" ref="D120">_xlfn.IFERROR(D$118/'cripto - Bitcoin – BTC'!B$120-1,0)</f>
        <v>-1.44426803656884</v>
      </c>
      <c r="E120" s="432" cm="1">
        <f t="array" ref="E120">_xlfn.IFERROR(E$118/E$117-1,0)</f>
        <v>-1.02459085572517</v>
      </c>
    </row>
  </sheetData>
  <mergeCells count="1">
    <mergeCell ref="A1:E1"/>
  </mergeCells>
  <conditionalFormatting sqref="B4:B14 D10:D116">
    <cfRule type="cellIs" dxfId="19" priority="1" operator="equal" stopIfTrue="1">
      <formula>0</formula>
    </cfRule>
  </conditionalFormatting>
  <conditionalFormatting sqref="E15:E116">
    <cfRule type="cellIs" dxfId="20" priority="1" operator="equal" stopIfTrue="1">
      <formula>0</formula>
    </cfRule>
  </conditionalFormatting>
  <conditionalFormatting sqref="B120:E120">
    <cfRule type="cellIs" dxfId="21" priority="1" operator="greaterThan" stopIfTrue="1">
      <formula>2</formula>
    </cfRule>
    <cfRule type="cellIs" dxfId="22" priority="2" operator="lessThan"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2:D10"/>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1" width="16.6484" style="473" customWidth="1"/>
    <col min="2" max="4" width="16.3516" style="473" customWidth="1"/>
    <col min="5" max="16384" width="16.3516" style="473" customWidth="1"/>
  </cols>
  <sheetData>
    <row r="1" ht="28" customHeight="1">
      <c r="A1" t="s" s="90">
        <v>782</v>
      </c>
      <c r="B1" s="90"/>
      <c r="C1" s="90"/>
      <c r="D1" s="90"/>
    </row>
    <row r="2" ht="20.55" customHeight="1">
      <c r="A2" s="7"/>
      <c r="B2" t="s" s="8">
        <v>784</v>
      </c>
      <c r="C2" s="474">
        <v>0.15</v>
      </c>
      <c r="D2" s="7"/>
    </row>
    <row r="3" ht="20.55" customHeight="1">
      <c r="A3" t="s" s="475">
        <v>762</v>
      </c>
      <c r="B3" s="81" cm="1">
        <f t="array" ref="B3">'net worth - retiro'!I$2</f>
        <v>0</v>
      </c>
      <c r="C3" s="48" cm="1">
        <f t="array" ref="C3">B3*15%</f>
        <v>0</v>
      </c>
      <c r="D3" s="82"/>
    </row>
    <row r="4" ht="20.35" customHeight="1">
      <c r="A4" t="s" s="102">
        <v>598</v>
      </c>
      <c r="B4" s="476" cm="1">
        <f t="array" ref="B4">C4/15%</f>
        <v>2887520</v>
      </c>
      <c r="C4" s="26" cm="1">
        <f t="array" ref="C4">B6-C3</f>
        <v>433128</v>
      </c>
      <c r="D4" s="32"/>
    </row>
    <row r="5" ht="20.35" customHeight="1">
      <c r="A5" s="477"/>
      <c r="B5" s="29"/>
      <c r="C5" s="32"/>
      <c r="D5" s="32"/>
    </row>
    <row r="6" ht="20.35" customHeight="1">
      <c r="A6" t="s" s="102">
        <v>785</v>
      </c>
      <c r="B6" s="83" cm="1">
        <f t="array" ref="B6">C6*'variables - Table 1'!B3</f>
        <v>433128</v>
      </c>
      <c r="C6" s="478">
        <v>6</v>
      </c>
      <c r="D6" s="32"/>
    </row>
    <row r="7" ht="20.35" customHeight="1">
      <c r="A7" s="477"/>
      <c r="B7" s="29"/>
      <c r="C7" s="32"/>
      <c r="D7" s="32"/>
    </row>
    <row r="8" ht="20.35" customHeight="1">
      <c r="A8" s="477"/>
      <c r="B8" s="29"/>
      <c r="C8" s="32"/>
      <c r="D8" s="32"/>
    </row>
    <row r="9" ht="20.35" customHeight="1">
      <c r="A9" t="s" s="102">
        <v>786</v>
      </c>
      <c r="B9" s="83" cm="1">
        <f t="array" ref="B9">B6/15%</f>
        <v>2887520</v>
      </c>
      <c r="C9" s="32"/>
      <c r="D9" s="32"/>
    </row>
    <row r="10" ht="20.35" customHeight="1">
      <c r="A10" t="s" s="102">
        <v>787</v>
      </c>
      <c r="B10" s="83" cm="1">
        <f t="array" ref="B10">ROUND(B9/12,0)</f>
        <v>240627</v>
      </c>
      <c r="C10" s="32"/>
      <c r="D10" s="32"/>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2:L13"/>
  <sheetViews>
    <sheetView workbookViewId="0" showGridLines="0" defaultGridColor="1">
      <pane topLeftCell="D3" xSplit="3" ySplit="2" activePane="bottomRight" state="frozen"/>
    </sheetView>
  </sheetViews>
  <sheetFormatPr defaultColWidth="16.3333" defaultRowHeight="18" customHeight="1" outlineLevelRow="0" outlineLevelCol="0"/>
  <cols>
    <col min="1" max="1" width="16.3516" style="479" customWidth="1"/>
    <col min="2" max="2" width="5.35156" style="479" customWidth="1"/>
    <col min="3" max="3" width="7.35156" style="479" customWidth="1"/>
    <col min="4" max="9" width="16.3516" style="479" customWidth="1"/>
    <col min="10" max="10" width="6.79688" style="479" customWidth="1"/>
    <col min="11" max="11" width="16.3516" style="479" customWidth="1"/>
    <col min="12" max="12" width="6.77344" style="479" customWidth="1"/>
    <col min="13" max="16384" width="16.3516" style="479" customWidth="1"/>
  </cols>
  <sheetData>
    <row r="1" ht="28" customHeight="1">
      <c r="A1" t="s" s="90">
        <v>710</v>
      </c>
      <c r="B1" s="90"/>
      <c r="C1" s="90"/>
      <c r="D1" s="90"/>
      <c r="E1" s="90"/>
      <c r="F1" s="90"/>
      <c r="G1" s="90"/>
      <c r="H1" s="90"/>
      <c r="I1" s="90"/>
      <c r="J1" s="90"/>
      <c r="K1" s="90"/>
      <c r="L1" s="90"/>
    </row>
    <row r="2" ht="20.55" customHeight="1">
      <c r="A2" s="7"/>
      <c r="B2" t="s" s="8">
        <v>789</v>
      </c>
      <c r="C2" t="s" s="8">
        <v>790</v>
      </c>
      <c r="D2" t="s" s="8">
        <v>791</v>
      </c>
      <c r="E2" s="7"/>
      <c r="F2" s="7"/>
      <c r="G2" t="s" s="8">
        <v>792</v>
      </c>
      <c r="H2" t="s" s="8">
        <v>793</v>
      </c>
      <c r="I2" t="s" s="8">
        <v>794</v>
      </c>
      <c r="J2" s="7"/>
      <c r="K2" s="7"/>
      <c r="L2" s="7"/>
    </row>
    <row r="3" ht="20.55" customHeight="1">
      <c r="A3" t="s" s="223">
        <v>795</v>
      </c>
      <c r="B3" s="480"/>
      <c r="C3" s="481" cm="1">
        <f t="array" ref="C3">I3/I$13</f>
        <v>0.619345565309952</v>
      </c>
      <c r="D3" s="81" cm="1">
        <f t="array" ref="D3">600000</f>
        <v>600000</v>
      </c>
      <c r="E3" s="49">
        <v>612.36</v>
      </c>
      <c r="F3" s="482" cm="1">
        <f t="array" ref="F3">1.017849653+0.002426383+0.002355415+0.00252046+0.002175298</f>
        <v>1.027327209</v>
      </c>
      <c r="G3" s="483">
        <v>738.1799999999999</v>
      </c>
      <c r="H3" s="482" cm="1">
        <f t="array" ref="H3">1.7+1.47+1.53+1.57</f>
        <v>6.27</v>
      </c>
      <c r="I3" s="48" cm="1">
        <f t="array" ref="I3">ROUND(F3*G3*'variables - Table 1'!$B$13,0)</f>
        <v>672613</v>
      </c>
      <c r="J3" s="484" cm="1">
        <f t="array" ref="J3">I3/D3-1</f>
        <v>0.121021666666667</v>
      </c>
      <c r="K3" s="485" cm="1">
        <f t="array" ref="K3">F3*G3</f>
        <v>758.352399139620</v>
      </c>
      <c r="L3" s="484" cm="1">
        <f t="array" ref="L3">K3/E3-1</f>
        <v>0.238409430955026</v>
      </c>
    </row>
    <row r="4" ht="20.35" customHeight="1">
      <c r="A4" t="s" s="237">
        <v>796</v>
      </c>
      <c r="B4" s="486">
        <v>0.37</v>
      </c>
      <c r="C4" s="487" cm="1">
        <f t="array" ref="C4">I4/I$13</f>
        <v>0.380654434690048</v>
      </c>
      <c r="D4" s="83" cm="1">
        <f t="array" ref="D4">50000+300000+50000</f>
        <v>400000</v>
      </c>
      <c r="E4" s="54" cm="1">
        <f t="array" ref="E4">54.35+328.39+54.68</f>
        <v>437.42</v>
      </c>
      <c r="F4" s="488" cm="1">
        <f t="array" ref="F4">0.82726016+4.96893564+0.86506942</f>
        <v>6.66126522</v>
      </c>
      <c r="G4" s="489">
        <v>69.97</v>
      </c>
      <c r="H4" s="490"/>
      <c r="I4" s="26" cm="1">
        <f t="array" ref="I4">ROUND(F4*G4*'variables - Table 1'!$B$13,0)</f>
        <v>413393</v>
      </c>
      <c r="J4" s="491" cm="1">
        <f t="array" ref="J4">I4/D4-1</f>
        <v>0.0334825</v>
      </c>
      <c r="K4" s="492" cm="1">
        <f t="array" ref="K4">F4*G4</f>
        <v>466.0887274434</v>
      </c>
      <c r="L4" s="491" cm="1">
        <f t="array" ref="L4">K4/E4-1</f>
        <v>0.06554050442000819</v>
      </c>
    </row>
    <row r="5" ht="20.35" customHeight="1">
      <c r="A5" t="s" s="237">
        <v>797</v>
      </c>
      <c r="B5" s="486">
        <v>0.55</v>
      </c>
      <c r="C5" s="487"/>
      <c r="D5" s="83"/>
      <c r="E5" s="54"/>
      <c r="F5" s="490"/>
      <c r="G5" s="32"/>
      <c r="H5" s="490"/>
      <c r="I5" s="26"/>
      <c r="J5" s="26"/>
      <c r="K5" s="26"/>
      <c r="L5" s="26"/>
    </row>
    <row r="6" ht="20.35" customHeight="1">
      <c r="A6" t="s" s="237">
        <v>798</v>
      </c>
      <c r="B6" s="486">
        <v>0.08</v>
      </c>
      <c r="C6" s="487"/>
      <c r="D6" s="83"/>
      <c r="E6" s="54"/>
      <c r="F6" s="490"/>
      <c r="G6" s="32"/>
      <c r="H6" s="490"/>
      <c r="I6" s="26"/>
      <c r="J6" s="26"/>
      <c r="K6" s="26"/>
      <c r="L6" s="26"/>
    </row>
    <row r="7" ht="20.35" customHeight="1">
      <c r="A7" s="250"/>
      <c r="B7" s="486"/>
      <c r="C7" s="487"/>
      <c r="D7" s="83"/>
      <c r="E7" s="54"/>
      <c r="F7" s="490"/>
      <c r="G7" s="32"/>
      <c r="H7" s="490"/>
      <c r="I7" s="26"/>
      <c r="J7" s="26"/>
      <c r="K7" s="26"/>
      <c r="L7" s="26"/>
    </row>
    <row r="8" ht="20.35" customHeight="1">
      <c r="A8" t="s" s="237">
        <v>799</v>
      </c>
      <c r="B8" s="486"/>
      <c r="C8" s="487"/>
      <c r="D8" s="83"/>
      <c r="E8" s="54"/>
      <c r="F8" s="490"/>
      <c r="G8" s="32"/>
      <c r="H8" s="490"/>
      <c r="I8" s="26"/>
      <c r="J8" s="26"/>
      <c r="K8" s="26"/>
      <c r="L8" s="26"/>
    </row>
    <row r="9" ht="20.35" customHeight="1">
      <c r="A9" t="s" s="237">
        <v>800</v>
      </c>
      <c r="B9" s="486"/>
      <c r="C9" s="487"/>
      <c r="D9" s="83"/>
      <c r="E9" s="54"/>
      <c r="F9" s="490"/>
      <c r="G9" s="32"/>
      <c r="H9" s="490"/>
      <c r="I9" s="26"/>
      <c r="J9" s="26"/>
      <c r="K9" s="26"/>
      <c r="L9" s="26"/>
    </row>
    <row r="10" ht="20.35" customHeight="1">
      <c r="A10" t="s" s="237">
        <v>801</v>
      </c>
      <c r="B10" s="486"/>
      <c r="C10" s="487"/>
      <c r="D10" s="83"/>
      <c r="E10" s="54"/>
      <c r="F10" s="490"/>
      <c r="G10" s="32"/>
      <c r="H10" s="490"/>
      <c r="I10" s="26"/>
      <c r="J10" s="26"/>
      <c r="K10" s="26"/>
      <c r="L10" s="26"/>
    </row>
    <row r="11" ht="20.35" customHeight="1">
      <c r="A11" t="s" s="237">
        <v>802</v>
      </c>
      <c r="B11" s="486"/>
      <c r="C11" s="487"/>
      <c r="D11" s="83"/>
      <c r="E11" s="54"/>
      <c r="F11" s="490"/>
      <c r="G11" s="32"/>
      <c r="H11" s="490"/>
      <c r="I11" s="26"/>
      <c r="J11" s="26"/>
      <c r="K11" s="26"/>
      <c r="L11" s="26"/>
    </row>
    <row r="12" ht="20.55" customHeight="1">
      <c r="A12" t="s" s="252">
        <v>803</v>
      </c>
      <c r="B12" s="493"/>
      <c r="C12" s="494"/>
      <c r="D12" s="459"/>
      <c r="E12" s="396"/>
      <c r="F12" s="495"/>
      <c r="G12" s="73"/>
      <c r="H12" s="495"/>
      <c r="I12" s="44"/>
      <c r="J12" s="44"/>
      <c r="K12" s="44"/>
      <c r="L12" s="44"/>
    </row>
    <row r="13" ht="20.55" customHeight="1">
      <c r="A13" s="46"/>
      <c r="B13" s="46"/>
      <c r="C13" s="46"/>
      <c r="D13" s="79" cm="1">
        <f t="array" ref="D13">SUM(D3:D12)</f>
        <v>1000000</v>
      </c>
      <c r="E13" s="335"/>
      <c r="F13" s="46"/>
      <c r="G13" s="46"/>
      <c r="H13" s="46"/>
      <c r="I13" s="79" cm="1">
        <f t="array" ref="I13">SUM(I3:I12)</f>
        <v>1086006</v>
      </c>
      <c r="J13" s="496" cm="1">
        <f t="array" ref="J13">I13/D13-1</f>
        <v>0.086006</v>
      </c>
      <c r="K13" s="79" cm="1">
        <f t="array" ref="K13">SUM(K3:K12)</f>
        <v>1224.441126583020</v>
      </c>
      <c r="L13" s="79"/>
    </row>
  </sheetData>
  <mergeCells count="1">
    <mergeCell ref="A1:L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Q113"/>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3516" style="497" customWidth="1"/>
    <col min="2" max="2" width="8.90625" style="497" customWidth="1"/>
    <col min="3" max="3" width="13.5" style="497" customWidth="1"/>
    <col min="4" max="4" width="2.65625" style="497" customWidth="1"/>
    <col min="5" max="7" width="18.1719" style="497" customWidth="1"/>
    <col min="8" max="8" width="20.1953" style="497" customWidth="1"/>
    <col min="9" max="9" width="18.1719" style="497" customWidth="1"/>
    <col min="10" max="10" width="18.7266" style="497" customWidth="1"/>
    <col min="11" max="11" width="18.2031" style="497" customWidth="1"/>
    <col min="12" max="13" width="18.5" style="497" customWidth="1"/>
    <col min="14" max="14" width="18.2031" style="497" customWidth="1"/>
    <col min="15" max="15" width="13.5" style="497" customWidth="1"/>
    <col min="16" max="17" width="19" style="497" customWidth="1"/>
    <col min="18" max="16384" width="16.3516" style="497" customWidth="1"/>
  </cols>
  <sheetData>
    <row r="1" ht="20.55" customHeight="1">
      <c r="A1" s="7"/>
      <c r="B1" t="s" s="8">
        <v>667</v>
      </c>
      <c r="C1" t="s" s="8">
        <v>135</v>
      </c>
      <c r="D1" s="7"/>
      <c r="E1" t="s" s="8">
        <v>805</v>
      </c>
      <c r="F1" t="s" s="8">
        <v>681</v>
      </c>
      <c r="G1" t="s" s="8">
        <v>694</v>
      </c>
      <c r="H1" t="s" s="8">
        <v>691</v>
      </c>
      <c r="I1" t="s" s="8">
        <v>690</v>
      </c>
      <c r="J1" t="s" s="8">
        <v>692</v>
      </c>
      <c r="K1" t="s" s="8">
        <v>693</v>
      </c>
      <c r="L1" t="s" s="8">
        <v>680</v>
      </c>
      <c r="M1" t="s" s="8">
        <v>806</v>
      </c>
      <c r="N1" t="s" s="8">
        <v>807</v>
      </c>
      <c r="O1" s="7"/>
      <c r="P1" t="s" s="8">
        <v>808</v>
      </c>
      <c r="Q1" t="s" s="8">
        <v>809</v>
      </c>
    </row>
    <row r="2" ht="8.75" customHeight="1" hidden="1">
      <c r="A2" s="400">
        <v>42916</v>
      </c>
      <c r="B2" s="498"/>
      <c r="C2" s="499" cm="1">
        <f t="array" ref="C2">F2</f>
        <v>4252594.61863593</v>
      </c>
      <c r="D2" s="500"/>
      <c r="E2" s="501">
        <v>6397.765335694190</v>
      </c>
      <c r="F2" s="500" cm="1">
        <f t="array" ref="F2">SUM(G2:K2)</f>
        <v>4252594.61863593</v>
      </c>
      <c r="G2" s="502"/>
      <c r="H2" s="502">
        <v>1001010</v>
      </c>
      <c r="I2" s="502"/>
      <c r="J2" s="502">
        <v>125077.618635927</v>
      </c>
      <c r="K2" s="502" cm="1">
        <f t="array" ref="K2">'net worth - Table 1-2-1'!B2</f>
        <v>3126507</v>
      </c>
      <c r="L2" s="502"/>
      <c r="M2" s="500"/>
      <c r="N2" s="503" cm="1">
        <f t="array" ref="N2">SUM(H2:K2)</f>
        <v>4252594.61863593</v>
      </c>
      <c r="O2" s="499" cm="1">
        <f t="array" ref="O2">C2</f>
        <v>4252594.61863593</v>
      </c>
      <c r="P2" s="500" cm="1">
        <f t="array" ref="P2">SUM(H2:J2)</f>
        <v>1126087.61863593</v>
      </c>
      <c r="Q2" s="501">
        <v>1694.129108824930</v>
      </c>
    </row>
    <row r="3" ht="8.75" customHeight="1" hidden="1">
      <c r="A3" s="400">
        <v>42947</v>
      </c>
      <c r="B3" s="498" cm="1">
        <f t="array" ref="B3">F3/F2-1</f>
        <v>0.043087588745883</v>
      </c>
      <c r="C3" s="499" cm="1">
        <f t="array" ref="C3">F3-F2</f>
        <v>183234.04803074</v>
      </c>
      <c r="D3" s="500"/>
      <c r="E3" s="501">
        <v>6790.919575423560</v>
      </c>
      <c r="F3" s="500" cm="1">
        <f t="array" ref="F3">SUM(G3:K3)</f>
        <v>4435828.66666667</v>
      </c>
      <c r="G3" s="502"/>
      <c r="H3" s="502">
        <v>998000</v>
      </c>
      <c r="I3" s="502"/>
      <c r="J3" s="502">
        <v>258133.666666667</v>
      </c>
      <c r="K3" s="502" cm="1">
        <f t="array" ref="K3">'net worth - Table 1-2-1'!B3</f>
        <v>3179695</v>
      </c>
      <c r="L3" s="502"/>
      <c r="M3" s="500"/>
      <c r="N3" s="503" cm="1">
        <f t="array" ref="N3">SUM(H3:K3)</f>
        <v>4435828.66666667</v>
      </c>
      <c r="O3" s="499" cm="1">
        <f t="array" ref="O3">C3</f>
        <v>183234.04803074</v>
      </c>
      <c r="P3" s="500" cm="1">
        <f t="array" ref="P3">SUM(H3:J3)</f>
        <v>1256133.66666667</v>
      </c>
      <c r="Q3" s="501">
        <v>1923.046029802010</v>
      </c>
    </row>
    <row r="4" ht="8.75" customHeight="1" hidden="1">
      <c r="A4" s="400">
        <v>42978</v>
      </c>
      <c r="B4" s="498" cm="1">
        <f t="array" ref="B4">F4/F3-1</f>
        <v>0.0439116671814338</v>
      </c>
      <c r="C4" s="499" cm="1">
        <f t="array" ref="C4">F4-F3</f>
        <v>194784.63208453</v>
      </c>
      <c r="D4" s="500"/>
      <c r="E4" s="501">
        <v>7333.882323014250</v>
      </c>
      <c r="F4" s="500" cm="1">
        <f t="array" ref="F4">SUM(G4:K4)</f>
        <v>4630613.2987512</v>
      </c>
      <c r="G4" s="502"/>
      <c r="H4" s="502">
        <v>997000</v>
      </c>
      <c r="I4" s="502"/>
      <c r="J4" s="502">
        <v>400706.298751201</v>
      </c>
      <c r="K4" s="502" cm="1">
        <f t="array" ref="K4">'net worth - Table 1-2-1'!B4</f>
        <v>3232907</v>
      </c>
      <c r="L4" s="502"/>
      <c r="M4" s="500"/>
      <c r="N4" s="503" cm="1">
        <f t="array" ref="N4">SUM(H4:K4)</f>
        <v>4630613.2987512</v>
      </c>
      <c r="O4" s="499" cm="1">
        <f t="array" ref="O4">C4</f>
        <v>194784.63208453</v>
      </c>
      <c r="P4" s="500" cm="1">
        <f t="array" ref="P4">SUM(H4:J4)</f>
        <v>1397706.2987512</v>
      </c>
      <c r="Q4" s="501">
        <v>2213.6621773063</v>
      </c>
    </row>
    <row r="5" ht="8.75" customHeight="1" hidden="1">
      <c r="A5" s="400">
        <v>43007</v>
      </c>
      <c r="B5" s="498" cm="1">
        <f t="array" ref="B5">F5/F4-1</f>
        <v>0.106314014281721</v>
      </c>
      <c r="C5" s="499" cm="1">
        <f t="array" ref="C5">F5-F4</f>
        <v>492299.08837656</v>
      </c>
      <c r="D5" s="500"/>
      <c r="E5" s="501">
        <v>8062.499822360340</v>
      </c>
      <c r="F5" s="500" cm="1">
        <f t="array" ref="F5">SUM(G5:K5)</f>
        <v>5122912.38712776</v>
      </c>
      <c r="G5" s="502"/>
      <c r="H5" s="502">
        <v>994000</v>
      </c>
      <c r="I5" s="502"/>
      <c r="J5" s="502">
        <v>542699.387127762</v>
      </c>
      <c r="K5" s="502" cm="1">
        <f t="array" ref="K5">'net worth - Table 1-2-1'!B5</f>
        <v>3586213</v>
      </c>
      <c r="L5" s="502"/>
      <c r="M5" s="500"/>
      <c r="N5" s="503" cm="1">
        <f t="array" ref="N5">SUM(H5:K5)</f>
        <v>5122912.38712776</v>
      </c>
      <c r="O5" s="499" cm="1">
        <f t="array" ref="O5">C5</f>
        <v>492299.08837656</v>
      </c>
      <c r="P5" s="500" cm="1">
        <f t="array" ref="P5">SUM(H5:J5)</f>
        <v>1536699.38712776</v>
      </c>
      <c r="Q5" s="501">
        <v>2418.475585659050</v>
      </c>
    </row>
    <row r="6" ht="8.75" customHeight="1" hidden="1">
      <c r="A6" s="400">
        <v>43039</v>
      </c>
      <c r="B6" s="498" cm="1">
        <f t="array" ref="B6">F6/F5-1</f>
        <v>0.198648061096904</v>
      </c>
      <c r="C6" s="499" cm="1">
        <f t="array" ref="C6">F6-F5</f>
        <v>1017656.61287224</v>
      </c>
      <c r="D6" s="500"/>
      <c r="E6" s="501">
        <v>9887.876396895430</v>
      </c>
      <c r="F6" s="500" cm="1">
        <f t="array" ref="F6">SUM(G6:K6)</f>
        <v>6140569</v>
      </c>
      <c r="G6" s="502"/>
      <c r="H6" s="502">
        <v>1193708</v>
      </c>
      <c r="I6" s="502"/>
      <c r="J6" s="502">
        <v>707382</v>
      </c>
      <c r="K6" s="502" cm="1">
        <f t="array" ref="K6">'net worth - Table 1-2-1'!B6</f>
        <v>4239479</v>
      </c>
      <c r="L6" s="502"/>
      <c r="M6" s="500"/>
      <c r="N6" s="503" cm="1">
        <f t="array" ref="N6">SUM(H6:K6)</f>
        <v>6140569</v>
      </c>
      <c r="O6" s="499" cm="1">
        <f t="array" ref="O6">C6</f>
        <v>1017656.61287224</v>
      </c>
      <c r="P6" s="500" cm="1">
        <f t="array" ref="P6">SUM(H6:J6)</f>
        <v>1901090</v>
      </c>
      <c r="Q6" s="501">
        <v>3061.237963350620</v>
      </c>
    </row>
    <row r="7" ht="8.75" customHeight="1" hidden="1">
      <c r="A7" s="400">
        <v>43069</v>
      </c>
      <c r="B7" s="498" cm="1">
        <f t="array" ref="B7">F7/F6-1</f>
        <v>0.403912897384739</v>
      </c>
      <c r="C7" s="499" cm="1">
        <f t="array" ref="C7">F7-F6</f>
        <v>2480255.01638091</v>
      </c>
      <c r="D7" s="500"/>
      <c r="E7" s="501">
        <v>13390.5312463201</v>
      </c>
      <c r="F7" s="500" cm="1">
        <f t="array" ref="F7">SUM(G7:K7)</f>
        <v>8620824.01638091</v>
      </c>
      <c r="G7" s="502"/>
      <c r="H7" s="502">
        <v>1699339</v>
      </c>
      <c r="I7" s="502">
        <v>1272218.01638091</v>
      </c>
      <c r="J7" s="502">
        <v>856326</v>
      </c>
      <c r="K7" s="502" cm="1">
        <f t="array" ref="K7">'net worth - Table 1-2-1'!B7</f>
        <v>4792941</v>
      </c>
      <c r="L7" s="502"/>
      <c r="M7" s="500"/>
      <c r="N7" s="503" cm="1">
        <f t="array" ref="N7">SUM(H7:K7)</f>
        <v>8620824.01638091</v>
      </c>
      <c r="O7" s="499" cm="1">
        <f t="array" ref="O7">N7-N6</f>
        <v>2480255.01638091</v>
      </c>
      <c r="P7" s="500" cm="1">
        <f t="array" ref="P7">SUM(H7:J7)</f>
        <v>3827883.01638091</v>
      </c>
      <c r="Q7" s="501">
        <v>5945.764237932450</v>
      </c>
    </row>
    <row r="8" ht="8.75" customHeight="1" hidden="1">
      <c r="A8" s="400">
        <v>43098</v>
      </c>
      <c r="B8" s="498" cm="1">
        <f t="array" ref="B8">F8/F7-1</f>
        <v>0.256205254460875</v>
      </c>
      <c r="C8" s="499" cm="1">
        <f t="array" ref="C8">F8-F7</f>
        <v>2208700.41077929</v>
      </c>
      <c r="D8" s="500"/>
      <c r="E8" s="501">
        <v>17626.1790806644</v>
      </c>
      <c r="F8" s="500" cm="1">
        <f t="array" ref="F8">SUM(G8:K8)</f>
        <v>10829524.4271602</v>
      </c>
      <c r="G8" s="502"/>
      <c r="H8" s="502">
        <v>1894508</v>
      </c>
      <c r="I8" s="502">
        <v>3085682.42716018</v>
      </c>
      <c r="J8" s="502">
        <v>995738</v>
      </c>
      <c r="K8" s="502" cm="1">
        <f t="array" ref="K8">'net worth - Table 1-2-1'!B8</f>
        <v>4853596</v>
      </c>
      <c r="L8" s="502"/>
      <c r="M8" s="500"/>
      <c r="N8" s="503" cm="1">
        <f t="array" ref="N8">SUM(H8:K8)</f>
        <v>10829524.4271602</v>
      </c>
      <c r="O8" s="499" cm="1">
        <f t="array" ref="O8">N8-N7</f>
        <v>2208700.41077929</v>
      </c>
      <c r="P8" s="500" cm="1">
        <f t="array" ref="P8">SUM(H8:J8)</f>
        <v>5975928.42716018</v>
      </c>
      <c r="Q8" s="501">
        <v>9726.446007747691</v>
      </c>
    </row>
    <row r="9" ht="8.75" customHeight="1" hidden="1">
      <c r="A9" s="400">
        <v>43131</v>
      </c>
      <c r="B9" s="498" cm="1">
        <f t="array" ref="B9">F9/F8-1</f>
        <v>0.0486708463855707</v>
      </c>
      <c r="C9" s="499" cm="1">
        <f t="array" ref="C9">F9-F8</f>
        <v>527082.1198231</v>
      </c>
      <c r="D9" s="500"/>
      <c r="E9" s="501">
        <v>18727.9131711466</v>
      </c>
      <c r="F9" s="500" cm="1">
        <f t="array" ref="F9">SUM(G9:K9)</f>
        <v>11356606.5469833</v>
      </c>
      <c r="G9" s="502"/>
      <c r="H9" s="502">
        <v>1916082</v>
      </c>
      <c r="I9" s="502">
        <v>3257439.54698329</v>
      </c>
      <c r="J9" s="502">
        <v>1183085</v>
      </c>
      <c r="K9" s="502" cm="1">
        <f t="array" ref="K9">'net worth - Table 1-2-1'!B9</f>
        <v>5000000</v>
      </c>
      <c r="L9" s="502"/>
      <c r="M9" s="500"/>
      <c r="N9" s="503" cm="1">
        <f t="array" ref="N9">SUM(H9:K9)</f>
        <v>11356606.5469833</v>
      </c>
      <c r="O9" s="499" cm="1">
        <f t="array" ref="O9">N9-N8</f>
        <v>527082.1198231</v>
      </c>
      <c r="P9" s="500" cm="1">
        <f t="array" ref="P9">SUM(H9:J9)</f>
        <v>6356606.54698329</v>
      </c>
      <c r="Q9" s="501">
        <v>10482.5305853946</v>
      </c>
    </row>
    <row r="10" ht="8.75" customHeight="1" hidden="1">
      <c r="A10" s="400">
        <v>43159</v>
      </c>
      <c r="B10" s="498" cm="1">
        <f t="array" ref="B10">F10/F9-1</f>
        <v>0.00549922824947999</v>
      </c>
      <c r="C10" s="499" cm="1">
        <f t="array" ref="C10">F10-F9</f>
        <v>62452.5715414</v>
      </c>
      <c r="D10" s="500"/>
      <c r="E10" s="501">
        <v>19305.2563288668</v>
      </c>
      <c r="F10" s="500" cm="1">
        <f t="array" ref="F10">SUM(G10:K10)</f>
        <v>11419059.1185247</v>
      </c>
      <c r="G10" s="502"/>
      <c r="H10" s="502">
        <v>2087612</v>
      </c>
      <c r="I10" s="502">
        <v>2845882.11852465</v>
      </c>
      <c r="J10" s="502">
        <v>1285565</v>
      </c>
      <c r="K10" s="502" cm="1">
        <f t="array" ref="K10">'net worth - Table 1-2-1'!B10</f>
        <v>5200000</v>
      </c>
      <c r="L10" s="502"/>
      <c r="M10" s="500"/>
      <c r="N10" s="503" cm="1">
        <f t="array" ref="N10">SUM(H10:K10)</f>
        <v>11419059.1185247</v>
      </c>
      <c r="O10" s="499" cm="1">
        <f t="array" ref="O10">N10-N9</f>
        <v>62452.5715414</v>
      </c>
      <c r="P10" s="500" cm="1">
        <f t="array" ref="P10">SUM(H10:J10)</f>
        <v>6219059.11852465</v>
      </c>
      <c r="Q10" s="501">
        <v>10514.0475376579</v>
      </c>
    </row>
    <row r="11" ht="8.75" customHeight="1" hidden="1">
      <c r="A11" s="400">
        <v>43189</v>
      </c>
      <c r="B11" s="498" cm="1">
        <f t="array" ref="B11">F11/F10-1</f>
        <v>-0.053715592994946</v>
      </c>
      <c r="C11" s="499" cm="1">
        <f t="array" ref="C11">F11-F10</f>
        <v>-613381.5319959</v>
      </c>
      <c r="D11" s="500"/>
      <c r="E11" s="501">
        <v>17907.9840678303</v>
      </c>
      <c r="F11" s="500" cm="1">
        <f t="array" ref="F11">SUM(G11:K11)</f>
        <v>10805677.5865288</v>
      </c>
      <c r="G11" s="502"/>
      <c r="H11" s="502">
        <v>2203156</v>
      </c>
      <c r="I11" s="502">
        <v>1531932.58652879</v>
      </c>
      <c r="J11" s="502">
        <v>1466655</v>
      </c>
      <c r="K11" s="502" cm="1">
        <f t="array" ref="K11">'net worth - Table 1-2-1'!B11</f>
        <v>5603934</v>
      </c>
      <c r="L11" s="502"/>
      <c r="M11" s="500"/>
      <c r="N11" s="503" cm="1">
        <f t="array" ref="N11">SUM(H11:K11)</f>
        <v>10805677.5865288</v>
      </c>
      <c r="O11" s="499" cm="1">
        <f t="array" ref="O11">N11-N10</f>
        <v>-613381.5319959</v>
      </c>
      <c r="P11" s="500" cm="1">
        <f t="array" ref="P11">SUM(H11:J11)</f>
        <v>5201743.58652879</v>
      </c>
      <c r="Q11" s="501">
        <v>8620.721886855799</v>
      </c>
    </row>
    <row r="12" ht="8.75" customHeight="1" hidden="1">
      <c r="A12" s="400">
        <v>43220</v>
      </c>
      <c r="B12" s="498" cm="1">
        <f t="array" ref="B12">F12/F11-1</f>
        <v>0.15389050496823</v>
      </c>
      <c r="C12" s="499" cm="1">
        <f t="array" ref="C12">F12-F11</f>
        <v>1662891.1803148</v>
      </c>
      <c r="D12" s="500"/>
      <c r="E12" s="501">
        <v>20585.3867704203</v>
      </c>
      <c r="F12" s="500" cm="1">
        <f t="array" ref="F12">SUM(G12:K12)</f>
        <v>12468568.7668436</v>
      </c>
      <c r="G12" s="502"/>
      <c r="H12" s="502">
        <v>2492415</v>
      </c>
      <c r="I12" s="502">
        <v>2079903.76684359</v>
      </c>
      <c r="J12" s="502">
        <v>2038274</v>
      </c>
      <c r="K12" s="502" cm="1">
        <f t="array" ref="K12">'net worth - Table 1-2-1'!B12</f>
        <v>5857976</v>
      </c>
      <c r="L12" s="502"/>
      <c r="M12" s="500"/>
      <c r="N12" s="503" cm="1">
        <f t="array" ref="N12">SUM(H12:K12)</f>
        <v>12468568.7668436</v>
      </c>
      <c r="O12" s="499" cm="1">
        <f t="array" ref="O12">N12-N11</f>
        <v>1662891.1803148</v>
      </c>
      <c r="P12" s="500" cm="1">
        <f t="array" ref="P12">SUM(H12:J12)</f>
        <v>6610592.76684359</v>
      </c>
      <c r="Q12" s="501">
        <v>10913.9718785597</v>
      </c>
    </row>
    <row r="13" ht="8.75" customHeight="1" hidden="1">
      <c r="A13" s="400">
        <v>43251</v>
      </c>
      <c r="B13" s="498" cm="1">
        <f t="array" ref="B13">F13/F12-1</f>
        <v>0.0469286042847583</v>
      </c>
      <c r="C13" s="499" cm="1">
        <f t="array" ref="C13">F13-F12</f>
        <v>585132.5296565</v>
      </c>
      <c r="D13" s="500"/>
      <c r="E13" s="501">
        <v>20812.6615058994</v>
      </c>
      <c r="F13" s="500" cm="1">
        <f t="array" ref="F13">SUM(G13:K13)</f>
        <v>13053701.2965001</v>
      </c>
      <c r="G13" s="502"/>
      <c r="H13" s="502">
        <v>2596609</v>
      </c>
      <c r="I13" s="502">
        <v>2328343.29650014</v>
      </c>
      <c r="J13" s="502">
        <v>2216616</v>
      </c>
      <c r="K13" s="502" cm="1">
        <f t="array" ref="K13">'net worth - Table 1-2-1'!B13</f>
        <v>5912133</v>
      </c>
      <c r="L13" s="502"/>
      <c r="M13" s="500"/>
      <c r="N13" s="503" cm="1">
        <f t="array" ref="N13">SUM(H13:K13)</f>
        <v>13053701.2965001</v>
      </c>
      <c r="O13" s="499" cm="1">
        <f t="array" ref="O13">N13-N12</f>
        <v>585132.5296565</v>
      </c>
      <c r="P13" s="500" cm="1">
        <f t="array" ref="P13">SUM(H13:J13)</f>
        <v>7141568.29650014</v>
      </c>
      <c r="Q13" s="501">
        <v>11386.4290441648</v>
      </c>
    </row>
    <row r="14" ht="8.75" customHeight="1" hidden="1">
      <c r="A14" s="400">
        <v>43280</v>
      </c>
      <c r="B14" s="498" cm="1">
        <f t="array" ref="B14">F14/F13-1</f>
        <v>0.0820130488844369</v>
      </c>
      <c r="C14" s="499" cm="1">
        <f t="array" ref="C14">F14-F13</f>
        <v>1070573.8425527</v>
      </c>
      <c r="D14" s="500"/>
      <c r="E14" s="501">
        <v>21763.1358074773</v>
      </c>
      <c r="F14" s="500" cm="1">
        <f t="array" ref="F14">SUM(G14:K14)</f>
        <v>14124275.1390528</v>
      </c>
      <c r="G14" s="502"/>
      <c r="H14" s="502">
        <v>2798266</v>
      </c>
      <c r="I14" s="502">
        <v>1861409.13905278</v>
      </c>
      <c r="J14" s="502">
        <v>2745221</v>
      </c>
      <c r="K14" s="502" cm="1">
        <f t="array" ref="K14">'net worth - Table 1-2-1'!B14</f>
        <v>6719379</v>
      </c>
      <c r="L14" s="502"/>
      <c r="M14" s="500"/>
      <c r="N14" s="503" cm="1">
        <f t="array" ref="N14">SUM(H14:K14)</f>
        <v>14124275.1390528</v>
      </c>
      <c r="O14" s="499" cm="1">
        <f t="array" ref="O14">N14-N13</f>
        <v>1070573.8425527</v>
      </c>
      <c r="P14" s="500" cm="1">
        <f t="array" ref="P14">SUM(H14:J14)</f>
        <v>7404896.13905278</v>
      </c>
      <c r="Q14" s="501">
        <v>11409.7012928394</v>
      </c>
    </row>
    <row r="15" ht="8.75" customHeight="1" hidden="1">
      <c r="A15" s="400">
        <v>43312</v>
      </c>
      <c r="B15" s="498" cm="1">
        <f t="array" ref="B15">F15/F14-1</f>
        <v>0.09278672437533581</v>
      </c>
      <c r="C15" s="499" cm="1">
        <f t="array" ref="C15">F15-F14</f>
        <v>1310545.2243287</v>
      </c>
      <c r="D15" s="500"/>
      <c r="E15" s="501">
        <v>24188.7170715899</v>
      </c>
      <c r="F15" s="500" cm="1">
        <f t="array" ref="F15">SUM(G15:K15)</f>
        <v>15434820.3633815</v>
      </c>
      <c r="G15" s="502"/>
      <c r="H15" s="502">
        <v>2981456</v>
      </c>
      <c r="I15" s="502">
        <v>2137166.36338153</v>
      </c>
      <c r="J15" s="502">
        <v>3242414</v>
      </c>
      <c r="K15" s="502">
        <v>7073784</v>
      </c>
      <c r="L15" s="502"/>
      <c r="M15" s="500"/>
      <c r="N15" s="503" cm="1">
        <f t="array" ref="N15">SUM(H15:K15)</f>
        <v>15434820.3633815</v>
      </c>
      <c r="O15" s="499" cm="1">
        <f t="array" ref="O15">N15-N14</f>
        <v>1310545.2243287</v>
      </c>
      <c r="P15" s="500" cm="1">
        <f t="array" ref="P15">SUM(H15:J15)</f>
        <v>8361036.36338153</v>
      </c>
      <c r="Q15" s="501">
        <v>13103.0189051583</v>
      </c>
    </row>
    <row r="16" ht="8.75" customHeight="1" hidden="1">
      <c r="A16" s="400">
        <v>43343</v>
      </c>
      <c r="B16" s="498" cm="1">
        <f t="array" ref="B16">F16/F15-1</f>
        <v>0.0374055954381003</v>
      </c>
      <c r="C16" s="499" cm="1">
        <f t="array" ref="C16">F16-F15</f>
        <v>577348.6461724</v>
      </c>
      <c r="D16" s="500"/>
      <c r="E16" s="501">
        <v>23581.9867592841</v>
      </c>
      <c r="F16" s="500" cm="1">
        <f t="array" ref="F16">SUM(G16:K16)</f>
        <v>16012169.0095539</v>
      </c>
      <c r="G16" s="502"/>
      <c r="H16" s="502">
        <v>3229751</v>
      </c>
      <c r="I16" s="502">
        <v>1552135.00955385</v>
      </c>
      <c r="J16" s="502">
        <v>3801924</v>
      </c>
      <c r="K16" s="502">
        <v>7428359</v>
      </c>
      <c r="L16" s="502"/>
      <c r="M16" s="500"/>
      <c r="N16" s="503" cm="1">
        <f t="array" ref="N16">SUM(H16:K16)</f>
        <v>16012169.0095539</v>
      </c>
      <c r="O16" s="499" cm="1">
        <f t="array" ref="O16">N16-N15</f>
        <v>577348.6461724</v>
      </c>
      <c r="P16" s="500" cm="1">
        <f t="array" ref="P16">SUM(H16:J16)</f>
        <v>8583810.00955385</v>
      </c>
      <c r="Q16" s="501">
        <v>12641.8409566331</v>
      </c>
    </row>
    <row r="17" ht="8.75" customHeight="1" hidden="1">
      <c r="A17" s="400">
        <v>43371</v>
      </c>
      <c r="B17" s="498" cm="1">
        <f t="array" ref="B17">F17/F16-1</f>
        <v>0.0371597450733988</v>
      </c>
      <c r="C17" s="499" cm="1">
        <f t="array" ref="C17">F17-F16</f>
        <v>595008.1184672</v>
      </c>
      <c r="D17" s="500"/>
      <c r="E17" s="501">
        <v>25185.2853018215</v>
      </c>
      <c r="F17" s="500" cm="1">
        <f t="array" ref="F17">SUM(G17:K17)</f>
        <v>16607177.1280211</v>
      </c>
      <c r="G17" s="502"/>
      <c r="H17" s="502">
        <v>3303248</v>
      </c>
      <c r="I17" s="502">
        <v>1309430.12802105</v>
      </c>
      <c r="J17" s="502" cm="1">
        <f t="array" ref="J17">4215626-4201</f>
        <v>4211425</v>
      </c>
      <c r="K17" s="502">
        <v>7783074</v>
      </c>
      <c r="L17" s="502"/>
      <c r="M17" s="500"/>
      <c r="N17" s="503" cm="1">
        <f t="array" ref="N17">SUM(H17:K17)</f>
        <v>16607177.1280211</v>
      </c>
      <c r="O17" s="499" cm="1">
        <f t="array" ref="O17">N17-N16</f>
        <v>595008.1184672</v>
      </c>
      <c r="P17" s="500" cm="1">
        <f t="array" ref="P17">SUM(H17:J17)</f>
        <v>8824103.12802105</v>
      </c>
      <c r="Q17" s="501">
        <v>13382.018695816</v>
      </c>
    </row>
    <row r="18" ht="8.75" customHeight="1" hidden="1">
      <c r="A18" s="400">
        <v>43404</v>
      </c>
      <c r="B18" s="498" cm="1">
        <f t="array" ref="B18">F18/F17-1</f>
        <v>0.0602359891210844</v>
      </c>
      <c r="C18" s="499" cm="1">
        <f t="array" ref="C18">F18-F17</f>
        <v>1000349.7408154</v>
      </c>
      <c r="D18" s="500"/>
      <c r="E18" s="501">
        <v>25407.6866794177</v>
      </c>
      <c r="F18" s="500" cm="1">
        <f t="array" ref="F18">SUM(G18:K18)</f>
        <v>17607526.8688365</v>
      </c>
      <c r="G18" s="502"/>
      <c r="H18" s="502">
        <v>3417029</v>
      </c>
      <c r="I18" s="502">
        <v>1247016.86883652</v>
      </c>
      <c r="J18" s="502">
        <v>4455543</v>
      </c>
      <c r="K18" s="502">
        <v>8487938</v>
      </c>
      <c r="L18" s="502"/>
      <c r="M18" s="500"/>
      <c r="N18" s="503" cm="1">
        <f t="array" ref="N18">SUM(H18:K18)</f>
        <v>17607526.8688365</v>
      </c>
      <c r="O18" s="499" cm="1">
        <f t="array" ref="O18">N18-N17</f>
        <v>1000349.7408154</v>
      </c>
      <c r="P18" s="500" cm="1">
        <f t="array" ref="P18">SUM(H18:J18)</f>
        <v>9119588.86883652</v>
      </c>
      <c r="Q18" s="501">
        <v>13159.579897311</v>
      </c>
    </row>
    <row r="19" ht="8.75" customHeight="1" hidden="1">
      <c r="A19" s="400">
        <v>43434</v>
      </c>
      <c r="B19" s="498" cm="1">
        <f t="array" ref="B19">F19/F18-1</f>
        <v>0.0555726047418583</v>
      </c>
      <c r="C19" s="499" cm="1">
        <f t="array" ref="C19">F19-F18</f>
        <v>978496.1311635</v>
      </c>
      <c r="D19" s="500"/>
      <c r="E19" s="501">
        <v>27740.3328358209</v>
      </c>
      <c r="F19" s="500" cm="1">
        <f t="array" ref="F19">SUM(G19:K19)</f>
        <v>18586023</v>
      </c>
      <c r="G19" s="502"/>
      <c r="H19" s="502">
        <v>3809924</v>
      </c>
      <c r="I19" s="502">
        <v>730535</v>
      </c>
      <c r="J19" s="502">
        <v>4690498</v>
      </c>
      <c r="K19" s="502">
        <v>9355066</v>
      </c>
      <c r="L19" s="502"/>
      <c r="M19" s="500"/>
      <c r="N19" s="503" cm="1">
        <f t="array" ref="N19">SUM(H19:K19)</f>
        <v>18586023</v>
      </c>
      <c r="O19" s="499" cm="1">
        <f t="array" ref="O19">N19-N18</f>
        <v>978496.1311635</v>
      </c>
      <c r="P19" s="500" cm="1">
        <f t="array" ref="P19">SUM(H19:J19)</f>
        <v>9230957</v>
      </c>
      <c r="Q19" s="501">
        <v>13777.547761194</v>
      </c>
    </row>
    <row r="20" ht="8.75" customHeight="1" hidden="1">
      <c r="A20" s="400">
        <v>43465</v>
      </c>
      <c r="B20" s="498" cm="1">
        <f t="array" ref="B20">F20/F19-1</f>
        <v>0.06772349739641451</v>
      </c>
      <c r="C20" s="499" cm="1">
        <f t="array" ref="C20">F20-F19</f>
        <v>1258710.4802502</v>
      </c>
      <c r="D20" s="500"/>
      <c r="E20" s="501">
        <v>28615.333064528</v>
      </c>
      <c r="F20" s="500" cm="1">
        <f t="array" ref="F20">SUM(G20:K20)</f>
        <v>19844733.4802502</v>
      </c>
      <c r="G20" s="502"/>
      <c r="H20" s="502">
        <v>4148904</v>
      </c>
      <c r="I20" s="502">
        <v>799676.480250241</v>
      </c>
      <c r="J20" s="502">
        <v>4885955</v>
      </c>
      <c r="K20" s="502">
        <v>10010198</v>
      </c>
      <c r="L20" s="502"/>
      <c r="M20" s="500"/>
      <c r="N20" s="503" cm="1">
        <f t="array" ref="N20">SUM(H20:K20)</f>
        <v>19844733.4802502</v>
      </c>
      <c r="O20" s="499" cm="1">
        <f t="array" ref="O20">N20-N19</f>
        <v>1258710.4802502</v>
      </c>
      <c r="P20" s="500" cm="1">
        <f t="array" ref="P20">SUM(H20:J20)</f>
        <v>9834535.480250239</v>
      </c>
      <c r="Q20" s="501">
        <v>14181.0172750544</v>
      </c>
    </row>
    <row r="21" ht="8.75" customHeight="1" hidden="1">
      <c r="A21" s="400">
        <v>43496</v>
      </c>
      <c r="B21" s="498" cm="1">
        <f t="array" ref="B21">F21/F20-1</f>
        <v>0.0401959493167022</v>
      </c>
      <c r="C21" s="499" cm="1">
        <f t="array" ref="C21">F21-F20</f>
        <v>797677.9011756</v>
      </c>
      <c r="D21" s="500"/>
      <c r="E21" s="501">
        <v>31116.0858930145</v>
      </c>
      <c r="F21" s="500" cm="1">
        <f t="array" ref="F21">SUM(G21:K21)</f>
        <v>20642411.3814258</v>
      </c>
      <c r="G21" s="502"/>
      <c r="H21" s="502">
        <v>4603346</v>
      </c>
      <c r="I21" s="502">
        <v>612249.3814257809</v>
      </c>
      <c r="J21" s="502">
        <v>5316618</v>
      </c>
      <c r="K21" s="502">
        <v>10110198</v>
      </c>
      <c r="L21" s="502"/>
      <c r="M21" s="500"/>
      <c r="N21" s="503" cm="1">
        <f t="array" ref="N21">SUM(H21:K21)</f>
        <v>20642411.3814258</v>
      </c>
      <c r="O21" s="499" cm="1">
        <f t="array" ref="O21">N21-N20</f>
        <v>797677.9011756</v>
      </c>
      <c r="P21" s="500" cm="1">
        <f t="array" ref="P21">SUM(H21:J21)</f>
        <v>10532213.3814258</v>
      </c>
      <c r="Q21" s="501">
        <v>15876.1130259659</v>
      </c>
    </row>
    <row r="22" ht="8.75" customHeight="1" hidden="1">
      <c r="A22" s="400">
        <v>43524</v>
      </c>
      <c r="B22" s="498" cm="1">
        <f t="array" ref="B22">F22/F21-1</f>
        <v>0.0662977686137981</v>
      </c>
      <c r="C22" s="499" cm="1">
        <f t="array" ref="C22">F22-F21</f>
        <v>1368545.8133966</v>
      </c>
      <c r="D22" s="500"/>
      <c r="E22" s="501">
        <v>33930.8728145867</v>
      </c>
      <c r="F22" s="500" cm="1">
        <f t="array" ref="F22">SUM(G22:K22)</f>
        <v>22010957.1948224</v>
      </c>
      <c r="G22" s="502"/>
      <c r="H22" s="502">
        <v>5403216</v>
      </c>
      <c r="I22" s="502">
        <v>734791.1948224111</v>
      </c>
      <c r="J22" s="502">
        <v>5652546</v>
      </c>
      <c r="K22" s="502">
        <v>10220404</v>
      </c>
      <c r="L22" s="502"/>
      <c r="M22" s="500"/>
      <c r="N22" s="503" cm="1">
        <f t="array" ref="N22">SUM(H22:K22)</f>
        <v>22010957.1948224</v>
      </c>
      <c r="O22" s="499" cm="1">
        <f t="array" ref="O22">N22-N21</f>
        <v>1368545.8133966</v>
      </c>
      <c r="P22" s="500" cm="1">
        <f t="array" ref="P22">SUM(H22:J22)</f>
        <v>11790553.1948224</v>
      </c>
      <c r="Q22" s="501">
        <v>18175.6639352897</v>
      </c>
    </row>
    <row r="23" ht="8.75" customHeight="1" hidden="1">
      <c r="A23" s="400">
        <v>43553</v>
      </c>
      <c r="B23" s="498" cm="1">
        <f t="array" ref="B23">F23/F22-1</f>
        <v>0.105258658217299</v>
      </c>
      <c r="C23" s="499" cm="1">
        <f t="array" ref="C23">F23-F22</f>
        <v>2316843.8204054</v>
      </c>
      <c r="D23" s="500"/>
      <c r="E23" s="501">
        <v>35666.0328620844</v>
      </c>
      <c r="F23" s="500" cm="1">
        <f t="array" ref="F23">SUM(G23:K23)</f>
        <v>24327801.0152278</v>
      </c>
      <c r="G23" s="502"/>
      <c r="H23" s="502">
        <v>6824490</v>
      </c>
      <c r="I23" s="502">
        <v>775047.015227776</v>
      </c>
      <c r="J23" s="502">
        <v>6102728</v>
      </c>
      <c r="K23" s="502">
        <v>10625536</v>
      </c>
      <c r="L23" s="502"/>
      <c r="M23" s="500"/>
      <c r="N23" s="503" cm="1">
        <f t="array" ref="N23">SUM(H23:K23)</f>
        <v>24327801.0152278</v>
      </c>
      <c r="O23" s="499" cm="1">
        <f t="array" ref="O23">N23-N22</f>
        <v>2316843.8204054</v>
      </c>
      <c r="P23" s="500" cm="1">
        <f t="array" ref="P23">SUM(H23:J23)</f>
        <v>13702265.0152278</v>
      </c>
      <c r="Q23" s="501">
        <v>20088.3521701038</v>
      </c>
    </row>
    <row r="24" ht="8.75" customHeight="1" hidden="1">
      <c r="A24" s="400">
        <v>43585</v>
      </c>
      <c r="B24" s="498" cm="1">
        <f t="array" ref="B24">F24/F23-1</f>
        <v>0.08571272168435951</v>
      </c>
      <c r="C24" s="499" cm="1">
        <f t="array" ref="C24">F24-F23</f>
        <v>2085202.0376107</v>
      </c>
      <c r="D24" s="500"/>
      <c r="E24" s="501">
        <v>38949.1890359491</v>
      </c>
      <c r="F24" s="500" cm="1">
        <f t="array" ref="F24">SUM(G24:K24)</f>
        <v>26413003.0528385</v>
      </c>
      <c r="G24" s="502"/>
      <c r="H24" s="502">
        <v>7804460</v>
      </c>
      <c r="I24" s="502">
        <v>974972.052838513</v>
      </c>
      <c r="J24" s="502">
        <v>6508035</v>
      </c>
      <c r="K24" s="502">
        <v>11125536</v>
      </c>
      <c r="L24" s="502"/>
      <c r="M24" s="500"/>
      <c r="N24" s="503" cm="1">
        <f t="array" ref="N24">SUM(H24:K24)</f>
        <v>26413003.0528385</v>
      </c>
      <c r="O24" s="499" cm="1">
        <f t="array" ref="O24">N24-N23</f>
        <v>2085202.0376107</v>
      </c>
      <c r="P24" s="500" cm="1">
        <f t="array" ref="P24">SUM(H24:J24)</f>
        <v>15287467.0528385</v>
      </c>
      <c r="Q24" s="501">
        <v>22543.2315640406</v>
      </c>
    </row>
    <row r="25" ht="8.75" customHeight="1" hidden="1">
      <c r="A25" s="400">
        <v>43616</v>
      </c>
      <c r="B25" s="498" cm="1">
        <f t="array" ref="B25">F25/F24-1</f>
        <v>0.072770574652273</v>
      </c>
      <c r="C25" s="499" cm="1">
        <f t="array" ref="C25">F25-F24</f>
        <v>1922089.4104473</v>
      </c>
      <c r="D25" s="500"/>
      <c r="E25" s="501">
        <v>39928.8265363928</v>
      </c>
      <c r="F25" s="500" cm="1">
        <f t="array" ref="F25">SUM(G25:K25)</f>
        <v>28335092.4632858</v>
      </c>
      <c r="G25" s="502"/>
      <c r="H25" s="502">
        <v>8700750</v>
      </c>
      <c r="I25" s="502">
        <v>1628405.46328578</v>
      </c>
      <c r="J25" s="502" cm="1">
        <f t="array" ref="J25">6693733+11500</f>
        <v>6705233</v>
      </c>
      <c r="K25" s="502">
        <v>11300704</v>
      </c>
      <c r="L25" s="502"/>
      <c r="M25" s="500"/>
      <c r="N25" s="503" cm="1">
        <f t="array" ref="N25">SUM(H25:K25)</f>
        <v>28335092.4632858</v>
      </c>
      <c r="O25" s="499" cm="1">
        <f t="array" ref="O25">N25-N24</f>
        <v>1922089.4104473</v>
      </c>
      <c r="P25" s="500" cm="1">
        <f t="array" ref="P25">SUM(H25:J25)</f>
        <v>17034388.4632858</v>
      </c>
      <c r="Q25" s="501">
        <v>24004.2676051037</v>
      </c>
    </row>
    <row r="26" ht="8.75" customHeight="1" hidden="1">
      <c r="A26" s="400">
        <v>43644</v>
      </c>
      <c r="B26" s="498" cm="1">
        <f t="array" ref="B26">F26/F25-1</f>
        <v>0.0879857776709085</v>
      </c>
      <c r="C26" s="499" cm="1">
        <f t="array" ref="C26">F26-F25</f>
        <v>2493085.1457593</v>
      </c>
      <c r="D26" s="500"/>
      <c r="E26" s="501">
        <v>45324.2242513564</v>
      </c>
      <c r="F26" s="500" cm="1">
        <f t="array" ref="F26">SUM(G26:K26)</f>
        <v>30828177.6090451</v>
      </c>
      <c r="G26" s="502"/>
      <c r="H26" s="502">
        <v>9778523</v>
      </c>
      <c r="I26" s="502">
        <v>1841750.60904509</v>
      </c>
      <c r="J26" s="502">
        <v>7465026</v>
      </c>
      <c r="K26" s="502">
        <v>11742878</v>
      </c>
      <c r="L26" s="502"/>
      <c r="M26" s="500"/>
      <c r="N26" s="503" cm="1">
        <f t="array" ref="N26">SUM(H26:K26)</f>
        <v>30828177.6090451</v>
      </c>
      <c r="O26" s="499" cm="1">
        <f t="array" ref="O26">N26-N25</f>
        <v>2493085.1457593</v>
      </c>
      <c r="P26" s="500" cm="1">
        <f t="array" ref="P26">SUM(H26:J26)</f>
        <v>19085299.6090451</v>
      </c>
      <c r="Q26" s="501">
        <v>28059.6021715823</v>
      </c>
    </row>
    <row r="27" ht="8.75" customHeight="1" hidden="1">
      <c r="A27" s="400">
        <v>43677</v>
      </c>
      <c r="B27" s="498" cm="1">
        <f t="array" ref="B27">F27/F26-1</f>
        <v>0.0665162153169039</v>
      </c>
      <c r="C27" s="499" cm="1">
        <f t="array" ref="C27">F27-F26</f>
        <v>2050573.699671</v>
      </c>
      <c r="D27" s="500"/>
      <c r="E27" s="501">
        <v>47036.8402127555</v>
      </c>
      <c r="F27" s="500" cm="1">
        <f t="array" ref="F27">SUM(G27:K27)</f>
        <v>32878751.3087161</v>
      </c>
      <c r="G27" s="502"/>
      <c r="H27" s="502">
        <v>10571456</v>
      </c>
      <c r="I27" s="502">
        <v>1556940.30871608</v>
      </c>
      <c r="J27" s="502">
        <v>8727943</v>
      </c>
      <c r="K27" s="502">
        <v>12022412</v>
      </c>
      <c r="L27" s="502"/>
      <c r="M27" s="500"/>
      <c r="N27" s="503" cm="1">
        <f t="array" ref="N27">SUM(H27:K27)</f>
        <v>32878751.3087161</v>
      </c>
      <c r="O27" s="499" cm="1">
        <f t="array" ref="O27">N27-N26</f>
        <v>2050573.699671</v>
      </c>
      <c r="P27" s="500" cm="1">
        <f t="array" ref="P27">SUM(H27:J27)</f>
        <v>20856339.3087161</v>
      </c>
      <c r="Q27" s="501">
        <v>29837.3952914393</v>
      </c>
    </row>
    <row r="28" ht="8.75" customHeight="1" hidden="1">
      <c r="A28" s="400">
        <v>43707</v>
      </c>
      <c r="B28" s="498" cm="1">
        <f t="array" ref="B28">F28/F27-1</f>
        <v>0.0454166132266113</v>
      </c>
      <c r="C28" s="499" cm="1">
        <f t="array" ref="C28">F28-F27</f>
        <v>1493241.5315619</v>
      </c>
      <c r="D28" s="500"/>
      <c r="E28" s="501">
        <v>47683.2484882609</v>
      </c>
      <c r="F28" s="500" cm="1">
        <f t="array" ref="F28">SUM(G28:K28)</f>
        <v>34371992.840278</v>
      </c>
      <c r="G28" s="502"/>
      <c r="H28" s="502">
        <v>10684713</v>
      </c>
      <c r="I28" s="502">
        <v>1398277.84027799</v>
      </c>
      <c r="J28" s="502">
        <v>9706764</v>
      </c>
      <c r="K28" s="502">
        <v>12582238</v>
      </c>
      <c r="L28" s="502"/>
      <c r="M28" s="500"/>
      <c r="N28" s="503" cm="1">
        <f t="array" ref="N28">SUM(H28:K28)</f>
        <v>34371992.840278</v>
      </c>
      <c r="O28" s="499" cm="1">
        <f t="array" ref="O28">N28-N27</f>
        <v>1493241.5315619</v>
      </c>
      <c r="P28" s="500" cm="1">
        <f t="array" ref="P28">SUM(H28:J28)</f>
        <v>21789754.840278</v>
      </c>
      <c r="Q28" s="501">
        <v>30228.2820602048</v>
      </c>
    </row>
    <row r="29" ht="8.75" customHeight="1" hidden="1">
      <c r="A29" s="400">
        <v>43738</v>
      </c>
      <c r="B29" s="498" cm="1">
        <f t="array" ref="B29">F29/F28-1</f>
        <v>0.0399485521973795</v>
      </c>
      <c r="C29" s="499" cm="1">
        <f t="array" ref="C29">F29-F28</f>
        <v>1373111.3501078</v>
      </c>
      <c r="D29" s="500"/>
      <c r="E29" s="501">
        <v>49236.3588897723</v>
      </c>
      <c r="F29" s="500" cm="1">
        <f t="array" ref="F29">SUM(G29:K29)</f>
        <v>35745104.1903858</v>
      </c>
      <c r="G29" s="502"/>
      <c r="H29" s="502">
        <v>11544666</v>
      </c>
      <c r="I29" s="502">
        <v>1349656.19038581</v>
      </c>
      <c r="J29" s="502">
        <v>10268544</v>
      </c>
      <c r="K29" s="502">
        <v>12582238</v>
      </c>
      <c r="L29" s="502"/>
      <c r="M29" s="500"/>
      <c r="N29" s="503" cm="1">
        <f t="array" ref="N29">SUM(H29:K29)</f>
        <v>35745104.1903858</v>
      </c>
      <c r="O29" s="499" cm="1">
        <f t="array" ref="O29">N29-N28</f>
        <v>1373111.3501078</v>
      </c>
      <c r="P29" s="500" cm="1">
        <f t="array" ref="P29">SUM(H29:J29)</f>
        <v>23162866.1903858</v>
      </c>
      <c r="Q29" s="501">
        <v>31905.2138326779</v>
      </c>
    </row>
    <row r="30" ht="8.75" customHeight="1" hidden="1">
      <c r="A30" s="400">
        <v>43769</v>
      </c>
      <c r="B30" s="498" cm="1">
        <f t="array" ref="B30">F30/F29-1</f>
        <v>0.0307132185039282</v>
      </c>
      <c r="C30" s="499" cm="1">
        <f t="array" ref="C30">F30-F29</f>
        <v>1097847.195445</v>
      </c>
      <c r="D30" s="500"/>
      <c r="E30" s="501">
        <v>49669.1233466095</v>
      </c>
      <c r="F30" s="500" cm="1">
        <f t="array" ref="F30">SUM(G30:K30)</f>
        <v>36842951.3858308</v>
      </c>
      <c r="G30" s="502"/>
      <c r="H30" s="502">
        <v>12106440</v>
      </c>
      <c r="I30" s="502">
        <v>1440647.38583084</v>
      </c>
      <c r="J30" s="502">
        <v>10713626</v>
      </c>
      <c r="K30" s="502">
        <v>12582238</v>
      </c>
      <c r="L30" s="502"/>
      <c r="M30" s="500"/>
      <c r="N30" s="503" cm="1">
        <f t="array" ref="N30">SUM(H30:K30)</f>
        <v>36842951.3858308</v>
      </c>
      <c r="O30" s="499" cm="1">
        <f t="array" ref="O30">N30-N29</f>
        <v>1097847.195445</v>
      </c>
      <c r="P30" s="500" cm="1">
        <f t="array" ref="P30">SUM(H30:J30)</f>
        <v>24260713.3858308</v>
      </c>
      <c r="Q30" s="501">
        <v>32706.6187781307</v>
      </c>
    </row>
    <row r="31" ht="8.75" customHeight="1" hidden="1">
      <c r="A31" s="400">
        <v>43798</v>
      </c>
      <c r="B31" s="498" cm="1">
        <f t="array" ref="B31">F31/F30-1</f>
        <v>0.108483527843364</v>
      </c>
      <c r="C31" s="499" cm="1">
        <f t="array" ref="C31">F31-F30</f>
        <v>3996853.3424965</v>
      </c>
      <c r="D31" s="500"/>
      <c r="E31" s="501">
        <v>49299.6194209649</v>
      </c>
      <c r="F31" s="500" cm="1">
        <f t="array" ref="F31">SUM(G31:K31)</f>
        <v>40839804.7283273</v>
      </c>
      <c r="G31" s="502"/>
      <c r="H31" s="502">
        <v>14496255</v>
      </c>
      <c r="I31" s="502">
        <v>1312157.72832726</v>
      </c>
      <c r="J31" s="502">
        <v>12167081</v>
      </c>
      <c r="K31" s="502">
        <v>12864311</v>
      </c>
      <c r="L31" s="502"/>
      <c r="M31" s="500"/>
      <c r="N31" s="503" cm="1">
        <f t="array" ref="N31">SUM(H31:K31)</f>
        <v>40839804.7283273</v>
      </c>
      <c r="O31" s="499" cm="1">
        <f t="array" ref="O31">N31-N30</f>
        <v>3996853.3424965</v>
      </c>
      <c r="P31" s="500" cm="1">
        <f t="array" ref="P31">SUM(H31:J31)</f>
        <v>27975493.7283273</v>
      </c>
      <c r="Q31" s="501">
        <v>33770.5139163777</v>
      </c>
    </row>
    <row r="32" ht="8.75" customHeight="1" hidden="1">
      <c r="A32" s="400">
        <v>43830</v>
      </c>
      <c r="B32" s="498" cm="1">
        <f t="array" ref="B32">F32/F31-1</f>
        <v>0.0482309279075776</v>
      </c>
      <c r="C32" s="499" cm="1">
        <f t="array" ref="C32">F32-F31</f>
        <v>1969741.6776115</v>
      </c>
      <c r="D32" s="500"/>
      <c r="E32" s="501">
        <v>58467.0122998345</v>
      </c>
      <c r="F32" s="500" cm="1">
        <f t="array" ref="F32">SUM(G32:K32)</f>
        <v>42809546.4059388</v>
      </c>
      <c r="G32" s="502"/>
      <c r="H32" s="502">
        <v>13411060</v>
      </c>
      <c r="I32" s="502">
        <v>1135089.40593884</v>
      </c>
      <c r="J32" s="502">
        <v>15116086</v>
      </c>
      <c r="K32" s="502" cm="1">
        <f t="array" ref="K32">10647311+2500000</f>
        <v>13147311</v>
      </c>
      <c r="L32" s="502"/>
      <c r="M32" s="500"/>
      <c r="N32" s="503" cm="1">
        <f t="array" ref="N32">SUM(H32:K32)</f>
        <v>42809546.4059388</v>
      </c>
      <c r="O32" s="499" cm="1">
        <f t="array" ref="O32">N32-N31</f>
        <v>1969741.6776115</v>
      </c>
      <c r="P32" s="500" cm="1">
        <f t="array" ref="P32">SUM(H32:J32)</f>
        <v>29662235.4059388</v>
      </c>
      <c r="Q32" s="501">
        <v>40511.1109067725</v>
      </c>
    </row>
    <row r="33" ht="8.75" customHeight="1" hidden="1">
      <c r="A33" s="400">
        <v>43861</v>
      </c>
      <c r="B33" s="498" cm="1">
        <f t="array" ref="B33">F33/F32-1</f>
        <v>0.0722388739573234</v>
      </c>
      <c r="C33" s="499" cm="1">
        <f t="array" ref="C33">F33-F32</f>
        <v>3092513.4269888</v>
      </c>
      <c r="D33" s="500"/>
      <c r="E33" s="501">
        <v>57608.0068184332</v>
      </c>
      <c r="F33" s="500" cm="1">
        <f t="array" ref="F33">SUM(G33:K33)</f>
        <v>45902059.8329276</v>
      </c>
      <c r="G33" s="502"/>
      <c r="H33" s="502">
        <v>14574351</v>
      </c>
      <c r="I33" s="502">
        <v>1566102.8329276</v>
      </c>
      <c r="J33" s="502">
        <v>16314295</v>
      </c>
      <c r="K33" s="502">
        <v>13447311</v>
      </c>
      <c r="L33" s="502"/>
      <c r="M33" s="500"/>
      <c r="N33" s="503" cm="1">
        <f t="array" ref="N33">SUM(H33:K33)</f>
        <v>45902059.8329276</v>
      </c>
      <c r="O33" s="499" cm="1">
        <f t="array" ref="O33">N33-N32</f>
        <v>3092513.4269888</v>
      </c>
      <c r="P33" s="500" cm="1">
        <f t="array" ref="P33">SUM(H33:J33)</f>
        <v>32454748.8329276</v>
      </c>
      <c r="Q33" s="501">
        <v>40731.3614871079</v>
      </c>
    </row>
    <row r="34" ht="8.75" customHeight="1" hidden="1">
      <c r="A34" s="400">
        <v>43889</v>
      </c>
      <c r="B34" s="498" cm="1">
        <f t="array" ref="B34">F34/F33-1</f>
        <v>-0.0222685670483277</v>
      </c>
      <c r="C34" s="499" cm="1">
        <f t="array" ref="C34">F34-F33</f>
        <v>-1022173.0970459</v>
      </c>
      <c r="D34" s="500"/>
      <c r="E34" s="501">
        <v>55134.9959900267</v>
      </c>
      <c r="F34" s="500" cm="1">
        <f t="array" ref="F34">SUM(G34:K34)</f>
        <v>44879886.7358817</v>
      </c>
      <c r="G34" s="502"/>
      <c r="H34" s="502">
        <v>13559687</v>
      </c>
      <c r="I34" s="502">
        <v>1760275.73588172</v>
      </c>
      <c r="J34" s="502">
        <v>15812613</v>
      </c>
      <c r="K34" s="502">
        <v>13747311</v>
      </c>
      <c r="L34" s="502"/>
      <c r="M34" s="500"/>
      <c r="N34" s="503" cm="1">
        <f t="array" ref="N34">SUM(H34:K34)</f>
        <v>44879886.7358817</v>
      </c>
      <c r="O34" s="499" cm="1">
        <f t="array" ref="O34">N34-N33</f>
        <v>-1022173.0970459</v>
      </c>
      <c r="P34" s="500" cm="1">
        <f t="array" ref="P34">SUM(H34:J34)</f>
        <v>31132575.7358817</v>
      </c>
      <c r="Q34" s="501">
        <v>38246.4075379382</v>
      </c>
    </row>
    <row r="35" ht="8.75" customHeight="1" hidden="1">
      <c r="A35" s="400">
        <v>43921</v>
      </c>
      <c r="B35" s="498" cm="1">
        <f t="array" ref="B35">F35/F34-1</f>
        <v>-0.0645239769580717</v>
      </c>
      <c r="C35" s="499" cm="1">
        <f t="array" ref="C35">F35-F34</f>
        <v>-2895828.7776269</v>
      </c>
      <c r="D35" s="500"/>
      <c r="E35" s="501">
        <v>48864.1270463859</v>
      </c>
      <c r="F35" s="500" cm="1">
        <f t="array" ref="F35">SUM(G35:K35)</f>
        <v>41984057.9582548</v>
      </c>
      <c r="G35" s="502"/>
      <c r="H35" s="502">
        <v>12412477</v>
      </c>
      <c r="I35" s="502">
        <v>1203911.95825477</v>
      </c>
      <c r="J35" s="502">
        <v>14620358</v>
      </c>
      <c r="K35" s="502">
        <v>13747311</v>
      </c>
      <c r="L35" s="502"/>
      <c r="M35" s="500"/>
      <c r="N35" s="503" cm="1">
        <f t="array" ref="N35">SUM(H35:K35)</f>
        <v>41984057.9582548</v>
      </c>
      <c r="O35" s="499" cm="1">
        <f t="array" ref="O35">N35-N34</f>
        <v>-2895828.7776269</v>
      </c>
      <c r="P35" s="500" cm="1">
        <f t="array" ref="P35">SUM(H35:J35)</f>
        <v>28236746.9582548</v>
      </c>
      <c r="Q35" s="501">
        <v>32863.9978564418</v>
      </c>
    </row>
    <row r="36" ht="8.75" customHeight="1" hidden="1">
      <c r="A36" s="400">
        <v>43951</v>
      </c>
      <c r="B36" s="498" cm="1">
        <f t="array" ref="B36">F36/F35-1</f>
        <v>0.0951938673115254</v>
      </c>
      <c r="C36" s="499" cm="1">
        <f t="array" ref="C36">F36-F35</f>
        <v>3996624.8424775</v>
      </c>
      <c r="D36" s="500"/>
      <c r="E36" s="501">
        <v>55126.1033458006</v>
      </c>
      <c r="F36" s="500" cm="1">
        <f t="array" ref="F36">SUM(G36:K36)</f>
        <v>45980682.8007323</v>
      </c>
      <c r="G36" s="502"/>
      <c r="H36" s="502">
        <v>13839283</v>
      </c>
      <c r="I36" s="502">
        <v>1712738.80073234</v>
      </c>
      <c r="J36" s="502">
        <v>16681350</v>
      </c>
      <c r="K36" s="502">
        <v>13747311</v>
      </c>
      <c r="L36" s="502"/>
      <c r="M36" s="500"/>
      <c r="N36" s="503" cm="1">
        <f t="array" ref="N36">SUM(H36:K36)</f>
        <v>45980682.8007323</v>
      </c>
      <c r="O36" s="499" cm="1">
        <f t="array" ref="O36">N36-N35</f>
        <v>3996624.8424775</v>
      </c>
      <c r="P36" s="500" cm="1">
        <f t="array" ref="P36">SUM(H36:J36)</f>
        <v>32233371.8007323</v>
      </c>
      <c r="Q36" s="501">
        <v>38644.4932271098</v>
      </c>
    </row>
    <row r="37" ht="8.75" customHeight="1" hidden="1">
      <c r="A37" s="400">
        <v>43980</v>
      </c>
      <c r="B37" s="498" cm="1">
        <f t="array" ref="B37">F37/F36-1</f>
        <v>0.0195794781017728</v>
      </c>
      <c r="C37" s="499" cm="1">
        <f t="array" ref="C37">F37-F36</f>
        <v>900277.7720015</v>
      </c>
      <c r="D37" s="500"/>
      <c r="E37" s="501">
        <v>58013.8108807497</v>
      </c>
      <c r="F37" s="500" cm="1">
        <f t="array" ref="F37">SUM(G37:K37)</f>
        <v>46880960.5727338</v>
      </c>
      <c r="G37" s="502"/>
      <c r="H37" s="502">
        <v>13939112</v>
      </c>
      <c r="I37" s="502">
        <v>1812397.57273379</v>
      </c>
      <c r="J37" s="502">
        <v>17232140</v>
      </c>
      <c r="K37" s="502">
        <v>13897311</v>
      </c>
      <c r="L37" s="502"/>
      <c r="M37" s="500"/>
      <c r="N37" s="503" cm="1">
        <f t="array" ref="N37">SUM(H37:K37)</f>
        <v>46880960.5727338</v>
      </c>
      <c r="O37" s="499" cm="1">
        <f t="array" ref="O37">N37-N36</f>
        <v>900277.7720015</v>
      </c>
      <c r="P37" s="500" cm="1">
        <f t="array" ref="P37">SUM(H37:J37)</f>
        <v>32983649.5727338</v>
      </c>
      <c r="Q37" s="501">
        <v>40816.2969592053</v>
      </c>
    </row>
    <row r="38" ht="8.75" customHeight="1" hidden="1">
      <c r="A38" s="400">
        <v>44012</v>
      </c>
      <c r="B38" s="498" cm="1">
        <f t="array" ref="B38">F38/F37-1</f>
        <v>0.0436752621118958</v>
      </c>
      <c r="C38" s="499" cm="1">
        <f t="array" ref="C38">F38-F37</f>
        <v>2047538.2410716</v>
      </c>
      <c r="D38" s="500"/>
      <c r="E38" s="501">
        <v>59596.2226721138</v>
      </c>
      <c r="F38" s="500" cm="1">
        <f t="array" ref="F38">SUM(G38:K38)</f>
        <v>48928498.8138054</v>
      </c>
      <c r="G38" s="502"/>
      <c r="H38" s="502">
        <v>14721044</v>
      </c>
      <c r="I38" s="502">
        <v>1817898.81380535</v>
      </c>
      <c r="J38" s="502">
        <v>18103738</v>
      </c>
      <c r="K38" s="502">
        <v>14285818</v>
      </c>
      <c r="L38" s="502"/>
      <c r="M38" s="500"/>
      <c r="N38" s="503" cm="1">
        <f t="array" ref="N38">SUM(H38:K38)</f>
        <v>48928498.8138054</v>
      </c>
      <c r="O38" s="499" cm="1">
        <f t="array" ref="O38">N38-N37</f>
        <v>2047538.2410716</v>
      </c>
      <c r="P38" s="500" cm="1">
        <f t="array" ref="P38">SUM(H38:J38)</f>
        <v>34642680.8138054</v>
      </c>
      <c r="Q38" s="501">
        <v>42195.7135369128</v>
      </c>
    </row>
    <row r="39" ht="8.75" customHeight="1" hidden="1">
      <c r="A39" s="400">
        <v>44043</v>
      </c>
      <c r="B39" s="498" cm="1">
        <f t="array" ref="B39">F39/F38-1</f>
        <v>-0.0045681494770188</v>
      </c>
      <c r="C39" s="499" cm="1">
        <f t="array" ref="C39">F39-F38</f>
        <v>-223512.6962676</v>
      </c>
      <c r="D39" s="500"/>
      <c r="E39" s="501">
        <v>64001.2958180523</v>
      </c>
      <c r="F39" s="500" cm="1">
        <f t="array" ref="F39">SUM(G39:K39)</f>
        <v>48704986.1175378</v>
      </c>
      <c r="G39" s="502"/>
      <c r="H39" s="502">
        <v>14242037</v>
      </c>
      <c r="I39" s="502">
        <v>2334350.11753781</v>
      </c>
      <c r="J39" s="502">
        <v>17842781</v>
      </c>
      <c r="K39" s="502">
        <v>14285818</v>
      </c>
      <c r="L39" s="502"/>
      <c r="M39" s="500"/>
      <c r="N39" s="503" cm="1">
        <f t="array" ref="N39">SUM(H39:K39)</f>
        <v>48704986.1175378</v>
      </c>
      <c r="O39" s="499" cm="1">
        <f t="array" ref="O39">N39-N38</f>
        <v>-223512.6962676</v>
      </c>
      <c r="P39" s="500" cm="1">
        <f t="array" ref="P39">SUM(H39:J39)</f>
        <v>34419168.1175378</v>
      </c>
      <c r="Q39" s="501">
        <v>45228.8674343466</v>
      </c>
    </row>
    <row r="40" ht="8.75" customHeight="1" hidden="1">
      <c r="A40" s="400">
        <v>44074</v>
      </c>
      <c r="B40" s="498" cm="1">
        <f t="array" ref="B40">F40/F39-1</f>
        <v>0.0833109990722697</v>
      </c>
      <c r="C40" s="499" cm="1">
        <f t="array" ref="C40">F40-F39</f>
        <v>4057661.0532531</v>
      </c>
      <c r="D40" s="500"/>
      <c r="E40" s="501">
        <v>67731.254391259194</v>
      </c>
      <c r="F40" s="500" cm="1">
        <f t="array" ref="F40">SUM(G40:K40)</f>
        <v>52762647.1707909</v>
      </c>
      <c r="G40" s="502"/>
      <c r="H40" s="502">
        <v>16025314</v>
      </c>
      <c r="I40" s="502">
        <v>2807232.1707909</v>
      </c>
      <c r="J40" s="502">
        <v>19644283</v>
      </c>
      <c r="K40" s="502">
        <v>14285818</v>
      </c>
      <c r="L40" s="502"/>
      <c r="M40" s="500"/>
      <c r="N40" s="503" cm="1">
        <f t="array" ref="N40">SUM(H40:K40)</f>
        <v>52762647.1707909</v>
      </c>
      <c r="O40" s="499" cm="1">
        <f t="array" ref="O40">N40-N39</f>
        <v>4057661.0532531</v>
      </c>
      <c r="P40" s="500" cm="1">
        <f t="array" ref="P40">SUM(H40:J40)</f>
        <v>38476829.1707909</v>
      </c>
      <c r="Q40" s="501">
        <v>49392.5920035827</v>
      </c>
    </row>
    <row r="41" ht="8.75" customHeight="1" hidden="1">
      <c r="A41" s="400">
        <v>44104</v>
      </c>
      <c r="B41" s="498" cm="1">
        <f t="array" ref="B41">F41/F40-1</f>
        <v>-0.0669592967775738</v>
      </c>
      <c r="C41" s="499" cm="1">
        <f t="array" ref="C41">F41-F40</f>
        <v>-3532949.7506794</v>
      </c>
      <c r="D41" s="500"/>
      <c r="E41" s="501">
        <v>62784.9731158162</v>
      </c>
      <c r="F41" s="500" cm="1">
        <f t="array" ref="F41">SUM(G41:K41)</f>
        <v>49229697.4201115</v>
      </c>
      <c r="G41" s="502"/>
      <c r="H41" s="502">
        <v>12781177</v>
      </c>
      <c r="I41" s="502">
        <v>2409646.42011145</v>
      </c>
      <c r="J41" s="502">
        <v>19753056</v>
      </c>
      <c r="K41" s="502">
        <v>14285818</v>
      </c>
      <c r="L41" s="502"/>
      <c r="M41" s="500"/>
      <c r="N41" s="503" cm="1">
        <f t="array" ref="N41">SUM(H41:K41)</f>
        <v>49229697.4201115</v>
      </c>
      <c r="O41" s="499" cm="1">
        <f t="array" ref="O41">N41-N40</f>
        <v>-3532949.7506794</v>
      </c>
      <c r="P41" s="500" cm="1">
        <f t="array" ref="P41">SUM(H41:J41)</f>
        <v>34943879.4201115</v>
      </c>
      <c r="Q41" s="501">
        <v>44565.5903840218</v>
      </c>
    </row>
    <row r="42" ht="8.75" customHeight="1" hidden="1">
      <c r="A42" s="400">
        <v>44134</v>
      </c>
      <c r="B42" s="498" cm="1">
        <f t="array" ref="B42">F42/F41-1</f>
        <v>0.00521134766601454</v>
      </c>
      <c r="C42" s="499" cm="1">
        <f t="array" ref="C42">F42-F41</f>
        <v>256553.0687489</v>
      </c>
      <c r="D42" s="500"/>
      <c r="E42" s="501">
        <v>64142.9040685164</v>
      </c>
      <c r="F42" s="500" cm="1">
        <f t="array" ref="F42">SUM(G42:K42)</f>
        <v>49486250.4888604</v>
      </c>
      <c r="G42" s="502"/>
      <c r="H42" s="502">
        <v>12237434</v>
      </c>
      <c r="I42" s="502">
        <v>2757821.48886042</v>
      </c>
      <c r="J42" s="502">
        <v>20205177</v>
      </c>
      <c r="K42" s="502">
        <v>14285818</v>
      </c>
      <c r="L42" s="502"/>
      <c r="M42" s="500"/>
      <c r="N42" s="503" cm="1">
        <f t="array" ref="N42">SUM(H42:K42)</f>
        <v>49486250.4888604</v>
      </c>
      <c r="O42" s="499" cm="1">
        <f t="array" ref="O42">N42-N41</f>
        <v>256553.0687489</v>
      </c>
      <c r="P42" s="500" cm="1">
        <f t="array" ref="P42">SUM(H42:J42)</f>
        <v>35200432.4888604</v>
      </c>
      <c r="Q42" s="501">
        <v>45625.9656368897</v>
      </c>
    </row>
    <row r="43" ht="8.75" customHeight="1" hidden="1">
      <c r="A43" s="400">
        <v>44165</v>
      </c>
      <c r="B43" s="498" cm="1">
        <f t="array" ref="B43">F43/F42-1</f>
        <v>0.149128019312937</v>
      </c>
      <c r="C43" s="499" cm="1">
        <f t="array" ref="C43">F43-F42</f>
        <v>7379786.5186276</v>
      </c>
      <c r="D43" s="500"/>
      <c r="E43" s="501">
        <v>74025.0416655663</v>
      </c>
      <c r="F43" s="500" cm="1">
        <f t="array" ref="F43">SUM(G43:K43)</f>
        <v>56866037.007488</v>
      </c>
      <c r="G43" s="502"/>
      <c r="H43" s="502">
        <v>13809591</v>
      </c>
      <c r="I43" s="502">
        <v>4029227.007488</v>
      </c>
      <c r="J43" s="502">
        <v>24741401</v>
      </c>
      <c r="K43" s="502">
        <v>14285818</v>
      </c>
      <c r="L43" s="502"/>
      <c r="M43" s="500"/>
      <c r="N43" s="503" cm="1">
        <f t="array" ref="N43">SUM(H43:K43)</f>
        <v>56866037.007488</v>
      </c>
      <c r="O43" s="499" cm="1">
        <f t="array" ref="O43">N43-N42</f>
        <v>7379786.5186276</v>
      </c>
      <c r="P43" s="500" cm="1">
        <f t="array" ref="P43">SUM(H43:J43)</f>
        <v>42580219.007488</v>
      </c>
      <c r="Q43" s="501">
        <v>55428.5589787659</v>
      </c>
    </row>
    <row r="44" ht="8.75" customHeight="1" hidden="1">
      <c r="A44" s="400">
        <v>44196</v>
      </c>
      <c r="B44" s="498" cm="1">
        <f t="array" ref="B44">F44/F43-1</f>
        <v>0.0196574975215664</v>
      </c>
      <c r="C44" s="499" cm="1">
        <f t="array" ref="C44">F44-F43</f>
        <v>1117843.981536</v>
      </c>
      <c r="D44" s="500"/>
      <c r="E44" s="501">
        <v>81552.5752306948</v>
      </c>
      <c r="F44" s="500" cm="1">
        <f t="array" ref="F44">SUM(G44:K44)</f>
        <v>57983880.989024</v>
      </c>
      <c r="G44" s="502"/>
      <c r="H44" s="502">
        <v>13490786</v>
      </c>
      <c r="I44" s="502">
        <v>5210367.98902395</v>
      </c>
      <c r="J44" s="502">
        <v>24996909</v>
      </c>
      <c r="K44" s="502">
        <v>14285818</v>
      </c>
      <c r="L44" s="502"/>
      <c r="M44" s="500"/>
      <c r="N44" s="503" cm="1">
        <f t="array" ref="N44">SUM(H44:K44)</f>
        <v>57983880.989024</v>
      </c>
      <c r="O44" s="499" cm="1">
        <f t="array" ref="O44">N44-N43</f>
        <v>1117843.981536</v>
      </c>
      <c r="P44" s="500" cm="1">
        <f t="array" ref="P44">SUM(H44:J44)</f>
        <v>43698062.989024</v>
      </c>
      <c r="Q44" s="501">
        <v>61460.0042039719</v>
      </c>
    </row>
    <row r="45" ht="8.75" customHeight="1" hidden="1">
      <c r="A45" s="400">
        <v>44225</v>
      </c>
      <c r="B45" s="498" cm="1">
        <f t="array" ref="B45">F45/F44-1</f>
        <v>0.0474887900947323</v>
      </c>
      <c r="C45" s="499" cm="1">
        <f t="array" ref="C45">F45-F44</f>
        <v>2753584.3531657</v>
      </c>
      <c r="D45" s="500"/>
      <c r="E45" s="501">
        <v>82579.830512834407</v>
      </c>
      <c r="F45" s="500" cm="1">
        <f t="array" ref="F45">SUM(G45:K45)</f>
        <v>60737465.3421897</v>
      </c>
      <c r="G45" s="502"/>
      <c r="H45" s="502">
        <v>14079388</v>
      </c>
      <c r="I45" s="502">
        <v>5366295.34218973</v>
      </c>
      <c r="J45" s="502">
        <v>26605964</v>
      </c>
      <c r="K45" s="502">
        <v>14685818</v>
      </c>
      <c r="L45" s="502"/>
      <c r="M45" s="500"/>
      <c r="N45" s="503" cm="1">
        <f t="array" ref="N45">SUM(H45:K45)</f>
        <v>60737465.3421897</v>
      </c>
      <c r="O45" s="499" cm="1">
        <f t="array" ref="O45">N45-N44</f>
        <v>2753584.3531657</v>
      </c>
      <c r="P45" s="500" cm="1">
        <f t="array" ref="P45">SUM(H45:J45)</f>
        <v>46051647.3421897</v>
      </c>
      <c r="Q45" s="501">
        <v>62612.7088269065</v>
      </c>
    </row>
    <row r="46" ht="8.75" customHeight="1" hidden="1">
      <c r="A46" s="400">
        <v>44253</v>
      </c>
      <c r="B46" s="498" cm="1">
        <f t="array" ref="B46">F46/F45-1</f>
        <v>0.0085989656875871</v>
      </c>
      <c r="C46" s="499" cm="1">
        <f t="array" ref="C46">F46-F45</f>
        <v>522279.3804285</v>
      </c>
      <c r="D46" s="500"/>
      <c r="E46" s="501">
        <v>85618.0918555111</v>
      </c>
      <c r="F46" s="500" cm="1">
        <f t="array" ref="F46">SUM(G46:K46)</f>
        <v>61259744.7226182</v>
      </c>
      <c r="G46" s="502"/>
      <c r="H46" s="502">
        <v>13907650</v>
      </c>
      <c r="I46" s="502">
        <v>5389762.72261818</v>
      </c>
      <c r="J46" s="502">
        <v>26276514</v>
      </c>
      <c r="K46" s="502">
        <v>15685818</v>
      </c>
      <c r="L46" s="502"/>
      <c r="M46" s="500"/>
      <c r="N46" s="503" cm="1">
        <f t="array" ref="N46">SUM(H46:K46)</f>
        <v>61259744.7226182</v>
      </c>
      <c r="O46" s="499" cm="1">
        <f t="array" ref="O46">N46-N45</f>
        <v>522279.3804285</v>
      </c>
      <c r="P46" s="500" cm="1">
        <f t="array" ref="P46">SUM(H46:J46)</f>
        <v>45573926.7226182</v>
      </c>
      <c r="Q46" s="501">
        <v>63695.2155452386</v>
      </c>
    </row>
    <row r="47" ht="8.75" customHeight="1" hidden="1">
      <c r="A47" s="400">
        <v>44286</v>
      </c>
      <c r="B47" s="498" cm="1">
        <f t="array" ref="B47">F47/F46-1</f>
        <v>0.0450551604191379</v>
      </c>
      <c r="C47" s="499" cm="1">
        <f t="array" ref="C47">F47-F46</f>
        <v>2760067.625713</v>
      </c>
      <c r="D47" s="500"/>
      <c r="E47" s="501">
        <v>87842.7721574248</v>
      </c>
      <c r="F47" s="500" cm="1">
        <f t="array" ref="F47">SUM(G47:K47)</f>
        <v>64019812.3483312</v>
      </c>
      <c r="G47" s="502"/>
      <c r="H47" s="502">
        <v>13815520</v>
      </c>
      <c r="I47" s="502">
        <v>6549555.34833119</v>
      </c>
      <c r="J47" s="502">
        <v>26468919</v>
      </c>
      <c r="K47" s="502">
        <v>17185818</v>
      </c>
      <c r="L47" s="502"/>
      <c r="M47" s="500"/>
      <c r="N47" s="503" cm="1">
        <f t="array" ref="N47">SUM(H47:K47)</f>
        <v>64019812.3483312</v>
      </c>
      <c r="O47" s="499" cm="1">
        <f t="array" ref="O47">N47-N46</f>
        <v>2760067.625713</v>
      </c>
      <c r="P47" s="500" cm="1">
        <f t="array" ref="P47">SUM(H47:J47)</f>
        <v>46833994.3483312</v>
      </c>
      <c r="Q47" s="501">
        <v>64261.7924647794</v>
      </c>
    </row>
    <row r="48" ht="8.75" customHeight="1" hidden="1">
      <c r="A48" s="400">
        <v>44316</v>
      </c>
      <c r="B48" s="498" cm="1">
        <f t="array" ref="B48">F48/F47-1</f>
        <v>0.0535465792547713</v>
      </c>
      <c r="C48" s="499" cm="1">
        <f t="array" ref="C48">F48-F47</f>
        <v>3428041.9557855</v>
      </c>
      <c r="D48" s="500"/>
      <c r="E48" s="501">
        <v>95144.3846862981</v>
      </c>
      <c r="F48" s="500" cm="1">
        <f t="array" ref="F48">SUM(G48:K48)</f>
        <v>67447854.3041167</v>
      </c>
      <c r="G48" s="502"/>
      <c r="H48" s="502">
        <v>14686023</v>
      </c>
      <c r="I48" s="502">
        <v>7930245.30411674</v>
      </c>
      <c r="J48" s="502">
        <v>26831586</v>
      </c>
      <c r="K48" s="502">
        <v>18000000</v>
      </c>
      <c r="L48" s="502"/>
      <c r="M48" s="500"/>
      <c r="N48" s="503" cm="1">
        <f t="array" ref="N48">SUM(H48:K48)</f>
        <v>67447854.3041167</v>
      </c>
      <c r="O48" s="499" cm="1">
        <f t="array" ref="O48">N48-N47</f>
        <v>3428041.9557855</v>
      </c>
      <c r="P48" s="500" cm="1">
        <f t="array" ref="P48">SUM(H48:J48)</f>
        <v>49447854.3041167</v>
      </c>
      <c r="Q48" s="501">
        <v>69752.9331416514</v>
      </c>
    </row>
    <row r="49" ht="8.75" customHeight="1" hidden="1">
      <c r="A49" s="400">
        <v>44347</v>
      </c>
      <c r="B49" s="498" cm="1">
        <f t="array" ref="B49">F49/F48-1</f>
        <v>-0.0216094409125813</v>
      </c>
      <c r="C49" s="499" cm="1">
        <f t="array" ref="C49">F49-F48</f>
        <v>-1457510.4222652</v>
      </c>
      <c r="D49" s="500"/>
      <c r="E49" s="501">
        <v>91146.883814712</v>
      </c>
      <c r="F49" s="500" cm="1">
        <f t="array" ref="F49">SUM(G49:K49)</f>
        <v>65990343.8818515</v>
      </c>
      <c r="G49" s="502"/>
      <c r="H49" s="502">
        <v>15436852</v>
      </c>
      <c r="I49" s="502">
        <v>5478561.88185146</v>
      </c>
      <c r="J49" s="502">
        <v>26074930</v>
      </c>
      <c r="K49" s="502">
        <v>19000000</v>
      </c>
      <c r="L49" s="502"/>
      <c r="M49" s="500"/>
      <c r="N49" s="503" cm="1">
        <f t="array" ref="N49">SUM(H49:K49)</f>
        <v>65990343.8818515</v>
      </c>
      <c r="O49" s="499" cm="1">
        <f t="array" ref="O49">N49-N48</f>
        <v>-1457510.4222652</v>
      </c>
      <c r="P49" s="500" cm="1">
        <f t="array" ref="P49">SUM(H49:J49)</f>
        <v>46990343.8818515</v>
      </c>
      <c r="Q49" s="501">
        <v>64903.7898920601</v>
      </c>
    </row>
    <row r="50" ht="8.75" customHeight="1" hidden="1">
      <c r="A50" s="400">
        <v>44377</v>
      </c>
      <c r="B50" s="498" cm="1">
        <f t="array" ref="B50">F50/F49-1</f>
        <v>0.0469461224588557</v>
      </c>
      <c r="C50" s="499" cm="1">
        <f t="array" ref="C50">F50-F49</f>
        <v>3097990.7649794</v>
      </c>
      <c r="D50" s="500"/>
      <c r="E50" s="501">
        <v>95005.960735466</v>
      </c>
      <c r="F50" s="500" cm="1">
        <f t="array" ref="F50">SUM(G50:K50)</f>
        <v>69088334.6468309</v>
      </c>
      <c r="G50" s="502"/>
      <c r="H50" s="502">
        <v>16991759</v>
      </c>
      <c r="I50" s="502">
        <v>4823022.64683086</v>
      </c>
      <c r="J50" s="502">
        <v>27273553</v>
      </c>
      <c r="K50" s="502">
        <v>20000000</v>
      </c>
      <c r="L50" s="502"/>
      <c r="M50" s="500"/>
      <c r="N50" s="503" cm="1">
        <f t="array" ref="N50">SUM(H50:K50)</f>
        <v>69088334.6468309</v>
      </c>
      <c r="O50" s="499" cm="1">
        <f t="array" ref="O50">N50-N49</f>
        <v>3097990.7649794</v>
      </c>
      <c r="P50" s="500" cm="1">
        <f t="array" ref="P50">SUM(H50:J50)</f>
        <v>49088334.6468309</v>
      </c>
      <c r="Q50" s="501">
        <v>67503.210460438495</v>
      </c>
    </row>
    <row r="51" ht="8.75" customHeight="1" hidden="1">
      <c r="A51" s="400">
        <v>44407</v>
      </c>
      <c r="B51" s="498" cm="1">
        <f t="array" ref="B51">F51/F50-1</f>
        <v>0.0415191561329765</v>
      </c>
      <c r="C51" s="499" cm="1">
        <f t="array" ref="C51">F51-F50</f>
        <v>2868489.3531691</v>
      </c>
      <c r="D51" s="500"/>
      <c r="E51" s="501">
        <v>94707.4468925215</v>
      </c>
      <c r="F51" s="500" cm="1">
        <f t="array" ref="F51">SUM(G51:K51)</f>
        <v>71956824</v>
      </c>
      <c r="G51" s="502"/>
      <c r="H51" s="502">
        <v>17935236</v>
      </c>
      <c r="I51" s="502">
        <v>5742654</v>
      </c>
      <c r="J51" s="502">
        <v>27678934</v>
      </c>
      <c r="K51" s="502">
        <v>20600000</v>
      </c>
      <c r="L51" s="502"/>
      <c r="M51" s="500"/>
      <c r="N51" s="503" cm="1">
        <f t="array" ref="N51">SUM(H51:K51)</f>
        <v>71956824</v>
      </c>
      <c r="O51" s="499" cm="1">
        <f t="array" ref="O51">N51-N50</f>
        <v>2868489.3531691</v>
      </c>
      <c r="P51" s="500" cm="1">
        <f t="array" ref="P51">SUM(H51:J51)</f>
        <v>51356824</v>
      </c>
      <c r="Q51" s="501">
        <v>67594.335202295406</v>
      </c>
    </row>
    <row r="52" ht="8.75" customHeight="1" hidden="1">
      <c r="A52" s="400">
        <v>44439</v>
      </c>
      <c r="B52" s="498" cm="1">
        <f t="array" ref="B52">F52/F51-1</f>
        <v>0.0526687364634103</v>
      </c>
      <c r="C52" s="499" cm="1">
        <f t="array" ref="C52">F52-F51</f>
        <v>3789875</v>
      </c>
      <c r="D52" s="500"/>
      <c r="E52" s="501">
        <v>96835.543708931</v>
      </c>
      <c r="F52" s="500" cm="1">
        <f t="array" ref="F52">SUM(G52:K52)</f>
        <v>75746699</v>
      </c>
      <c r="G52" s="502"/>
      <c r="H52" s="502">
        <v>18749937</v>
      </c>
      <c r="I52" s="502">
        <v>7594332</v>
      </c>
      <c r="J52" s="502">
        <v>28802430</v>
      </c>
      <c r="K52" s="502">
        <v>20600000</v>
      </c>
      <c r="L52" s="502"/>
      <c r="M52" s="500"/>
      <c r="N52" s="503" cm="1">
        <f t="array" ref="N52">SUM(H52:K52)</f>
        <v>75746699</v>
      </c>
      <c r="O52" s="499" cm="1">
        <f t="array" ref="O52">N52-N51</f>
        <v>3789875</v>
      </c>
      <c r="P52" s="500" cm="1">
        <f t="array" ref="P52">SUM(H52:J52)</f>
        <v>55146699</v>
      </c>
      <c r="Q52" s="501">
        <v>70500.2416200046</v>
      </c>
    </row>
    <row r="53" ht="8.75" customHeight="1" hidden="1">
      <c r="A53" s="400">
        <v>44469</v>
      </c>
      <c r="B53" s="498" cm="1">
        <f t="array" ref="B53">F53/F52-1</f>
        <v>-0.00308772531460414</v>
      </c>
      <c r="C53" s="499" cm="1">
        <f t="array" ref="C53">F53-F52</f>
        <v>-233885</v>
      </c>
      <c r="D53" s="500"/>
      <c r="E53" s="501">
        <v>93283.278567016707</v>
      </c>
      <c r="F53" s="500" cm="1">
        <f t="array" ref="F53">SUM(G53:K53)</f>
        <v>75512814</v>
      </c>
      <c r="G53" s="502"/>
      <c r="H53" s="502">
        <v>18459742</v>
      </c>
      <c r="I53" s="502">
        <v>7890259</v>
      </c>
      <c r="J53" s="502">
        <v>28562813</v>
      </c>
      <c r="K53" s="502">
        <v>20600000</v>
      </c>
      <c r="L53" s="502"/>
      <c r="M53" s="500"/>
      <c r="N53" s="503" cm="1">
        <f t="array" ref="N53">SUM(H53:K53)</f>
        <v>75512814</v>
      </c>
      <c r="O53" s="499" cm="1">
        <f t="array" ref="O53">N53-N52</f>
        <v>-233885</v>
      </c>
      <c r="P53" s="500" cm="1">
        <f t="array" ref="P53">SUM(H53:J53)</f>
        <v>54912814</v>
      </c>
      <c r="Q53" s="501">
        <v>67835.471278567</v>
      </c>
    </row>
    <row r="54" ht="8.75" customHeight="1" hidden="1">
      <c r="A54" s="400">
        <v>44498</v>
      </c>
      <c r="B54" s="498" cm="1">
        <f t="array" ref="B54">F54/F53-1</f>
        <v>0.07201892913168351</v>
      </c>
      <c r="C54" s="499" cm="1">
        <f t="array" ref="C54">F54-F53</f>
        <v>5438352</v>
      </c>
      <c r="D54" s="500"/>
      <c r="E54" s="501">
        <v>100511.759520232</v>
      </c>
      <c r="F54" s="500" cm="1">
        <f t="array" ref="F54">SUM(G54:K54)</f>
        <v>80951166</v>
      </c>
      <c r="G54" s="502"/>
      <c r="H54" s="502">
        <v>19822509</v>
      </c>
      <c r="I54" s="502">
        <v>10132393</v>
      </c>
      <c r="J54" s="502">
        <v>30396264</v>
      </c>
      <c r="K54" s="502">
        <v>20600000</v>
      </c>
      <c r="L54" s="502"/>
      <c r="M54" s="500"/>
      <c r="N54" s="503" cm="1">
        <f t="array" ref="N54">SUM(H54:K54)</f>
        <v>80951166</v>
      </c>
      <c r="O54" s="499" cm="1">
        <f t="array" ref="O54">N54-N53</f>
        <v>5438352</v>
      </c>
      <c r="P54" s="500" cm="1">
        <f t="array" ref="P54">SUM(H54:J54)</f>
        <v>60351166</v>
      </c>
      <c r="Q54" s="501">
        <v>74934.0890748581</v>
      </c>
    </row>
    <row r="55" ht="8.75" customHeight="1" hidden="1">
      <c r="A55" s="400">
        <v>44530</v>
      </c>
      <c r="B55" s="498" cm="1">
        <f t="array" ref="B55">F55/F54-1</f>
        <v>0.0230282785549994</v>
      </c>
      <c r="C55" s="499" cm="1">
        <f t="array" ref="C55">F55-F54</f>
        <v>1864166</v>
      </c>
      <c r="D55" s="500"/>
      <c r="E55" s="501">
        <v>98180.595139300494</v>
      </c>
      <c r="F55" s="500" cm="1">
        <f t="array" ref="F55">SUM(G55:K55)</f>
        <v>82815332</v>
      </c>
      <c r="G55" s="502"/>
      <c r="H55" s="502">
        <v>20631759</v>
      </c>
      <c r="I55" s="502">
        <v>10582141</v>
      </c>
      <c r="J55" s="502">
        <v>31801432</v>
      </c>
      <c r="K55" s="502">
        <v>19800000</v>
      </c>
      <c r="L55" s="502"/>
      <c r="M55" s="500"/>
      <c r="N55" s="503" cm="1">
        <f t="array" ref="N55">SUM(H55:K55)</f>
        <v>82815332</v>
      </c>
      <c r="O55" s="499" cm="1">
        <f t="array" ref="O55">N55-N54</f>
        <v>1864166</v>
      </c>
      <c r="P55" s="500" cm="1">
        <f t="array" ref="P55">SUM(H55:J55)</f>
        <v>63015332</v>
      </c>
      <c r="Q55" s="501">
        <v>74706.9733254298</v>
      </c>
    </row>
    <row r="56" ht="8.75" customHeight="1" hidden="1">
      <c r="A56" s="400">
        <v>44561</v>
      </c>
      <c r="B56" s="498" cm="1">
        <f t="array" ref="B56">F56/F55-1</f>
        <v>-0.0199131846745479</v>
      </c>
      <c r="C56" s="499" cm="1">
        <f t="array" ref="C56">F56-F55</f>
        <v>-1649117</v>
      </c>
      <c r="D56" s="500"/>
      <c r="E56" s="501">
        <v>95321.4503816794</v>
      </c>
      <c r="F56" s="500" cm="1">
        <f t="array" ref="F56">SUM(G56:K56)</f>
        <v>81166215</v>
      </c>
      <c r="G56" s="502"/>
      <c r="H56" s="502">
        <v>20792432</v>
      </c>
      <c r="I56" s="502">
        <v>8730136</v>
      </c>
      <c r="J56" s="502">
        <v>32643647</v>
      </c>
      <c r="K56" s="502">
        <v>19000000</v>
      </c>
      <c r="L56" s="502"/>
      <c r="M56" s="500"/>
      <c r="N56" s="503" cm="1">
        <f t="array" ref="N56">SUM(H56:K56)</f>
        <v>81166215</v>
      </c>
      <c r="O56" s="499" cm="1">
        <f t="array" ref="O56">N56-N55</f>
        <v>-1649117</v>
      </c>
      <c r="P56" s="500" cm="1">
        <f t="array" ref="P56">SUM(H56:J56)</f>
        <v>62166215</v>
      </c>
      <c r="Q56" s="501">
        <v>73007.8860833823</v>
      </c>
    </row>
    <row r="57" ht="8.75" customHeight="1" hidden="1">
      <c r="A57" s="400">
        <v>44592</v>
      </c>
      <c r="B57" s="498" cm="1">
        <f t="array" ref="B57">F57/F56-1</f>
        <v>-0.123350608378129</v>
      </c>
      <c r="C57" s="499" cm="1">
        <f t="array" ref="C57">F57-F56</f>
        <v>-10011902</v>
      </c>
      <c r="D57" s="500"/>
      <c r="E57" s="501">
        <v>89537.3971829455</v>
      </c>
      <c r="F57" s="500" cm="1">
        <f t="array" ref="F57">SUM(G57:K57)</f>
        <v>71154313</v>
      </c>
      <c r="G57" s="502"/>
      <c r="H57" s="502">
        <v>18067651</v>
      </c>
      <c r="I57" s="502">
        <v>6238387</v>
      </c>
      <c r="J57" s="502">
        <v>28648275</v>
      </c>
      <c r="K57" s="502">
        <v>18200000</v>
      </c>
      <c r="L57" s="502"/>
      <c r="M57" s="500"/>
      <c r="N57" s="503" cm="1">
        <f t="array" ref="N57">SUM(H57:K57)</f>
        <v>71154313</v>
      </c>
      <c r="O57" s="499" cm="1">
        <f t="array" ref="O57">N57-N56</f>
        <v>-10011902</v>
      </c>
      <c r="P57" s="500" cm="1">
        <f t="array" ref="P57">SUM(H57:J57)</f>
        <v>52954313</v>
      </c>
      <c r="Q57" s="501">
        <v>66635.3332036389</v>
      </c>
    </row>
    <row r="58" ht="8.75" customHeight="1" hidden="1">
      <c r="A58" s="400">
        <v>44620</v>
      </c>
      <c r="B58" s="498" cm="1">
        <f t="array" ref="B58">F58/F57-1</f>
        <v>-0.0431492044621385</v>
      </c>
      <c r="C58" s="499" cm="1">
        <f t="array" ref="C58">F58-F57</f>
        <v>-3070252</v>
      </c>
      <c r="D58" s="500"/>
      <c r="E58" s="501">
        <v>86022.9736373254</v>
      </c>
      <c r="F58" s="500" cm="1">
        <f t="array" ref="F58">SUM(G58:K58)</f>
        <v>68084061</v>
      </c>
      <c r="G58" s="502"/>
      <c r="H58" s="502">
        <v>18212076</v>
      </c>
      <c r="I58" s="502">
        <v>6847253</v>
      </c>
      <c r="J58" s="502">
        <v>29824732</v>
      </c>
      <c r="K58" s="502">
        <v>13200000</v>
      </c>
      <c r="L58" s="502"/>
      <c r="M58" s="500"/>
      <c r="N58" s="503" cm="1">
        <f t="array" ref="N58">SUM(H58:K58)</f>
        <v>68084061</v>
      </c>
      <c r="O58" s="499" cm="1">
        <f t="array" ref="O58">N58-N57</f>
        <v>-3070252</v>
      </c>
      <c r="P58" s="500" cm="1">
        <f t="array" ref="P58">SUM(H58:J58)</f>
        <v>54884061</v>
      </c>
      <c r="Q58" s="501">
        <v>69345.0135489473</v>
      </c>
    </row>
    <row r="59" ht="8.75" customHeight="1" hidden="1">
      <c r="A59" s="400">
        <v>44651</v>
      </c>
      <c r="B59" s="498" cm="1">
        <f t="array" ref="B59">F59/F58-1</f>
        <v>-0.0192586338232674</v>
      </c>
      <c r="C59" s="499" cm="1">
        <f t="array" ref="C59">F59-F58</f>
        <v>-1311206</v>
      </c>
      <c r="D59" s="500"/>
      <c r="E59" s="501">
        <v>84669.4330674714</v>
      </c>
      <c r="F59" s="500" cm="1">
        <f t="array" ref="F59">SUM(G59:K59)</f>
        <v>66772855</v>
      </c>
      <c r="G59" s="502"/>
      <c r="H59" s="502">
        <v>20276098</v>
      </c>
      <c r="I59" s="502">
        <v>7437840</v>
      </c>
      <c r="J59" s="502">
        <v>29858917</v>
      </c>
      <c r="K59" s="502">
        <v>9200000</v>
      </c>
      <c r="L59" s="502"/>
      <c r="M59" s="500"/>
      <c r="N59" s="503" cm="1">
        <f t="array" ref="N59">SUM(H59:K59)</f>
        <v>66772855</v>
      </c>
      <c r="O59" s="499" cm="1">
        <f t="array" ref="O59">N59-N58</f>
        <v>-1311206</v>
      </c>
      <c r="P59" s="500" cm="1">
        <f t="array" ref="P59">SUM(H59:J59)</f>
        <v>57572855</v>
      </c>
      <c r="Q59" s="501">
        <v>73003.6328823403</v>
      </c>
    </row>
    <row r="60" ht="8.75" customHeight="1" hidden="1">
      <c r="A60" s="400">
        <v>44680</v>
      </c>
      <c r="B60" s="498" cm="1">
        <f t="array" ref="B60">F60/F59-1</f>
        <v>-0.035314335443647</v>
      </c>
      <c r="C60" s="499" cm="1">
        <f t="array" ref="C60">F60-F59</f>
        <v>-2358039</v>
      </c>
      <c r="D60" s="500"/>
      <c r="E60" s="501">
        <v>75118.4429336101</v>
      </c>
      <c r="F60" s="500" cm="1">
        <f t="array" ref="F60">SUM(G60:K60)</f>
        <v>64414816</v>
      </c>
      <c r="G60" s="502"/>
      <c r="H60" s="502">
        <v>19542857</v>
      </c>
      <c r="I60" s="502">
        <v>6723473</v>
      </c>
      <c r="J60" s="502">
        <v>28948486</v>
      </c>
      <c r="K60" s="502">
        <v>9200000</v>
      </c>
      <c r="L60" s="502"/>
      <c r="M60" s="500"/>
      <c r="N60" s="503" cm="1">
        <f t="array" ref="N60">SUM(H60:K60)</f>
        <v>64414816</v>
      </c>
      <c r="O60" s="499" cm="1">
        <f t="array" ref="O60">N60-N59</f>
        <v>-2358039</v>
      </c>
      <c r="P60" s="500" cm="1">
        <f t="array" ref="P60">SUM(H60:J60)</f>
        <v>55214816</v>
      </c>
      <c r="Q60" s="501">
        <v>64389.7050763256</v>
      </c>
    </row>
    <row r="61" ht="8.75" customHeight="1" hidden="1">
      <c r="A61" s="400">
        <v>44712</v>
      </c>
      <c r="B61" s="498" cm="1">
        <f t="array" ref="B61">F61/F60-1</f>
        <v>-0.0756820449506523</v>
      </c>
      <c r="C61" s="499" cm="1">
        <f t="array" ref="C61">F61-F60</f>
        <v>-4875045</v>
      </c>
      <c r="D61" s="500"/>
      <c r="E61" s="501">
        <v>71735.528138893205</v>
      </c>
      <c r="F61" s="500" cm="1">
        <f t="array" ref="F61">SUM(G61:K61)</f>
        <v>59539771</v>
      </c>
      <c r="G61" s="502"/>
      <c r="H61" s="502">
        <v>19059853</v>
      </c>
      <c r="I61" s="502">
        <v>4904826</v>
      </c>
      <c r="J61" s="502">
        <v>28375092</v>
      </c>
      <c r="K61" s="502">
        <v>7200000</v>
      </c>
      <c r="L61" s="502"/>
      <c r="M61" s="500"/>
      <c r="N61" s="503" cm="1">
        <f t="array" ref="N61">SUM(H61:K61)</f>
        <v>59539771</v>
      </c>
      <c r="O61" s="499" cm="1">
        <f t="array" ref="O61">N61-N60</f>
        <v>-4875045</v>
      </c>
      <c r="P61" s="500" cm="1">
        <f t="array" ref="P61">SUM(H61:J61)</f>
        <v>52339771</v>
      </c>
      <c r="Q61" s="501">
        <v>63060.72482801</v>
      </c>
    </row>
    <row r="62" ht="8.75" customHeight="1" hidden="1">
      <c r="A62" s="400">
        <v>44742</v>
      </c>
      <c r="B62" s="498" cm="1">
        <f t="array" ref="B62">F62/F61-1</f>
        <v>0.0290223151849207</v>
      </c>
      <c r="C62" s="499" cm="1">
        <f t="array" ref="C62">F62-F61</f>
        <v>1727982</v>
      </c>
      <c r="D62" s="500"/>
      <c r="E62" s="501">
        <v>66142.4516895174</v>
      </c>
      <c r="F62" s="500" cm="1">
        <f t="array" ref="F62">SUM(G62:K62)</f>
        <v>61267753</v>
      </c>
      <c r="G62" s="502"/>
      <c r="H62" s="502">
        <v>19707911</v>
      </c>
      <c r="I62" s="502">
        <v>3258118</v>
      </c>
      <c r="J62" s="502">
        <v>29375872</v>
      </c>
      <c r="K62" s="502">
        <v>8925852</v>
      </c>
      <c r="L62" s="502"/>
      <c r="M62" s="500"/>
      <c r="N62" s="503" cm="1">
        <f t="array" ref="N62">SUM(H62:K62)</f>
        <v>61267753</v>
      </c>
      <c r="O62" s="499" cm="1">
        <f t="array" ref="O62">N62-N61</f>
        <v>1727982</v>
      </c>
      <c r="P62" s="500" cm="1">
        <f t="array" ref="P62">SUM(H62:J62)</f>
        <v>52341901</v>
      </c>
      <c r="Q62" s="501">
        <v>56506.4244845083</v>
      </c>
    </row>
    <row r="63" ht="8.75" customHeight="1" hidden="1">
      <c r="A63" s="400">
        <v>44771</v>
      </c>
      <c r="B63" s="498" cm="1">
        <f t="array" ref="B63">F63/F62-1</f>
        <v>0.0466529268667646</v>
      </c>
      <c r="C63" s="499" cm="1">
        <f t="array" ref="C63">F63-F62</f>
        <v>2858320</v>
      </c>
      <c r="D63" s="500"/>
      <c r="E63" s="501">
        <v>70588.4451538334</v>
      </c>
      <c r="F63" s="500" cm="1">
        <f t="array" ref="F63">SUM(G63:K63)</f>
        <v>64126073</v>
      </c>
      <c r="G63" s="502"/>
      <c r="H63" s="502">
        <v>20826478</v>
      </c>
      <c r="I63" s="502">
        <v>4418151</v>
      </c>
      <c r="J63" s="502">
        <v>30855592</v>
      </c>
      <c r="K63" s="502">
        <v>8025852</v>
      </c>
      <c r="L63" s="502"/>
      <c r="M63" s="500"/>
      <c r="N63" s="503" cm="1">
        <f t="array" ref="N63">SUM(H63:K63)</f>
        <v>64126073</v>
      </c>
      <c r="O63" s="499" cm="1">
        <f t="array" ref="O63">N63-N62</f>
        <v>2858320</v>
      </c>
      <c r="P63" s="500" cm="1">
        <f t="array" ref="P63">SUM(H63:J63)</f>
        <v>56100221</v>
      </c>
      <c r="Q63" s="501">
        <v>61753.7795145578</v>
      </c>
    </row>
    <row r="64" ht="8.75" customHeight="1" hidden="1">
      <c r="A64" s="400">
        <v>44804</v>
      </c>
      <c r="B64" s="498" cm="1">
        <f t="array" ref="B64">F64/F63-1</f>
        <v>-0.0601825095386708</v>
      </c>
      <c r="C64" s="499" cm="1">
        <f t="array" ref="C64">F64-F63</f>
        <v>-3859268</v>
      </c>
      <c r="D64" s="500"/>
      <c r="E64" s="501">
        <v>67719.3156918928</v>
      </c>
      <c r="F64" s="500" cm="1">
        <f t="array" ref="F64">SUM(G64:K64)</f>
        <v>60266805</v>
      </c>
      <c r="G64" s="502"/>
      <c r="H64" s="502">
        <v>19636133</v>
      </c>
      <c r="I64" s="502">
        <v>3909076</v>
      </c>
      <c r="J64" s="502">
        <v>29595744</v>
      </c>
      <c r="K64" s="502">
        <v>7125852</v>
      </c>
      <c r="L64" s="502"/>
      <c r="M64" s="500"/>
      <c r="N64" s="503" cm="1">
        <f t="array" ref="N64">SUM(H64:K64)</f>
        <v>60266805</v>
      </c>
      <c r="O64" s="499" cm="1">
        <f t="array" ref="O64">N64-N63</f>
        <v>-3859268</v>
      </c>
      <c r="P64" s="500" cm="1">
        <f t="array" ref="P64">SUM(H64:J64)</f>
        <v>53140953</v>
      </c>
      <c r="Q64" s="501">
        <v>59712.2905781224</v>
      </c>
    </row>
    <row r="65" ht="8.75" customHeight="1" hidden="1">
      <c r="A65" s="400">
        <v>44834</v>
      </c>
      <c r="B65" s="498" cm="1">
        <f t="array" ref="B65">F65/F64-1</f>
        <v>-0.0449414233921974</v>
      </c>
      <c r="C65" s="499" cm="1">
        <f t="array" ref="C65">F65-F64</f>
        <v>-2708476</v>
      </c>
      <c r="D65" s="500"/>
      <c r="E65" s="501">
        <v>59754.2995068778</v>
      </c>
      <c r="F65" s="500" cm="1">
        <f t="array" ref="F65">SUM(G65:K65)</f>
        <v>57558329</v>
      </c>
      <c r="G65" s="502"/>
      <c r="H65" s="502">
        <v>18911493</v>
      </c>
      <c r="I65" s="502">
        <v>3770406</v>
      </c>
      <c r="J65" s="502">
        <v>28650578</v>
      </c>
      <c r="K65" s="502">
        <v>6225852</v>
      </c>
      <c r="L65" s="502"/>
      <c r="M65" s="500"/>
      <c r="N65" s="503" cm="1">
        <f t="array" ref="N65">SUM(H65:K65)</f>
        <v>57558329</v>
      </c>
      <c r="O65" s="499" cm="1">
        <f t="array" ref="O65">N65-N64</f>
        <v>-2708476</v>
      </c>
      <c r="P65" s="500" cm="1">
        <f t="array" ref="P65">SUM(H65:J65)</f>
        <v>51332477</v>
      </c>
      <c r="Q65" s="501">
        <v>53290.918245523</v>
      </c>
    </row>
    <row r="66" ht="8.75" customHeight="1" hidden="1">
      <c r="A66" s="400">
        <v>44865</v>
      </c>
      <c r="B66" s="498" cm="1">
        <f t="array" ref="B66">F66/F65-1</f>
        <v>0.0336544342696259</v>
      </c>
      <c r="C66" s="499" cm="1">
        <f t="array" ref="C66">F66-F65</f>
        <v>1937093</v>
      </c>
      <c r="D66" s="500"/>
      <c r="E66" s="501">
        <v>63098.3370452858</v>
      </c>
      <c r="F66" s="500" cm="1">
        <f t="array" ref="F66">SUM(G66:K66)</f>
        <v>59495422</v>
      </c>
      <c r="G66" s="502"/>
      <c r="H66" s="502">
        <v>19413118</v>
      </c>
      <c r="I66" s="502">
        <v>4210664</v>
      </c>
      <c r="J66" s="502">
        <v>29645788</v>
      </c>
      <c r="K66" s="502">
        <v>6225852</v>
      </c>
      <c r="L66" s="502"/>
      <c r="M66" s="500"/>
      <c r="N66" s="503" cm="1">
        <f t="array" ref="N66">SUM(H66:K66)</f>
        <v>59495422</v>
      </c>
      <c r="O66" s="499" cm="1">
        <f t="array" ref="O66">N66-N65</f>
        <v>1937093</v>
      </c>
      <c r="P66" s="500" cm="1">
        <f t="array" ref="P66">SUM(H66:J66)</f>
        <v>53269570</v>
      </c>
      <c r="Q66" s="501">
        <v>56495.4608123873</v>
      </c>
    </row>
    <row r="67" ht="8.75" customHeight="1" hidden="1">
      <c r="A67" s="400">
        <v>44895</v>
      </c>
      <c r="B67" s="498" cm="1">
        <f t="array" ref="B67">F67/F66-1</f>
        <v>0.00245874380048939</v>
      </c>
      <c r="C67" s="499" cm="1">
        <f t="array" ref="C67">F67-F66</f>
        <v>146284</v>
      </c>
      <c r="D67" s="500"/>
      <c r="E67" s="501">
        <v>66264.8808399533</v>
      </c>
      <c r="F67" s="500" cm="1">
        <f t="array" ref="F67">SUM(G67:K67)</f>
        <v>59641706</v>
      </c>
      <c r="G67" s="502"/>
      <c r="H67" s="502">
        <v>19600732</v>
      </c>
      <c r="I67" s="502">
        <v>3259478</v>
      </c>
      <c r="J67" s="502">
        <v>30555644</v>
      </c>
      <c r="K67" s="502">
        <v>6225852</v>
      </c>
      <c r="L67" s="502"/>
      <c r="M67" s="500"/>
      <c r="N67" s="503" cm="1">
        <f t="array" ref="N67">SUM(H67:K67)</f>
        <v>59641706</v>
      </c>
      <c r="O67" s="499" cm="1">
        <f t="array" ref="O67">N67-N66</f>
        <v>146284</v>
      </c>
      <c r="P67" s="500" cm="1">
        <f t="array" ref="P67">SUM(H67:J67)</f>
        <v>53415854</v>
      </c>
      <c r="Q67" s="501">
        <v>59347.6517971224</v>
      </c>
    </row>
    <row r="68" ht="8.75" customHeight="1" hidden="1">
      <c r="A68" s="400">
        <v>44925</v>
      </c>
      <c r="B68" s="498" cm="1">
        <f t="array" ref="B68">F68/F67-1</f>
        <v>-0.0323053133322511</v>
      </c>
      <c r="C68" s="499" cm="1">
        <f t="array" ref="C68">F68-F67</f>
        <v>-1926744</v>
      </c>
      <c r="D68" s="500"/>
      <c r="E68" s="501">
        <v>67424.0210280374</v>
      </c>
      <c r="F68" s="500" cm="1">
        <f t="array" ref="F68">SUM(G68:K68)</f>
        <v>57714962</v>
      </c>
      <c r="G68" s="502"/>
      <c r="H68" s="502">
        <v>18905117</v>
      </c>
      <c r="I68" s="502">
        <v>2901477</v>
      </c>
      <c r="J68" s="502">
        <v>28908368</v>
      </c>
      <c r="K68" s="502">
        <v>7000000</v>
      </c>
      <c r="L68" s="502"/>
      <c r="M68" s="500"/>
      <c r="N68" s="503" cm="1">
        <f t="array" ref="N68">SUM(H68:K68)</f>
        <v>57714962</v>
      </c>
      <c r="O68" s="499" cm="1">
        <f t="array" ref="O68">N68-N67</f>
        <v>-1926744</v>
      </c>
      <c r="P68" s="500" cm="1">
        <f t="array" ref="P68">SUM(H68:J68)</f>
        <v>50714962</v>
      </c>
      <c r="Q68" s="501">
        <v>59246.4509345794</v>
      </c>
    </row>
    <row r="69" ht="8.75" customHeight="1" hidden="1">
      <c r="A69" s="400">
        <v>44957</v>
      </c>
      <c r="B69" s="498" cm="1">
        <f t="array" ref="B69">F69/F68-1</f>
        <v>0.0556780059908902</v>
      </c>
      <c r="C69" s="499" cm="1">
        <f t="array" ref="C69">F69-F68</f>
        <v>3213454</v>
      </c>
      <c r="D69" s="500"/>
      <c r="E69" s="501">
        <v>75499.8959107807</v>
      </c>
      <c r="F69" s="500" cm="1">
        <f t="array" ref="F69">SUM(G69:K69)</f>
        <v>60928416</v>
      </c>
      <c r="G69" s="502"/>
      <c r="H69" s="502">
        <v>19423234</v>
      </c>
      <c r="I69" s="502">
        <v>3697443</v>
      </c>
      <c r="J69" s="502">
        <v>30207739</v>
      </c>
      <c r="K69" s="502">
        <v>7600000</v>
      </c>
      <c r="L69" s="502"/>
      <c r="M69" s="500"/>
      <c r="N69" s="503" cm="1">
        <f t="array" ref="N69">SUM(H69:K69)</f>
        <v>60928416</v>
      </c>
      <c r="O69" s="499" cm="1">
        <f t="array" ref="O69">N69-N68</f>
        <v>3213454</v>
      </c>
      <c r="P69" s="500" cm="1">
        <f t="array" ref="P69">SUM(H69:J69)</f>
        <v>53328416</v>
      </c>
      <c r="Q69" s="501">
        <v>66082.2998760843</v>
      </c>
    </row>
    <row r="70" ht="8.75" customHeight="1" hidden="1">
      <c r="A70" s="400">
        <v>44985</v>
      </c>
      <c r="B70" s="498" cm="1">
        <f t="array" ref="B70">F70/F69-1</f>
        <v>0.0370762798100643</v>
      </c>
      <c r="C70" s="499" cm="1">
        <f t="array" ref="C70">F70-F69</f>
        <v>2258999</v>
      </c>
      <c r="D70" s="500"/>
      <c r="E70" s="501">
        <v>75842.493458482393</v>
      </c>
      <c r="F70" s="500" cm="1">
        <f t="array" ref="F70">SUM(G70:K70)</f>
        <v>63187415</v>
      </c>
      <c r="G70" s="502"/>
      <c r="H70" s="502">
        <v>19770460</v>
      </c>
      <c r="I70" s="502">
        <v>3906693</v>
      </c>
      <c r="J70" s="502">
        <v>31410262</v>
      </c>
      <c r="K70" s="502">
        <v>8100000</v>
      </c>
      <c r="L70" s="502"/>
      <c r="M70" s="500"/>
      <c r="N70" s="503" cm="1">
        <f t="array" ref="N70">SUM(H70:K70)</f>
        <v>63187415</v>
      </c>
      <c r="O70" s="499" cm="1">
        <f t="array" ref="O70">N70-N69</f>
        <v>2258999</v>
      </c>
      <c r="P70" s="500" cm="1">
        <f t="array" ref="P70">SUM(H70:J70)</f>
        <v>55087415</v>
      </c>
      <c r="Q70" s="501">
        <v>66120.237895191705</v>
      </c>
    </row>
    <row r="71" ht="8.75" customHeight="1" hidden="1">
      <c r="A71" s="400">
        <v>45016</v>
      </c>
      <c r="B71" s="498" cm="1">
        <f t="array" ref="B71">F71/F70-1</f>
        <v>0.0196231480588342</v>
      </c>
      <c r="C71" s="499" cm="1">
        <f t="array" ref="C71">F71-F70</f>
        <v>1239936</v>
      </c>
      <c r="D71" s="500"/>
      <c r="E71" s="501">
        <v>81675.6053345503</v>
      </c>
      <c r="F71" s="500" cm="1">
        <f t="array" ref="F71">SUM(G71:K71)</f>
        <v>64427351</v>
      </c>
      <c r="G71" s="502"/>
      <c r="H71" s="502">
        <v>19696814</v>
      </c>
      <c r="I71" s="502">
        <v>4459288</v>
      </c>
      <c r="J71" s="502">
        <v>31571249</v>
      </c>
      <c r="K71" s="502">
        <v>8700000</v>
      </c>
      <c r="L71" s="502"/>
      <c r="M71" s="500"/>
      <c r="N71" s="503" cm="1">
        <f t="array" ref="N71">SUM(H71:K71)</f>
        <v>64427351</v>
      </c>
      <c r="O71" s="499" cm="1">
        <f t="array" ref="O71">N71-N70</f>
        <v>1239936</v>
      </c>
      <c r="P71" s="500" cm="1">
        <f t="array" ref="P71">SUM(H71:J71)</f>
        <v>55727351</v>
      </c>
      <c r="Q71" s="501">
        <v>70646.4732131538</v>
      </c>
    </row>
    <row r="72" ht="8.75" customHeight="1" hidden="1">
      <c r="A72" s="400">
        <v>45044</v>
      </c>
      <c r="B72" s="498" cm="1">
        <f t="array" ref="B72">F72/F71-1</f>
        <v>0.0207983097116627</v>
      </c>
      <c r="C72" s="499" cm="1">
        <f t="array" ref="C72">F72-F71</f>
        <v>1339980</v>
      </c>
      <c r="D72" s="500"/>
      <c r="E72" s="501">
        <v>81916.3129312707</v>
      </c>
      <c r="F72" s="500" cm="1">
        <f t="array" ref="F72">SUM(G72:K72)</f>
        <v>65767331</v>
      </c>
      <c r="G72" s="502"/>
      <c r="H72" s="502">
        <v>19754277</v>
      </c>
      <c r="I72" s="502">
        <v>4585803</v>
      </c>
      <c r="J72" s="502">
        <v>32727251</v>
      </c>
      <c r="K72" s="502">
        <v>8700000</v>
      </c>
      <c r="L72" s="502"/>
      <c r="M72" s="500"/>
      <c r="N72" s="503" cm="1">
        <f t="array" ref="N72">SUM(H72:K72)</f>
        <v>65767331</v>
      </c>
      <c r="O72" s="499" cm="1">
        <f t="array" ref="O72">N72-N71</f>
        <v>1339980</v>
      </c>
      <c r="P72" s="500" cm="1">
        <f t="array" ref="P72">SUM(H72:J72)</f>
        <v>57067331</v>
      </c>
      <c r="Q72" s="501">
        <v>71080.0525620905</v>
      </c>
    </row>
    <row r="73" ht="8.75" customHeight="1" hidden="1">
      <c r="A73" s="400">
        <v>45077</v>
      </c>
      <c r="B73" s="498" cm="1">
        <f t="array" ref="B73">F73/F72-1</f>
        <v>0.0538201101698957</v>
      </c>
      <c r="C73" s="499" cm="1">
        <f t="array" ref="C73">F73-F72</f>
        <v>3539605</v>
      </c>
      <c r="D73" s="500"/>
      <c r="E73" s="501">
        <v>86165.147013116206</v>
      </c>
      <c r="F73" s="500" cm="1">
        <f t="array" ref="F73">SUM(G73:K73)</f>
        <v>69306936</v>
      </c>
      <c r="G73" s="502"/>
      <c r="H73" s="502">
        <v>20900676</v>
      </c>
      <c r="I73" s="502">
        <v>4373034</v>
      </c>
      <c r="J73" s="502">
        <v>34805276</v>
      </c>
      <c r="K73" s="502">
        <v>9227950</v>
      </c>
      <c r="L73" s="502"/>
      <c r="M73" s="500"/>
      <c r="N73" s="503" cm="1">
        <f t="array" ref="N73">SUM(H73:K73)</f>
        <v>69306936</v>
      </c>
      <c r="O73" s="499" cm="1">
        <f t="array" ref="O73">N73-N72</f>
        <v>3539605</v>
      </c>
      <c r="P73" s="500" cm="1">
        <f t="array" ref="P73">SUM(H73:J73)</f>
        <v>60078986</v>
      </c>
      <c r="Q73" s="501">
        <v>74692.5915335364</v>
      </c>
    </row>
    <row r="74" ht="8.75" customHeight="1" hidden="1">
      <c r="A74" s="400">
        <v>45107</v>
      </c>
      <c r="B74" s="498" cm="1">
        <f t="array" ref="B74">F74/F73-1</f>
        <v>0.0569298864979401</v>
      </c>
      <c r="C74" s="499" cm="1">
        <f t="array" ref="C74">F74-F73</f>
        <v>3945636</v>
      </c>
      <c r="D74" s="500"/>
      <c r="E74" s="501">
        <v>91240.6701127234</v>
      </c>
      <c r="F74" s="500" cm="1">
        <f t="array" ref="F74">SUM(G74:K74)</f>
        <v>73252572</v>
      </c>
      <c r="G74" s="502"/>
      <c r="H74" s="502">
        <v>21905792</v>
      </c>
      <c r="I74" s="502">
        <v>4651210</v>
      </c>
      <c r="J74" s="502">
        <v>36655505</v>
      </c>
      <c r="K74" s="502">
        <v>10040065</v>
      </c>
      <c r="L74" s="502"/>
      <c r="M74" s="500"/>
      <c r="N74" s="503" cm="1">
        <f t="array" ref="N74">SUM(H74:K74)</f>
        <v>73252572</v>
      </c>
      <c r="O74" s="499" cm="1">
        <f t="array" ref="O74">N74-N73</f>
        <v>3945636</v>
      </c>
      <c r="P74" s="500" cm="1">
        <f t="array" ref="P74">SUM(H74:J74)</f>
        <v>63212507</v>
      </c>
      <c r="Q74" s="501">
        <v>78735.1398144112</v>
      </c>
    </row>
    <row r="75" ht="8.75" customHeight="1" hidden="1">
      <c r="A75" s="400">
        <v>45138</v>
      </c>
      <c r="B75" s="498" cm="1">
        <f t="array" ref="B75">F75/F74-1</f>
        <v>0.07885177055626121</v>
      </c>
      <c r="C75" s="499" cm="1">
        <f t="array" ref="C75">F75-F74</f>
        <v>5776095</v>
      </c>
      <c r="D75" s="500"/>
      <c r="E75" s="501">
        <v>95469.4632696698</v>
      </c>
      <c r="F75" s="500" cm="1">
        <f t="array" ref="F75">SUM(G75:K75)</f>
        <v>79028667</v>
      </c>
      <c r="G75" s="502"/>
      <c r="H75" s="502">
        <v>23745157</v>
      </c>
      <c r="I75" s="502">
        <v>4620601</v>
      </c>
      <c r="J75" s="502">
        <v>40562909</v>
      </c>
      <c r="K75" s="502">
        <v>10100000</v>
      </c>
      <c r="L75" s="502"/>
      <c r="M75" s="500"/>
      <c r="N75" s="503" cm="1">
        <f t="array" ref="N75">SUM(H75:K75)</f>
        <v>79028667</v>
      </c>
      <c r="O75" s="499" cm="1">
        <f t="array" ref="O75">N75-N74</f>
        <v>5776095</v>
      </c>
      <c r="P75" s="500" cm="1">
        <f t="array" ref="P75">SUM(H75:J75)</f>
        <v>68928667</v>
      </c>
      <c r="Q75" s="501">
        <v>83268.3011391778</v>
      </c>
    </row>
    <row r="76" ht="8.75" customHeight="1" hidden="1">
      <c r="A76" s="400">
        <v>45169</v>
      </c>
      <c r="B76" s="498" cm="1">
        <f t="array" ref="B76">F76/F75-1</f>
        <v>-0.00644634244301501</v>
      </c>
      <c r="C76" s="499" cm="1">
        <f t="array" ref="C76">F76-F75</f>
        <v>-509445.850297</v>
      </c>
      <c r="D76" s="500"/>
      <c r="E76" s="501">
        <v>92179.2666788404</v>
      </c>
      <c r="F76" s="500" cm="1">
        <f t="array" ref="F76">SUM(G76:K76)</f>
        <v>78519221.149703</v>
      </c>
      <c r="G76" s="502"/>
      <c r="H76" s="502">
        <v>23329779.149703</v>
      </c>
      <c r="I76" s="502">
        <v>4239791</v>
      </c>
      <c r="J76" s="502">
        <v>40849651</v>
      </c>
      <c r="K76" s="502">
        <v>10100000</v>
      </c>
      <c r="L76" s="502"/>
      <c r="M76" s="500"/>
      <c r="N76" s="503" cm="1">
        <f t="array" ref="N76">SUM(H76:K76)</f>
        <v>78519221.149703</v>
      </c>
      <c r="O76" s="499" cm="1">
        <f t="array" ref="O76">N76-N75</f>
        <v>-509445.850297</v>
      </c>
      <c r="P76" s="500" cm="1">
        <f t="array" ref="P76">SUM(H76:J76)</f>
        <v>68419221.149703</v>
      </c>
      <c r="Q76" s="501">
        <v>80322.162395021194</v>
      </c>
    </row>
    <row r="77" ht="8.75" customHeight="1" hidden="1">
      <c r="A77" s="400">
        <v>45198</v>
      </c>
      <c r="B77" s="504" cm="1">
        <f t="array" ref="B77">F77/F76-1</f>
        <v>0.00849203824396343</v>
      </c>
      <c r="C77" s="505" cm="1">
        <f t="array" ref="C77">F77-F76</f>
        <v>666788.2288895</v>
      </c>
      <c r="D77" s="503"/>
      <c r="E77" s="501">
        <v>87508.0222992513</v>
      </c>
      <c r="F77" s="503" cm="1">
        <f t="array" ref="F77">SUM(G77:K77)</f>
        <v>79186009.37859251</v>
      </c>
      <c r="G77" s="506"/>
      <c r="H77" s="506">
        <v>23157780.3785925</v>
      </c>
      <c r="I77" s="506">
        <v>4680294</v>
      </c>
      <c r="J77" s="506">
        <v>41247935</v>
      </c>
      <c r="K77" s="506">
        <v>10100000</v>
      </c>
      <c r="L77" s="506"/>
      <c r="M77" s="503"/>
      <c r="N77" s="503" cm="1">
        <f t="array" ref="N77">SUM(H77:K77)</f>
        <v>79186009.37859251</v>
      </c>
      <c r="O77" s="505" cm="1">
        <f t="array" ref="O77">N77-N76</f>
        <v>666788.2288895</v>
      </c>
      <c r="P77" s="503" cm="1">
        <f t="array" ref="P77">SUM(H77:J77)</f>
        <v>69086009.37859251</v>
      </c>
      <c r="Q77" s="501">
        <v>76346.5679949083</v>
      </c>
    </row>
    <row r="78" ht="8.75" customHeight="1" hidden="1">
      <c r="A78" s="400">
        <v>45230</v>
      </c>
      <c r="B78" s="504" cm="1">
        <f t="array" ref="B78">F78/F77-1</f>
        <v>-0.00975524404029552</v>
      </c>
      <c r="C78" s="505" cm="1">
        <f t="array" ref="C78">F78-F77</f>
        <v>-772478.8460653001</v>
      </c>
      <c r="D78" s="503"/>
      <c r="E78" s="501">
        <v>86459.4466365219</v>
      </c>
      <c r="F78" s="503" cm="1">
        <f t="array" ref="F78">SUM(G78:K78)</f>
        <v>78413530.53252719</v>
      </c>
      <c r="G78" s="506"/>
      <c r="H78" s="506">
        <v>22298128.5325272</v>
      </c>
      <c r="I78" s="506">
        <v>5281470</v>
      </c>
      <c r="J78" s="506">
        <v>40733932</v>
      </c>
      <c r="K78" s="506">
        <v>10100000</v>
      </c>
      <c r="L78" s="506"/>
      <c r="M78" s="503"/>
      <c r="N78" s="503" cm="1">
        <f t="array" ref="N78">SUM(H78:K78)</f>
        <v>78413530.53252719</v>
      </c>
      <c r="O78" s="505" cm="1">
        <f t="array" ref="O78">N78-N77</f>
        <v>-772478.8460653001</v>
      </c>
      <c r="P78" s="503" cm="1">
        <f t="array" ref="P78">SUM(H78:J78)</f>
        <v>68313530.53252719</v>
      </c>
      <c r="Q78" s="501">
        <v>75323.0980357325</v>
      </c>
    </row>
    <row r="79" ht="8.75" customHeight="1" hidden="1">
      <c r="A79" s="400">
        <v>45260</v>
      </c>
      <c r="B79" s="504" cm="1">
        <f t="array" ref="B79">F79/F78-1</f>
        <v>0.0558312370544515</v>
      </c>
      <c r="C79" s="505" cm="1">
        <f t="array" ref="C79">F79-F78</f>
        <v>4377924.411438</v>
      </c>
      <c r="D79" s="503"/>
      <c r="E79" s="501">
        <v>95255.6577621414</v>
      </c>
      <c r="F79" s="503" cm="1">
        <f t="array" ref="F79">SUM(G79:K79)</f>
        <v>82791454.9439652</v>
      </c>
      <c r="G79" s="506"/>
      <c r="H79" s="506">
        <v>23791012.9439652</v>
      </c>
      <c r="I79" s="506">
        <v>5701123</v>
      </c>
      <c r="J79" s="506">
        <v>43199319</v>
      </c>
      <c r="K79" s="506">
        <v>10100000</v>
      </c>
      <c r="L79" s="506"/>
      <c r="M79" s="503"/>
      <c r="N79" s="503" cm="1">
        <f t="array" ref="N79">SUM(H79:K79)</f>
        <v>82791454.9439652</v>
      </c>
      <c r="O79" s="505" cm="1">
        <f t="array" ref="O79">N79-N78</f>
        <v>4377924.411438</v>
      </c>
      <c r="P79" s="503" cm="1">
        <f t="array" ref="P79">SUM(H79:J79)</f>
        <v>72691454.9439652</v>
      </c>
      <c r="Q79" s="501">
        <v>83635.1089500836</v>
      </c>
    </row>
    <row r="80" ht="8.75" customHeight="1" hidden="1">
      <c r="A80" s="400">
        <v>45289</v>
      </c>
      <c r="B80" s="504" cm="1">
        <f t="array" ref="B80">F80/F79-1</f>
        <v>0.0694049309034367</v>
      </c>
      <c r="C80" s="505" cm="1">
        <f t="array" ref="C80">F80-F79</f>
        <v>5746135.2097809</v>
      </c>
      <c r="D80" s="503"/>
      <c r="E80" s="501">
        <v>100083.186554696</v>
      </c>
      <c r="F80" s="503" cm="1">
        <f t="array" ref="F80">SUM(G80:K80)</f>
        <v>88537590.1537461</v>
      </c>
      <c r="G80" s="506"/>
      <c r="H80" s="506">
        <v>25673178.1537461</v>
      </c>
      <c r="I80" s="506">
        <v>5935614</v>
      </c>
      <c r="J80" s="506">
        <v>46828798</v>
      </c>
      <c r="K80" s="506">
        <v>10100000</v>
      </c>
      <c r="L80" s="506"/>
      <c r="M80" s="503"/>
      <c r="N80" s="503" cm="1">
        <f t="array" ref="N80">SUM(H80:K80)</f>
        <v>88537590.1537461</v>
      </c>
      <c r="O80" s="505" cm="1">
        <f t="array" ref="O80">N80-N79</f>
        <v>5746135.2097809</v>
      </c>
      <c r="P80" s="503" cm="1">
        <f t="array" ref="P80">SUM(H80:J80)</f>
        <v>78437590.1537461</v>
      </c>
      <c r="Q80" s="501">
        <v>88666.1129428311</v>
      </c>
    </row>
    <row r="81" ht="8.75" customHeight="1" hidden="1">
      <c r="A81" s="400">
        <v>45322</v>
      </c>
      <c r="B81" s="504" cm="1">
        <f t="array" ref="B81">F81/F80-1</f>
        <v>0.386787982220735</v>
      </c>
      <c r="C81" s="505" cm="1">
        <f t="array" ref="C81">F81-F80</f>
        <v>34245275.8462539</v>
      </c>
      <c r="D81" s="503"/>
      <c r="E81" s="501">
        <v>131720.072949633</v>
      </c>
      <c r="F81" s="503" cm="1">
        <f t="array" ref="F81">SUM(G81:K81)</f>
        <v>122782866</v>
      </c>
      <c r="G81" s="506"/>
      <c r="H81" s="506">
        <v>26745235</v>
      </c>
      <c r="I81" s="506">
        <v>6138257</v>
      </c>
      <c r="J81" s="506">
        <v>49785374</v>
      </c>
      <c r="K81" s="506">
        <v>40114000</v>
      </c>
      <c r="L81" s="506"/>
      <c r="M81" s="503"/>
      <c r="N81" s="503" cm="1">
        <f t="array" ref="N81">SUM(H81:K81)</f>
        <v>122782866</v>
      </c>
      <c r="O81" s="505" cm="1">
        <f t="array" ref="O81">N81-N80</f>
        <v>34245275.8462539</v>
      </c>
      <c r="P81" s="503" cm="1">
        <f t="array" ref="P81">SUM(H81:J81)</f>
        <v>82668866</v>
      </c>
      <c r="Q81" s="501">
        <v>88686.2264656976</v>
      </c>
    </row>
    <row r="82" ht="8.75" customHeight="1" hidden="1">
      <c r="A82" s="400">
        <v>45350</v>
      </c>
      <c r="B82" s="504" cm="1">
        <f t="array" ref="B82">F82/F81-1</f>
        <v>0.186848326215158</v>
      </c>
      <c r="C82" s="505" cm="1">
        <f t="array" ref="C82">F82-F81</f>
        <v>22941773</v>
      </c>
      <c r="D82" s="503"/>
      <c r="E82" s="501">
        <v>148550.061163326</v>
      </c>
      <c r="F82" s="503" cm="1">
        <f t="array" ref="F82">SUM(G82:K82)</f>
        <v>145724639</v>
      </c>
      <c r="G82" s="506">
        <v>0</v>
      </c>
      <c r="H82" s="506">
        <v>29143747</v>
      </c>
      <c r="I82" s="506">
        <v>9422555</v>
      </c>
      <c r="J82" s="506">
        <v>54896976</v>
      </c>
      <c r="K82" s="506">
        <v>52261361</v>
      </c>
      <c r="L82" s="506"/>
      <c r="M82" s="503"/>
      <c r="N82" s="503" cm="1">
        <f t="array" ref="N82">SUM(H82:K82)</f>
        <v>145724639</v>
      </c>
      <c r="O82" s="505" cm="1">
        <f t="array" ref="O82">N82-N81</f>
        <v>22941773</v>
      </c>
      <c r="P82" s="503" cm="1">
        <f t="array" ref="P82">SUM(H82:J82)</f>
        <v>93463278</v>
      </c>
      <c r="Q82" s="501">
        <v>95275.4164203144</v>
      </c>
    </row>
    <row r="83" ht="8.75" customHeight="1" hidden="1">
      <c r="A83" s="400">
        <v>45380</v>
      </c>
      <c r="B83" s="504" cm="1">
        <f t="array" ref="B83">F83/F82-1</f>
        <v>0.0686668436351385</v>
      </c>
      <c r="C83" s="505" cm="1">
        <f t="array" ref="C83">F83-F82</f>
        <v>10006451</v>
      </c>
      <c r="D83" s="503"/>
      <c r="E83" s="501">
        <v>158834.720437346</v>
      </c>
      <c r="F83" s="503" cm="1">
        <f t="array" ref="F83">SUM(G83:K83)</f>
        <v>155731090</v>
      </c>
      <c r="G83" s="506">
        <v>0</v>
      </c>
      <c r="H83" s="506">
        <v>30214405</v>
      </c>
      <c r="I83" s="506">
        <v>10238676</v>
      </c>
      <c r="J83" s="506">
        <v>57378009</v>
      </c>
      <c r="K83" s="506">
        <v>57900000</v>
      </c>
      <c r="L83" s="506"/>
      <c r="M83" s="503"/>
      <c r="N83" s="503" cm="1">
        <f t="array" ref="N83">SUM(H83:K83)</f>
        <v>155731090</v>
      </c>
      <c r="O83" s="505" cm="1">
        <f t="array" ref="O83">N83-N82</f>
        <v>10006451</v>
      </c>
      <c r="P83" s="503" cm="1">
        <f t="array" ref="P83">SUM(H83:J83)</f>
        <v>97831090</v>
      </c>
      <c r="Q83" s="501">
        <v>99780.806968157805</v>
      </c>
    </row>
    <row r="84" ht="8.75" customHeight="1" hidden="1">
      <c r="A84" s="400">
        <v>45412</v>
      </c>
      <c r="B84" s="504" cm="1">
        <f t="array" ref="B84">F84/F83-1</f>
        <v>-0.0607386232254587</v>
      </c>
      <c r="C84" s="505" cm="1">
        <f t="array" ref="C84">F84-F83</f>
        <v>-9458892</v>
      </c>
      <c r="D84" s="503"/>
      <c r="E84" s="501">
        <v>155354.204813391</v>
      </c>
      <c r="F84" s="503" cm="1">
        <f t="array" ref="F84">SUM(G84:K84)</f>
        <v>146272198</v>
      </c>
      <c r="G84" s="506">
        <v>54029871</v>
      </c>
      <c r="H84" s="506">
        <v>28198430</v>
      </c>
      <c r="I84" s="506">
        <v>8998809</v>
      </c>
      <c r="J84" s="506">
        <v>55045088</v>
      </c>
      <c r="K84" s="506">
        <v>0</v>
      </c>
      <c r="L84" s="506" cm="1">
        <f t="array" ref="L84">'depto - dividendos'!M5</f>
        <v>146632532</v>
      </c>
      <c r="M84" s="503" cm="1">
        <f t="array" ref="M84">-L84</f>
        <v>-146632532</v>
      </c>
      <c r="N84" s="503" cm="1">
        <f t="array" ref="N84">SUM(H84:K84)</f>
        <v>92242327</v>
      </c>
      <c r="O84" s="505" cm="1">
        <f t="array" ref="O84">N84-N83</f>
        <v>-63488763</v>
      </c>
      <c r="P84" s="503" cm="1">
        <f t="array" ref="P84">SUM(H84:J84)</f>
        <v>92242327</v>
      </c>
      <c r="Q84" s="501">
        <v>97969.631667268506</v>
      </c>
    </row>
    <row r="85" ht="8.75" customHeight="1" hidden="1">
      <c r="A85" s="400">
        <v>45443</v>
      </c>
      <c r="B85" s="504" cm="1">
        <f t="array" ref="B85">F85/F84-1</f>
        <v>0.00688600440666107</v>
      </c>
      <c r="C85" s="505" cm="1">
        <f t="array" ref="C85">F85-F84</f>
        <v>1007231</v>
      </c>
      <c r="D85" s="503"/>
      <c r="E85" s="501">
        <v>160638.092796998</v>
      </c>
      <c r="F85" s="503" cm="1">
        <f t="array" ref="F85">SUM(G85:K85)</f>
        <v>147279429</v>
      </c>
      <c r="G85" s="506">
        <v>53026600</v>
      </c>
      <c r="H85" s="506">
        <v>28535192</v>
      </c>
      <c r="I85" s="506">
        <v>9854948</v>
      </c>
      <c r="J85" s="506">
        <v>55862689</v>
      </c>
      <c r="K85" s="506">
        <v>0</v>
      </c>
      <c r="L85" s="506" cm="1">
        <f t="array" ref="L85">'depto - dividendos'!M6</f>
        <v>148537645</v>
      </c>
      <c r="M85" s="503" cm="1">
        <f t="array" ref="M85">-L85</f>
        <v>-148537645</v>
      </c>
      <c r="N85" s="503" cm="1">
        <f t="array" ref="N85">SUM(H85:K85)</f>
        <v>94252829</v>
      </c>
      <c r="O85" s="505" cm="1">
        <f t="array" ref="O85">N85-N84</f>
        <v>2010502</v>
      </c>
      <c r="P85" s="503" cm="1">
        <f t="array" ref="P85">SUM(H85:J85)</f>
        <v>94252829</v>
      </c>
      <c r="Q85" s="501">
        <v>102801.829108678</v>
      </c>
    </row>
    <row r="86" ht="8.75" customHeight="1" hidden="1">
      <c r="A86" s="400">
        <v>45471</v>
      </c>
      <c r="B86" s="504" cm="1">
        <f t="array" ref="B86">F86/F85-1</f>
        <v>0.0608923938726025</v>
      </c>
      <c r="C86" s="505" cm="1">
        <f t="array" ref="C86">F86-F85</f>
        <v>8968197</v>
      </c>
      <c r="D86" s="503"/>
      <c r="E86" s="501">
        <v>163759.263412742</v>
      </c>
      <c r="F86" s="503" cm="1">
        <f t="array" ref="F86">SUM(G86:K86)</f>
        <v>156247626</v>
      </c>
      <c r="G86" s="506">
        <v>54142929</v>
      </c>
      <c r="H86" s="506">
        <v>30554913</v>
      </c>
      <c r="I86" s="506">
        <v>9174454</v>
      </c>
      <c r="J86" s="506">
        <v>59785150</v>
      </c>
      <c r="K86" s="506">
        <v>2590180</v>
      </c>
      <c r="L86" s="506" cm="1">
        <f t="array" ref="L86">'depto - dividendos'!M7</f>
        <v>148507657</v>
      </c>
      <c r="M86" s="503" cm="1">
        <f t="array" ref="M86">-L86</f>
        <v>-148507657</v>
      </c>
      <c r="N86" s="503" cm="1">
        <f t="array" ref="N86">SUM(H86:K86)</f>
        <v>102104697</v>
      </c>
      <c r="O86" s="505" cm="1">
        <f t="array" ref="O86">N86-N85</f>
        <v>7851868</v>
      </c>
      <c r="P86" s="503" cm="1">
        <f t="array" ref="P86">SUM(H86:J86)</f>
        <v>99514517</v>
      </c>
      <c r="Q86" s="501">
        <v>104298.698290589</v>
      </c>
    </row>
    <row r="87" ht="8.75" customHeight="1" hidden="1">
      <c r="A87" s="400">
        <v>45504</v>
      </c>
      <c r="B87" s="504" cm="1">
        <f t="array" ref="B87">F87/F86-1</f>
        <v>0.0429876611373283</v>
      </c>
      <c r="C87" s="505" cm="1">
        <f t="array" ref="C87">F87-F86</f>
        <v>6716720</v>
      </c>
      <c r="D87" s="503"/>
      <c r="E87" s="501">
        <v>170546.859367478</v>
      </c>
      <c r="F87" s="503" cm="1">
        <f t="array" ref="F87">SUM(G87:K87)</f>
        <v>162964346</v>
      </c>
      <c r="G87" s="506">
        <v>56489773</v>
      </c>
      <c r="H87" s="506">
        <v>30517714</v>
      </c>
      <c r="I87" s="506">
        <v>8981575</v>
      </c>
      <c r="J87" s="506">
        <v>60385104</v>
      </c>
      <c r="K87" s="506">
        <v>6590180</v>
      </c>
      <c r="L87" s="506" cm="1">
        <f t="array" ref="L87">'depto - dividendos'!M8</f>
        <v>146514662</v>
      </c>
      <c r="M87" s="503" cm="1">
        <f t="array" ref="M87">-L87</f>
        <v>-146514662</v>
      </c>
      <c r="N87" s="503" cm="1">
        <f t="array" ref="N87">SUM(H87:K87)</f>
        <v>106474573</v>
      </c>
      <c r="O87" s="505" cm="1">
        <f t="array" ref="O87">N87-N86</f>
        <v>4369876</v>
      </c>
      <c r="P87" s="503" cm="1">
        <f t="array" ref="P87">SUM(H87:J87)</f>
        <v>99884393</v>
      </c>
      <c r="Q87" s="501">
        <v>104531.880402704</v>
      </c>
    </row>
    <row r="88" ht="8.75" customHeight="1" hidden="1">
      <c r="A88" s="400">
        <v>45534</v>
      </c>
      <c r="B88" s="504" cm="1">
        <f t="array" ref="B88">F88/F87-1</f>
        <v>0.01938568206815</v>
      </c>
      <c r="C88" s="505" cm="1">
        <f t="array" ref="C88">F88-F87</f>
        <v>3159175</v>
      </c>
      <c r="D88" s="503"/>
      <c r="E88" s="501">
        <v>181639.135996851</v>
      </c>
      <c r="F88" s="503" cm="1">
        <f t="array" ref="F88">SUM(G88:K88)</f>
        <v>166123521</v>
      </c>
      <c r="G88" s="506">
        <v>59144031</v>
      </c>
      <c r="H88" s="506">
        <v>29754534</v>
      </c>
      <c r="I88" s="506">
        <v>7080412</v>
      </c>
      <c r="J88" s="506">
        <v>59554364</v>
      </c>
      <c r="K88" s="506">
        <v>10590180</v>
      </c>
      <c r="L88" s="506" cm="1">
        <f t="array" ref="L88">'depto - dividendos'!M9</f>
        <v>144080221</v>
      </c>
      <c r="M88" s="503" cm="1">
        <f t="array" ref="M88">-L88</f>
        <v>-144080221</v>
      </c>
      <c r="N88" s="503" cm="1">
        <f t="array" ref="N88">SUM(H88:K88)</f>
        <v>106979490</v>
      </c>
      <c r="O88" s="505" cm="1">
        <f t="array" ref="O88">N88-N87</f>
        <v>504917</v>
      </c>
      <c r="P88" s="503" cm="1">
        <f t="array" ref="P88">SUM(H88:J88)</f>
        <v>96389310</v>
      </c>
      <c r="Q88" s="501">
        <v>105391.88479958</v>
      </c>
    </row>
    <row r="89" ht="8.75" customHeight="1" hidden="1">
      <c r="A89" s="400">
        <v>45565</v>
      </c>
      <c r="B89" s="504" cm="1">
        <f t="array" ref="B89">F89/F88-1</f>
        <v>0.0620002449863797</v>
      </c>
      <c r="C89" s="505" cm="1">
        <f t="array" ref="C89">F89-F88</f>
        <v>10299699</v>
      </c>
      <c r="D89" s="503"/>
      <c r="E89" s="501">
        <v>196080.266740761</v>
      </c>
      <c r="F89" s="503" cm="1">
        <f t="array" ref="F89">SUM(G89:K89)</f>
        <v>176423220</v>
      </c>
      <c r="G89" s="506">
        <v>61781675</v>
      </c>
      <c r="H89" s="506">
        <v>29922775</v>
      </c>
      <c r="I89" s="506">
        <v>7581058</v>
      </c>
      <c r="J89" s="506">
        <v>60554743</v>
      </c>
      <c r="K89" s="506">
        <v>16582969</v>
      </c>
      <c r="L89" s="506" cm="1">
        <f t="array" ref="L89">'depto - dividendos'!M10</f>
        <v>142677909</v>
      </c>
      <c r="M89" s="503" cm="1">
        <f t="array" ref="M89">-L89</f>
        <v>-142677909</v>
      </c>
      <c r="N89" s="503" cm="1">
        <f t="array" ref="N89">SUM(H89:K89)</f>
        <v>114641545</v>
      </c>
      <c r="O89" s="505" cm="1">
        <f t="array" ref="O89">N89-N88</f>
        <v>7662055</v>
      </c>
      <c r="P89" s="503" cm="1">
        <f t="array" ref="P89">SUM(H89:J89)</f>
        <v>98058576</v>
      </c>
      <c r="Q89" s="501">
        <v>108984.246735204</v>
      </c>
    </row>
    <row r="90" ht="8.75" customHeight="1" hidden="1">
      <c r="A90" s="400">
        <v>45576</v>
      </c>
      <c r="B90" s="504" cm="1">
        <f t="array" ref="B90">F90/F89-1</f>
        <v>0.0747639511397649</v>
      </c>
      <c r="C90" s="505" cm="1">
        <f t="array" ref="C90">F90-F89</f>
        <v>13190097</v>
      </c>
      <c r="D90" s="503"/>
      <c r="E90" s="501" cm="1">
        <f t="array" ref="E90">F90/'variables - Table 1-1'!B90</f>
        <v>197238.559718726</v>
      </c>
      <c r="F90" s="503" cm="1">
        <f t="array" ref="F90">SUM(G90:K90)</f>
        <v>189613317</v>
      </c>
      <c r="G90" s="506">
        <v>64287949</v>
      </c>
      <c r="H90" s="506">
        <v>32678334</v>
      </c>
      <c r="I90" s="506">
        <v>8247740</v>
      </c>
      <c r="J90" s="506">
        <v>64710559</v>
      </c>
      <c r="K90" s="506">
        <v>19688735</v>
      </c>
      <c r="L90" s="506" cm="1">
        <f t="array" ref="L90">'depto - dividendos'!M11</f>
        <v>140667010</v>
      </c>
      <c r="M90" s="503" cm="1">
        <f t="array" ref="M90">-L90</f>
        <v>-140667010</v>
      </c>
      <c r="N90" s="503" cm="1">
        <f t="array" ref="N90">SUM(H90:K90)</f>
        <v>125325368</v>
      </c>
      <c r="O90" s="505" cm="1">
        <f t="array" ref="O90">N90-N89</f>
        <v>10683823</v>
      </c>
      <c r="P90" s="503" cm="1">
        <f t="array" ref="P90">SUM(H90:J90)</f>
        <v>105636633</v>
      </c>
      <c r="Q90" s="501" cm="1">
        <f t="array" ref="Q90">P90/'variables - Table 1-1'!B90</f>
        <v>109884.77853829</v>
      </c>
    </row>
    <row r="91" ht="8.75" customHeight="1" hidden="1">
      <c r="A91" s="400">
        <v>45624</v>
      </c>
      <c r="B91" s="504" cm="1">
        <f t="array" ref="B91">F91/F90-1</f>
        <v>0.0754087277530196</v>
      </c>
      <c r="C91" s="505" cm="1">
        <f t="array" ref="C91">F91-F90</f>
        <v>14298499</v>
      </c>
      <c r="D91" s="503"/>
      <c r="E91" s="501" cm="1">
        <f t="array" ref="E91">F91/'variables - Table 1-1'!B91</f>
        <v>208618.243575053</v>
      </c>
      <c r="F91" s="503" cm="1">
        <f t="array" ref="F91">SUM(G91:K91)</f>
        <v>203911816</v>
      </c>
      <c r="G91" s="506">
        <v>86887926</v>
      </c>
      <c r="H91" s="506">
        <v>34016988</v>
      </c>
      <c r="I91" s="506">
        <v>11175459</v>
      </c>
      <c r="J91" s="506">
        <v>67499202</v>
      </c>
      <c r="K91" s="506">
        <v>4332241</v>
      </c>
      <c r="L91" s="506" cm="1">
        <f t="array" ref="L91">'depto - dividendos'!M13</f>
        <v>118820206</v>
      </c>
      <c r="M91" s="503" cm="1">
        <f t="array" ref="M91">-L91</f>
        <v>-118820206</v>
      </c>
      <c r="N91" s="503" cm="1">
        <f t="array" ref="N91">SUM(H91:K91)</f>
        <v>117023890</v>
      </c>
      <c r="O91" s="505" cm="1">
        <f t="array" ref="O91">N91-N90</f>
        <v>-8301478</v>
      </c>
      <c r="P91" s="503" cm="1">
        <f t="array" ref="P91">SUM(H91:J91)</f>
        <v>112691649</v>
      </c>
      <c r="Q91" s="501" cm="1">
        <f t="array" ref="Q91">P91/'variables - Table 1-1'!B91</f>
        <v>115292.651211328</v>
      </c>
    </row>
    <row r="92" ht="8.75" customHeight="1" hidden="1">
      <c r="A92" s="400">
        <v>45654</v>
      </c>
      <c r="B92" s="504" cm="1">
        <f t="array" ref="B92">F92/F91-1</f>
        <v>0.0569282458844857</v>
      </c>
      <c r="C92" s="505" cm="1">
        <f t="array" ref="C92">F92-F91</f>
        <v>11608342</v>
      </c>
      <c r="D92" s="503"/>
      <c r="E92" s="501" cm="1">
        <f t="array" ref="E92">F92/'variables - Table 1-1'!B92</f>
        <v>216962.961695274</v>
      </c>
      <c r="F92" s="503" cm="1">
        <f t="array" ref="F92">SUM(G92:K92)</f>
        <v>215520158</v>
      </c>
      <c r="G92" s="506">
        <v>89886057</v>
      </c>
      <c r="H92" s="506">
        <v>31621022</v>
      </c>
      <c r="I92" s="506">
        <v>10855466</v>
      </c>
      <c r="J92" s="506">
        <v>68882160</v>
      </c>
      <c r="K92" s="506">
        <v>14275453</v>
      </c>
      <c r="L92" s="506" cm="1">
        <f t="array" ref="L92">'depto - dividendos'!M14</f>
        <v>117412648</v>
      </c>
      <c r="M92" s="503" cm="1">
        <f t="array" ref="M92">-L92</f>
        <v>-117412648</v>
      </c>
      <c r="N92" s="503" cm="1">
        <f t="array" ref="N92">SUM(H92:K92)</f>
        <v>125634101</v>
      </c>
      <c r="O92" s="505" cm="1">
        <f t="array" ref="O92">N92-N91</f>
        <v>8610211</v>
      </c>
      <c r="P92" s="503" cm="1">
        <f t="array" ref="P92">SUM(H92:J92)</f>
        <v>111358648</v>
      </c>
      <c r="Q92" s="501" cm="1">
        <f t="array" ref="Q92">P92/'variables - Table 1-1'!B92</f>
        <v>112104.140534555</v>
      </c>
    </row>
    <row r="93" ht="8.75" customHeight="1" hidden="1">
      <c r="A93" s="400">
        <v>45685</v>
      </c>
      <c r="B93" s="504" cm="1">
        <f t="array" ref="B93">F93/F92-1</f>
        <v>0.07799875499348879</v>
      </c>
      <c r="C93" s="505" cm="1">
        <f t="array" ref="C93">F93-F92</f>
        <v>16810304</v>
      </c>
      <c r="D93" s="503"/>
      <c r="E93" s="501" cm="1">
        <f t="array" ref="E93">F93/'variables - Table 1-1'!B93</f>
        <v>236163.393882716</v>
      </c>
      <c r="F93" s="503" cm="1">
        <f t="array" ref="F93">SUM(G93:K93)</f>
        <v>232330462</v>
      </c>
      <c r="G93" s="506">
        <v>89810530</v>
      </c>
      <c r="H93" s="506">
        <v>27651134</v>
      </c>
      <c r="I93" s="506">
        <v>10158709</v>
      </c>
      <c r="J93" s="506">
        <v>69636042</v>
      </c>
      <c r="K93" s="506">
        <v>35074047</v>
      </c>
      <c r="L93" s="506" cm="1">
        <f t="array" ref="L93">'depto - dividendos'!M14</f>
        <v>117412648</v>
      </c>
      <c r="M93" s="503" cm="1">
        <f t="array" ref="M93">-L93</f>
        <v>-117412648</v>
      </c>
      <c r="N93" s="503" cm="1">
        <f t="array" ref="N93">SUM(H93:K93)</f>
        <v>142519932</v>
      </c>
      <c r="O93" s="505" cm="1">
        <f t="array" ref="O93">N93-N92</f>
        <v>16885831</v>
      </c>
      <c r="P93" s="503" cm="1">
        <f t="array" ref="P93">SUM(H93:J93)</f>
        <v>107445885</v>
      </c>
      <c r="Q93" s="501" cm="1">
        <f t="array" ref="Q93">P93/'variables - Table 1-1'!B93</f>
        <v>109218.501275705</v>
      </c>
    </row>
    <row r="94" ht="8.75" customHeight="1" hidden="1">
      <c r="A94" s="400">
        <v>45716</v>
      </c>
      <c r="B94" s="504" cm="1">
        <f t="array" ref="B94">F94/F93-1</f>
        <v>-0.12967765285983</v>
      </c>
      <c r="C94" s="505" cm="1">
        <f t="array" ref="C94">F94-F93</f>
        <v>-30128069</v>
      </c>
      <c r="D94" s="503"/>
      <c r="E94" s="501" cm="1">
        <f t="array" ref="E94">F94/'variables - Table 1-1'!B94</f>
        <v>212343.939553054</v>
      </c>
      <c r="F94" s="503" cm="1">
        <f t="array" ref="F94">SUM(G94:K94)</f>
        <v>202202393</v>
      </c>
      <c r="G94" s="506" cm="1">
        <f t="array" ref="G94">'depto - dividendos'!Q17</f>
        <v>110473297</v>
      </c>
      <c r="H94" s="506">
        <v>16524027</v>
      </c>
      <c r="I94" s="506">
        <v>5287672</v>
      </c>
      <c r="J94" s="506">
        <v>66846151</v>
      </c>
      <c r="K94" s="506">
        <v>3071246</v>
      </c>
      <c r="L94" s="506" cm="1">
        <f t="array" ref="L94">'depto - dividendos'!M17+'flujos - Gasto mensual'!I95</f>
        <v>96843989</v>
      </c>
      <c r="M94" s="503" cm="1">
        <f t="array" ref="M94">-L94</f>
        <v>-96843989</v>
      </c>
      <c r="N94" s="503" cm="1">
        <f t="array" ref="N94">SUM(H94:K94)</f>
        <v>91729096</v>
      </c>
      <c r="O94" s="505" cm="1">
        <f t="array" ref="O94">N94-N93</f>
        <v>-50790836</v>
      </c>
      <c r="P94" s="503" cm="1">
        <f t="array" ref="P94">SUM(H94:J94)</f>
        <v>88657850</v>
      </c>
      <c r="Q94" s="501" cm="1">
        <f t="array" ref="Q94">P94/'variables - Table 1-1'!B94</f>
        <v>93104.521969251393</v>
      </c>
    </row>
    <row r="95" ht="8.75" customHeight="1" hidden="1">
      <c r="A95" s="400">
        <v>45744</v>
      </c>
      <c r="B95" s="504" cm="1">
        <f t="array" ref="B95">F95/F94-1</f>
        <v>-0.0472148645639421</v>
      </c>
      <c r="C95" s="505" cm="1">
        <f t="array" ref="C95">F95-F94</f>
        <v>-9546958.6</v>
      </c>
      <c r="D95" s="503"/>
      <c r="E95" s="501" cm="1">
        <f t="array" ref="E95">F95/'variables - Table 1-1'!B95</f>
        <v>210245.566661025</v>
      </c>
      <c r="F95" s="503" cm="1">
        <f t="array" ref="F95">SUM(G95:K95)</f>
        <v>192655434.4</v>
      </c>
      <c r="G95" s="506" cm="1">
        <f t="array" ref="G95">'depto - dividendos'!Q18</f>
        <v>113313871</v>
      </c>
      <c r="H95" s="506">
        <v>8883436</v>
      </c>
      <c r="I95" s="506">
        <v>1721793</v>
      </c>
      <c r="J95" s="506">
        <v>63959762</v>
      </c>
      <c r="K95" s="506">
        <v>4776572.4</v>
      </c>
      <c r="L95" s="506" cm="1">
        <f t="array" ref="L95">'depto - dividendos'!M18+'flujos - Gasto mensual'!I96</f>
        <v>101744314</v>
      </c>
      <c r="M95" s="503" cm="1">
        <f t="array" ref="M95">-L95</f>
        <v>-101744314</v>
      </c>
      <c r="N95" s="503" cm="1">
        <f t="array" ref="N95">SUM(H95:K95)</f>
        <v>79341563.40000001</v>
      </c>
      <c r="O95" s="505" cm="1">
        <f t="array" ref="O95">N95-N94</f>
        <v>-12387532.6</v>
      </c>
      <c r="P95" s="503" cm="1">
        <f t="array" ref="P95">SUM(H95:J95)</f>
        <v>74564991</v>
      </c>
      <c r="Q95" s="501" cm="1">
        <f t="array" ref="Q95">P95/'variables - Table 1-1'!B95</f>
        <v>81373.0421604406</v>
      </c>
    </row>
    <row r="96" ht="8.75" customHeight="1" hidden="1">
      <c r="A96" s="400">
        <v>45775</v>
      </c>
      <c r="B96" s="504" cm="1">
        <f t="array" ref="B96">F96/F95-1</f>
        <v>0.0136106806857871</v>
      </c>
      <c r="C96" s="505" cm="1">
        <f t="array" ref="C96">F96-F95</f>
        <v>2622171.6</v>
      </c>
      <c r="D96" s="503"/>
      <c r="E96" s="501" cm="1">
        <f t="array" ref="E96">F96/'variables - Table 1-1'!B96</f>
        <v>206601.430400237</v>
      </c>
      <c r="F96" s="503" cm="1">
        <f t="array" ref="F96">SUM(G96:K96)</f>
        <v>195277606</v>
      </c>
      <c r="G96" s="506" cm="1">
        <f t="array" ref="G96">'depto - dividendos'!Q19</f>
        <v>114850064</v>
      </c>
      <c r="H96" s="506">
        <v>7768712</v>
      </c>
      <c r="I96" s="506">
        <v>1974510</v>
      </c>
      <c r="J96" s="506">
        <v>64771502</v>
      </c>
      <c r="K96" s="506">
        <v>5912818</v>
      </c>
      <c r="L96" s="506" cm="1">
        <f t="array" ref="L96">'depto - dividendos'!M19+'flujos - Gasto mensual'!I97</f>
        <v>100361861</v>
      </c>
      <c r="M96" s="503" cm="1">
        <f t="array" ref="M96">-L96</f>
        <v>-100361861</v>
      </c>
      <c r="N96" s="503" cm="1">
        <f t="array" ref="N96">SUM(H96:K96)</f>
        <v>80427542</v>
      </c>
      <c r="O96" s="505" cm="1">
        <f t="array" ref="O96">N96-N95</f>
        <v>1085978.6</v>
      </c>
      <c r="P96" s="503" cm="1">
        <f t="array" ref="P96">SUM(H96:J96)</f>
        <v>74514724</v>
      </c>
      <c r="Q96" s="501" cm="1">
        <f t="array" ref="Q96">P96/'variables - Table 1-1'!B96</f>
        <v>78835.709222484395</v>
      </c>
    </row>
    <row r="97" ht="8.75" customHeight="1" hidden="1">
      <c r="A97" s="400">
        <v>45805</v>
      </c>
      <c r="B97" s="504" cm="1">
        <f t="array" ref="B97">F97/F96-1</f>
        <v>0.0304082537759092</v>
      </c>
      <c r="C97" s="505" cm="1">
        <f t="array" ref="C97">F97-F96</f>
        <v>5938051</v>
      </c>
      <c r="D97" s="503"/>
      <c r="E97" s="501" cm="1">
        <f t="array" ref="E97">F97/'variables - Table 1-1'!B97</f>
        <v>214417.332139851</v>
      </c>
      <c r="F97" s="503" cm="1">
        <f t="array" ref="F97">SUM(G97:K97)</f>
        <v>201215657</v>
      </c>
      <c r="G97" s="506" cm="1">
        <f t="array" ref="G97">'depto - dividendos'!Q20</f>
        <v>116523901</v>
      </c>
      <c r="H97" s="506">
        <v>8245002</v>
      </c>
      <c r="I97" s="506">
        <v>2164795</v>
      </c>
      <c r="J97" s="506">
        <v>68728850</v>
      </c>
      <c r="K97" s="506">
        <v>5553109</v>
      </c>
      <c r="L97" s="506" cm="1">
        <f t="array" ref="L97">'depto - dividendos'!M20+'flujos - Gasto mensual'!I98</f>
        <v>98996690</v>
      </c>
      <c r="M97" s="503" cm="1">
        <f t="array" ref="M97">-L97</f>
        <v>-98996690</v>
      </c>
      <c r="N97" s="503" cm="1">
        <f t="array" ref="N97">SUM(H97:K97)</f>
        <v>84691756</v>
      </c>
      <c r="O97" s="505" cm="1">
        <f t="array" ref="O97">N97-N96</f>
        <v>4264214</v>
      </c>
      <c r="P97" s="503" cm="1">
        <f t="array" ref="P97">SUM(H97:J97)</f>
        <v>79138647</v>
      </c>
      <c r="Q97" s="501" cm="1">
        <f t="array" ref="Q97">P97/'variables - Table 1-1'!B97</f>
        <v>84330.900546657693</v>
      </c>
    </row>
    <row r="98" ht="8.75" customHeight="1" hidden="1">
      <c r="A98" s="400">
        <v>45836</v>
      </c>
      <c r="B98" s="504" cm="1">
        <f t="array" ref="B98">F98/F97-1</f>
        <v>0.0177583136584645</v>
      </c>
      <c r="C98" s="505" cm="1">
        <f t="array" ref="C98">F98-F97</f>
        <v>3573250.75</v>
      </c>
      <c r="D98" s="503"/>
      <c r="E98" s="501" cm="1">
        <f t="array" ref="E98">F98/'variables - Table 1-1'!B98</f>
        <v>222813.567241498</v>
      </c>
      <c r="F98" s="503" cm="1">
        <f t="array" ref="F98">SUM(G98:K98)</f>
        <v>204788907.75</v>
      </c>
      <c r="G98" s="506" cm="1">
        <f t="array" ref="G98">'depto - dividendos'!Q21</f>
        <v>117887389</v>
      </c>
      <c r="H98" s="506">
        <v>8725297</v>
      </c>
      <c r="I98" s="506">
        <v>2528175</v>
      </c>
      <c r="J98" s="506">
        <v>72317665</v>
      </c>
      <c r="K98" s="506">
        <v>3330381.75</v>
      </c>
      <c r="L98" s="506" cm="1">
        <f t="array" ref="L98">'depto - dividendos'!M21+'flujos - Gasto mensual'!I99</f>
        <v>97857048</v>
      </c>
      <c r="M98" s="503" cm="1">
        <f t="array" ref="M98">-L98</f>
        <v>-97857048</v>
      </c>
      <c r="N98" s="503" cm="1">
        <f t="array" ref="N98">SUM(H98:K98)</f>
        <v>86901518.75</v>
      </c>
      <c r="O98" s="505" cm="1">
        <f t="array" ref="O98">N98-N97</f>
        <v>2209762.75</v>
      </c>
      <c r="P98" s="503" cm="1">
        <f t="array" ref="P98">SUM(H98:J98)</f>
        <v>83571137</v>
      </c>
      <c r="Q98" s="501" cm="1">
        <f t="array" ref="Q98">P98/'variables - Table 1-1'!B98</f>
        <v>90926.717457420207</v>
      </c>
    </row>
    <row r="99" ht="8.75" customHeight="1" hidden="1">
      <c r="A99" s="400">
        <v>45866</v>
      </c>
      <c r="B99" s="504" cm="1">
        <f t="array" ref="B99">F99/F98-1</f>
        <v>0.0160985977522994</v>
      </c>
      <c r="C99" s="505" cm="1">
        <f t="array" ref="C99">F99-F98</f>
        <v>3296814.25</v>
      </c>
      <c r="D99" s="503"/>
      <c r="E99" s="501" cm="1">
        <f t="array" ref="E99">F99/'variables - Table 1-1'!B99</f>
        <v>212022.988903946</v>
      </c>
      <c r="F99" s="503" cm="1">
        <f t="array" ref="F99">SUM(G99:K99)</f>
        <v>208085722</v>
      </c>
      <c r="G99" s="506" cm="1">
        <f t="array" ref="G99">'depto - dividendos'!Q22</f>
        <v>118450554</v>
      </c>
      <c r="H99" s="506">
        <v>9319731</v>
      </c>
      <c r="I99" s="506">
        <v>2730431</v>
      </c>
      <c r="J99" s="506">
        <v>77222409</v>
      </c>
      <c r="K99" s="506">
        <v>362597</v>
      </c>
      <c r="L99" s="506" cm="1">
        <f t="array" ref="L99">'depto - dividendos'!M22+'flujos - Gasto mensual'!I100</f>
        <v>97134083</v>
      </c>
      <c r="M99" s="503" cm="1">
        <f t="array" ref="M99">-L99</f>
        <v>-97134083</v>
      </c>
      <c r="N99" s="503" cm="1">
        <f t="array" ref="N99">SUM(H99:K99)</f>
        <v>89635168</v>
      </c>
      <c r="O99" s="505" cm="1">
        <f t="array" ref="O99">N99-N98</f>
        <v>2733649.25</v>
      </c>
      <c r="P99" s="503" cm="1">
        <f t="array" ref="P99">SUM(H99:J99)</f>
        <v>89272571</v>
      </c>
      <c r="Q99" s="501" cm="1">
        <f t="array" ref="Q99">P99/'variables - Table 1-1'!B99</f>
        <v>90961.730332270294</v>
      </c>
    </row>
    <row r="100" ht="8.75" customHeight="1" hidden="1">
      <c r="A100" s="400">
        <v>45897</v>
      </c>
      <c r="B100" s="504" cm="1">
        <f t="array" ref="B100">F100/F99-1</f>
        <v>0.0147517137192142</v>
      </c>
      <c r="C100" s="505" cm="1">
        <f t="array" ref="C100">F100-F99</f>
        <v>3069621</v>
      </c>
      <c r="D100" s="503"/>
      <c r="E100" s="501" cm="1">
        <f t="array" ref="E100">F100/'variables - Table 1-1'!B100</f>
        <v>218176.254882106</v>
      </c>
      <c r="F100" s="503" cm="1">
        <f t="array" ref="F100">SUM(G100:K100)</f>
        <v>211155343</v>
      </c>
      <c r="G100" s="506">
        <v>119160658</v>
      </c>
      <c r="H100" s="506">
        <v>9399360</v>
      </c>
      <c r="I100" s="506">
        <v>2617689</v>
      </c>
      <c r="J100" s="506">
        <v>78832882</v>
      </c>
      <c r="K100" s="506">
        <v>1144754</v>
      </c>
      <c r="L100" s="506">
        <v>96198371</v>
      </c>
      <c r="M100" s="503" cm="1">
        <f t="array" ref="M100">-L100</f>
        <v>-96198371</v>
      </c>
      <c r="N100" s="503" cm="1">
        <f t="array" ref="N100">SUM(H100:K100)</f>
        <v>91994685</v>
      </c>
      <c r="O100" s="505" cm="1">
        <f t="array" ref="O100">N100-N99</f>
        <v>2359517</v>
      </c>
      <c r="P100" s="503" cm="1">
        <f t="array" ref="P100">SUM(H100:J100)</f>
        <v>90849931</v>
      </c>
      <c r="Q100" s="501" cm="1">
        <f t="array" ref="Q100">P100/'variables - Table 1-1'!B100</f>
        <v>93870.6897976897</v>
      </c>
    </row>
    <row r="101" ht="8.75" customHeight="1" hidden="1">
      <c r="A101" s="400">
        <v>45928</v>
      </c>
      <c r="B101" s="504" cm="1">
        <f t="array" ref="B101">F101/F100-1</f>
        <v>0.0309446349174314</v>
      </c>
      <c r="C101" s="505" cm="1">
        <f t="array" ref="C101">F101-F100</f>
        <v>6534125</v>
      </c>
      <c r="D101" s="503"/>
      <c r="E101" s="501" cm="1">
        <f t="array" ref="E101">F101/'variables - Table 1-1'!B101</f>
        <v>225598.96781147</v>
      </c>
      <c r="F101" s="503" cm="1">
        <f t="array" ref="F101">SUM(G101:K101)</f>
        <v>217689468</v>
      </c>
      <c r="G101" s="506">
        <v>120431233</v>
      </c>
      <c r="H101" s="506">
        <v>9865241</v>
      </c>
      <c r="I101" s="506">
        <v>2700878</v>
      </c>
      <c r="J101" s="506">
        <v>82492923</v>
      </c>
      <c r="K101" s="506">
        <v>2199193</v>
      </c>
      <c r="L101" s="506">
        <v>95557238</v>
      </c>
      <c r="M101" s="503" cm="1">
        <f t="array" ref="M101">-L101</f>
        <v>-95557238</v>
      </c>
      <c r="N101" s="503" cm="1">
        <f t="array" ref="N101">SUM(H101:K101)</f>
        <v>97258235</v>
      </c>
      <c r="O101" s="505" cm="1">
        <f t="array" ref="O101">N101-N100</f>
        <v>5263550</v>
      </c>
      <c r="P101" s="503" cm="1">
        <f t="array" ref="P101">SUM(H101:J101)</f>
        <v>95059042</v>
      </c>
      <c r="Q101" s="501" cm="1">
        <f t="array" ref="Q101">P101/'variables - Table 1-1'!B101</f>
        <v>98512.904429290895</v>
      </c>
    </row>
    <row r="102" ht="20.55" customHeight="1">
      <c r="A102" s="177">
        <v>45958</v>
      </c>
      <c r="B102" s="507" cm="1">
        <f t="array" ref="B102">F102/F101-1</f>
        <v>-0.00313256771797522</v>
      </c>
      <c r="C102" s="508" cm="1">
        <f t="array" ref="C102">F102-F101</f>
        <v>-681927</v>
      </c>
      <c r="D102" s="509"/>
      <c r="E102" s="510" cm="1">
        <f t="array" ref="E102">F102/'variables - Table 1-1'!B102</f>
        <v>230733.900755973</v>
      </c>
      <c r="F102" s="511" cm="1">
        <f t="array" ref="F102">SUM(G102:K102)</f>
        <v>217007541</v>
      </c>
      <c r="G102" s="509">
        <v>121168870</v>
      </c>
      <c r="H102" s="509" cm="1">
        <f t="array" ref="H102">'net worth - Table 1-3'!E103</f>
        <v>10062691</v>
      </c>
      <c r="I102" s="509" cm="1">
        <f t="array" ref="I102">'net worth - Table 1-2'!C102</f>
        <v>2520334</v>
      </c>
      <c r="J102" s="509" cm="1">
        <f t="array" ref="J102">'net worth - Table 1-3'!AH103</f>
        <v>84572045</v>
      </c>
      <c r="K102" s="509">
        <v>-1316399</v>
      </c>
      <c r="L102" s="509">
        <v>98633257</v>
      </c>
      <c r="M102" s="509" cm="1">
        <f t="array" ref="M102">-L102</f>
        <v>-98633257</v>
      </c>
      <c r="N102" s="509" cm="1">
        <f t="array" ref="N102">SUM(H102:K102)</f>
        <v>95838671</v>
      </c>
      <c r="O102" s="508" cm="1">
        <f t="array" ref="O102">N102-N101</f>
        <v>-1419564</v>
      </c>
      <c r="P102" s="509" cm="1">
        <f t="array" ref="P102">SUM(H102:J102)</f>
        <v>97155070</v>
      </c>
      <c r="Q102" s="510" cm="1">
        <f t="array" ref="Q102">P102/'variables - Table 1-1'!B102</f>
        <v>103300.411478878</v>
      </c>
    </row>
    <row r="103" ht="20.35" customHeight="1">
      <c r="A103" s="186">
        <v>45989</v>
      </c>
      <c r="B103" s="512" cm="1">
        <f t="array" ref="B103">F103/F102-1</f>
        <v>0.0018552581082885</v>
      </c>
      <c r="C103" s="513" cm="1">
        <f t="array" ref="C103">F103-F102</f>
        <v>402605</v>
      </c>
      <c r="D103" s="514"/>
      <c r="E103" s="515" cm="1">
        <f t="array" ref="E103">F103/'variables - Table 1-1'!B103</f>
        <v>234561.265751769</v>
      </c>
      <c r="F103" s="443" cm="1">
        <f t="array" ref="F103">SUM(G103:K103)</f>
        <v>217410146</v>
      </c>
      <c r="G103" s="514">
        <v>121904039</v>
      </c>
      <c r="H103" s="514" cm="1">
        <f t="array" ref="H103">'net worth - Table 1-3'!E104</f>
        <v>9804175</v>
      </c>
      <c r="I103" s="514" cm="1">
        <f t="array" ref="I103">'net worth - Table 1-2'!C103</f>
        <v>1971851</v>
      </c>
      <c r="J103" s="514" cm="1">
        <f t="array" ref="J103">'net worth - Table 1-3'!AH104</f>
        <v>83871204</v>
      </c>
      <c r="K103" s="514">
        <v>-141123</v>
      </c>
      <c r="L103" s="514">
        <v>97536664</v>
      </c>
      <c r="M103" s="514" cm="1">
        <f t="array" ref="M103">-L103</f>
        <v>-97536664</v>
      </c>
      <c r="N103" s="514" cm="1">
        <f t="array" ref="N103">SUM(H103:K103)</f>
        <v>95506107</v>
      </c>
      <c r="O103" s="513" cm="1">
        <f t="array" ref="O103">N103-N102</f>
        <v>-332564</v>
      </c>
      <c r="P103" s="514" cm="1">
        <f t="array" ref="P103">SUM(H103:J103)</f>
        <v>95647230</v>
      </c>
      <c r="Q103" s="515" cm="1">
        <f t="array" ref="Q103">P103/'variables - Table 1-1'!B103</f>
        <v>103192.678663905</v>
      </c>
    </row>
    <row r="104" ht="20.35" customHeight="1">
      <c r="A104" s="186">
        <v>46019</v>
      </c>
      <c r="B104" s="512" cm="1">
        <f t="array" ref="B104">F104/F103-1</f>
        <v>-0.00512699163543177</v>
      </c>
      <c r="C104" s="513" cm="1">
        <f t="array" ref="C104">F104-F103</f>
        <v>-1114660</v>
      </c>
      <c r="D104" s="514"/>
      <c r="E104" s="515" cm="1">
        <f t="array" ref="E104">F104/'variables - Table 1-1'!B104</f>
        <v>240344.340733827</v>
      </c>
      <c r="F104" s="443" cm="1">
        <f t="array" ref="F104">SUM(G104:K104)</f>
        <v>216295486</v>
      </c>
      <c r="G104" s="514">
        <v>122600540</v>
      </c>
      <c r="H104" s="514" cm="1">
        <f t="array" ref="H104">'net worth - Table 1-3'!E105</f>
        <v>9693331</v>
      </c>
      <c r="I104" s="514" cm="1">
        <f t="array" ref="I104">'net worth - Table 1-2'!C104</f>
        <v>1922666</v>
      </c>
      <c r="J104" s="514" cm="1">
        <f t="array" ref="J104">'net worth - Table 1-3'!AH105</f>
        <v>83724577</v>
      </c>
      <c r="K104" s="514">
        <v>-1645628</v>
      </c>
      <c r="L104" s="514">
        <v>98707435</v>
      </c>
      <c r="M104" s="514" cm="1">
        <f t="array" ref="M104">-L104</f>
        <v>-98707435</v>
      </c>
      <c r="N104" s="514" cm="1">
        <f t="array" ref="N104">SUM(H104:K104)</f>
        <v>93694946</v>
      </c>
      <c r="O104" s="513" cm="1">
        <f t="array" ref="O104">N104-N103</f>
        <v>-1811161</v>
      </c>
      <c r="P104" s="514" cm="1">
        <f t="array" ref="P104">SUM(H104:J104)</f>
        <v>95340574</v>
      </c>
      <c r="Q104" s="515" cm="1">
        <f t="array" ref="Q104">P104/'variables - Table 1-1'!B104</f>
        <v>105941.033846701</v>
      </c>
    </row>
    <row r="105" ht="20.35" customHeight="1">
      <c r="A105" s="186">
        <v>46050</v>
      </c>
      <c r="B105" s="512" cm="1">
        <f t="array" ref="B105">F105/F104-1</f>
        <v>0.00363192970194487</v>
      </c>
      <c r="C105" s="513" cm="1">
        <f t="array" ref="C105">F105-F104</f>
        <v>785570</v>
      </c>
      <c r="D105" s="514"/>
      <c r="E105" s="515" cm="1">
        <f t="array" ref="E105">F105/'variables - Table 1-1'!B105</f>
        <v>252666.623213371</v>
      </c>
      <c r="F105" s="443" cm="1">
        <f t="array" ref="F105">SUM(G105:K105)</f>
        <v>217081056</v>
      </c>
      <c r="G105" s="514">
        <v>122532988</v>
      </c>
      <c r="H105" s="514" cm="1">
        <f t="array" ref="H105">'net worth - Table 1-3'!E106</f>
        <v>9477852</v>
      </c>
      <c r="I105" s="514" cm="1">
        <f t="array" ref="I105">'net worth - Table 1-2'!C105</f>
        <v>1654148</v>
      </c>
      <c r="J105" s="514" cm="1">
        <f t="array" ref="J105">'net worth - Table 1-3'!AH106</f>
        <v>83397458</v>
      </c>
      <c r="K105" s="514">
        <v>18610</v>
      </c>
      <c r="L105" s="514">
        <v>98000854</v>
      </c>
      <c r="M105" s="514" cm="1">
        <f t="array" ref="M105">-L105</f>
        <v>-98000854</v>
      </c>
      <c r="N105" s="514" cm="1">
        <f t="array" ref="N105">SUM(H105:K105)</f>
        <v>94548068</v>
      </c>
      <c r="O105" s="513" cm="1">
        <f t="array" ref="O105">N105-N104</f>
        <v>853122</v>
      </c>
      <c r="P105" s="514" cm="1">
        <f t="array" ref="P105">SUM(H105:J105)</f>
        <v>94529458</v>
      </c>
      <c r="Q105" s="515" cm="1">
        <f t="array" ref="Q105">P105/'variables - Table 1-1'!B105</f>
        <v>110025.441128544</v>
      </c>
    </row>
    <row r="106" ht="20.35" customHeight="1">
      <c r="A106" s="186">
        <v>46081</v>
      </c>
      <c r="B106" s="512" cm="1">
        <f t="array" ref="B106">F106/F105-1</f>
        <v>0.0103773219161049</v>
      </c>
      <c r="C106" s="513" cm="1">
        <f t="array" ref="C106">F106-F105</f>
        <v>2252720</v>
      </c>
      <c r="D106" s="514"/>
      <c r="E106" s="515" cm="1">
        <f t="array" ref="E106">F106/'variables - Table 1-1'!B106</f>
        <v>253515.235156096</v>
      </c>
      <c r="F106" s="443" cm="1">
        <f t="array" ref="F106">SUM(G106:K106)</f>
        <v>219333776</v>
      </c>
      <c r="G106" s="514">
        <v>123828094</v>
      </c>
      <c r="H106" s="514" cm="1">
        <f t="array" ref="H106">'net worth - Table 1-3'!E107</f>
        <v>9501503</v>
      </c>
      <c r="I106" s="514" cm="1">
        <f t="array" ref="I106">'net worth - Table 1-2'!C106</f>
        <v>1408789</v>
      </c>
      <c r="J106" s="514" cm="1">
        <f t="array" ref="J106">'net worth - Table 1-3'!AH107</f>
        <v>84349513</v>
      </c>
      <c r="K106" s="514">
        <v>245877</v>
      </c>
      <c r="L106" s="514">
        <v>96783204</v>
      </c>
      <c r="M106" s="514" cm="1">
        <f t="array" ref="M106">-L106</f>
        <v>-96783204</v>
      </c>
      <c r="N106" s="514" cm="1">
        <f t="array" ref="N106">SUM(H106:K106)</f>
        <v>95505682</v>
      </c>
      <c r="O106" s="513" cm="1">
        <f t="array" ref="O106">N106-N105</f>
        <v>957614</v>
      </c>
      <c r="P106" s="514" cm="1">
        <f t="array" ref="P106">SUM(H106:J106)</f>
        <v>95259805</v>
      </c>
      <c r="Q106" s="515" cm="1">
        <f t="array" ref="Q106">P106/'variables - Table 1-1'!B106</f>
        <v>110105.303004034</v>
      </c>
    </row>
    <row r="107" ht="20.35" customHeight="1">
      <c r="A107" s="186">
        <v>46109</v>
      </c>
      <c r="B107" s="512" cm="1">
        <f t="array" ref="B107">F107/F106-1</f>
        <v>0.0666293412100834</v>
      </c>
      <c r="C107" s="513" cm="1">
        <f t="array" ref="C107">F107-F106</f>
        <v>14614065</v>
      </c>
      <c r="D107" s="514"/>
      <c r="E107" s="515" cm="1">
        <f t="array" ref="E107">F107/'variables - Table 1-1'!B107</f>
        <v>251497.324288878</v>
      </c>
      <c r="F107" s="443" cm="1">
        <f t="array" ref="F107">SUM(G107:K107)</f>
        <v>233947841</v>
      </c>
      <c r="G107" s="514">
        <v>136378208</v>
      </c>
      <c r="H107" s="514" cm="1">
        <f t="array" ref="H107">'net worth - Table 1-3'!E108</f>
        <v>9862963</v>
      </c>
      <c r="I107" s="514" cm="1">
        <f t="array" ref="I107">'net worth - Table 1-2'!C107</f>
        <v>1524311</v>
      </c>
      <c r="J107" s="514" cm="1">
        <f t="array" ref="J107">'net worth - Table 1-3'!AH108</f>
        <v>84301432</v>
      </c>
      <c r="K107" s="514">
        <v>1880927</v>
      </c>
      <c r="L107" s="514">
        <v>83905979</v>
      </c>
      <c r="M107" s="514" cm="1">
        <f t="array" ref="M107">-L107</f>
        <v>-83905979</v>
      </c>
      <c r="N107" s="514" cm="1">
        <f t="array" ref="N107">SUM(H107:K107)</f>
        <v>97569633</v>
      </c>
      <c r="O107" s="513" cm="1">
        <f t="array" ref="O107">N107-N106</f>
        <v>2063951</v>
      </c>
      <c r="P107" s="514" cm="1">
        <f t="array" ref="P107">SUM(H107:J107)</f>
        <v>95688706</v>
      </c>
      <c r="Q107" s="515" cm="1">
        <f t="array" ref="Q107">P107/'variables - Table 1-1'!B107</f>
        <v>102866.747651093</v>
      </c>
    </row>
    <row r="108" ht="20.35" customHeight="1">
      <c r="A108" s="186">
        <v>46140</v>
      </c>
      <c r="B108" s="512" cm="1">
        <f t="array" ref="B108">F108/F107-1</f>
        <v>0.13605271188692</v>
      </c>
      <c r="C108" s="513" cm="1">
        <f t="array" ref="C108">F108-F107</f>
        <v>31829238.20814</v>
      </c>
      <c r="D108" s="514"/>
      <c r="E108" s="515" cm="1">
        <f t="array" ref="E108">F108/'variables - Table 1-1'!B108</f>
        <v>293848.418640906</v>
      </c>
      <c r="F108" s="443" cm="1">
        <f t="array" ref="F108">SUM(G108:K108)</f>
        <v>265777079.20814</v>
      </c>
      <c r="G108" s="514" cm="1">
        <f t="array" ref="G108">'depto - dividendos'!P32*'variables - Table 1-1'!D108</f>
        <v>140164761.20814</v>
      </c>
      <c r="H108" s="514" cm="1">
        <f t="array" ref="H108">'net worth - Table 1-3'!E109</f>
        <v>10970244</v>
      </c>
      <c r="I108" s="514" cm="1">
        <f t="array" ref="I108">'net worth - Table 1-2'!C108</f>
        <v>1693457</v>
      </c>
      <c r="J108" s="514" cm="1">
        <f t="array" ref="J108">'net worth - Table 1-3'!AH109</f>
        <v>92679933</v>
      </c>
      <c r="K108" s="514" cm="1">
        <f t="array" ref="K108">'net worth - Table 1-2-1'!D108</f>
        <v>20268684</v>
      </c>
      <c r="L108" s="514" cm="1">
        <f t="array" ref="L108">SUM('net worth - Table 1-2-1'!F108:G108)</f>
        <v>81329535.79186</v>
      </c>
      <c r="M108" s="514" cm="1">
        <f t="array" ref="M108">-L108</f>
        <v>-81329535.79186</v>
      </c>
      <c r="N108" s="514" cm="1">
        <f t="array" ref="N108">SUM(H108:K108)</f>
        <v>125612318</v>
      </c>
      <c r="O108" s="513" cm="1">
        <f t="array" ref="O108">N108-N107</f>
        <v>28042685</v>
      </c>
      <c r="P108" s="514" cm="1">
        <f t="array" ref="P108">SUM(H108:J108)</f>
        <v>105343634</v>
      </c>
      <c r="Q108" s="515" cm="1">
        <f t="array" ref="Q108">P108/'variables - Table 1-1'!B108</f>
        <v>116470.01448362</v>
      </c>
    </row>
    <row r="109" ht="20.35" customHeight="1">
      <c r="A109" s="186">
        <v>46170</v>
      </c>
      <c r="B109" s="512" cm="1">
        <f t="array" ref="B109">F109/F108-1</f>
        <v>0.0108659425739394</v>
      </c>
      <c r="C109" s="513" cm="1">
        <f t="array" ref="C109">F109-F108</f>
        <v>2887918.480145</v>
      </c>
      <c r="D109" s="514"/>
      <c r="E109" s="515" cm="1">
        <f t="array" ref="E109">F109/'variables - Table 1-1'!B109</f>
        <v>302912.257523942</v>
      </c>
      <c r="F109" s="443" cm="1">
        <f t="array" ref="F109">SUM(G109:K109)</f>
        <v>268664997.688285</v>
      </c>
      <c r="G109" s="514" cm="1">
        <f t="array" ref="G109">'depto - dividendos'!P33*'variables - Table 1-1'!D109</f>
        <v>144757880.688285</v>
      </c>
      <c r="H109" s="514" cm="1">
        <f t="array" ref="H109">'net worth - Table 1-3'!E110</f>
        <v>11447471</v>
      </c>
      <c r="I109" s="514" cm="1">
        <f t="array" ref="I109">'net worth - Table 1-2'!C109</f>
        <v>1693457</v>
      </c>
      <c r="J109" s="514" cm="1">
        <f t="array" ref="J109">'net worth - Table 1-3'!AH110</f>
        <v>93254171</v>
      </c>
      <c r="K109" s="514" cm="1">
        <f t="array" ref="K109">'net worth - Table 1-2-1'!D109</f>
        <v>17512018</v>
      </c>
      <c r="L109" s="514" cm="1">
        <f t="array" ref="L109">SUM('net worth - Table 1-2-1'!F109:G109)</f>
        <v>78939167.31171501</v>
      </c>
      <c r="M109" s="514" cm="1">
        <f t="array" ref="M109">-L109</f>
        <v>-78939167.31171501</v>
      </c>
      <c r="N109" s="514" cm="1">
        <f t="array" ref="N109">SUM(H109:K109)</f>
        <v>123907117</v>
      </c>
      <c r="O109" s="513" cm="1">
        <f t="array" ref="O109">N109-N108</f>
        <v>-1705201</v>
      </c>
      <c r="P109" s="514" cm="1">
        <f t="array" ref="P109">SUM(H109:J109)</f>
        <v>106395099</v>
      </c>
      <c r="Q109" s="515" cm="1">
        <f t="array" ref="Q109">P109/'variables - Table 1-1'!B109</f>
        <v>119957.493178795</v>
      </c>
    </row>
    <row r="110" ht="20.35" customHeight="1">
      <c r="A110" s="186">
        <v>46201</v>
      </c>
      <c r="B110" s="512" cm="1">
        <f t="array" ref="B110">F110/F109-1</f>
        <v>0.00803321175832541</v>
      </c>
      <c r="C110" s="513" cm="1">
        <f t="array" ref="C110">F110-F109</f>
        <v>2158242.81848</v>
      </c>
      <c r="D110" s="514"/>
      <c r="E110" s="515" cm="1">
        <f t="array" ref="E110">F110/'variables - Table 1-1'!B110</f>
        <v>305345.615832824</v>
      </c>
      <c r="F110" s="443" cm="1">
        <f t="array" ref="F110">SUM(G110:K110)</f>
        <v>270823240.506765</v>
      </c>
      <c r="G110" s="514" cm="1">
        <f t="array" ref="G110">'depto - dividendos'!P34*'variables - Table 1-1'!D111</f>
        <v>149916123.506765</v>
      </c>
      <c r="H110" s="514" cm="1">
        <f t="array" ref="H110">'net worth - Table 1-3'!E111</f>
        <v>11447471</v>
      </c>
      <c r="I110" s="514" cm="1">
        <f t="array" ref="I110">'net worth - Table 1-2'!C110</f>
        <v>1693457</v>
      </c>
      <c r="J110" s="514" cm="1">
        <f t="array" ref="J110">'net worth - Table 1-3'!AH111</f>
        <v>93254171</v>
      </c>
      <c r="K110" s="443" cm="1">
        <f t="array" ref="K110">K109-3000000</f>
        <v>14512018</v>
      </c>
      <c r="L110" s="514" cm="1">
        <f t="array" ref="L110">SUM('net worth - Table 1-2-1'!F110:G110)</f>
        <v>76655346.73878381</v>
      </c>
      <c r="M110" s="514" cm="1">
        <f t="array" ref="M110">-L110</f>
        <v>-76655346.73878381</v>
      </c>
      <c r="N110" s="514" cm="1">
        <f t="array" ref="N110">SUM(H110:K110)</f>
        <v>120907117</v>
      </c>
      <c r="O110" s="513" cm="1">
        <f t="array" ref="O110">N110-N109</f>
        <v>-3000000</v>
      </c>
      <c r="P110" s="514" cm="1">
        <f t="array" ref="P110">SUM(H110:J110)</f>
        <v>106395099</v>
      </c>
      <c r="Q110" s="515" cm="1">
        <f t="array" ref="Q110">P110/'variables - Table 1-1'!B110</f>
        <v>119957.493178795</v>
      </c>
    </row>
    <row r="111" ht="20.35" customHeight="1">
      <c r="A111" s="186">
        <v>46231</v>
      </c>
      <c r="B111" s="512" cm="1">
        <f t="array" ref="B111">F111/F110-1</f>
        <v>-0.00837049435965365</v>
      </c>
      <c r="C111" s="513" cm="1">
        <f t="array" ref="C111">F111-F110</f>
        <v>-2266924.407125</v>
      </c>
      <c r="D111" s="514"/>
      <c r="E111" s="515" cm="1">
        <f t="array" ref="E111">F111/'variables - Table 1-1'!B111</f>
        <v>302789.72207775</v>
      </c>
      <c r="F111" s="443" cm="1">
        <f t="array" ref="F111">SUM(G111:K111)</f>
        <v>268556316.09964</v>
      </c>
      <c r="G111" s="514" cm="1">
        <f t="array" ref="G111">'depto - dividendos'!P35*'variables - Table 1-1'!D112</f>
        <v>150649199.09964</v>
      </c>
      <c r="H111" s="514" cm="1">
        <f t="array" ref="H111">'net worth - Table 1-3'!E112</f>
        <v>11447471</v>
      </c>
      <c r="I111" s="514" cm="1">
        <f t="array" ref="I111">'net worth - Table 1-2'!C111</f>
        <v>1693457</v>
      </c>
      <c r="J111" s="514" cm="1">
        <f t="array" ref="J111">'net worth - Table 1-3'!AH112</f>
        <v>93254171</v>
      </c>
      <c r="K111" s="443" cm="1">
        <f t="array" ref="K111">K110-3000000</f>
        <v>11512018</v>
      </c>
      <c r="L111" s="514" cm="1">
        <f t="array" ref="L111">SUM('net worth - Table 1-2-1'!F111:G111)</f>
        <v>75474654.1459084</v>
      </c>
      <c r="M111" s="514" cm="1">
        <f t="array" ref="M111">-L111</f>
        <v>-75474654.1459084</v>
      </c>
      <c r="N111" s="514" cm="1">
        <f t="array" ref="N111">SUM(H111:K111)</f>
        <v>117907117</v>
      </c>
      <c r="O111" s="513" cm="1">
        <f t="array" ref="O111">N111-N110</f>
        <v>-3000000</v>
      </c>
      <c r="P111" s="514" cm="1">
        <f t="array" ref="P111">SUM(H111:J111)</f>
        <v>106395099</v>
      </c>
      <c r="Q111" s="515" cm="1">
        <f t="array" ref="Q111">P111/'variables - Table 1-1'!B111</f>
        <v>119957.493178795</v>
      </c>
    </row>
    <row r="112" ht="20.35" customHeight="1">
      <c r="A112" s="186">
        <v>46262</v>
      </c>
      <c r="B112" s="512" cm="1">
        <f t="array" ref="B112">F112/F111-1</f>
        <v>-0.00825585084804108</v>
      </c>
      <c r="C112" s="513" cm="1">
        <f t="array" ref="C112">F112-F111</f>
        <v>-2217160.890018</v>
      </c>
      <c r="D112" s="514"/>
      <c r="E112" s="515" cm="1">
        <f t="array" ref="E112">F112/'variables - Table 1-1'!B112</f>
        <v>300289.935293957</v>
      </c>
      <c r="F112" s="443" cm="1">
        <f t="array" ref="F112">SUM(G112:K112)</f>
        <v>266339155.209622</v>
      </c>
      <c r="G112" s="514" cm="1">
        <f t="array" ref="G112">'depto - dividendos'!P36*'variables - Table 1-1'!D113</f>
        <v>151432038.209622</v>
      </c>
      <c r="H112" s="514" cm="1">
        <f t="array" ref="H112">'net worth - Table 1-3'!E113</f>
        <v>11447471</v>
      </c>
      <c r="I112" s="514" cm="1">
        <f t="array" ref="I112">'net worth - Table 1-2'!C112</f>
        <v>1693457</v>
      </c>
      <c r="J112" s="514" cm="1">
        <f t="array" ref="J112">'net worth - Table 1-3'!AH113</f>
        <v>93254171</v>
      </c>
      <c r="K112" s="443" cm="1">
        <f t="array" ref="K112">K111-3000000</f>
        <v>8512018</v>
      </c>
      <c r="L112" s="514" cm="1">
        <f t="array" ref="L112">SUM('net worth - Table 1-2-1'!F112:G112)</f>
        <v>74550663.497574</v>
      </c>
      <c r="M112" s="514" cm="1">
        <f t="array" ref="M112">-L112</f>
        <v>-74550663.497574</v>
      </c>
      <c r="N112" s="514" cm="1">
        <f t="array" ref="N112">SUM(H112:K112)</f>
        <v>114907117</v>
      </c>
      <c r="O112" s="513" cm="1">
        <f t="array" ref="O112">N112-N111</f>
        <v>-3000000</v>
      </c>
      <c r="P112" s="514" cm="1">
        <f t="array" ref="P112">SUM(H112:J112)</f>
        <v>106395099</v>
      </c>
      <c r="Q112" s="515" cm="1">
        <f t="array" ref="Q112">P112/'variables - Table 1-1'!B112</f>
        <v>119957.493178795</v>
      </c>
    </row>
    <row r="113" ht="20.35" customHeight="1">
      <c r="A113" s="186">
        <v>46293</v>
      </c>
      <c r="B113" s="512" cm="1">
        <f t="array" ref="B113">F113/F112-1</f>
        <v>-0.00545947158308201</v>
      </c>
      <c r="C113" s="513" cm="1">
        <f t="array" ref="C113">F113-F112</f>
        <v>-1454071.049329</v>
      </c>
      <c r="D113" s="514"/>
      <c r="E113" s="515" cm="1">
        <f t="array" ref="E113">F113/'variables - Table 1-1'!B113</f>
        <v>298650.510925534</v>
      </c>
      <c r="F113" s="443" cm="1">
        <f t="array" ref="F113">SUM(G113:K113)</f>
        <v>264885084.160293</v>
      </c>
      <c r="G113" s="514" cm="1">
        <f t="array" ref="G113">'depto - dividendos'!P37*'variables - Table 1-1'!D114</f>
        <v>152977967.160293</v>
      </c>
      <c r="H113" s="514" cm="1">
        <f t="array" ref="H113">'net worth - Table 1-3'!E114</f>
        <v>11447471</v>
      </c>
      <c r="I113" s="514" cm="1">
        <f t="array" ref="I113">'net worth - Table 1-2'!C113</f>
        <v>1693457</v>
      </c>
      <c r="J113" s="514" cm="1">
        <f t="array" ref="J113">'net worth - Table 1-3'!AH114</f>
        <v>93254171</v>
      </c>
      <c r="K113" s="443" cm="1">
        <f t="array" ref="K113">K112-3000000</f>
        <v>5512018</v>
      </c>
      <c r="L113" s="514" cm="1">
        <f t="array" ref="L113">SUM('net worth - Table 1-2-1'!F113:G113)</f>
        <v>73591744.7934815</v>
      </c>
      <c r="M113" s="514" cm="1">
        <f t="array" ref="M113">-L113</f>
        <v>-73591744.7934815</v>
      </c>
      <c r="N113" s="514" cm="1">
        <f t="array" ref="N113">SUM(H113:K113)</f>
        <v>111907117</v>
      </c>
      <c r="O113" s="513" cm="1">
        <f t="array" ref="O113">N113-N112</f>
        <v>-3000000</v>
      </c>
      <c r="P113" s="514" cm="1">
        <f t="array" ref="P113">SUM(H113:J113)</f>
        <v>106395099</v>
      </c>
      <c r="Q113" s="515" cm="1">
        <f t="array" ref="Q113">P113/'variables - Table 1-1'!B113</f>
        <v>119957.493178795</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K113"/>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3516" style="516" customWidth="1"/>
    <col min="2" max="11" width="18.1719" style="516" customWidth="1"/>
    <col min="12" max="16384" width="16.3516" style="516" customWidth="1"/>
  </cols>
  <sheetData>
    <row r="1" ht="20.55" customHeight="1">
      <c r="A1" s="7"/>
      <c r="B1" t="s" s="8">
        <v>811</v>
      </c>
      <c r="C1" t="s" s="8">
        <v>812</v>
      </c>
      <c r="D1" t="s" s="8">
        <v>813</v>
      </c>
      <c r="E1" t="s" s="8">
        <v>671</v>
      </c>
      <c r="F1" t="s" s="8">
        <v>814</v>
      </c>
      <c r="G1" t="s" s="8">
        <v>815</v>
      </c>
      <c r="H1" t="s" s="8">
        <v>816</v>
      </c>
      <c r="I1" t="s" s="8">
        <v>817</v>
      </c>
      <c r="J1" t="s" s="8">
        <v>818</v>
      </c>
      <c r="K1" t="s" s="8">
        <v>819</v>
      </c>
    </row>
    <row r="2" ht="8.75" customHeight="1" hidden="1">
      <c r="A2" s="400">
        <v>42887</v>
      </c>
      <c r="B2" s="517"/>
      <c r="C2" s="500"/>
      <c r="D2" s="500"/>
      <c r="E2" s="500"/>
      <c r="F2" s="500"/>
      <c r="G2" s="500"/>
      <c r="H2" s="500"/>
      <c r="I2" s="500"/>
      <c r="J2" s="500"/>
      <c r="K2" s="500"/>
    </row>
    <row r="3" ht="8.75" customHeight="1" hidden="1">
      <c r="A3" s="400">
        <v>42917</v>
      </c>
      <c r="B3" s="517"/>
      <c r="C3" s="500"/>
      <c r="D3" s="500"/>
      <c r="E3" s="500"/>
      <c r="F3" s="500"/>
      <c r="G3" s="500"/>
      <c r="H3" s="500"/>
      <c r="I3" s="500"/>
      <c r="J3" s="500"/>
      <c r="K3" s="500"/>
    </row>
    <row r="4" ht="8.75" customHeight="1" hidden="1">
      <c r="A4" s="400">
        <v>42948</v>
      </c>
      <c r="B4" s="517"/>
      <c r="C4" s="500"/>
      <c r="D4" s="500"/>
      <c r="E4" s="500"/>
      <c r="F4" s="500"/>
      <c r="G4" s="500"/>
      <c r="H4" s="500"/>
      <c r="I4" s="500"/>
      <c r="J4" s="500"/>
      <c r="K4" s="500"/>
    </row>
    <row r="5" ht="8.75" customHeight="1" hidden="1">
      <c r="A5" s="400">
        <v>42979</v>
      </c>
      <c r="B5" s="517"/>
      <c r="C5" s="500"/>
      <c r="D5" s="500"/>
      <c r="E5" s="500"/>
      <c r="F5" s="500"/>
      <c r="G5" s="500"/>
      <c r="H5" s="500"/>
      <c r="I5" s="500"/>
      <c r="J5" s="500"/>
      <c r="K5" s="500"/>
    </row>
    <row r="6" ht="8.75" customHeight="1" hidden="1">
      <c r="A6" s="400">
        <v>43009</v>
      </c>
      <c r="B6" s="517"/>
      <c r="C6" s="500"/>
      <c r="D6" s="500">
        <v>0</v>
      </c>
      <c r="E6" s="500"/>
      <c r="F6" s="500"/>
      <c r="G6" s="500"/>
      <c r="H6" s="500"/>
      <c r="I6" s="500"/>
      <c r="J6" s="500"/>
      <c r="K6" s="500"/>
    </row>
    <row r="7" ht="8.75" customHeight="1" hidden="1">
      <c r="A7" s="400">
        <v>43040</v>
      </c>
      <c r="B7" s="517">
        <v>1085518</v>
      </c>
      <c r="C7" s="500" cm="1">
        <f t="array" ref="C7">'net worth - Table 1-1'!I7</f>
        <v>1272218.01638091</v>
      </c>
      <c r="D7" s="500">
        <v>186700.01638091</v>
      </c>
      <c r="E7" s="500">
        <v>186700.01638091</v>
      </c>
      <c r="F7" s="500">
        <v>624323</v>
      </c>
      <c r="G7" s="500">
        <v>100000</v>
      </c>
      <c r="H7" s="500" cm="1">
        <f t="array" ref="H7">G7-G6</f>
        <v>100000</v>
      </c>
      <c r="I7" s="500" cm="1">
        <f t="array" ref="I7">C7-F7</f>
        <v>647895.0163809099</v>
      </c>
      <c r="J7" s="500">
        <v>86700.0163809099</v>
      </c>
      <c r="K7" s="500" cm="1">
        <f t="array" ref="K7">J7-J6</f>
        <v>86700.0163809099</v>
      </c>
    </row>
    <row r="8" ht="8.75" customHeight="1" hidden="1">
      <c r="A8" s="400">
        <v>43070</v>
      </c>
      <c r="B8" s="517">
        <v>2027375</v>
      </c>
      <c r="C8" s="500" cm="1">
        <f t="array" ref="C8">'net worth - Table 1-1'!I8</f>
        <v>3085682.42716018</v>
      </c>
      <c r="D8" s="500">
        <v>1058307.42716018</v>
      </c>
      <c r="E8" s="500">
        <v>868349.5478502701</v>
      </c>
      <c r="F8" s="500" cm="1">
        <f t="array" ref="F8">F9-H9+'cripto - Bitcoin – BTC'!E10</f>
        <v>1426999.82</v>
      </c>
      <c r="G8" s="500">
        <v>550081.8199999999</v>
      </c>
      <c r="H8" s="500" cm="1">
        <f t="array" ref="H8">G8-G7</f>
        <v>450081.82</v>
      </c>
      <c r="I8" s="500" cm="1">
        <f t="array" ref="I8">C8-F8</f>
        <v>1658682.60716018</v>
      </c>
      <c r="J8" s="500">
        <v>504967.74423118</v>
      </c>
      <c r="K8" s="500" cm="1">
        <f t="array" ref="K8">J8-J7</f>
        <v>418267.72785027</v>
      </c>
    </row>
    <row r="9" ht="8.75" customHeight="1" hidden="1">
      <c r="A9" s="400">
        <v>43101</v>
      </c>
      <c r="B9" s="517">
        <v>2106433.47910438</v>
      </c>
      <c r="C9" s="500" cm="1">
        <f t="array" ref="C9">'net worth - Table 1-1'!I9</f>
        <v>3257439.54698329</v>
      </c>
      <c r="D9" s="500">
        <v>1179114.4528136</v>
      </c>
      <c r="E9" s="500">
        <v>225071.431679315</v>
      </c>
      <c r="F9" s="500" cm="1">
        <f t="array" ref="F9">F10-H10+'cripto - Bitcoin – BTC'!E11</f>
        <v>515847.34012</v>
      </c>
      <c r="G9" s="500">
        <v>238929.34012</v>
      </c>
      <c r="H9" s="500">
        <v>-311152.47988</v>
      </c>
      <c r="I9" s="500" cm="1">
        <f t="array" ref="I9">C9-F9</f>
        <v>2741592.20686329</v>
      </c>
      <c r="J9" s="500">
        <v>1041908.82167274</v>
      </c>
      <c r="K9" s="500">
        <v>536941.077441557</v>
      </c>
    </row>
    <row r="10" ht="8.75" customHeight="1" hidden="1">
      <c r="A10" s="400">
        <v>43132</v>
      </c>
      <c r="B10" s="517">
        <v>2415469.47910438</v>
      </c>
      <c r="C10" s="500" cm="1">
        <f t="array" ref="C10">'net worth - Table 1-1'!I10</f>
        <v>2845882.11852465</v>
      </c>
      <c r="D10" s="500">
        <v>430412.639420264</v>
      </c>
      <c r="E10" s="500">
        <v>-756557.447899871</v>
      </c>
      <c r="F10" s="500" cm="1">
        <f t="array" ref="F10">F11-H11+'cripto - Bitcoin – BTC'!E12</f>
        <v>230971.41364</v>
      </c>
      <c r="G10" s="500">
        <v>222627.06364</v>
      </c>
      <c r="H10" s="500">
        <v>-16302.27648</v>
      </c>
      <c r="I10" s="500" cm="1">
        <f t="array" ref="I10">C10-F10</f>
        <v>2614910.70488465</v>
      </c>
      <c r="J10" s="500">
        <v>468166.318779626</v>
      </c>
      <c r="K10" s="500">
        <v>-573742.502893111</v>
      </c>
    </row>
    <row r="11" ht="8.75" customHeight="1" hidden="1">
      <c r="A11" s="400">
        <v>43160</v>
      </c>
      <c r="B11" s="517">
        <v>2615469.47910438</v>
      </c>
      <c r="C11" s="500" cm="1">
        <f t="array" ref="C11">'net worth - Table 1-1'!I11</f>
        <v>1531932.58652879</v>
      </c>
      <c r="D11" s="500">
        <v>-1083536.8925756</v>
      </c>
      <c r="E11" s="500">
        <v>-1468538.22783639</v>
      </c>
      <c r="F11" s="500" cm="1">
        <f t="array" ref="F11">F12-H12+'cripto - Bitcoin – BTC'!E13</f>
        <v>-1416.3355936</v>
      </c>
      <c r="G11" s="500">
        <v>-9760.685593599919</v>
      </c>
      <c r="H11" s="500">
        <v>-232387.7492336</v>
      </c>
      <c r="I11" s="500" cm="1">
        <f t="array" ref="I11">C11-F11</f>
        <v>1533348.92212239</v>
      </c>
      <c r="J11" s="500">
        <v>-649398.997448846</v>
      </c>
      <c r="K11" s="500">
        <v>-1117565.31622847</v>
      </c>
    </row>
    <row r="12" ht="8.75" customHeight="1" hidden="1">
      <c r="A12" s="400">
        <v>43191</v>
      </c>
      <c r="B12" s="517">
        <v>2615469.47910438</v>
      </c>
      <c r="C12" s="500" cm="1">
        <f t="array" ref="C12">'net worth - Table 1-1'!I12</f>
        <v>2079903.76684359</v>
      </c>
      <c r="D12" s="500">
        <v>-535565.7122607901</v>
      </c>
      <c r="E12" s="500">
        <v>524323.57887372</v>
      </c>
      <c r="F12" s="500" cm="1">
        <f t="array" ref="F12">F13-H13+'cripto - Bitcoin – BTC'!E14</f>
        <v>58540.28310688</v>
      </c>
      <c r="G12" s="500">
        <v>50195.9331068801</v>
      </c>
      <c r="H12" s="500">
        <v>59956.61870048</v>
      </c>
      <c r="I12" s="500" cm="1">
        <f t="array" ref="I12">C12-F12</f>
        <v>2021363.48373671</v>
      </c>
      <c r="J12" s="500">
        <v>-293513.979802815</v>
      </c>
      <c r="K12" s="500">
        <v>355885.017646031</v>
      </c>
    </row>
    <row r="13" ht="8.75" customHeight="1" hidden="1">
      <c r="A13" s="400">
        <v>43221</v>
      </c>
      <c r="B13" s="517">
        <v>2615469.47910438</v>
      </c>
      <c r="C13" s="500" cm="1">
        <f t="array" ref="C13">'net worth - Table 1-1'!I13</f>
        <v>2328343.29650014</v>
      </c>
      <c r="D13" s="500">
        <v>-287126.182604238</v>
      </c>
      <c r="E13" s="500">
        <v>251256.689167592</v>
      </c>
      <c r="F13" s="500" cm="1">
        <f t="array" ref="F13">F14-H14+'cripto - Bitcoin – BTC'!E15</f>
        <v>77172.44364624</v>
      </c>
      <c r="G13" s="500">
        <v>68828.0936462401</v>
      </c>
      <c r="H13" s="500">
        <v>18632.16053936</v>
      </c>
      <c r="I13" s="500" cm="1">
        <f t="array" ref="I13">C13-F13</f>
        <v>2251170.8528539</v>
      </c>
      <c r="J13" s="500">
        <v>-75275.638405994</v>
      </c>
      <c r="K13" s="500">
        <v>218238.341396821</v>
      </c>
    </row>
    <row r="14" ht="8.75" customHeight="1" hidden="1">
      <c r="A14" s="400">
        <v>43252</v>
      </c>
      <c r="B14" s="517">
        <v>2615469.47910438</v>
      </c>
      <c r="C14" s="500" cm="1">
        <f t="array" ref="C14">'net worth - Table 1-1'!I14</f>
        <v>1861409.13905278</v>
      </c>
      <c r="D14" s="500">
        <v>-754060.3400516</v>
      </c>
      <c r="E14" s="500">
        <v>-447886.542326655</v>
      </c>
      <c r="F14" s="500" cm="1">
        <f t="array" ref="F14">F15-H15+'cripto - Bitcoin – BTC'!E16</f>
        <v>13144.34575728</v>
      </c>
      <c r="G14" s="500">
        <v>4799.995757280030</v>
      </c>
      <c r="H14" s="500">
        <v>-64028.09788896</v>
      </c>
      <c r="I14" s="500" cm="1">
        <f t="array" ref="I14">C14-F14</f>
        <v>1848264.7932955</v>
      </c>
      <c r="J14" s="500">
        <v>-357130.700317173</v>
      </c>
      <c r="K14" s="500">
        <v>-281855.061911179</v>
      </c>
    </row>
    <row r="15" ht="8.75" customHeight="1" hidden="1">
      <c r="A15" s="400">
        <v>43282</v>
      </c>
      <c r="B15" s="517">
        <v>2615469.47910438</v>
      </c>
      <c r="C15" s="500" cm="1">
        <f t="array" ref="C15">'net worth - Table 1-1'!I15</f>
        <v>2137166.36338153</v>
      </c>
      <c r="D15" s="500">
        <v>-478303.115722851</v>
      </c>
      <c r="E15" s="500">
        <v>276192.095638372</v>
      </c>
      <c r="F15" s="500" cm="1">
        <f t="array" ref="F15">F16-H16+'cripto - Bitcoin – BTC'!E17</f>
        <v>141949.0082384</v>
      </c>
      <c r="G15" s="500">
        <v>133604.6582384</v>
      </c>
      <c r="H15" s="500">
        <v>128804.66248112</v>
      </c>
      <c r="I15" s="500" cm="1">
        <f t="array" ref="I15">C15-F15</f>
        <v>1995217.35514313</v>
      </c>
      <c r="J15" s="500">
        <v>-315159.151541154</v>
      </c>
      <c r="K15" s="500">
        <v>41971.5487760189</v>
      </c>
    </row>
    <row r="16" ht="8.75" customHeight="1" hidden="1">
      <c r="A16" s="400">
        <v>43313</v>
      </c>
      <c r="B16" s="517">
        <v>2615469.95634126</v>
      </c>
      <c r="C16" s="500" cm="1">
        <f t="array" ref="C16">'net worth - Table 1-1'!I16</f>
        <v>1552135.00955385</v>
      </c>
      <c r="D16" s="500">
        <v>-1063334.94678741</v>
      </c>
      <c r="E16" s="500">
        <v>-722246.088314671</v>
      </c>
      <c r="F16" s="500" cm="1">
        <f t="array" ref="F16">F17-H17+'cripto - Bitcoin – BTC'!E18</f>
        <v>87516.8935835201</v>
      </c>
      <c r="G16" s="500">
        <v>79172.543583520106</v>
      </c>
      <c r="H16" s="500">
        <v>-54432.11465488</v>
      </c>
      <c r="I16" s="500" cm="1">
        <f t="array" ref="I16">C16-F16</f>
        <v>1464618.11597033</v>
      </c>
      <c r="J16" s="500">
        <v>-913619.830356427</v>
      </c>
      <c r="K16" s="500">
        <v>-598460.678815273</v>
      </c>
    </row>
    <row r="17" ht="8.75" customHeight="1" hidden="1">
      <c r="A17" s="400">
        <v>43344</v>
      </c>
      <c r="B17" s="517">
        <v>2615469.95634126</v>
      </c>
      <c r="C17" s="500" cm="1">
        <f t="array" ref="C17">'net worth - Table 1-1'!I17</f>
        <v>1309430.12802105</v>
      </c>
      <c r="D17" s="500">
        <v>-1306039.82832022</v>
      </c>
      <c r="E17" s="500">
        <v>-242704.881532809</v>
      </c>
      <c r="F17" s="500" cm="1">
        <f t="array" ref="F17">F18-H18+'cripto - Bitcoin – BTC'!E19</f>
        <v>37023.63408464</v>
      </c>
      <c r="G17" s="500">
        <v>28679.28408464</v>
      </c>
      <c r="H17" s="500">
        <v>-50493.2594988801</v>
      </c>
      <c r="I17" s="500" cm="1">
        <f t="array" ref="I17">C17-F17</f>
        <v>1272406.49393641</v>
      </c>
      <c r="J17" s="500">
        <v>-1096199.4710324</v>
      </c>
      <c r="K17" s="500">
        <v>-182579.64067597</v>
      </c>
    </row>
    <row r="18" ht="8.75" customHeight="1" hidden="1">
      <c r="A18" s="400">
        <v>43374</v>
      </c>
      <c r="B18" s="517">
        <v>2615469.95634126</v>
      </c>
      <c r="C18" s="500" cm="1">
        <f t="array" ref="C18">'net worth - Table 1-1'!I18</f>
        <v>1247016.86883652</v>
      </c>
      <c r="D18" s="500">
        <v>-1368453.08750474</v>
      </c>
      <c r="E18" s="500">
        <v>-62413.2591845205</v>
      </c>
      <c r="F18" s="500" cm="1">
        <f t="array" ref="F18">F19-H19+'cripto - Bitcoin – BTC'!E20</f>
        <v>35708.848164</v>
      </c>
      <c r="G18" s="500">
        <v>27364.498164</v>
      </c>
      <c r="H18" s="500">
        <v>-1314.785920639990</v>
      </c>
      <c r="I18" s="500" cm="1">
        <f t="array" ref="I18">C18-F18</f>
        <v>1211308.02067252</v>
      </c>
      <c r="J18" s="500">
        <v>-1159389.04719069</v>
      </c>
      <c r="K18" s="500">
        <v>-63189.57615829</v>
      </c>
    </row>
    <row r="19" ht="8.75" customHeight="1" hidden="1">
      <c r="A19" s="400">
        <v>43405</v>
      </c>
      <c r="B19" s="517">
        <v>2615469.95634126</v>
      </c>
      <c r="C19" s="500" cm="1">
        <f t="array" ref="C19">'net worth - Table 1-1'!I19</f>
        <v>730535</v>
      </c>
      <c r="D19" s="500">
        <v>-1884934.90680106</v>
      </c>
      <c r="E19" s="500">
        <v>-516481.819296327</v>
      </c>
      <c r="F19" s="500" cm="1">
        <f t="array" ref="F19">F20-H20+'cripto - Bitcoin – BTC'!E21</f>
        <v>-157623.75096016</v>
      </c>
      <c r="G19" s="500">
        <v>-165968.10096016</v>
      </c>
      <c r="H19" s="500">
        <v>-193332.59912416</v>
      </c>
      <c r="I19" s="500" cm="1">
        <f t="array" ref="I19">C19-F19</f>
        <v>888158.75096016</v>
      </c>
      <c r="J19" s="500">
        <v>-1397527.8246398</v>
      </c>
      <c r="K19" s="500">
        <v>-238138.777449108</v>
      </c>
    </row>
    <row r="20" ht="8.75" customHeight="1" hidden="1">
      <c r="A20" s="400">
        <v>43435</v>
      </c>
      <c r="B20" s="517">
        <v>2615469.95634126</v>
      </c>
      <c r="C20" s="500" cm="1">
        <f t="array" ref="C20">'net worth - Table 1-1'!I20</f>
        <v>799676.480250241</v>
      </c>
      <c r="D20" s="500">
        <v>-1831543.98231812</v>
      </c>
      <c r="E20" s="500">
        <v>53390.9244829421</v>
      </c>
      <c r="F20" s="500" cm="1">
        <f t="array" ref="F20">F21-H21+'cripto - Bitcoin – BTC'!E22</f>
        <v>-147970.27110912</v>
      </c>
      <c r="G20" s="500">
        <v>-156314.62110912</v>
      </c>
      <c r="H20" s="500">
        <v>9653.47985104</v>
      </c>
      <c r="I20" s="500" cm="1">
        <f t="array" ref="I20">C20-F20</f>
        <v>947646.751359361</v>
      </c>
      <c r="J20" s="500">
        <v>-1324315.07433226</v>
      </c>
      <c r="K20" s="500">
        <v>73212.750307536</v>
      </c>
    </row>
    <row r="21" ht="8.75" customHeight="1" hidden="1">
      <c r="A21" s="400">
        <v>43466</v>
      </c>
      <c r="B21" s="517">
        <v>2615469.95634126</v>
      </c>
      <c r="C21" s="500" cm="1">
        <f t="array" ref="C21">'net worth - Table 1-1'!I21</f>
        <v>612249.3814257809</v>
      </c>
      <c r="D21" s="500">
        <v>-2003220.57491548</v>
      </c>
      <c r="E21" s="500">
        <v>-171676.592597359</v>
      </c>
      <c r="F21" s="500" cm="1">
        <f t="array" ref="F21">F22-H22+'cripto - Bitcoin – BTC'!E23</f>
        <v>-195451.58380432</v>
      </c>
      <c r="G21" s="500">
        <v>-203795.93380432</v>
      </c>
      <c r="H21" s="500">
        <v>-47481.3126952</v>
      </c>
      <c r="I21" s="500" cm="1">
        <f t="array" ref="I21">C21-F21</f>
        <v>807700.965230101</v>
      </c>
      <c r="J21" s="500">
        <v>-1421825.18281127</v>
      </c>
      <c r="K21" s="500">
        <v>-97510.108479006</v>
      </c>
    </row>
    <row r="22" ht="8.75" customHeight="1" hidden="1">
      <c r="A22" s="400">
        <v>43497</v>
      </c>
      <c r="B22" s="517">
        <v>2614230.72832726</v>
      </c>
      <c r="C22" s="500" cm="1">
        <f t="array" ref="C22">'net worth - Table 1-1'!I22</f>
        <v>734791.1948224111</v>
      </c>
      <c r="D22" s="500">
        <v>-1879439.53350485</v>
      </c>
      <c r="E22" s="500">
        <v>-253818.416889267</v>
      </c>
      <c r="F22" s="500" cm="1">
        <f t="array" ref="F22">F23-H23+'cripto - Bitcoin – BTC'!E24</f>
        <v>-170854.59844768</v>
      </c>
      <c r="G22" s="500">
        <v>-179198.94844768</v>
      </c>
      <c r="H22" s="500">
        <v>24596.98535664</v>
      </c>
      <c r="I22" s="500" cm="1">
        <f t="array" ref="I22">C22-F22</f>
        <v>905645.7932700909</v>
      </c>
      <c r="J22" s="500">
        <v>-1700240.58505717</v>
      </c>
      <c r="K22" s="500">
        <v>-278415.402245907</v>
      </c>
    </row>
    <row r="23" ht="8.75" customHeight="1" hidden="1">
      <c r="A23" s="400">
        <v>43525</v>
      </c>
      <c r="B23" s="517" cm="1">
        <f t="array" ref="B23">'net worth - resumen | depósitos'!N$115</f>
        <v>-9275350.271672741</v>
      </c>
      <c r="C23" s="500" cm="1">
        <f t="array" ref="C23">'net worth - Table 1-1'!I23</f>
        <v>775047.015227776</v>
      </c>
      <c r="D23" s="500">
        <v>-1842218.03901502</v>
      </c>
      <c r="E23" s="500">
        <v>37221.4944898289</v>
      </c>
      <c r="F23" s="500" cm="1">
        <f t="array" ref="F23">F24-H24+'cripto - Bitcoin – BTC'!E25</f>
        <v>-142179.39601776</v>
      </c>
      <c r="G23" s="500">
        <v>-150523.74601776</v>
      </c>
      <c r="H23" s="500">
        <v>28675.20242992</v>
      </c>
      <c r="I23" s="500" cm="1">
        <f t="array" ref="I23">C23-F23</f>
        <v>917226.4112455359</v>
      </c>
      <c r="J23" s="500">
        <v>-1691694.29299726</v>
      </c>
      <c r="K23" s="500">
        <v>8546.292059908850</v>
      </c>
    </row>
    <row r="24" ht="8.75" customHeight="1" hidden="1">
      <c r="A24" s="400">
        <v>43556</v>
      </c>
      <c r="B24" s="517">
        <v>2614230.72832726</v>
      </c>
      <c r="C24" s="500" cm="1">
        <f t="array" ref="C24">'net worth - Table 1-1'!I24</f>
        <v>974972.052838513</v>
      </c>
      <c r="D24" s="500">
        <v>-1639258.67548875</v>
      </c>
      <c r="E24" s="500">
        <v>202959.363526273</v>
      </c>
      <c r="F24" s="500" cm="1">
        <f t="array" ref="F24">F25-H25+'cripto - Bitcoin – BTC'!E26</f>
        <v>-56758.62618688</v>
      </c>
      <c r="G24" s="500">
        <v>-65102.97618688</v>
      </c>
      <c r="H24" s="500">
        <v>85420.76983088</v>
      </c>
      <c r="I24" s="500" cm="1">
        <f t="array" ref="I24">C24-F24</f>
        <v>1031730.67902539</v>
      </c>
      <c r="J24" s="500">
        <v>-1574155.69930187</v>
      </c>
      <c r="K24" s="500">
        <v>117538.593695393</v>
      </c>
    </row>
    <row r="25" ht="8.75" customHeight="1" hidden="1">
      <c r="A25" s="400">
        <v>43586</v>
      </c>
      <c r="B25" s="517">
        <v>2614230.72832726</v>
      </c>
      <c r="C25" s="500" cm="1">
        <f t="array" ref="C25">'net worth - Table 1-1'!I25</f>
        <v>1628405.46328578</v>
      </c>
      <c r="D25" s="500">
        <v>-985825.265041479</v>
      </c>
      <c r="E25" s="500">
        <v>653433.410447271</v>
      </c>
      <c r="F25" s="500" cm="1">
        <f t="array" ref="F25">F26-H26+'cripto - Bitcoin – BTC'!E27</f>
        <v>223655.18217904</v>
      </c>
      <c r="G25" s="500">
        <v>215310.83217904</v>
      </c>
      <c r="H25" s="500">
        <v>280413.80836592</v>
      </c>
      <c r="I25" s="500" cm="1">
        <f t="array" ref="I25">C25-F25</f>
        <v>1404750.28110674</v>
      </c>
      <c r="J25" s="500">
        <v>-1201136.09722052</v>
      </c>
      <c r="K25" s="500">
        <v>373019.602081351</v>
      </c>
    </row>
    <row r="26" ht="8.75" customHeight="1" hidden="1">
      <c r="A26" s="400">
        <v>43617</v>
      </c>
      <c r="B26" s="517">
        <v>2614230.72832726</v>
      </c>
      <c r="C26" s="500" cm="1">
        <f t="array" ref="C26">'net worth - Table 1-1'!I26</f>
        <v>1841750.60904509</v>
      </c>
      <c r="D26" s="500">
        <v>-772480.119282176</v>
      </c>
      <c r="E26" s="500">
        <v>213345.145759303</v>
      </c>
      <c r="F26" s="500" cm="1">
        <f t="array" ref="F26">F27-H27+'cripto - Bitcoin – BTC'!E28</f>
        <v>381199.28159184</v>
      </c>
      <c r="G26" s="500">
        <v>372854.93159184</v>
      </c>
      <c r="H26" s="500">
        <v>157544.0994128</v>
      </c>
      <c r="I26" s="500" cm="1">
        <f t="array" ref="I26">C26-F26</f>
        <v>1460551.32745325</v>
      </c>
      <c r="J26" s="500">
        <v>-1145335.05087402</v>
      </c>
      <c r="K26" s="500">
        <v>55801.0463465028</v>
      </c>
    </row>
    <row r="27" ht="8.75" customHeight="1" hidden="1">
      <c r="A27" s="400">
        <v>43647</v>
      </c>
      <c r="B27" s="517">
        <v>2614230.72832726</v>
      </c>
      <c r="C27" s="500" cm="1">
        <f t="array" ref="C27">'net worth - Table 1-1'!I27</f>
        <v>1556940.30871608</v>
      </c>
      <c r="D27" s="500">
        <v>-1057290.41961118</v>
      </c>
      <c r="E27" s="500">
        <v>-284810.300329</v>
      </c>
      <c r="F27" s="500" cm="1">
        <f t="array" ref="F27">F28-H28+'cripto - Bitcoin – BTC'!E29</f>
        <v>339481.21866032</v>
      </c>
      <c r="G27" s="500">
        <v>331136.86866032</v>
      </c>
      <c r="H27" s="500">
        <v>-41718.06293152</v>
      </c>
      <c r="I27" s="500" cm="1">
        <f t="array" ref="I27">C27-F27</f>
        <v>1217459.09005576</v>
      </c>
      <c r="J27" s="500">
        <v>-1388427.2882715</v>
      </c>
      <c r="K27" s="500">
        <v>-243092.23739748</v>
      </c>
    </row>
    <row r="28" ht="8.75" customHeight="1" hidden="1">
      <c r="A28" s="400">
        <v>43678</v>
      </c>
      <c r="B28" s="517">
        <v>2614230.72832726</v>
      </c>
      <c r="C28" s="500" cm="1">
        <f t="array" ref="C28">'net worth - Table 1-1'!I28</f>
        <v>1398277.84027799</v>
      </c>
      <c r="D28" s="500">
        <v>-1213861.17005774</v>
      </c>
      <c r="E28" s="500">
        <v>-156570.75044656</v>
      </c>
      <c r="F28" s="500" cm="1">
        <f t="array" ref="F28">F29-H29+'cripto - Bitcoin – BTC'!E30</f>
        <v>383023.67619952</v>
      </c>
      <c r="G28" s="500">
        <v>374679.32619952</v>
      </c>
      <c r="H28" s="500">
        <v>43542.4575392</v>
      </c>
      <c r="I28" s="500" cm="1">
        <f t="array" ref="I28">C28-F28</f>
        <v>1015254.16407847</v>
      </c>
      <c r="J28" s="500">
        <v>-1588540.49625726</v>
      </c>
      <c r="K28" s="500">
        <v>-200113.20798576</v>
      </c>
    </row>
    <row r="29" ht="8.75" customHeight="1" hidden="1">
      <c r="A29" s="400">
        <v>43709</v>
      </c>
      <c r="B29" s="517">
        <v>2614230.72832726</v>
      </c>
      <c r="C29" s="500" cm="1">
        <f t="array" ref="C29">'net worth - Table 1-1'!I29</f>
        <v>1349656.19038581</v>
      </c>
      <c r="D29" s="500">
        <v>-1264575</v>
      </c>
      <c r="E29" s="500">
        <v>-50713.36788371</v>
      </c>
      <c r="F29" s="500" cm="1">
        <f t="array" ref="F29">F30-H30+'cripto - Bitcoin – BTC'!E31</f>
        <v>218516.19744208</v>
      </c>
      <c r="G29" s="500">
        <v>210171.84744208</v>
      </c>
      <c r="H29" s="500">
        <v>-164507.47875744</v>
      </c>
      <c r="I29" s="500" cm="1">
        <f t="array" ref="I29">C29-F29</f>
        <v>1131139.99294373</v>
      </c>
      <c r="J29" s="500">
        <v>-1474746.38538353</v>
      </c>
      <c r="K29" s="500">
        <v>113794.11087373</v>
      </c>
    </row>
    <row r="30" ht="8.75" customHeight="1" hidden="1">
      <c r="A30" s="400">
        <v>43739</v>
      </c>
      <c r="B30" s="517">
        <v>2614230.72832726</v>
      </c>
      <c r="C30" s="500" cm="1">
        <f t="array" ref="C30">'net worth - Table 1-1'!I30</f>
        <v>1440647.38583084</v>
      </c>
      <c r="D30" s="500">
        <v>-1173583</v>
      </c>
      <c r="E30" s="500">
        <v>90991.19544503</v>
      </c>
      <c r="F30" s="500" cm="1">
        <f t="array" ref="F30">F31-H31+'cripto - Bitcoin – BTC'!E32</f>
        <v>306469.51357312</v>
      </c>
      <c r="G30" s="500">
        <v>298125.16357312</v>
      </c>
      <c r="H30" s="500">
        <v>87953.31613104</v>
      </c>
      <c r="I30" s="500" cm="1">
        <f t="array" ref="I30">C30-F30</f>
        <v>1134177.87225772</v>
      </c>
      <c r="J30" s="500">
        <v>-1471708.50606954</v>
      </c>
      <c r="K30" s="500">
        <v>3037.87931399</v>
      </c>
    </row>
    <row r="31" ht="8.75" customHeight="1" hidden="1">
      <c r="A31" s="400">
        <v>43770</v>
      </c>
      <c r="B31" s="517">
        <v>2614230.72832726</v>
      </c>
      <c r="C31" s="500" cm="1">
        <f t="array" ref="C31">'net worth - Table 1-1'!I31</f>
        <v>1312157.72832726</v>
      </c>
      <c r="D31" s="500">
        <v>-1302073</v>
      </c>
      <c r="E31" s="500">
        <v>-128489.8607738</v>
      </c>
      <c r="F31" s="500" cm="1">
        <f t="array" ref="F31">F32-H32+'cripto - Bitcoin – BTC'!E33</f>
        <v>235255.7984392</v>
      </c>
      <c r="G31" s="500">
        <v>226911.4484392</v>
      </c>
      <c r="H31" s="500">
        <v>-71213.715133920006</v>
      </c>
      <c r="I31" s="500" cm="1">
        <f t="array" ref="I31">C31-F31</f>
        <v>1076901.92988806</v>
      </c>
      <c r="J31" s="500">
        <v>-1528984.65170942</v>
      </c>
      <c r="K31" s="500">
        <v>-57276.14563988</v>
      </c>
    </row>
    <row r="32" ht="8.75" customHeight="1" hidden="1">
      <c r="A32" s="400">
        <v>43800</v>
      </c>
      <c r="B32" s="517">
        <v>2614230.72832726</v>
      </c>
      <c r="C32" s="500" cm="1">
        <f t="array" ref="C32">'net worth - Table 1-1'!I32</f>
        <v>1135089.40593884</v>
      </c>
      <c r="D32" s="500">
        <v>-1479141</v>
      </c>
      <c r="E32" s="500">
        <v>-177068.11911821</v>
      </c>
      <c r="F32" s="500" cm="1">
        <f t="array" ref="F32">F33-H33+'cripto - Bitcoin – BTC'!E34</f>
        <v>172131.3632</v>
      </c>
      <c r="G32" s="500">
        <v>163787.0132</v>
      </c>
      <c r="H32" s="500">
        <v>-63124.4352392</v>
      </c>
      <c r="I32" s="500" cm="1">
        <f t="array" ref="I32">C32-F32</f>
        <v>962958.04273884</v>
      </c>
      <c r="J32" s="500">
        <v>-1642928.33558843</v>
      </c>
      <c r="K32" s="500">
        <v>-113943.68387901</v>
      </c>
    </row>
    <row r="33" ht="8.75" customHeight="1" hidden="1">
      <c r="A33" s="400">
        <v>43831</v>
      </c>
      <c r="B33" s="517">
        <v>2614230.72832726</v>
      </c>
      <c r="C33" s="500" cm="1">
        <f t="array" ref="C33">'net worth - Table 1-1'!I33</f>
        <v>1566102.8329276</v>
      </c>
      <c r="D33" s="500">
        <v>-1048128</v>
      </c>
      <c r="E33" s="500">
        <v>431013.42698877</v>
      </c>
      <c r="F33" s="500" cm="1">
        <f t="array" ref="F33">F34-H34+'cripto - Bitcoin – BTC'!E35</f>
        <v>381792.21545424</v>
      </c>
      <c r="G33" s="500">
        <v>373447.86545424</v>
      </c>
      <c r="H33" s="500">
        <v>209660.85225424</v>
      </c>
      <c r="I33" s="500" cm="1">
        <f t="array" ref="I33">C33-F33</f>
        <v>1184310.61747336</v>
      </c>
      <c r="J33" s="500">
        <v>-1421575.7608539</v>
      </c>
      <c r="K33" s="500">
        <v>221352.57473453</v>
      </c>
    </row>
    <row r="34" ht="8.75" customHeight="1" hidden="1">
      <c r="A34" s="400">
        <v>43862</v>
      </c>
      <c r="B34" s="517">
        <v>2614230.72832726</v>
      </c>
      <c r="C34" s="500" cm="1">
        <f t="array" ref="C34">'net worth - Table 1-1'!I34</f>
        <v>1760275.73588172</v>
      </c>
      <c r="D34" s="500">
        <v>-853955</v>
      </c>
      <c r="E34" s="500">
        <v>194172.90295412</v>
      </c>
      <c r="F34" s="500" cm="1">
        <f t="array" ref="F34">F35-H35+'cripto - Bitcoin – BTC'!E36</f>
        <v>363674.60471744</v>
      </c>
      <c r="G34" s="500">
        <v>355330.25471744</v>
      </c>
      <c r="H34" s="500">
        <v>-18117.6107368</v>
      </c>
      <c r="I34" s="500" cm="1">
        <f t="array" ref="I34">C34-F34</f>
        <v>1396601.13116428</v>
      </c>
      <c r="J34" s="500">
        <v>-1209285.24716298</v>
      </c>
      <c r="K34" s="500">
        <v>212290.51369092</v>
      </c>
    </row>
    <row r="35" ht="8.75" customHeight="1" hidden="1">
      <c r="A35" s="400">
        <v>43891</v>
      </c>
      <c r="B35" s="517">
        <v>2614230.72832726</v>
      </c>
      <c r="C35" s="500" cm="1">
        <f t="array" ref="C35">'net worth - Table 1-1'!I35</f>
        <v>1203911.95825477</v>
      </c>
      <c r="D35" s="500">
        <v>-1410319</v>
      </c>
      <c r="E35" s="500">
        <v>-556363.7776269499</v>
      </c>
      <c r="F35" s="500" cm="1">
        <f t="array" ref="F35">F36-H36+'cripto - Bitcoin – BTC'!E37</f>
        <v>167812.71593744</v>
      </c>
      <c r="G35" s="500">
        <v>159468.36593744</v>
      </c>
      <c r="H35" s="500">
        <v>-195861.88878</v>
      </c>
      <c r="I35" s="500" cm="1">
        <f t="array" ref="I35">C35-F35</f>
        <v>1036099.24231733</v>
      </c>
      <c r="J35" s="500">
        <v>-1569787.13600993</v>
      </c>
      <c r="K35" s="500">
        <v>-360501.88884695</v>
      </c>
    </row>
    <row r="36" ht="8.75" customHeight="1" hidden="1">
      <c r="A36" s="400">
        <v>43922</v>
      </c>
      <c r="B36" s="517">
        <v>2614230.72832726</v>
      </c>
      <c r="C36" s="500" cm="1">
        <f t="array" ref="C36">'net worth - Table 1-1'!I36</f>
        <v>1712738.80073234</v>
      </c>
      <c r="D36" s="500">
        <v>-901492</v>
      </c>
      <c r="E36" s="500">
        <v>508826.84247757</v>
      </c>
      <c r="F36" s="500" cm="1">
        <f t="array" ref="F36">F37-H37+'cripto - Bitcoin – BTC'!E38</f>
        <v>364779.8424208</v>
      </c>
      <c r="G36" s="500">
        <v>356435.4924208</v>
      </c>
      <c r="H36" s="500">
        <v>196967.12648336</v>
      </c>
      <c r="I36" s="500" cm="1">
        <f t="array" ref="I36">C36-F36</f>
        <v>1347958.95831154</v>
      </c>
      <c r="J36" s="500">
        <v>-1257927.42001572</v>
      </c>
      <c r="K36" s="500">
        <v>311859.71599421</v>
      </c>
    </row>
    <row r="37" ht="8.75" customHeight="1" hidden="1">
      <c r="A37" s="400">
        <v>43952</v>
      </c>
      <c r="B37" s="517">
        <v>2614230.72832726</v>
      </c>
      <c r="C37" s="500" cm="1">
        <f t="array" ref="C37">'net worth - Table 1-1'!I37</f>
        <v>1812397.57273379</v>
      </c>
      <c r="D37" s="500">
        <v>-801833</v>
      </c>
      <c r="E37" s="500">
        <v>99658.772001449994</v>
      </c>
      <c r="F37" s="500" cm="1">
        <f t="array" ref="F37">F38-H38+'cripto - Bitcoin – BTC'!E39</f>
        <v>401880.99438928</v>
      </c>
      <c r="G37" s="500">
        <v>393536.64438928</v>
      </c>
      <c r="H37" s="500">
        <v>37101.15196848</v>
      </c>
      <c r="I37" s="500" cm="1">
        <f t="array" ref="I37">C37-F37</f>
        <v>1410516.57834451</v>
      </c>
      <c r="J37" s="500">
        <v>-1195369.79998275</v>
      </c>
      <c r="K37" s="500">
        <v>62557.62003297</v>
      </c>
    </row>
    <row r="38" ht="8.75" customHeight="1" hidden="1">
      <c r="A38" s="400">
        <v>43983</v>
      </c>
      <c r="B38" s="517">
        <v>2614230.72832726</v>
      </c>
      <c r="C38" s="500" cm="1">
        <f t="array" ref="C38">'net worth - Table 1-1'!I38</f>
        <v>1817898.81380535</v>
      </c>
      <c r="D38" s="500">
        <v>-796332</v>
      </c>
      <c r="E38" s="500">
        <v>5501.24107156</v>
      </c>
      <c r="F38" s="500" cm="1">
        <f t="array" ref="F38">F39-H39+'cripto - Bitcoin – BTC'!E40</f>
        <v>395890.902504</v>
      </c>
      <c r="G38" s="500">
        <v>387546.552504</v>
      </c>
      <c r="H38" s="500">
        <v>-5990.09188528</v>
      </c>
      <c r="I38" s="500" cm="1">
        <f t="array" ref="I38">C38-F38</f>
        <v>1422007.91130135</v>
      </c>
      <c r="J38" s="500">
        <v>-1183878.46702591</v>
      </c>
      <c r="K38" s="500">
        <v>11491.33295684</v>
      </c>
    </row>
    <row r="39" ht="8.75" customHeight="1" hidden="1">
      <c r="A39" s="400">
        <v>44013</v>
      </c>
      <c r="B39" s="517">
        <v>2614230.72832726</v>
      </c>
      <c r="C39" s="500" cm="1">
        <f t="array" ref="C39">'net worth - Table 1-1'!I39</f>
        <v>2334350.11753781</v>
      </c>
      <c r="D39" s="500">
        <v>-279881</v>
      </c>
      <c r="E39" s="500">
        <v>516451.30373246</v>
      </c>
      <c r="F39" s="500" cm="1">
        <f t="array" ref="F39">F40-H40+'cripto - Bitcoin – BTC'!E41</f>
        <v>517582.94149216</v>
      </c>
      <c r="G39" s="500">
        <v>509238.59149216</v>
      </c>
      <c r="H39" s="500">
        <v>121692.03898816</v>
      </c>
      <c r="I39" s="500" cm="1">
        <f t="array" ref="I39">C39-F39</f>
        <v>1816767.17604565</v>
      </c>
      <c r="J39" s="500">
        <v>-789119.20228161</v>
      </c>
      <c r="K39" s="500">
        <v>394759.2647443</v>
      </c>
    </row>
    <row r="40" ht="8.75" customHeight="1" hidden="1">
      <c r="A40" s="400">
        <v>44044</v>
      </c>
      <c r="B40" s="517">
        <v>2614230.72832726</v>
      </c>
      <c r="C40" s="500" cm="1">
        <f t="array" ref="C40">'net worth - Table 1-1'!I40</f>
        <v>2807232.1707909</v>
      </c>
      <c r="D40" s="500">
        <v>193001</v>
      </c>
      <c r="E40" s="500">
        <v>472882.05325309</v>
      </c>
      <c r="F40" s="500" cm="1">
        <f t="array" ref="F40">F41-H41+'cripto - Bitcoin – BTC'!E42</f>
        <v>578623.4612608</v>
      </c>
      <c r="G40" s="500">
        <v>570279.1112608</v>
      </c>
      <c r="H40" s="500">
        <v>61040.51976864</v>
      </c>
      <c r="I40" s="500" cm="1">
        <f t="array" ref="I40">C40-F40</f>
        <v>2228608.7095301</v>
      </c>
      <c r="J40" s="500">
        <v>-377277.66879716</v>
      </c>
      <c r="K40" s="500">
        <v>411841.53348445</v>
      </c>
    </row>
    <row r="41" ht="8.75" customHeight="1" hidden="1">
      <c r="A41" s="400">
        <v>44075</v>
      </c>
      <c r="B41" s="517">
        <v>2614230.72832726</v>
      </c>
      <c r="C41" s="500" cm="1">
        <f t="array" ref="C41">'net worth - Table 1-1'!I41</f>
        <v>2409646.42011145</v>
      </c>
      <c r="D41" s="500">
        <v>-204584</v>
      </c>
      <c r="E41" s="500">
        <v>-397585.75067945</v>
      </c>
      <c r="F41" s="500" cm="1">
        <f t="array" ref="F41">F42-H42+'cripto - Bitcoin – BTC'!E43</f>
        <v>506302.26246192</v>
      </c>
      <c r="G41" s="500">
        <v>497957.91246192</v>
      </c>
      <c r="H41" s="500">
        <v>-72321.19879888</v>
      </c>
      <c r="I41" s="500" cm="1">
        <f t="array" ref="I41">C41-F41</f>
        <v>1903344.15764953</v>
      </c>
      <c r="J41" s="500">
        <v>-702542.22067773</v>
      </c>
      <c r="K41" s="500">
        <v>-325264.55188057</v>
      </c>
    </row>
    <row r="42" ht="8.75" customHeight="1" hidden="1">
      <c r="A42" s="400">
        <v>44105</v>
      </c>
      <c r="B42" s="517">
        <v>2614230.72832726</v>
      </c>
      <c r="C42" s="500" cm="1">
        <f t="array" ref="C42">'net worth - Table 1-1'!I42</f>
        <v>2757821.48886042</v>
      </c>
      <c r="D42" s="500">
        <v>143591</v>
      </c>
      <c r="E42" s="500">
        <v>348175.06874897</v>
      </c>
      <c r="F42" s="500" cm="1">
        <f t="array" ref="F42">F43-H43+'cripto - Bitcoin – BTC'!E44</f>
        <v>754356.25609504</v>
      </c>
      <c r="G42" s="500">
        <v>746011.90609504</v>
      </c>
      <c r="H42" s="500">
        <v>248053.99363312</v>
      </c>
      <c r="I42" s="500" cm="1">
        <f t="array" ref="I42">C42-F42</f>
        <v>2003465.23276538</v>
      </c>
      <c r="J42" s="500">
        <v>-602421.14556188</v>
      </c>
      <c r="K42" s="500">
        <v>100121.07511585</v>
      </c>
    </row>
    <row r="43" ht="8.75" customHeight="1" hidden="1">
      <c r="A43" s="400">
        <v>44136</v>
      </c>
      <c r="B43" s="517">
        <v>2614230.72832726</v>
      </c>
      <c r="C43" s="500" cm="1">
        <f t="array" ref="C43">'net worth - Table 1-1'!I43</f>
        <v>4029227.007488</v>
      </c>
      <c r="D43" s="500">
        <v>1414996</v>
      </c>
      <c r="E43" s="500">
        <v>1271405.51862758</v>
      </c>
      <c r="F43" s="500" cm="1">
        <f t="array" ref="F43">F44-H44+'cripto - Bitcoin – BTC'!E45</f>
        <v>1213559.72533088</v>
      </c>
      <c r="G43" s="500">
        <v>1205215.37533088</v>
      </c>
      <c r="H43" s="500">
        <v>459203.46923584</v>
      </c>
      <c r="I43" s="500" cm="1">
        <f t="array" ref="I43">C43-F43</f>
        <v>2815667.28215712</v>
      </c>
      <c r="J43" s="500">
        <v>209780.90382986</v>
      </c>
      <c r="K43" s="500">
        <v>812202.04939174</v>
      </c>
    </row>
    <row r="44" ht="8.75" customHeight="1" hidden="1">
      <c r="A44" s="400">
        <v>44166</v>
      </c>
      <c r="B44" s="517">
        <v>2614230.72832726</v>
      </c>
      <c r="C44" s="500" cm="1">
        <f t="array" ref="C44">'net worth - Table 1-1'!I44</f>
        <v>5210367.98902395</v>
      </c>
      <c r="D44" s="500">
        <v>2596137</v>
      </c>
      <c r="E44" s="500">
        <v>1181140.98153595</v>
      </c>
      <c r="F44" s="500" cm="1">
        <f t="array" ref="F44">F45-H45+'cripto - Bitcoin – BTC'!E46</f>
        <v>1974983.38100128</v>
      </c>
      <c r="G44" s="500">
        <v>1966639.03100128</v>
      </c>
      <c r="H44" s="500">
        <v>761423.6556704</v>
      </c>
      <c r="I44" s="500" cm="1">
        <f t="array" ref="I44">C44-F44</f>
        <v>3235384.60802267</v>
      </c>
      <c r="J44" s="500">
        <v>629498.22969541</v>
      </c>
      <c r="K44" s="500">
        <v>419717.32586555</v>
      </c>
    </row>
    <row r="45" ht="8.75" customHeight="1" hidden="1">
      <c r="A45" s="400">
        <v>44197</v>
      </c>
      <c r="B45" s="517">
        <v>414230.72832726</v>
      </c>
      <c r="C45" s="500" cm="1">
        <f t="array" ref="C45">'net worth - Table 1-1'!I45</f>
        <v>5366295.34218973</v>
      </c>
      <c r="D45" s="500">
        <v>4952065</v>
      </c>
      <c r="E45" s="500">
        <v>2355927.35316578</v>
      </c>
      <c r="F45" s="500" cm="1">
        <f t="array" ref="F45">F46-H46+'cripto - Bitcoin – BTC'!E47</f>
        <v>2333646.0336916</v>
      </c>
      <c r="G45" s="500">
        <v>2325301.6836916</v>
      </c>
      <c r="H45" s="500">
        <v>358662.65269032</v>
      </c>
      <c r="I45" s="500" cm="1">
        <f t="array" ref="I45">C45-F45</f>
        <v>3032649.30849813</v>
      </c>
      <c r="J45" s="500">
        <v>2626762.93017087</v>
      </c>
      <c r="K45" s="500">
        <v>1997264.70047546</v>
      </c>
    </row>
    <row r="46" ht="8.75" customHeight="1" hidden="1">
      <c r="A46" s="400">
        <v>44228</v>
      </c>
      <c r="B46" s="517">
        <v>-1085769.27167274</v>
      </c>
      <c r="C46" s="500">
        <v>5389762.72261818</v>
      </c>
      <c r="D46" s="500">
        <v>6475532</v>
      </c>
      <c r="E46" s="500">
        <v>1523467.38042845</v>
      </c>
      <c r="F46" s="500">
        <v>2736193.37844168</v>
      </c>
      <c r="G46" s="500">
        <v>3327849.02844168</v>
      </c>
      <c r="H46" s="500">
        <v>1002547.34475008</v>
      </c>
      <c r="I46" s="500">
        <v>2653569.3441765</v>
      </c>
      <c r="J46" s="500">
        <v>3147682.96584924</v>
      </c>
      <c r="K46" s="500">
        <v>520920.03567837</v>
      </c>
    </row>
    <row r="47" ht="8.75" customHeight="1" hidden="1">
      <c r="A47" s="400">
        <v>44256</v>
      </c>
      <c r="B47" s="517">
        <v>-1085769.27167274</v>
      </c>
      <c r="C47" s="500">
        <v>6549555.34833119</v>
      </c>
      <c r="D47" s="500">
        <v>7635325</v>
      </c>
      <c r="E47" s="500">
        <v>1159792.62571301</v>
      </c>
      <c r="F47" s="500">
        <v>3280671.18223918</v>
      </c>
      <c r="G47" s="500">
        <v>3872326.83223918</v>
      </c>
      <c r="H47" s="500">
        <v>544477.8037975</v>
      </c>
      <c r="I47" s="500">
        <v>3268884.16609201</v>
      </c>
      <c r="J47" s="500">
        <v>3762997.78776475</v>
      </c>
      <c r="K47" s="500">
        <v>615314.82191551</v>
      </c>
    </row>
    <row r="48" ht="8.75" customHeight="1" hidden="1">
      <c r="A48" s="400">
        <v>44287</v>
      </c>
      <c r="B48" s="517">
        <v>-1085769.27167274</v>
      </c>
      <c r="C48" s="500">
        <v>7930245.30411674</v>
      </c>
      <c r="D48" s="500">
        <v>9016015</v>
      </c>
      <c r="E48" s="500">
        <v>1380689.95578555</v>
      </c>
      <c r="F48" s="500">
        <v>3165777.15640646</v>
      </c>
      <c r="G48" s="500">
        <v>3757432.80640646</v>
      </c>
      <c r="H48" s="500">
        <v>-114894.02583272</v>
      </c>
      <c r="I48" s="500">
        <v>4764468.14771028</v>
      </c>
      <c r="J48" s="500">
        <v>5258581.76938302</v>
      </c>
      <c r="K48" s="500">
        <v>1495583.98161827</v>
      </c>
    </row>
    <row r="49" ht="8.75" customHeight="1" hidden="1">
      <c r="A49" s="400">
        <v>44317</v>
      </c>
      <c r="B49" s="517">
        <v>-2085769.27167274</v>
      </c>
      <c r="C49" s="500">
        <v>5478561.88185146</v>
      </c>
      <c r="D49" s="500">
        <v>7564331</v>
      </c>
      <c r="E49" s="500">
        <v>-1451683.42226528</v>
      </c>
      <c r="F49" s="500">
        <v>2055267.22257168</v>
      </c>
      <c r="G49" s="500">
        <v>2646922.87257168</v>
      </c>
      <c r="H49" s="500">
        <v>-1110509.93383478</v>
      </c>
      <c r="I49" s="500">
        <v>3423294.65927978</v>
      </c>
      <c r="J49" s="500">
        <v>4917408.28095252</v>
      </c>
      <c r="K49" s="500">
        <v>-341173.4884305</v>
      </c>
    </row>
    <row r="50" ht="8.75" customHeight="1" hidden="1">
      <c r="A50" s="400">
        <v>44348</v>
      </c>
      <c r="B50" s="517">
        <v>-2085769.27167274</v>
      </c>
      <c r="C50" s="500">
        <v>4823022.64683086</v>
      </c>
      <c r="D50" s="500">
        <v>6908792</v>
      </c>
      <c r="E50" s="500">
        <v>-655539.2350206</v>
      </c>
      <c r="F50" s="500">
        <v>1929827.92571604</v>
      </c>
      <c r="G50" s="500">
        <v>2521483.57571604</v>
      </c>
      <c r="H50" s="500">
        <v>-125439.29685564</v>
      </c>
      <c r="I50" s="500">
        <v>2893194.72111482</v>
      </c>
      <c r="J50" s="500">
        <v>4387308.34278756</v>
      </c>
      <c r="K50" s="500">
        <v>-530099.93816496</v>
      </c>
    </row>
    <row r="51" ht="8.75" customHeight="1" hidden="1">
      <c r="A51" s="400">
        <v>44378</v>
      </c>
      <c r="B51" s="517">
        <v>-2085769.27167274</v>
      </c>
      <c r="C51" s="500">
        <v>5742654</v>
      </c>
      <c r="D51" s="500">
        <v>7828423</v>
      </c>
      <c r="E51" s="500">
        <v>919631.3531691401</v>
      </c>
      <c r="F51" s="500">
        <v>2419943.87635276</v>
      </c>
      <c r="G51" s="500">
        <v>3011599.65</v>
      </c>
      <c r="H51" s="500">
        <v>490116.07428396</v>
      </c>
      <c r="I51" s="500">
        <v>3322709.62191557</v>
      </c>
      <c r="J51" s="500">
        <v>4816823.62167274</v>
      </c>
      <c r="K51" s="500">
        <v>429515.27888518</v>
      </c>
    </row>
    <row r="52" ht="8.75" customHeight="1" hidden="1">
      <c r="A52" s="400">
        <v>44409</v>
      </c>
      <c r="B52" s="517">
        <v>-2085769.27167274</v>
      </c>
      <c r="C52" s="500">
        <v>7594332</v>
      </c>
      <c r="D52" s="500">
        <v>9680101</v>
      </c>
      <c r="E52" s="500">
        <v>1851678</v>
      </c>
      <c r="F52" s="500">
        <v>2798449.94136334</v>
      </c>
      <c r="G52" s="500">
        <v>3390105.65</v>
      </c>
      <c r="H52" s="500">
        <v>378506</v>
      </c>
      <c r="I52" s="500">
        <v>4795882.44641472</v>
      </c>
      <c r="J52" s="500">
        <v>6289995.62167274</v>
      </c>
      <c r="K52" s="500">
        <v>1473172</v>
      </c>
    </row>
    <row r="53" ht="8.75" customHeight="1" hidden="1">
      <c r="A53" s="400">
        <v>44440</v>
      </c>
      <c r="B53" s="517">
        <v>-2085769.27167274</v>
      </c>
      <c r="C53" s="500">
        <v>7890259</v>
      </c>
      <c r="D53" s="500">
        <v>9976028</v>
      </c>
      <c r="E53" s="500">
        <v>295927</v>
      </c>
      <c r="F53" s="500">
        <v>2958850.15275607</v>
      </c>
      <c r="G53" s="500">
        <v>3550505.65</v>
      </c>
      <c r="H53" s="500">
        <v>160400</v>
      </c>
      <c r="I53" s="500">
        <v>4931408.5319745</v>
      </c>
      <c r="J53" s="500">
        <v>6425522.62167274</v>
      </c>
      <c r="K53" s="500">
        <v>135527</v>
      </c>
    </row>
    <row r="54" ht="8.75" customHeight="1" hidden="1">
      <c r="A54" s="400">
        <v>44470</v>
      </c>
      <c r="B54" s="517">
        <v>-2085769.27167274</v>
      </c>
      <c r="C54" s="500">
        <v>10132393</v>
      </c>
      <c r="D54" s="500">
        <v>12218162</v>
      </c>
      <c r="E54" s="500">
        <v>2242134</v>
      </c>
      <c r="F54" s="500">
        <v>3832448.56451661</v>
      </c>
      <c r="G54" s="500">
        <v>4424104.65</v>
      </c>
      <c r="H54" s="500">
        <v>873599</v>
      </c>
      <c r="I54" s="500">
        <v>6299943.79281558</v>
      </c>
      <c r="J54" s="500">
        <v>7794057.62167274</v>
      </c>
      <c r="K54" s="500">
        <v>1368535</v>
      </c>
    </row>
    <row r="55" ht="8.75" customHeight="1" hidden="1">
      <c r="A55" s="400">
        <v>44501</v>
      </c>
      <c r="B55" s="517">
        <v>-2085769.27167274</v>
      </c>
      <c r="C55" s="500">
        <v>10582141</v>
      </c>
      <c r="D55" s="500">
        <v>12667910</v>
      </c>
      <c r="E55" s="500">
        <v>449748</v>
      </c>
      <c r="F55" s="500">
        <v>3646764.799154</v>
      </c>
      <c r="G55" s="500">
        <v>4238420.65</v>
      </c>
      <c r="H55" s="500">
        <v>-185684</v>
      </c>
      <c r="I55" s="500">
        <v>6935375.65557056</v>
      </c>
      <c r="J55" s="500">
        <v>8429489.62167274</v>
      </c>
      <c r="K55" s="500">
        <v>635432</v>
      </c>
    </row>
    <row r="56" ht="8.75" customHeight="1" hidden="1">
      <c r="A56" s="400">
        <v>44531</v>
      </c>
      <c r="B56" s="517">
        <v>-2085769.27167274</v>
      </c>
      <c r="C56" s="500">
        <v>8730136</v>
      </c>
      <c r="D56" s="500">
        <v>10815905</v>
      </c>
      <c r="E56" s="500">
        <v>-1852005</v>
      </c>
      <c r="F56" s="500">
        <v>3040288.95486351</v>
      </c>
      <c r="G56" s="500">
        <v>3631944.65</v>
      </c>
      <c r="H56" s="500">
        <v>-606476</v>
      </c>
      <c r="I56" s="500">
        <v>5689846.62238822</v>
      </c>
      <c r="J56" s="500">
        <v>7183960.62167274</v>
      </c>
      <c r="K56" s="500">
        <v>-1245529</v>
      </c>
    </row>
    <row r="57" ht="8.75" customHeight="1" hidden="1">
      <c r="A57" s="400">
        <v>44562</v>
      </c>
      <c r="B57" s="517">
        <v>-2085769.27167274</v>
      </c>
      <c r="C57" s="500">
        <v>6238387</v>
      </c>
      <c r="D57" s="500">
        <v>8324156</v>
      </c>
      <c r="E57" s="500">
        <v>-2491749</v>
      </c>
      <c r="F57" s="500">
        <v>2363116.86715561</v>
      </c>
      <c r="G57" s="500">
        <v>2954772.65</v>
      </c>
      <c r="H57" s="500">
        <v>-677172</v>
      </c>
      <c r="I57" s="500">
        <v>3875270.2511935</v>
      </c>
      <c r="J57" s="500">
        <v>5369383.62167274</v>
      </c>
      <c r="K57" s="500">
        <v>-1814577</v>
      </c>
    </row>
    <row r="58" ht="8.75" customHeight="1" hidden="1">
      <c r="A58" s="400">
        <v>44593</v>
      </c>
      <c r="B58" s="517">
        <v>-2085769.27167274</v>
      </c>
      <c r="C58" s="500">
        <v>6847253</v>
      </c>
      <c r="D58" s="500">
        <v>8933022</v>
      </c>
      <c r="E58" s="500">
        <v>608866</v>
      </c>
      <c r="F58" s="500">
        <v>2644711.31285309</v>
      </c>
      <c r="G58" s="500">
        <v>3236366.65</v>
      </c>
      <c r="H58" s="500">
        <v>281594</v>
      </c>
      <c r="I58" s="500">
        <v>4202541.96415034</v>
      </c>
      <c r="J58" s="500">
        <v>5696655.62167274</v>
      </c>
      <c r="K58" s="500">
        <v>327272</v>
      </c>
    </row>
    <row r="59" ht="8.75" customHeight="1" hidden="1">
      <c r="A59" s="400">
        <v>44621</v>
      </c>
      <c r="B59" s="517">
        <v>-2085769.27167274</v>
      </c>
      <c r="C59" s="500">
        <v>7437840</v>
      </c>
      <c r="D59" s="500">
        <v>9523609</v>
      </c>
      <c r="E59" s="500">
        <v>590587</v>
      </c>
      <c r="F59" s="500">
        <v>2766499.27801642</v>
      </c>
      <c r="G59" s="500">
        <v>3358154.65</v>
      </c>
      <c r="H59" s="500">
        <v>121788</v>
      </c>
      <c r="I59" s="500">
        <v>4671340.61802548</v>
      </c>
      <c r="J59" s="500">
        <v>6165454.62167274</v>
      </c>
      <c r="K59" s="500">
        <v>468799</v>
      </c>
    </row>
    <row r="60" ht="8.75" customHeight="1" hidden="1">
      <c r="A60" s="400">
        <v>44652</v>
      </c>
      <c r="B60" s="517">
        <v>-2085769.27167274</v>
      </c>
      <c r="C60" s="500">
        <v>6723473</v>
      </c>
      <c r="D60" s="500">
        <v>8809242</v>
      </c>
      <c r="E60" s="500">
        <v>-714367</v>
      </c>
      <c r="F60" s="500">
        <v>2471954.77217165</v>
      </c>
      <c r="G60" s="500">
        <v>3063610.65</v>
      </c>
      <c r="H60" s="500">
        <v>-294544</v>
      </c>
      <c r="I60" s="500">
        <v>4251518.35200919</v>
      </c>
      <c r="J60" s="500">
        <v>5745631.62167274</v>
      </c>
      <c r="K60" s="500">
        <v>-419823</v>
      </c>
    </row>
    <row r="61" ht="8.75" customHeight="1" hidden="1">
      <c r="A61" s="400">
        <v>44682</v>
      </c>
      <c r="B61" s="517">
        <v>-2085769.27167274</v>
      </c>
      <c r="C61" s="500">
        <v>4904826</v>
      </c>
      <c r="D61" s="500">
        <v>6990595</v>
      </c>
      <c r="E61" s="500">
        <v>-1818647</v>
      </c>
      <c r="F61" s="500">
        <v>2008106.71459271</v>
      </c>
      <c r="G61" s="500">
        <v>2599762.65</v>
      </c>
      <c r="H61" s="500">
        <v>-463848</v>
      </c>
      <c r="I61" s="500">
        <v>2896718.52158563</v>
      </c>
      <c r="J61" s="500">
        <v>4390832.62167274</v>
      </c>
      <c r="K61" s="500">
        <v>-1354799</v>
      </c>
    </row>
    <row r="62" ht="8.75" customHeight="1" hidden="1">
      <c r="A62" s="400">
        <v>44713</v>
      </c>
      <c r="B62" s="517">
        <v>-2085769.27167274</v>
      </c>
      <c r="C62" s="500">
        <v>3258118</v>
      </c>
      <c r="D62" s="500">
        <v>5343887</v>
      </c>
      <c r="E62" s="500">
        <v>-1646708</v>
      </c>
      <c r="F62" s="500">
        <v>1419696.55101699</v>
      </c>
      <c r="G62" s="500">
        <v>2011352.65</v>
      </c>
      <c r="H62" s="500">
        <v>-588410</v>
      </c>
      <c r="I62" s="500">
        <v>1838420.78371044</v>
      </c>
      <c r="J62" s="500">
        <v>3332534.62167274</v>
      </c>
      <c r="K62" s="500">
        <v>-1058298</v>
      </c>
    </row>
    <row r="63" ht="8.75" customHeight="1" hidden="1">
      <c r="A63" s="400">
        <v>44743</v>
      </c>
      <c r="B63" s="517">
        <v>-2085769.27167274</v>
      </c>
      <c r="C63" s="500">
        <v>4418151</v>
      </c>
      <c r="D63" s="500">
        <v>6503920</v>
      </c>
      <c r="E63" s="500">
        <v>1160033</v>
      </c>
      <c r="F63" s="500">
        <v>1642867.59960401</v>
      </c>
      <c r="G63" s="500">
        <v>2234523.65</v>
      </c>
      <c r="H63" s="500">
        <v>223171</v>
      </c>
      <c r="I63" s="500">
        <v>2775283.03847002</v>
      </c>
      <c r="J63" s="500">
        <v>4269396.62167274</v>
      </c>
      <c r="K63" s="500">
        <v>936862</v>
      </c>
    </row>
    <row r="64" ht="8.75" customHeight="1" hidden="1">
      <c r="A64" s="400">
        <v>44774</v>
      </c>
      <c r="B64" s="517">
        <v>-2085769.27167274</v>
      </c>
      <c r="C64" s="500">
        <v>3909076</v>
      </c>
      <c r="D64" s="500">
        <v>5994845</v>
      </c>
      <c r="E64" s="500">
        <v>-509075</v>
      </c>
      <c r="F64" s="500">
        <v>1383570.97492305</v>
      </c>
      <c r="G64" s="500">
        <v>1975226.65</v>
      </c>
      <c r="H64" s="500">
        <v>-259297</v>
      </c>
      <c r="I64" s="500">
        <v>2525504.61813957</v>
      </c>
      <c r="J64" s="500">
        <v>4019618.62167274</v>
      </c>
      <c r="K64" s="500">
        <v>-249778</v>
      </c>
    </row>
    <row r="65" ht="8.75" customHeight="1" hidden="1">
      <c r="A65" s="400">
        <v>44805</v>
      </c>
      <c r="B65" s="517">
        <v>-2085769.27167274</v>
      </c>
      <c r="C65" s="500">
        <v>3770406</v>
      </c>
      <c r="D65" s="500">
        <v>5856175</v>
      </c>
      <c r="E65" s="500">
        <v>-138670</v>
      </c>
      <c r="F65" s="500">
        <v>1445242.18966995</v>
      </c>
      <c r="G65" s="500">
        <v>2036897.65</v>
      </c>
      <c r="H65" s="500">
        <v>61671</v>
      </c>
      <c r="I65" s="500">
        <v>2325163.81811486</v>
      </c>
      <c r="J65" s="500">
        <v>3819277.62167274</v>
      </c>
      <c r="K65" s="500">
        <v>-200341</v>
      </c>
    </row>
    <row r="66" ht="8.75" customHeight="1" hidden="1">
      <c r="A66" s="400">
        <v>44835</v>
      </c>
      <c r="B66" s="517">
        <v>-2085769.27167274</v>
      </c>
      <c r="C66" s="500">
        <v>4210664</v>
      </c>
      <c r="D66" s="500">
        <v>6296433</v>
      </c>
      <c r="E66" s="500">
        <v>440258</v>
      </c>
      <c r="F66" s="500">
        <v>1499164.40961829</v>
      </c>
      <c r="G66" s="500">
        <v>2090819.65</v>
      </c>
      <c r="H66" s="500">
        <v>53922</v>
      </c>
      <c r="I66" s="500">
        <v>2711499.95544503</v>
      </c>
      <c r="J66" s="500">
        <v>4205613.62167274</v>
      </c>
      <c r="K66" s="500">
        <v>386336</v>
      </c>
    </row>
    <row r="67" ht="8.75" customHeight="1" hidden="1">
      <c r="A67" s="400">
        <v>44866</v>
      </c>
      <c r="B67" s="517">
        <v>-2085769.27167274</v>
      </c>
      <c r="C67" s="500">
        <v>3259478</v>
      </c>
      <c r="D67" s="500">
        <v>5345247</v>
      </c>
      <c r="E67" s="500">
        <v>-951186</v>
      </c>
      <c r="F67" s="500">
        <v>1172478.69345058</v>
      </c>
      <c r="G67" s="500">
        <v>1764134.65</v>
      </c>
      <c r="H67" s="500">
        <v>-326685</v>
      </c>
      <c r="I67" s="500">
        <v>2086999.44507029</v>
      </c>
      <c r="J67" s="500">
        <v>3581112.62167274</v>
      </c>
      <c r="K67" s="500">
        <v>-624501</v>
      </c>
    </row>
    <row r="68" ht="8.75" customHeight="1" hidden="1">
      <c r="A68" s="400">
        <v>44896</v>
      </c>
      <c r="B68" s="517">
        <v>-2085769.27167274</v>
      </c>
      <c r="C68" s="500">
        <v>2901477</v>
      </c>
      <c r="D68" s="500">
        <v>4987246</v>
      </c>
      <c r="E68" s="500">
        <v>-358001</v>
      </c>
      <c r="F68" s="500">
        <v>1075579.60016036</v>
      </c>
      <c r="G68" s="500">
        <v>1667235.65</v>
      </c>
      <c r="H68" s="500">
        <v>-96899</v>
      </c>
      <c r="I68" s="500">
        <v>1825897.25405472</v>
      </c>
      <c r="J68" s="500">
        <v>3320010.62167274</v>
      </c>
      <c r="K68" s="500">
        <v>-261102</v>
      </c>
    </row>
    <row r="69" ht="8.75" customHeight="1" hidden="1">
      <c r="A69" s="400">
        <v>44927</v>
      </c>
      <c r="B69" s="517">
        <v>-2085769.27167274</v>
      </c>
      <c r="C69" s="500">
        <v>3697443</v>
      </c>
      <c r="D69" s="500">
        <v>5783212</v>
      </c>
      <c r="E69" s="500">
        <v>795966</v>
      </c>
      <c r="F69" s="500">
        <v>1414879.60706861</v>
      </c>
      <c r="G69" s="500">
        <v>2006535.65</v>
      </c>
      <c r="H69" s="500">
        <v>339300</v>
      </c>
      <c r="I69" s="500">
        <v>2282562.86111056</v>
      </c>
      <c r="J69" s="500">
        <v>3776676.62167274</v>
      </c>
      <c r="K69" s="500">
        <v>456666</v>
      </c>
    </row>
    <row r="70" ht="8.75" customHeight="1" hidden="1">
      <c r="A70" s="400">
        <v>44958</v>
      </c>
      <c r="B70" s="517">
        <v>-2085769.27167274</v>
      </c>
      <c r="C70" s="500">
        <v>3906693</v>
      </c>
      <c r="D70" s="500">
        <v>5992462</v>
      </c>
      <c r="E70" s="500">
        <v>209250</v>
      </c>
      <c r="F70" s="500">
        <v>1494679.72143852</v>
      </c>
      <c r="G70" s="500">
        <v>2086335.65</v>
      </c>
      <c r="H70" s="500">
        <v>79800</v>
      </c>
      <c r="I70" s="500">
        <v>2412012.95084218</v>
      </c>
      <c r="J70" s="500">
        <v>3906126.62167274</v>
      </c>
      <c r="K70" s="500">
        <v>129450</v>
      </c>
    </row>
    <row r="71" ht="8.75" customHeight="1" hidden="1">
      <c r="A71" s="400">
        <v>44986</v>
      </c>
      <c r="B71" s="517">
        <v>-2085769.27167274</v>
      </c>
      <c r="C71" s="500">
        <v>4459288</v>
      </c>
      <c r="D71" s="500">
        <v>6545057</v>
      </c>
      <c r="E71" s="500">
        <v>552595</v>
      </c>
      <c r="F71" s="500">
        <v>1744555.9496407</v>
      </c>
      <c r="G71" s="500">
        <v>2336211.65</v>
      </c>
      <c r="H71" s="500">
        <v>249876</v>
      </c>
      <c r="I71" s="500">
        <v>2714732.40947557</v>
      </c>
      <c r="J71" s="500">
        <v>4208845.62167274</v>
      </c>
      <c r="K71" s="500">
        <v>302719</v>
      </c>
    </row>
    <row r="72" ht="8.75" customHeight="1" hidden="1">
      <c r="A72" s="400">
        <v>45017</v>
      </c>
      <c r="B72" s="517">
        <v>-2085769.27167274</v>
      </c>
      <c r="C72" s="500">
        <v>4585803</v>
      </c>
      <c r="D72" s="500">
        <v>6671572</v>
      </c>
      <c r="E72" s="500">
        <v>126515</v>
      </c>
      <c r="F72" s="500">
        <v>1824248.82776552</v>
      </c>
      <c r="G72" s="500">
        <v>2415904.65</v>
      </c>
      <c r="H72" s="500">
        <v>79693</v>
      </c>
      <c r="I72" s="500">
        <v>2761554.39651157</v>
      </c>
      <c r="J72" s="500">
        <v>4255667.62167274</v>
      </c>
      <c r="K72" s="500">
        <v>46822</v>
      </c>
    </row>
    <row r="73" ht="8.75" customHeight="1" hidden="1">
      <c r="A73" s="400">
        <v>45047</v>
      </c>
      <c r="B73" s="517">
        <v>-2085769.27167274</v>
      </c>
      <c r="C73" s="500">
        <v>4373034</v>
      </c>
      <c r="D73" s="500">
        <v>6458803</v>
      </c>
      <c r="E73" s="500">
        <v>-212769</v>
      </c>
      <c r="F73" s="500">
        <v>1663698.66496043</v>
      </c>
      <c r="G73" s="500">
        <v>2255354.65</v>
      </c>
      <c r="H73" s="500">
        <v>-160550</v>
      </c>
      <c r="I73" s="500">
        <v>2709334.58685029</v>
      </c>
      <c r="J73" s="500">
        <v>4203448.62167274</v>
      </c>
      <c r="K73" s="500">
        <v>-52219</v>
      </c>
    </row>
    <row r="74" ht="8.75" customHeight="1" hidden="1">
      <c r="A74" s="400">
        <v>45078</v>
      </c>
      <c r="B74" s="517">
        <v>-2085769.27167274</v>
      </c>
      <c r="C74" s="500">
        <v>4651210</v>
      </c>
      <c r="D74" s="500">
        <v>6736979</v>
      </c>
      <c r="E74" s="500">
        <v>278176</v>
      </c>
      <c r="F74" s="500">
        <v>1870603.50990318</v>
      </c>
      <c r="G74" s="500">
        <v>2462259.65</v>
      </c>
      <c r="H74" s="500">
        <v>206905</v>
      </c>
      <c r="I74" s="500">
        <v>2780605.85852702</v>
      </c>
      <c r="J74" s="500">
        <v>4274719.62167274</v>
      </c>
      <c r="K74" s="500">
        <v>71271</v>
      </c>
    </row>
    <row r="75" ht="8.75" customHeight="1" hidden="1">
      <c r="A75" s="400">
        <v>45108</v>
      </c>
      <c r="B75" s="517">
        <v>-2085769.27167274</v>
      </c>
      <c r="C75" s="500">
        <v>4620601</v>
      </c>
      <c r="D75" s="500">
        <v>6706370</v>
      </c>
      <c r="E75" s="500">
        <v>-30609</v>
      </c>
      <c r="F75" s="500">
        <v>1859397.85317167</v>
      </c>
      <c r="G75" s="500">
        <v>2451053.65</v>
      </c>
      <c r="H75" s="500">
        <v>-11206</v>
      </c>
      <c r="I75" s="500">
        <v>2761203.35717764</v>
      </c>
      <c r="J75" s="500">
        <v>4255316.62167274</v>
      </c>
      <c r="K75" s="500">
        <v>-19403</v>
      </c>
    </row>
    <row r="76" ht="8.75" customHeight="1" hidden="1">
      <c r="A76" s="400">
        <v>45139</v>
      </c>
      <c r="B76" s="517">
        <v>-2085769.27167274</v>
      </c>
      <c r="C76" s="500">
        <v>4239791</v>
      </c>
      <c r="D76" s="500">
        <v>6325560</v>
      </c>
      <c r="E76" s="500">
        <v>-380810</v>
      </c>
      <c r="F76" s="500">
        <v>1702699.94448578</v>
      </c>
      <c r="G76" s="500">
        <v>2294355.65</v>
      </c>
      <c r="H76" s="500">
        <v>-156698</v>
      </c>
      <c r="I76" s="500">
        <v>2537090.84502325</v>
      </c>
      <c r="J76" s="500">
        <v>4031204.62167274</v>
      </c>
      <c r="K76" s="500">
        <v>-224112</v>
      </c>
    </row>
    <row r="77" ht="8.75" customHeight="1" hidden="1">
      <c r="A77" s="400">
        <v>45170</v>
      </c>
      <c r="B77" s="517">
        <v>-2085769.27167274</v>
      </c>
      <c r="C77" s="500">
        <v>4680294</v>
      </c>
      <c r="D77" s="500">
        <v>6766063</v>
      </c>
      <c r="E77" s="500">
        <v>440503</v>
      </c>
      <c r="F77" s="500">
        <v>1913010.38712302</v>
      </c>
      <c r="G77" s="500">
        <v>2504665.65</v>
      </c>
      <c r="H77" s="500">
        <v>210310</v>
      </c>
      <c r="I77" s="500">
        <v>2767284.29381468</v>
      </c>
      <c r="J77" s="500">
        <v>4261397.62167274</v>
      </c>
      <c r="K77" s="500">
        <v>230193</v>
      </c>
    </row>
    <row r="78" ht="8.75" customHeight="1" hidden="1">
      <c r="A78" s="400">
        <v>45200</v>
      </c>
      <c r="B78" s="517">
        <v>-2085769.27167274</v>
      </c>
      <c r="C78" s="500">
        <v>5281470</v>
      </c>
      <c r="D78" s="500">
        <v>7367239</v>
      </c>
      <c r="E78" s="500">
        <v>601176</v>
      </c>
      <c r="F78" s="500">
        <v>2370139.48841896</v>
      </c>
      <c r="G78" s="500">
        <v>2961794.65</v>
      </c>
      <c r="H78" s="500">
        <v>457129</v>
      </c>
      <c r="I78" s="500">
        <v>2911330.94938888</v>
      </c>
      <c r="J78" s="500">
        <v>4405444.62167274</v>
      </c>
      <c r="K78" s="500">
        <v>144047</v>
      </c>
    </row>
    <row r="79" ht="8.75" customHeight="1" hidden="1">
      <c r="A79" s="400">
        <v>45231</v>
      </c>
      <c r="B79" s="517">
        <v>-2085769.27167274</v>
      </c>
      <c r="C79" s="500">
        <v>5701123</v>
      </c>
      <c r="D79" s="500">
        <v>7786892</v>
      </c>
      <c r="E79" s="500">
        <v>419653</v>
      </c>
      <c r="F79" s="500">
        <v>2511724.35345981</v>
      </c>
      <c r="G79" s="500">
        <v>3103379.65</v>
      </c>
      <c r="H79" s="500">
        <v>141585</v>
      </c>
      <c r="I79" s="500">
        <v>3189398.95584846</v>
      </c>
      <c r="J79" s="500">
        <v>4683512.62167274</v>
      </c>
      <c r="K79" s="500">
        <v>278068</v>
      </c>
    </row>
    <row r="80" ht="8.75" customHeight="1" hidden="1">
      <c r="A80" s="400">
        <v>45261</v>
      </c>
      <c r="B80" s="517">
        <v>-2085769.27167274</v>
      </c>
      <c r="C80" s="500">
        <v>5935614</v>
      </c>
      <c r="D80" s="500">
        <v>8021383</v>
      </c>
      <c r="E80" s="500">
        <v>234491</v>
      </c>
      <c r="F80" s="500">
        <v>2236534.91125824</v>
      </c>
      <c r="G80" s="500">
        <v>2828190.65</v>
      </c>
      <c r="H80" s="500">
        <v>-275189</v>
      </c>
      <c r="I80" s="500">
        <v>3699078.62538826</v>
      </c>
      <c r="J80" s="500">
        <v>5193192.62167274</v>
      </c>
      <c r="K80" s="500">
        <v>509680</v>
      </c>
    </row>
    <row r="81" ht="8.75" customHeight="1" hidden="1">
      <c r="A81" s="400">
        <v>45292</v>
      </c>
      <c r="B81" s="517">
        <v>-2085769.27167274</v>
      </c>
      <c r="C81" s="500">
        <v>6138257</v>
      </c>
      <c r="D81" s="500">
        <v>8224026</v>
      </c>
      <c r="E81" s="500">
        <v>202643</v>
      </c>
      <c r="F81" s="500">
        <v>2314643.49188433</v>
      </c>
      <c r="G81" s="500">
        <v>2906298.65</v>
      </c>
      <c r="H81" s="500">
        <v>78108</v>
      </c>
      <c r="I81" s="500">
        <v>3823614.21548482</v>
      </c>
      <c r="J81" s="500">
        <v>5317727.62167274</v>
      </c>
      <c r="K81" s="500">
        <v>124535</v>
      </c>
    </row>
    <row r="82" ht="8.75" customHeight="1" hidden="1">
      <c r="A82" s="400">
        <v>45323</v>
      </c>
      <c r="B82" s="517">
        <v>-2085769.27167274</v>
      </c>
      <c r="C82" s="500">
        <v>9422555</v>
      </c>
      <c r="D82" s="500">
        <v>11508324</v>
      </c>
      <c r="E82" s="500">
        <v>3284298</v>
      </c>
      <c r="F82" s="500">
        <v>3474507.51684228</v>
      </c>
      <c r="G82" s="500">
        <v>4066163.65</v>
      </c>
      <c r="H82" s="500">
        <v>1159865</v>
      </c>
      <c r="I82" s="500">
        <v>5948047.03147209</v>
      </c>
      <c r="J82" s="500">
        <v>7442160.62167274</v>
      </c>
      <c r="K82" s="500">
        <v>2124433</v>
      </c>
    </row>
    <row r="83" ht="8.75" customHeight="1" hidden="1">
      <c r="A83" s="400">
        <v>45352</v>
      </c>
      <c r="B83" s="517">
        <v>-2085769.27167274</v>
      </c>
      <c r="C83" s="500">
        <v>10238676</v>
      </c>
      <c r="D83" s="500">
        <v>12324445</v>
      </c>
      <c r="E83" s="500">
        <v>816121</v>
      </c>
      <c r="F83" s="500">
        <v>4002202.47995757</v>
      </c>
      <c r="G83" s="500">
        <v>4593857.65</v>
      </c>
      <c r="H83" s="500">
        <v>527694</v>
      </c>
      <c r="I83" s="500">
        <v>6236473.58005666</v>
      </c>
      <c r="J83" s="500">
        <v>7730587.62167274</v>
      </c>
      <c r="K83" s="500">
        <v>288427</v>
      </c>
    </row>
    <row r="84" ht="8.75" customHeight="1" hidden="1">
      <c r="A84" s="400">
        <v>45383</v>
      </c>
      <c r="B84" s="517">
        <v>-2085769.27167274</v>
      </c>
      <c r="C84" s="500">
        <v>8998809</v>
      </c>
      <c r="D84" s="500">
        <v>11084578</v>
      </c>
      <c r="E84" s="500">
        <v>-1239867</v>
      </c>
      <c r="F84" s="500">
        <v>3519774.21433231</v>
      </c>
      <c r="G84" s="500">
        <v>4111429.65</v>
      </c>
      <c r="H84" s="500">
        <v>-482428</v>
      </c>
      <c r="I84" s="500">
        <v>5479034.86673659</v>
      </c>
      <c r="J84" s="500">
        <v>6973148.62167274</v>
      </c>
      <c r="K84" s="500">
        <v>-757439</v>
      </c>
    </row>
    <row r="85" ht="8.75" customHeight="1" hidden="1">
      <c r="A85" s="400">
        <v>45413</v>
      </c>
      <c r="B85" s="517">
        <v>-2085769.27167274</v>
      </c>
      <c r="C85" s="500">
        <v>9854948</v>
      </c>
      <c r="D85" s="500">
        <v>11940717</v>
      </c>
      <c r="E85" s="500">
        <v>856139</v>
      </c>
      <c r="F85" s="500">
        <v>3607171.48827083</v>
      </c>
      <c r="G85" s="500">
        <v>4198826.65</v>
      </c>
      <c r="H85" s="500">
        <v>87397</v>
      </c>
      <c r="I85" s="500">
        <v>6247777.15405529</v>
      </c>
      <c r="J85" s="500">
        <v>7741890.62167274</v>
      </c>
      <c r="K85" s="500">
        <v>768742</v>
      </c>
    </row>
    <row r="86" ht="8.75" customHeight="1" hidden="1">
      <c r="A86" s="400">
        <v>45444</v>
      </c>
      <c r="B86" s="517">
        <v>-2085769.27167274</v>
      </c>
      <c r="C86" s="500">
        <v>9174454</v>
      </c>
      <c r="D86" s="500">
        <v>11260223</v>
      </c>
      <c r="E86" s="500">
        <v>-680494</v>
      </c>
      <c r="F86" s="500">
        <v>3390947.35871975</v>
      </c>
      <c r="G86" s="500">
        <v>3982602.65</v>
      </c>
      <c r="H86" s="500">
        <v>-216224</v>
      </c>
      <c r="I86" s="500">
        <v>5783507.30048792</v>
      </c>
      <c r="J86" s="500">
        <v>7277620.62167274</v>
      </c>
      <c r="K86" s="500">
        <v>-464270</v>
      </c>
    </row>
    <row r="87" ht="8.75" customHeight="1" hidden="1">
      <c r="A87" s="400">
        <v>45474</v>
      </c>
      <c r="B87" s="517">
        <v>-2085769.27167274</v>
      </c>
      <c r="C87" s="500">
        <v>8981575</v>
      </c>
      <c r="D87" s="500">
        <v>11067344</v>
      </c>
      <c r="E87" s="500">
        <v>-192879</v>
      </c>
      <c r="F87" s="500">
        <v>3546869.46201636</v>
      </c>
      <c r="G87" s="500">
        <v>4138524.65</v>
      </c>
      <c r="H87" s="500">
        <v>155922</v>
      </c>
      <c r="I87" s="500">
        <v>5434706.3407301</v>
      </c>
      <c r="J87" s="500">
        <v>6928819.62167274</v>
      </c>
      <c r="K87" s="500">
        <v>-348801</v>
      </c>
    </row>
    <row r="88" ht="8.75" customHeight="1" hidden="1">
      <c r="A88" s="400">
        <v>45505</v>
      </c>
      <c r="B88" s="517">
        <v>-2085769.27167274</v>
      </c>
      <c r="C88" s="500">
        <v>7080412</v>
      </c>
      <c r="D88" s="500">
        <v>9166181</v>
      </c>
      <c r="E88" s="500">
        <v>-1901163</v>
      </c>
      <c r="F88" s="500">
        <v>3069129.07003007</v>
      </c>
      <c r="G88" s="500">
        <v>3660784.65</v>
      </c>
      <c r="H88" s="500">
        <v>-477740</v>
      </c>
      <c r="I88" s="500">
        <v>4011282.77680898</v>
      </c>
      <c r="J88" s="500">
        <v>5505396.62167274</v>
      </c>
      <c r="K88" s="500">
        <v>-1423423</v>
      </c>
    </row>
    <row r="89" ht="8.75" customHeight="1" hidden="1">
      <c r="A89" s="400">
        <v>45536</v>
      </c>
      <c r="B89" s="517">
        <v>-2085769.27167274</v>
      </c>
      <c r="C89" s="500">
        <v>7581058</v>
      </c>
      <c r="D89" s="500">
        <v>9666827</v>
      </c>
      <c r="E89" s="500">
        <v>500646</v>
      </c>
      <c r="F89" s="500">
        <v>3345621.41530067</v>
      </c>
      <c r="G89" s="500">
        <v>3937276.65</v>
      </c>
      <c r="H89" s="500">
        <v>276492</v>
      </c>
      <c r="I89" s="500">
        <v>4235436.56045041</v>
      </c>
      <c r="J89" s="500">
        <v>5729550.62167274</v>
      </c>
      <c r="K89" s="500">
        <v>224154</v>
      </c>
    </row>
    <row r="90" ht="8.75" customHeight="1" hidden="1">
      <c r="A90" s="400">
        <v>45566</v>
      </c>
      <c r="B90" s="517">
        <v>-2085769.27167274</v>
      </c>
      <c r="C90" s="500">
        <v>8247740</v>
      </c>
      <c r="D90" s="500">
        <v>10333509</v>
      </c>
      <c r="E90" s="500">
        <v>666682</v>
      </c>
      <c r="F90" s="500">
        <v>3901559.06996587</v>
      </c>
      <c r="G90" s="500">
        <v>4493214.65</v>
      </c>
      <c r="H90" s="500">
        <v>555938</v>
      </c>
      <c r="I90" s="500">
        <v>4346181.38905871</v>
      </c>
      <c r="J90" s="500">
        <v>5840294.62167274</v>
      </c>
      <c r="K90" s="500">
        <v>110744</v>
      </c>
    </row>
    <row r="91" ht="8.75" customHeight="1" hidden="1">
      <c r="A91" s="400">
        <v>45597</v>
      </c>
      <c r="B91" s="517">
        <v>-2685769.27167274</v>
      </c>
      <c r="C91" s="500">
        <v>11175459</v>
      </c>
      <c r="D91" s="500">
        <v>13861228</v>
      </c>
      <c r="E91" s="500">
        <v>3527719</v>
      </c>
      <c r="F91" s="500">
        <v>5444730.91035312</v>
      </c>
      <c r="G91" s="500">
        <v>6036386.65</v>
      </c>
      <c r="H91" s="500">
        <v>1543172</v>
      </c>
      <c r="I91" s="500">
        <v>5730728.06131699</v>
      </c>
      <c r="J91" s="500">
        <v>7824841.62167274</v>
      </c>
      <c r="K91" s="500">
        <v>1984547</v>
      </c>
    </row>
    <row r="92" ht="8.75" customHeight="1" hidden="1">
      <c r="A92" s="400">
        <v>45627</v>
      </c>
      <c r="B92" s="517">
        <v>-2685769.27167274</v>
      </c>
      <c r="C92" s="500">
        <v>10855466</v>
      </c>
      <c r="D92" s="500">
        <v>13541235</v>
      </c>
      <c r="E92" s="500">
        <v>-319993</v>
      </c>
      <c r="F92" s="500">
        <v>5446091.20152784</v>
      </c>
      <c r="G92" s="500">
        <v>6037746.65</v>
      </c>
      <c r="H92" s="500">
        <v>1360</v>
      </c>
      <c r="I92" s="500">
        <v>5409374.83366922</v>
      </c>
      <c r="J92" s="500">
        <v>7503488.62167274</v>
      </c>
      <c r="K92" s="500">
        <v>-321353</v>
      </c>
    </row>
    <row r="93" ht="8.75" customHeight="1" hidden="1">
      <c r="A93" s="400">
        <v>45658</v>
      </c>
      <c r="B93" s="517">
        <v>-3585769.27167274</v>
      </c>
      <c r="C93" s="500">
        <v>10158709</v>
      </c>
      <c r="D93" s="500">
        <v>13744478</v>
      </c>
      <c r="E93" s="500">
        <v>203243</v>
      </c>
      <c r="F93" s="500">
        <v>4961896.70036471</v>
      </c>
      <c r="G93" s="500">
        <v>6453552.65</v>
      </c>
      <c r="H93" s="500">
        <v>415806</v>
      </c>
      <c r="I93" s="500">
        <v>5196812.02598702</v>
      </c>
      <c r="J93" s="500">
        <v>7290925.62167274</v>
      </c>
      <c r="K93" s="500">
        <v>-212563</v>
      </c>
    </row>
    <row r="94" ht="8.75" customHeight="1" hidden="1">
      <c r="A94" s="400">
        <v>45689</v>
      </c>
      <c r="B94" s="517">
        <v>-6585769.27167274</v>
      </c>
      <c r="C94" s="500">
        <v>5287672</v>
      </c>
      <c r="D94" s="500">
        <v>11873441</v>
      </c>
      <c r="E94" s="500">
        <v>-1871037</v>
      </c>
      <c r="F94" s="500">
        <v>4088809.57243098</v>
      </c>
      <c r="G94" s="500">
        <v>5580465.65</v>
      </c>
      <c r="H94" s="500">
        <v>-873087</v>
      </c>
      <c r="I94" s="500">
        <v>1198862.30334943</v>
      </c>
      <c r="J94" s="500">
        <v>6292975.62167274</v>
      </c>
      <c r="K94" s="500">
        <v>-997950</v>
      </c>
    </row>
    <row r="95" ht="8.75" customHeight="1" hidden="1">
      <c r="A95" s="400">
        <v>45717</v>
      </c>
      <c r="B95" s="517">
        <v>-9525350.271672741</v>
      </c>
      <c r="C95" s="500">
        <v>1721793</v>
      </c>
      <c r="D95" s="500">
        <v>11247143</v>
      </c>
      <c r="E95" s="500">
        <v>-626298</v>
      </c>
      <c r="F95" s="500">
        <v>1721792.78343812</v>
      </c>
      <c r="G95" s="500">
        <v>5213448.65</v>
      </c>
      <c r="H95" s="500">
        <v>-367017</v>
      </c>
      <c r="I95" s="500">
        <v>0</v>
      </c>
      <c r="J95" s="500">
        <v>6033694.62167274</v>
      </c>
      <c r="K95" s="500">
        <v>-259281</v>
      </c>
    </row>
    <row r="96" ht="8.75" customHeight="1" hidden="1">
      <c r="A96" s="400">
        <v>45748</v>
      </c>
      <c r="B96" s="517">
        <v>-9525350.271672741</v>
      </c>
      <c r="C96" s="500">
        <v>1974510</v>
      </c>
      <c r="D96" s="500">
        <v>11499860</v>
      </c>
      <c r="E96" s="500">
        <v>252717</v>
      </c>
      <c r="F96" s="500">
        <v>1974510.20586058</v>
      </c>
      <c r="G96" s="500">
        <v>5466165.65</v>
      </c>
      <c r="H96" s="500">
        <v>252717</v>
      </c>
      <c r="I96" s="500">
        <v>0</v>
      </c>
      <c r="J96" s="500">
        <v>6033694.62167274</v>
      </c>
      <c r="K96" s="500">
        <v>0</v>
      </c>
    </row>
    <row r="97" ht="8.75" customHeight="1" hidden="1">
      <c r="A97" s="400">
        <v>45778</v>
      </c>
      <c r="B97" s="517">
        <v>-9525350.271672741</v>
      </c>
      <c r="C97" s="500">
        <v>2164795</v>
      </c>
      <c r="D97" s="500">
        <v>11690145</v>
      </c>
      <c r="E97" s="500">
        <v>190285</v>
      </c>
      <c r="F97" s="500">
        <v>2164794.88985717</v>
      </c>
      <c r="G97" s="500">
        <v>5656450.65</v>
      </c>
      <c r="H97" s="500">
        <v>190285</v>
      </c>
      <c r="I97" s="500">
        <v>0</v>
      </c>
      <c r="J97" s="500">
        <v>6033694.62167274</v>
      </c>
      <c r="K97" s="500">
        <v>0</v>
      </c>
    </row>
    <row r="98" ht="8.75" customHeight="1" hidden="1">
      <c r="A98" s="400">
        <v>45809</v>
      </c>
      <c r="B98" s="517">
        <v>-9525350.271672741</v>
      </c>
      <c r="C98" s="500">
        <v>2528175</v>
      </c>
      <c r="D98" s="500">
        <v>12053525</v>
      </c>
      <c r="E98" s="500">
        <v>363380</v>
      </c>
      <c r="F98" s="500">
        <v>2528175.25429566</v>
      </c>
      <c r="G98" s="500">
        <v>6019830.65</v>
      </c>
      <c r="H98" s="500">
        <v>363380</v>
      </c>
      <c r="I98" s="500">
        <v>0</v>
      </c>
      <c r="J98" s="500">
        <v>6033694.62167274</v>
      </c>
      <c r="K98" s="500">
        <v>0</v>
      </c>
    </row>
    <row r="99" ht="8.75" customHeight="1" hidden="1">
      <c r="A99" s="400">
        <v>45839</v>
      </c>
      <c r="B99" s="517">
        <v>-9275350.271672741</v>
      </c>
      <c r="C99" s="500">
        <v>2730431</v>
      </c>
      <c r="D99" s="500">
        <v>12005781</v>
      </c>
      <c r="E99" s="500">
        <v>-47744</v>
      </c>
      <c r="F99" s="500">
        <v>2476228.99722293</v>
      </c>
      <c r="G99" s="500">
        <v>5967884.65</v>
      </c>
      <c r="H99" s="500">
        <v>-51946</v>
      </c>
      <c r="I99" s="500">
        <v>254201.747757251</v>
      </c>
      <c r="J99" s="500">
        <v>6037896.62167274</v>
      </c>
      <c r="K99" s="500">
        <v>4202</v>
      </c>
    </row>
    <row r="100" ht="8.75" customHeight="1" hidden="1">
      <c r="A100" s="400">
        <v>45870</v>
      </c>
      <c r="B100" s="517">
        <v>-9275350.271672741</v>
      </c>
      <c r="C100" s="500">
        <v>2617689</v>
      </c>
      <c r="D100" s="500">
        <v>11893039</v>
      </c>
      <c r="E100" s="500">
        <v>-112742</v>
      </c>
      <c r="F100" s="500">
        <v>2318517.2218</v>
      </c>
      <c r="G100" s="500">
        <v>5810172.65</v>
      </c>
      <c r="H100" s="500">
        <v>-157712</v>
      </c>
      <c r="I100" s="500">
        <v>299172.34769967</v>
      </c>
      <c r="J100" s="500">
        <v>6082866.62167274</v>
      </c>
      <c r="K100" s="500">
        <v>44970</v>
      </c>
    </row>
    <row r="101" ht="8.75" customHeight="1" hidden="1">
      <c r="A101" s="400">
        <v>45901</v>
      </c>
      <c r="B101" s="517">
        <v>-9275350.271672741</v>
      </c>
      <c r="C101" s="500">
        <v>2700878</v>
      </c>
      <c r="D101" s="500">
        <v>11976228</v>
      </c>
      <c r="E101" s="500">
        <v>83189</v>
      </c>
      <c r="F101" s="500">
        <v>2417338.7781361</v>
      </c>
      <c r="G101" s="500">
        <v>5908994.65</v>
      </c>
      <c r="H101" s="500">
        <v>98822</v>
      </c>
      <c r="I101" s="500">
        <v>283539.172176218</v>
      </c>
      <c r="J101" s="500">
        <v>6067233.62167274</v>
      </c>
      <c r="K101" s="500">
        <v>-15633</v>
      </c>
    </row>
    <row r="102" ht="20.55" customHeight="1">
      <c r="A102" s="177">
        <v>45931</v>
      </c>
      <c r="B102" s="518">
        <v>-9275350.271672741</v>
      </c>
      <c r="C102" s="184">
        <v>2520334</v>
      </c>
      <c r="D102" s="184">
        <v>11795684</v>
      </c>
      <c r="E102" s="184">
        <v>-180544</v>
      </c>
      <c r="F102" s="184">
        <v>2264487.80744074</v>
      </c>
      <c r="G102" s="184">
        <v>5756143.65</v>
      </c>
      <c r="H102" s="184">
        <v>-152851</v>
      </c>
      <c r="I102" s="184">
        <v>255846.240617957</v>
      </c>
      <c r="J102" s="184">
        <v>6039540.62167274</v>
      </c>
      <c r="K102" s="184">
        <v>-27693</v>
      </c>
    </row>
    <row r="103" ht="20.35" customHeight="1">
      <c r="A103" s="186">
        <v>45962</v>
      </c>
      <c r="B103" s="519">
        <v>-9275350.271672741</v>
      </c>
      <c r="C103" s="316">
        <v>1971851</v>
      </c>
      <c r="D103" s="316">
        <v>11247201</v>
      </c>
      <c r="E103" s="316">
        <v>-548483</v>
      </c>
      <c r="F103" s="316">
        <v>1784283.63834046</v>
      </c>
      <c r="G103" s="316">
        <v>5275939.65</v>
      </c>
      <c r="H103" s="316">
        <v>-480204</v>
      </c>
      <c r="I103" s="316">
        <v>187566.966008837</v>
      </c>
      <c r="J103" s="316">
        <v>5971261.62167274</v>
      </c>
      <c r="K103" s="316">
        <v>-68279</v>
      </c>
    </row>
    <row r="104" ht="20.35" customHeight="1">
      <c r="A104" s="186">
        <v>45992</v>
      </c>
      <c r="B104" s="519">
        <v>-9275350.271672741</v>
      </c>
      <c r="C104" s="316">
        <v>1922666</v>
      </c>
      <c r="D104" s="316">
        <v>11198016</v>
      </c>
      <c r="E104" s="316">
        <v>-49185</v>
      </c>
      <c r="F104" s="316">
        <v>1733060.73421679</v>
      </c>
      <c r="G104" s="316">
        <v>5224716.65</v>
      </c>
      <c r="H104" s="316">
        <v>-51223</v>
      </c>
      <c r="I104" s="316">
        <v>189604.599959749</v>
      </c>
      <c r="J104" s="316">
        <v>5973299.62167274</v>
      </c>
      <c r="K104" s="316">
        <v>2038</v>
      </c>
    </row>
    <row r="105" ht="20.35" customHeight="1">
      <c r="A105" s="186">
        <v>46023</v>
      </c>
      <c r="B105" s="519">
        <v>-9275350.271672741</v>
      </c>
      <c r="C105" s="316">
        <v>1654148</v>
      </c>
      <c r="D105" s="316">
        <v>10929498</v>
      </c>
      <c r="E105" s="316">
        <v>-268518</v>
      </c>
      <c r="F105" s="316">
        <v>1503895.15271591</v>
      </c>
      <c r="G105" s="316">
        <v>4995550.65</v>
      </c>
      <c r="H105" s="316">
        <v>-229166</v>
      </c>
      <c r="I105" s="316">
        <v>150252.672345886</v>
      </c>
      <c r="J105" s="316">
        <v>5933947.62167274</v>
      </c>
      <c r="K105" s="316">
        <v>-39352</v>
      </c>
    </row>
    <row r="106" ht="20.35" customHeight="1">
      <c r="A106" s="186">
        <v>46054</v>
      </c>
      <c r="B106" s="519">
        <v>-9275350.271672741</v>
      </c>
      <c r="C106" s="316">
        <v>1408789</v>
      </c>
      <c r="D106" s="316">
        <v>10684139</v>
      </c>
      <c r="E106" s="316">
        <v>-245359</v>
      </c>
      <c r="F106" s="316">
        <v>1287104.92621661</v>
      </c>
      <c r="G106" s="316">
        <v>4778760.65</v>
      </c>
      <c r="H106" s="316">
        <v>-216790</v>
      </c>
      <c r="I106" s="316">
        <v>121683.900582887</v>
      </c>
      <c r="J106" s="316">
        <v>5905378.62167274</v>
      </c>
      <c r="K106" s="316">
        <v>-28569</v>
      </c>
    </row>
    <row r="107" ht="20.35" customHeight="1">
      <c r="A107" s="186">
        <v>46082</v>
      </c>
      <c r="B107" s="519">
        <v>-9275350.271672741</v>
      </c>
      <c r="C107" s="316">
        <v>1524311</v>
      </c>
      <c r="D107" s="316">
        <v>10799661</v>
      </c>
      <c r="E107" s="316">
        <v>115522</v>
      </c>
      <c r="F107" s="316">
        <v>1386052.3179523</v>
      </c>
      <c r="G107" s="316">
        <v>4877707.65</v>
      </c>
      <c r="H107" s="316">
        <v>98947</v>
      </c>
      <c r="I107" s="316">
        <v>138258.939652998</v>
      </c>
      <c r="J107" s="316">
        <v>5921953.62167274</v>
      </c>
      <c r="K107" s="316">
        <v>16575</v>
      </c>
    </row>
    <row r="108" ht="20.35" customHeight="1">
      <c r="A108" s="186">
        <v>46113</v>
      </c>
      <c r="B108" s="519" cm="1">
        <f t="array" ref="B108">'net worth - resumen | depósitos'!N$115</f>
        <v>-9275350.271672741</v>
      </c>
      <c r="C108" s="316" cm="1">
        <f t="array" ref="C108">'net worth - net worth'!$B$2</f>
        <v>1693457</v>
      </c>
      <c r="D108" s="316" cm="1">
        <f t="array" ref="D108">'net worth - resumen | depósitos'!N$117</f>
        <v>10968807</v>
      </c>
      <c r="E108" s="316" cm="1">
        <f t="array" ref="E108">H108+K108</f>
        <v>169146</v>
      </c>
      <c r="F108" s="316" cm="1">
        <f t="array" ref="F108">'cripto - Bitcoin – BTC'!B$122</f>
        <v>1551230.78721941</v>
      </c>
      <c r="G108" s="316" cm="1">
        <f t="array" ref="G108">'net worth - criptomonedas'!D$119</f>
        <v>5042886.65</v>
      </c>
      <c r="H108" s="316" cm="1">
        <f t="array" ref="H108">G108-G107</f>
        <v>165179</v>
      </c>
      <c r="I108" s="316" cm="1">
        <f t="array" ref="I108">'cripto - Ether – ETH'!B$125</f>
        <v>142225.998395685</v>
      </c>
      <c r="J108" s="316" cm="1">
        <f t="array" ref="J108">'net worth - criptomonedas'!E$119</f>
        <v>5925920.62167274</v>
      </c>
      <c r="K108" s="316" cm="1">
        <f t="array" ref="K108">J108-J107</f>
        <v>3967</v>
      </c>
    </row>
    <row r="109" ht="20.35" customHeight="1">
      <c r="A109" s="186">
        <v>46143</v>
      </c>
      <c r="B109" s="519" cm="1">
        <f t="array" ref="B109">'net worth - resumen | depósitos'!N$115</f>
        <v>-9275350.271672741</v>
      </c>
      <c r="C109" s="316" cm="1">
        <f t="array" ref="C109">'net worth - net worth'!$B$2</f>
        <v>1693457</v>
      </c>
      <c r="D109" s="316" cm="1">
        <f t="array" ref="D109">'net worth - resumen | depósitos'!N$117</f>
        <v>10968807</v>
      </c>
      <c r="E109" s="316" cm="1">
        <f t="array" ref="E109">H109+K109</f>
        <v>0</v>
      </c>
      <c r="F109" s="316" cm="1">
        <f t="array" ref="F109">'cripto - Bitcoin – BTC'!B$122</f>
        <v>1551230.78721941</v>
      </c>
      <c r="G109" s="316" cm="1">
        <f t="array" ref="G109">'net worth - criptomonedas'!D$119</f>
        <v>5042886.65</v>
      </c>
      <c r="H109" s="316" cm="1">
        <f t="array" ref="H109">G109-G108</f>
        <v>0</v>
      </c>
      <c r="I109" s="316" cm="1">
        <f t="array" ref="I109">'cripto - Ether – ETH'!B$125</f>
        <v>142225.998395685</v>
      </c>
      <c r="J109" s="316" cm="1">
        <f t="array" ref="J109">'net worth - criptomonedas'!E$119</f>
        <v>5925920.62167274</v>
      </c>
      <c r="K109" s="316" cm="1">
        <f t="array" ref="K109">J109-J108</f>
        <v>0</v>
      </c>
    </row>
    <row r="110" ht="20.35" customHeight="1">
      <c r="A110" s="186">
        <v>46174</v>
      </c>
      <c r="B110" s="519" cm="1">
        <f t="array" ref="B110">'net worth - resumen | depósitos'!N$115</f>
        <v>-9275350.271672741</v>
      </c>
      <c r="C110" s="316" cm="1">
        <f t="array" ref="C110">'net worth - net worth'!$B$2</f>
        <v>1693457</v>
      </c>
      <c r="D110" s="316" cm="1">
        <f t="array" ref="D110">'net worth - resumen | depósitos'!N$117</f>
        <v>10968807</v>
      </c>
      <c r="E110" s="316" cm="1">
        <f t="array" ref="E110">H110+K110</f>
        <v>0</v>
      </c>
      <c r="F110" s="316" cm="1">
        <f t="array" ref="F110">'cripto - Bitcoin – BTC'!B$122</f>
        <v>1551230.78721941</v>
      </c>
      <c r="G110" s="316" cm="1">
        <f t="array" ref="G110">'net worth - criptomonedas'!D$119</f>
        <v>5042886.65</v>
      </c>
      <c r="H110" s="316" cm="1">
        <f t="array" ref="H110">G110-G109</f>
        <v>0</v>
      </c>
      <c r="I110" s="316" cm="1">
        <f t="array" ref="I110">'cripto - Ether – ETH'!B$125</f>
        <v>142225.998395685</v>
      </c>
      <c r="J110" s="316" cm="1">
        <f t="array" ref="J110">'net worth - criptomonedas'!E$119</f>
        <v>5925920.62167274</v>
      </c>
      <c r="K110" s="316" cm="1">
        <f t="array" ref="K110">J110-J109</f>
        <v>0</v>
      </c>
    </row>
    <row r="111" ht="20.35" customHeight="1">
      <c r="A111" s="186">
        <v>46204</v>
      </c>
      <c r="B111" s="519" cm="1">
        <f t="array" ref="B111">'net worth - resumen | depósitos'!N$115</f>
        <v>-9275350.271672741</v>
      </c>
      <c r="C111" s="316" cm="1">
        <f t="array" ref="C111">'net worth - net worth'!$B$2</f>
        <v>1693457</v>
      </c>
      <c r="D111" s="316" cm="1">
        <f t="array" ref="D111">'net worth - resumen | depósitos'!N$117</f>
        <v>10968807</v>
      </c>
      <c r="E111" s="316" cm="1">
        <f t="array" ref="E111">H111+K111</f>
        <v>0</v>
      </c>
      <c r="F111" s="316" cm="1">
        <f t="array" ref="F111">'cripto - Bitcoin – BTC'!B$122</f>
        <v>1551230.78721941</v>
      </c>
      <c r="G111" s="316" cm="1">
        <f t="array" ref="G111">'net worth - criptomonedas'!D$119</f>
        <v>5042886.65</v>
      </c>
      <c r="H111" s="316" cm="1">
        <f t="array" ref="H111">G111-G110</f>
        <v>0</v>
      </c>
      <c r="I111" s="316" cm="1">
        <f t="array" ref="I111">'cripto - Ether – ETH'!B$125</f>
        <v>142225.998395685</v>
      </c>
      <c r="J111" s="316" cm="1">
        <f t="array" ref="J111">'net worth - criptomonedas'!E$119</f>
        <v>5925920.62167274</v>
      </c>
      <c r="K111" s="316" cm="1">
        <f t="array" ref="K111">J111-J110</f>
        <v>0</v>
      </c>
    </row>
    <row r="112" ht="20.35" customHeight="1">
      <c r="A112" s="186">
        <v>46235</v>
      </c>
      <c r="B112" s="519" cm="1">
        <f t="array" ref="B112">'net worth - resumen | depósitos'!N$115</f>
        <v>-9275350.271672741</v>
      </c>
      <c r="C112" s="316" cm="1">
        <f t="array" ref="C112">'net worth - net worth'!$B$2</f>
        <v>1693457</v>
      </c>
      <c r="D112" s="316" cm="1">
        <f t="array" ref="D112">'net worth - resumen | depósitos'!N$117</f>
        <v>10968807</v>
      </c>
      <c r="E112" s="316" cm="1">
        <f t="array" ref="E112">H112+K112</f>
        <v>0</v>
      </c>
      <c r="F112" s="316" cm="1">
        <f t="array" ref="F112">'cripto - Bitcoin – BTC'!B$122</f>
        <v>1551230.78721941</v>
      </c>
      <c r="G112" s="316" cm="1">
        <f t="array" ref="G112">'net worth - criptomonedas'!D$119</f>
        <v>5042886.65</v>
      </c>
      <c r="H112" s="316" cm="1">
        <f t="array" ref="H112">G112-G111</f>
        <v>0</v>
      </c>
      <c r="I112" s="316" cm="1">
        <f t="array" ref="I112">'cripto - Ether – ETH'!B$125</f>
        <v>142225.998395685</v>
      </c>
      <c r="J112" s="316" cm="1">
        <f t="array" ref="J112">'net worth - criptomonedas'!E$119</f>
        <v>5925920.62167274</v>
      </c>
      <c r="K112" s="316" cm="1">
        <f t="array" ref="K112">J112-J111</f>
        <v>0</v>
      </c>
    </row>
    <row r="113" ht="20.35" customHeight="1">
      <c r="A113" s="186">
        <v>46266</v>
      </c>
      <c r="B113" s="519" cm="1">
        <f t="array" ref="B113">'net worth - resumen | depósitos'!N$115</f>
        <v>-9275350.271672741</v>
      </c>
      <c r="C113" s="316" cm="1">
        <f t="array" ref="C113">'net worth - net worth'!$B$2</f>
        <v>1693457</v>
      </c>
      <c r="D113" s="316" cm="1">
        <f t="array" ref="D113">'net worth - resumen | depósitos'!N$117</f>
        <v>10968807</v>
      </c>
      <c r="E113" s="316" cm="1">
        <f t="array" ref="E113">H113+K113</f>
        <v>0</v>
      </c>
      <c r="F113" s="316" cm="1">
        <f t="array" ref="F113">'cripto - Bitcoin – BTC'!B$122</f>
        <v>1551230.78721941</v>
      </c>
      <c r="G113" s="316" cm="1">
        <f t="array" ref="G113">'net worth - criptomonedas'!D$119</f>
        <v>5042886.65</v>
      </c>
      <c r="H113" s="316" cm="1">
        <f t="array" ref="H113">G113-G112</f>
        <v>0</v>
      </c>
      <c r="I113" s="316" cm="1">
        <f t="array" ref="I113">'cripto - Ether – ETH'!B$125</f>
        <v>142225.998395685</v>
      </c>
      <c r="J113" s="316" cm="1">
        <f t="array" ref="J113">'net worth - criptomonedas'!E$119</f>
        <v>5925920.62167274</v>
      </c>
      <c r="K113" s="316" cm="1">
        <f t="array" ref="K113">J113-J112</f>
        <v>0</v>
      </c>
    </row>
  </sheetData>
  <conditionalFormatting sqref="D2:K113">
    <cfRule type="cellIs" dxfId="23" priority="1" operator="lessThan"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G113"/>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3516" style="520" customWidth="1"/>
    <col min="2" max="7" width="18.1719" style="520" customWidth="1"/>
    <col min="8" max="16384" width="16.3516" style="520" customWidth="1"/>
  </cols>
  <sheetData>
    <row r="1" ht="20.55" customHeight="1">
      <c r="A1" s="7"/>
      <c r="B1" t="s" s="8">
        <v>89</v>
      </c>
      <c r="C1" t="s" s="8">
        <v>698</v>
      </c>
      <c r="D1" t="s" s="8">
        <v>699</v>
      </c>
      <c r="E1" t="s" s="8">
        <v>822</v>
      </c>
      <c r="F1" t="s" s="8">
        <v>823</v>
      </c>
      <c r="G1" t="s" s="8">
        <v>824</v>
      </c>
    </row>
    <row r="2" ht="8.75" customHeight="1" hidden="1">
      <c r="A2" s="400">
        <v>42887</v>
      </c>
      <c r="B2" s="517">
        <v>3126507</v>
      </c>
      <c r="C2" s="500">
        <v>400000</v>
      </c>
      <c r="D2" s="500"/>
      <c r="E2" s="500"/>
      <c r="F2" s="500"/>
      <c r="G2" s="500"/>
    </row>
    <row r="3" ht="8.75" customHeight="1" hidden="1">
      <c r="A3" s="400">
        <v>42917</v>
      </c>
      <c r="B3" s="517">
        <v>3179695</v>
      </c>
      <c r="C3" s="500">
        <v>484557</v>
      </c>
      <c r="D3" s="500"/>
      <c r="E3" s="500"/>
      <c r="F3" s="500"/>
      <c r="G3" s="500"/>
    </row>
    <row r="4" ht="8.75" customHeight="1" hidden="1">
      <c r="A4" s="400">
        <v>42948</v>
      </c>
      <c r="B4" s="517">
        <v>3232907</v>
      </c>
      <c r="C4" s="500">
        <v>975519</v>
      </c>
      <c r="D4" s="500"/>
      <c r="E4" s="500"/>
      <c r="F4" s="500"/>
      <c r="G4" s="500"/>
    </row>
    <row r="5" ht="8.75" customHeight="1" hidden="1">
      <c r="A5" s="400">
        <v>42979</v>
      </c>
      <c r="B5" s="517">
        <v>3586213</v>
      </c>
      <c r="C5" s="500">
        <v>1321607</v>
      </c>
      <c r="D5" s="500"/>
      <c r="E5" s="500"/>
      <c r="F5" s="500"/>
      <c r="G5" s="500"/>
    </row>
    <row r="6" ht="8.75" customHeight="1" hidden="1">
      <c r="A6" s="400">
        <v>43009</v>
      </c>
      <c r="B6" s="517">
        <v>4239479</v>
      </c>
      <c r="C6" s="500">
        <v>812915</v>
      </c>
      <c r="D6" s="500"/>
      <c r="E6" s="500"/>
      <c r="F6" s="500"/>
      <c r="G6" s="500"/>
    </row>
    <row r="7" ht="8.75" customHeight="1" hidden="1">
      <c r="A7" s="400">
        <v>43040</v>
      </c>
      <c r="B7" s="517">
        <v>4792941</v>
      </c>
      <c r="C7" s="500">
        <v>33574</v>
      </c>
      <c r="D7" s="500"/>
      <c r="E7" s="500"/>
      <c r="F7" s="500"/>
      <c r="G7" s="500"/>
    </row>
    <row r="8" ht="8.75" customHeight="1" hidden="1">
      <c r="A8" s="400">
        <v>43070</v>
      </c>
      <c r="B8" s="517">
        <v>4853596</v>
      </c>
      <c r="C8" s="500">
        <v>0</v>
      </c>
      <c r="D8" s="500"/>
      <c r="E8" s="500"/>
      <c r="F8" s="500"/>
      <c r="G8" s="500"/>
    </row>
    <row r="9" ht="8.75" customHeight="1" hidden="1">
      <c r="A9" s="400">
        <v>43101</v>
      </c>
      <c r="B9" s="517">
        <v>5000000</v>
      </c>
      <c r="C9" s="500">
        <v>0</v>
      </c>
      <c r="D9" s="500"/>
      <c r="E9" s="500"/>
      <c r="F9" s="500"/>
      <c r="G9" s="500"/>
    </row>
    <row r="10" ht="8.75" customHeight="1" hidden="1">
      <c r="A10" s="400">
        <v>43132</v>
      </c>
      <c r="B10" s="517">
        <v>5200000</v>
      </c>
      <c r="C10" s="500">
        <v>445842</v>
      </c>
      <c r="D10" s="500"/>
      <c r="E10" s="500"/>
      <c r="F10" s="500"/>
      <c r="G10" s="500"/>
    </row>
    <row r="11" ht="8.75" customHeight="1" hidden="1">
      <c r="A11" s="400">
        <v>43160</v>
      </c>
      <c r="B11" s="517">
        <v>5603934</v>
      </c>
      <c r="C11" s="500">
        <v>483342</v>
      </c>
      <c r="D11" s="500"/>
      <c r="E11" s="500"/>
      <c r="F11" s="500"/>
      <c r="G11" s="500"/>
    </row>
    <row r="12" ht="8.75" customHeight="1" hidden="1">
      <c r="A12" s="400">
        <v>43191</v>
      </c>
      <c r="B12" s="517">
        <v>5857976</v>
      </c>
      <c r="C12" s="500">
        <v>1817542</v>
      </c>
      <c r="D12" s="500"/>
      <c r="E12" s="500"/>
      <c r="F12" s="500"/>
      <c r="G12" s="500"/>
    </row>
    <row r="13" ht="8.75" customHeight="1" hidden="1">
      <c r="A13" s="400">
        <v>43221</v>
      </c>
      <c r="B13" s="517">
        <v>5912133</v>
      </c>
      <c r="C13" s="500">
        <v>1937314</v>
      </c>
      <c r="D13" s="500"/>
      <c r="E13" s="500"/>
      <c r="F13" s="500"/>
      <c r="G13" s="500"/>
    </row>
    <row r="14" ht="8.75" customHeight="1" hidden="1">
      <c r="A14" s="400">
        <v>43252</v>
      </c>
      <c r="B14" s="517">
        <v>6719379</v>
      </c>
      <c r="C14" s="500">
        <v>1278036</v>
      </c>
      <c r="D14" s="500"/>
      <c r="E14" s="500"/>
      <c r="F14" s="500"/>
      <c r="G14" s="500"/>
    </row>
    <row r="15" ht="8.75" customHeight="1" hidden="1">
      <c r="A15" s="400">
        <v>43282</v>
      </c>
      <c r="B15" s="517">
        <v>7073784</v>
      </c>
      <c r="C15" s="500">
        <v>1643504</v>
      </c>
      <c r="D15" s="500"/>
      <c r="E15" s="500"/>
      <c r="F15" s="500"/>
      <c r="G15" s="500"/>
    </row>
    <row r="16" ht="8.75" customHeight="1" hidden="1">
      <c r="A16" s="400">
        <v>43313</v>
      </c>
      <c r="B16" s="517">
        <v>7428359</v>
      </c>
      <c r="C16" s="500">
        <v>2031903</v>
      </c>
      <c r="D16" s="500"/>
      <c r="E16" s="500"/>
      <c r="F16" s="500"/>
      <c r="G16" s="500"/>
    </row>
    <row r="17" ht="8.75" customHeight="1" hidden="1">
      <c r="A17" s="400">
        <v>43344</v>
      </c>
      <c r="B17" s="517">
        <v>7783074</v>
      </c>
      <c r="C17" s="500">
        <v>2427971</v>
      </c>
      <c r="D17" s="500"/>
      <c r="E17" s="500"/>
      <c r="F17" s="500"/>
      <c r="G17" s="500"/>
    </row>
    <row r="18" ht="8.75" customHeight="1" hidden="1">
      <c r="A18" s="400">
        <v>43374</v>
      </c>
      <c r="B18" s="517">
        <v>8487938</v>
      </c>
      <c r="C18" s="500">
        <v>2416602</v>
      </c>
      <c r="D18" s="500"/>
      <c r="E18" s="500"/>
      <c r="F18" s="500"/>
      <c r="G18" s="500"/>
    </row>
    <row r="19" ht="8.75" customHeight="1" hidden="1">
      <c r="A19" s="400">
        <v>43405</v>
      </c>
      <c r="B19" s="517">
        <v>9355066</v>
      </c>
      <c r="C19" s="500">
        <v>2482176</v>
      </c>
      <c r="D19" s="500"/>
      <c r="E19" s="500"/>
      <c r="F19" s="500"/>
      <c r="G19" s="500"/>
    </row>
    <row r="20" ht="8.75" customHeight="1" hidden="1">
      <c r="A20" s="400">
        <v>43435</v>
      </c>
      <c r="B20" s="517">
        <v>10010198</v>
      </c>
      <c r="C20" s="500">
        <v>2428017</v>
      </c>
      <c r="D20" s="500"/>
      <c r="E20" s="500"/>
      <c r="F20" s="500"/>
      <c r="G20" s="500"/>
    </row>
    <row r="21" ht="8.75" customHeight="1" hidden="1">
      <c r="A21" s="400">
        <v>43466</v>
      </c>
      <c r="B21" s="517">
        <v>10110198</v>
      </c>
      <c r="C21" s="500">
        <v>3692356</v>
      </c>
      <c r="D21" s="500"/>
      <c r="E21" s="500"/>
      <c r="F21" s="500"/>
      <c r="G21" s="500"/>
    </row>
    <row r="22" ht="8.75" customHeight="1" hidden="1">
      <c r="A22" s="400">
        <v>43497</v>
      </c>
      <c r="B22" s="517">
        <v>10220404</v>
      </c>
      <c r="C22" s="500">
        <v>3969445</v>
      </c>
      <c r="D22" s="500"/>
      <c r="E22" s="500"/>
      <c r="F22" s="500"/>
      <c r="G22" s="500"/>
    </row>
    <row r="23" ht="8.75" customHeight="1" hidden="1">
      <c r="A23" s="400">
        <v>43525</v>
      </c>
      <c r="B23" s="517">
        <v>10625536</v>
      </c>
      <c r="C23" s="500">
        <v>4080820</v>
      </c>
      <c r="D23" s="500"/>
      <c r="E23" s="500"/>
      <c r="F23" s="500"/>
      <c r="G23" s="500"/>
    </row>
    <row r="24" ht="8.75" customHeight="1" hidden="1">
      <c r="A24" s="400">
        <v>43556</v>
      </c>
      <c r="B24" s="517">
        <v>11125536</v>
      </c>
      <c r="C24" s="500">
        <v>4113438</v>
      </c>
      <c r="D24" s="500"/>
      <c r="E24" s="500"/>
      <c r="F24" s="500"/>
      <c r="G24" s="500"/>
    </row>
    <row r="25" ht="8.75" customHeight="1" hidden="1">
      <c r="A25" s="400">
        <v>43586</v>
      </c>
      <c r="B25" s="517">
        <v>11300704</v>
      </c>
      <c r="C25" s="500">
        <v>4569188</v>
      </c>
      <c r="D25" s="500"/>
      <c r="E25" s="500"/>
      <c r="F25" s="500"/>
      <c r="G25" s="500"/>
    </row>
    <row r="26" ht="8.75" customHeight="1" hidden="1">
      <c r="A26" s="400">
        <v>43617</v>
      </c>
      <c r="B26" s="517">
        <v>11742878</v>
      </c>
      <c r="C26" s="500" cm="1">
        <f t="array" ref="C26">4580437-115000</f>
        <v>4465437</v>
      </c>
      <c r="D26" s="500"/>
      <c r="E26" s="500"/>
      <c r="F26" s="500"/>
      <c r="G26" s="500"/>
    </row>
    <row r="27" ht="8.75" customHeight="1" hidden="1">
      <c r="A27" s="400">
        <v>43647</v>
      </c>
      <c r="B27" s="517">
        <v>12022412</v>
      </c>
      <c r="C27" s="500">
        <v>2547798</v>
      </c>
      <c r="D27" s="500"/>
      <c r="E27" s="500"/>
      <c r="F27" s="500"/>
      <c r="G27" s="500"/>
    </row>
    <row r="28" ht="8.75" customHeight="1" hidden="1">
      <c r="A28" s="400">
        <v>43678</v>
      </c>
      <c r="B28" s="517">
        <v>12582238</v>
      </c>
      <c r="C28" s="500">
        <v>2226754</v>
      </c>
      <c r="D28" s="500"/>
      <c r="E28" s="500"/>
      <c r="F28" s="500"/>
      <c r="G28" s="500"/>
    </row>
    <row r="29" ht="8.75" customHeight="1" hidden="1">
      <c r="A29" s="400">
        <v>43709</v>
      </c>
      <c r="B29" s="517">
        <v>12582238</v>
      </c>
      <c r="C29" s="500">
        <v>1133984</v>
      </c>
      <c r="D29" s="500"/>
      <c r="E29" s="500"/>
      <c r="F29" s="500"/>
      <c r="G29" s="500"/>
    </row>
    <row r="30" ht="8.75" customHeight="1" hidden="1">
      <c r="A30" s="400">
        <v>43739</v>
      </c>
      <c r="B30" s="517">
        <v>12582238</v>
      </c>
      <c r="C30" s="500">
        <v>1174200</v>
      </c>
      <c r="D30" s="500"/>
      <c r="E30" s="500"/>
      <c r="F30" s="500"/>
      <c r="G30" s="500"/>
    </row>
    <row r="31" ht="8.75" customHeight="1" hidden="1">
      <c r="A31" s="400">
        <v>43770</v>
      </c>
      <c r="B31" s="517">
        <v>12864311</v>
      </c>
      <c r="C31" s="500">
        <v>1327088</v>
      </c>
      <c r="D31" s="500"/>
      <c r="E31" s="500"/>
      <c r="F31" s="500"/>
      <c r="G31" s="500"/>
    </row>
    <row r="32" ht="8.75" customHeight="1" hidden="1">
      <c r="A32" s="400">
        <v>43800</v>
      </c>
      <c r="B32" s="517" cm="1">
        <f t="array" ref="B32">10647311+2500000</f>
        <v>13147311</v>
      </c>
      <c r="C32" s="500" cm="1">
        <f t="array" ref="C32">(1340758+112000)-2500000</f>
        <v>-1047242</v>
      </c>
      <c r="D32" s="500"/>
      <c r="E32" s="500"/>
      <c r="F32" s="500"/>
      <c r="G32" s="500"/>
    </row>
    <row r="33" ht="8.75" customHeight="1" hidden="1">
      <c r="A33" s="400">
        <v>43831</v>
      </c>
      <c r="B33" s="517">
        <v>13447311</v>
      </c>
      <c r="C33" s="500">
        <v>-877808</v>
      </c>
      <c r="D33" s="500"/>
      <c r="E33" s="500"/>
      <c r="F33" s="500"/>
      <c r="G33" s="500"/>
    </row>
    <row r="34" ht="8.75" customHeight="1" hidden="1">
      <c r="A34" s="400">
        <v>43862</v>
      </c>
      <c r="B34" s="517">
        <v>13747311</v>
      </c>
      <c r="C34" s="500">
        <v>-254938</v>
      </c>
      <c r="D34" s="500"/>
      <c r="E34" s="500"/>
      <c r="F34" s="500"/>
      <c r="G34" s="500"/>
    </row>
    <row r="35" ht="8.75" customHeight="1" hidden="1">
      <c r="A35" s="400">
        <v>43891</v>
      </c>
      <c r="B35" s="517">
        <v>13747311</v>
      </c>
      <c r="C35" s="500">
        <v>4872676</v>
      </c>
      <c r="D35" s="500"/>
      <c r="E35" s="500"/>
      <c r="F35" s="500"/>
      <c r="G35" s="500"/>
    </row>
    <row r="36" ht="8.75" customHeight="1" hidden="1">
      <c r="A36" s="400">
        <v>43922</v>
      </c>
      <c r="B36" s="517">
        <v>13747311</v>
      </c>
      <c r="C36" s="500" cm="1">
        <f t="array" ref="C36">3149719-73426</f>
        <v>3076293</v>
      </c>
      <c r="D36" s="500"/>
      <c r="E36" s="500"/>
      <c r="F36" s="500"/>
      <c r="G36" s="500"/>
    </row>
    <row r="37" ht="8.75" customHeight="1" hidden="1">
      <c r="A37" s="400">
        <v>43952</v>
      </c>
      <c r="B37" s="517">
        <v>13897311</v>
      </c>
      <c r="C37" s="500">
        <v>1559124</v>
      </c>
      <c r="D37" s="500"/>
      <c r="E37" s="500"/>
      <c r="F37" s="500"/>
      <c r="G37" s="500"/>
    </row>
    <row r="38" ht="8.75" customHeight="1" hidden="1">
      <c r="A38" s="400">
        <v>43983</v>
      </c>
      <c r="B38" s="517">
        <v>14285818</v>
      </c>
      <c r="C38" s="500">
        <v>116118</v>
      </c>
      <c r="D38" s="500"/>
      <c r="E38" s="500"/>
      <c r="F38" s="500"/>
      <c r="G38" s="500"/>
    </row>
    <row r="39" ht="8.75" customHeight="1" hidden="1">
      <c r="A39" s="400">
        <v>44013</v>
      </c>
      <c r="B39" s="517">
        <v>14285818</v>
      </c>
      <c r="C39" s="500">
        <v>-269963</v>
      </c>
      <c r="D39" s="500"/>
      <c r="E39" s="500"/>
      <c r="F39" s="500"/>
      <c r="G39" s="500"/>
    </row>
    <row r="40" ht="8.75" customHeight="1" hidden="1">
      <c r="A40" s="400">
        <v>44044</v>
      </c>
      <c r="B40" s="517">
        <v>14285818</v>
      </c>
      <c r="C40" s="500">
        <v>-905062</v>
      </c>
      <c r="D40" s="500"/>
      <c r="E40" s="500"/>
      <c r="F40" s="500"/>
      <c r="G40" s="500"/>
    </row>
    <row r="41" ht="8.75" customHeight="1" hidden="1">
      <c r="A41" s="400">
        <v>44075</v>
      </c>
      <c r="B41" s="517">
        <v>14285818</v>
      </c>
      <c r="C41" s="500">
        <v>1616291</v>
      </c>
      <c r="D41" s="500"/>
      <c r="E41" s="500"/>
      <c r="F41" s="500"/>
      <c r="G41" s="500"/>
    </row>
    <row r="42" ht="8.75" customHeight="1" hidden="1">
      <c r="A42" s="400">
        <v>44105</v>
      </c>
      <c r="B42" s="517">
        <v>14285818</v>
      </c>
      <c r="C42" s="500">
        <v>2080733</v>
      </c>
      <c r="D42" s="500"/>
      <c r="E42" s="500"/>
      <c r="F42" s="500"/>
      <c r="G42" s="500"/>
    </row>
    <row r="43" ht="8.75" customHeight="1" hidden="1">
      <c r="A43" s="400">
        <v>44136</v>
      </c>
      <c r="B43" s="517">
        <v>14285818</v>
      </c>
      <c r="C43" s="500">
        <v>205423</v>
      </c>
      <c r="D43" s="500"/>
      <c r="E43" s="500"/>
      <c r="F43" s="500"/>
      <c r="G43" s="500"/>
    </row>
    <row r="44" ht="8.75" customHeight="1" hidden="1">
      <c r="A44" s="400">
        <v>44166</v>
      </c>
      <c r="B44" s="517">
        <v>14285818</v>
      </c>
      <c r="C44" s="500">
        <v>-326721</v>
      </c>
      <c r="D44" s="500"/>
      <c r="E44" s="500"/>
      <c r="F44" s="500"/>
      <c r="G44" s="500"/>
    </row>
    <row r="45" ht="8.75" customHeight="1" hidden="1">
      <c r="A45" s="400">
        <v>44197</v>
      </c>
      <c r="B45" s="517">
        <v>14685818</v>
      </c>
      <c r="C45" s="500">
        <v>2023824</v>
      </c>
      <c r="D45" s="500"/>
      <c r="E45" s="500"/>
      <c r="F45" s="500"/>
      <c r="G45" s="500"/>
    </row>
    <row r="46" ht="8.75" customHeight="1" hidden="1">
      <c r="A46" s="400">
        <v>44228</v>
      </c>
      <c r="B46" s="517">
        <v>15685818</v>
      </c>
      <c r="C46" s="500" cm="1">
        <f t="array" ref="C46">6338406-E46</f>
        <v>6130488</v>
      </c>
      <c r="D46" s="500"/>
      <c r="E46" s="500">
        <v>207918</v>
      </c>
      <c r="F46" s="500"/>
      <c r="G46" s="500"/>
    </row>
    <row r="47" ht="8.75" customHeight="1" hidden="1">
      <c r="A47" s="400">
        <v>44256</v>
      </c>
      <c r="B47" s="517">
        <v>17185818</v>
      </c>
      <c r="C47" s="500" cm="1">
        <f t="array" ref="C47">6356119-E47</f>
        <v>5823619</v>
      </c>
      <c r="D47" s="500"/>
      <c r="E47" s="500" cm="1">
        <f t="array" ref="E47">500*725+200*850</f>
        <v>532500</v>
      </c>
      <c r="F47" s="500"/>
      <c r="G47" s="500"/>
    </row>
    <row r="48" ht="8.75" customHeight="1" hidden="1">
      <c r="A48" s="400">
        <v>44287</v>
      </c>
      <c r="B48" s="517">
        <v>18000000</v>
      </c>
      <c r="C48" s="500">
        <v>5264950</v>
      </c>
      <c r="D48" s="500"/>
      <c r="E48" s="500">
        <v>1237985</v>
      </c>
      <c r="F48" s="500"/>
      <c r="G48" s="500"/>
    </row>
    <row r="49" ht="8.75" customHeight="1" hidden="1">
      <c r="A49" s="400">
        <v>44317</v>
      </c>
      <c r="B49" s="517">
        <v>19000000</v>
      </c>
      <c r="C49" s="500">
        <v>7222737</v>
      </c>
      <c r="D49" s="500"/>
      <c r="E49" s="500">
        <v>1621614</v>
      </c>
      <c r="F49" s="500"/>
      <c r="G49" s="500"/>
    </row>
    <row r="50" ht="8.75" customHeight="1" hidden="1">
      <c r="A50" s="400">
        <v>44348</v>
      </c>
      <c r="B50" s="517">
        <v>20000000</v>
      </c>
      <c r="C50" s="500">
        <v>6437029</v>
      </c>
      <c r="D50" s="500"/>
      <c r="E50" s="500">
        <v>1636970</v>
      </c>
      <c r="F50" s="500"/>
      <c r="G50" s="500"/>
    </row>
    <row r="51" ht="8.75" customHeight="1" hidden="1">
      <c r="A51" s="400">
        <v>44378</v>
      </c>
      <c r="B51" s="517">
        <v>20600000</v>
      </c>
      <c r="C51" s="500">
        <v>6497069</v>
      </c>
      <c r="D51" s="500"/>
      <c r="E51" s="500">
        <v>2063546</v>
      </c>
      <c r="F51" s="500"/>
      <c r="G51" s="500"/>
    </row>
    <row r="52" ht="8.75" customHeight="1" hidden="1">
      <c r="A52" s="400">
        <v>44409</v>
      </c>
      <c r="B52" s="517">
        <v>20600000</v>
      </c>
      <c r="C52" s="500">
        <v>4847120</v>
      </c>
      <c r="D52" s="500"/>
      <c r="E52" s="500">
        <v>2500492</v>
      </c>
      <c r="F52" s="500"/>
      <c r="G52" s="500"/>
    </row>
    <row r="53" ht="8.75" customHeight="1" hidden="1">
      <c r="A53" s="400">
        <v>44440</v>
      </c>
      <c r="B53" s="517">
        <v>20600000</v>
      </c>
      <c r="C53" s="500">
        <v>542288</v>
      </c>
      <c r="D53" s="500"/>
      <c r="E53" s="500">
        <v>2409090</v>
      </c>
      <c r="F53" s="500"/>
      <c r="G53" s="500"/>
    </row>
    <row r="54" ht="8.75" customHeight="1" hidden="1">
      <c r="A54" s="400">
        <v>44470</v>
      </c>
      <c r="B54" s="517">
        <v>20600000</v>
      </c>
      <c r="C54" s="500">
        <v>542288</v>
      </c>
      <c r="D54" s="500"/>
      <c r="E54" s="500">
        <v>2439600</v>
      </c>
      <c r="F54" s="500"/>
      <c r="G54" s="500"/>
    </row>
    <row r="55" ht="8.75" customHeight="1" hidden="1">
      <c r="A55" s="400">
        <v>44501</v>
      </c>
      <c r="B55" s="517">
        <v>19800000</v>
      </c>
      <c r="C55" s="500">
        <v>20473</v>
      </c>
      <c r="D55" s="500"/>
      <c r="E55" s="500">
        <v>717315</v>
      </c>
      <c r="F55" s="500"/>
      <c r="G55" s="500"/>
    </row>
    <row r="56" ht="8.75" customHeight="1" hidden="1">
      <c r="A56" s="400">
        <v>44531</v>
      </c>
      <c r="B56" s="517">
        <v>19000000</v>
      </c>
      <c r="C56" s="500">
        <v>820473</v>
      </c>
      <c r="D56" s="500"/>
      <c r="E56" s="500">
        <v>667998</v>
      </c>
      <c r="F56" s="500"/>
      <c r="G56" s="500"/>
    </row>
    <row r="57" ht="8.75" customHeight="1" hidden="1">
      <c r="A57" s="400">
        <v>44562</v>
      </c>
      <c r="B57" s="517">
        <v>18200000</v>
      </c>
      <c r="C57" s="500">
        <v>820473</v>
      </c>
      <c r="D57" s="500"/>
      <c r="E57" s="500">
        <v>679915</v>
      </c>
      <c r="F57" s="500"/>
      <c r="G57" s="500"/>
    </row>
    <row r="58" ht="8.75" customHeight="1" hidden="1">
      <c r="A58" s="400">
        <v>44593</v>
      </c>
      <c r="B58" s="517">
        <v>13200000</v>
      </c>
      <c r="C58" s="500">
        <v>820473</v>
      </c>
      <c r="D58" s="500"/>
      <c r="E58" s="500">
        <v>678300</v>
      </c>
      <c r="F58" s="500"/>
      <c r="G58" s="500"/>
    </row>
    <row r="59" ht="8.75" customHeight="1" hidden="1">
      <c r="A59" s="400">
        <v>44621</v>
      </c>
      <c r="B59" s="517">
        <v>9200000</v>
      </c>
      <c r="C59" s="500">
        <v>820473</v>
      </c>
      <c r="D59" s="500"/>
      <c r="E59" s="500">
        <v>667998</v>
      </c>
      <c r="F59" s="500"/>
      <c r="G59" s="500"/>
    </row>
    <row r="60" ht="8.75" customHeight="1" hidden="1">
      <c r="A60" s="400">
        <v>44652</v>
      </c>
      <c r="B60" s="517">
        <v>9200000</v>
      </c>
      <c r="C60" s="500">
        <v>820473</v>
      </c>
      <c r="D60" s="500"/>
      <c r="E60" s="500">
        <v>722610.5</v>
      </c>
      <c r="F60" s="500"/>
      <c r="G60" s="500"/>
    </row>
    <row r="61" ht="8.75" customHeight="1" hidden="1">
      <c r="A61" s="400">
        <v>44682</v>
      </c>
      <c r="B61" s="517">
        <v>7200000</v>
      </c>
      <c r="C61" s="500">
        <v>820473</v>
      </c>
      <c r="D61" s="500"/>
      <c r="E61" s="500">
        <v>699873</v>
      </c>
      <c r="F61" s="500"/>
      <c r="G61" s="500"/>
    </row>
    <row r="62" ht="8.75" customHeight="1" hidden="1">
      <c r="A62" s="400">
        <v>44713</v>
      </c>
      <c r="B62" s="517">
        <v>8925852</v>
      </c>
      <c r="C62" s="500">
        <v>820473</v>
      </c>
      <c r="D62" s="500"/>
      <c r="E62" s="500">
        <v>785145</v>
      </c>
      <c r="F62" s="500"/>
      <c r="G62" s="500"/>
    </row>
    <row r="63" ht="8.75" customHeight="1" hidden="1">
      <c r="A63" s="400">
        <v>44743</v>
      </c>
      <c r="B63" s="517">
        <v>8025852</v>
      </c>
      <c r="C63" s="500">
        <v>50000</v>
      </c>
      <c r="D63" s="500"/>
      <c r="E63" s="500">
        <v>765552.5</v>
      </c>
      <c r="F63" s="500"/>
      <c r="G63" s="500"/>
    </row>
    <row r="64" ht="8.75" customHeight="1" hidden="1">
      <c r="A64" s="400">
        <v>44774</v>
      </c>
      <c r="B64" s="517">
        <v>7125852</v>
      </c>
      <c r="C64" s="500">
        <v>50000</v>
      </c>
      <c r="D64" s="500"/>
      <c r="E64" s="500">
        <v>760877.5</v>
      </c>
      <c r="F64" s="500"/>
      <c r="G64" s="500"/>
    </row>
    <row r="65" ht="8.75" customHeight="1" hidden="1">
      <c r="A65" s="400">
        <v>44805</v>
      </c>
      <c r="B65" s="517">
        <v>6225852</v>
      </c>
      <c r="C65" s="500">
        <v>2850000</v>
      </c>
      <c r="D65" s="500"/>
      <c r="E65" s="500">
        <v>821635.5</v>
      </c>
      <c r="F65" s="500"/>
      <c r="G65" s="500"/>
    </row>
    <row r="66" ht="8.75" customHeight="1" hidden="1">
      <c r="A66" s="400">
        <v>44835</v>
      </c>
      <c r="B66" s="517">
        <v>6225852</v>
      </c>
      <c r="C66" s="500">
        <v>4816514</v>
      </c>
      <c r="D66" s="500"/>
      <c r="E66" s="500">
        <v>800955</v>
      </c>
      <c r="F66" s="500"/>
      <c r="G66" s="500"/>
    </row>
    <row r="67" ht="8.75" customHeight="1" hidden="1">
      <c r="A67" s="400">
        <v>44866</v>
      </c>
      <c r="B67" s="517">
        <v>6225852</v>
      </c>
      <c r="C67" s="500">
        <v>5197607</v>
      </c>
      <c r="D67" s="500"/>
      <c r="E67" s="500">
        <v>764260.5</v>
      </c>
      <c r="F67" s="500"/>
      <c r="G67" s="500"/>
    </row>
    <row r="68" ht="8.75" customHeight="1" hidden="1">
      <c r="A68" s="400">
        <v>44896</v>
      </c>
      <c r="B68" s="517">
        <v>7000000</v>
      </c>
      <c r="C68" s="500">
        <v>2465010</v>
      </c>
      <c r="D68" s="500"/>
      <c r="E68" s="500">
        <v>381199.5</v>
      </c>
      <c r="F68" s="500"/>
      <c r="G68" s="500"/>
    </row>
    <row r="69" ht="8.75" customHeight="1" hidden="1">
      <c r="A69" s="400">
        <v>44927</v>
      </c>
      <c r="B69" s="517">
        <v>7600000</v>
      </c>
      <c r="C69" s="500">
        <v>2444460</v>
      </c>
      <c r="D69" s="500"/>
      <c r="E69" s="500">
        <v>357966</v>
      </c>
      <c r="F69" s="500"/>
      <c r="G69" s="500"/>
    </row>
    <row r="70" ht="8.75" customHeight="1" hidden="1">
      <c r="A70" s="400">
        <v>44958</v>
      </c>
      <c r="B70" s="517">
        <v>8100000</v>
      </c>
      <c r="C70" s="500">
        <v>1728146</v>
      </c>
      <c r="D70" s="500"/>
      <c r="E70" s="500">
        <v>372361.5</v>
      </c>
      <c r="F70" s="500"/>
      <c r="G70" s="500"/>
    </row>
    <row r="71" ht="8.75" customHeight="1" hidden="1">
      <c r="A71" s="400">
        <v>44986</v>
      </c>
      <c r="B71" s="517">
        <v>8700000</v>
      </c>
      <c r="C71" s="500">
        <v>2048562</v>
      </c>
      <c r="D71" s="500"/>
      <c r="E71" s="500">
        <v>358344</v>
      </c>
      <c r="F71" s="500"/>
      <c r="G71" s="500"/>
    </row>
    <row r="72" ht="8.75" customHeight="1" hidden="1">
      <c r="A72" s="400">
        <v>45017</v>
      </c>
      <c r="B72" s="517">
        <v>8700000</v>
      </c>
      <c r="C72" s="500">
        <v>1162472</v>
      </c>
      <c r="D72" s="500"/>
      <c r="E72" s="500">
        <v>161272</v>
      </c>
      <c r="F72" s="500"/>
      <c r="G72" s="500"/>
    </row>
    <row r="73" ht="8.75" customHeight="1" hidden="1">
      <c r="A73" s="400">
        <v>45047</v>
      </c>
      <c r="B73" s="517">
        <v>9227950</v>
      </c>
      <c r="C73" s="500">
        <v>1387247</v>
      </c>
      <c r="D73" s="500"/>
      <c r="E73" s="500">
        <v>161580</v>
      </c>
      <c r="F73" s="500"/>
      <c r="G73" s="500"/>
    </row>
    <row r="74" ht="8.75" customHeight="1" hidden="1">
      <c r="A74" s="400">
        <v>45078</v>
      </c>
      <c r="B74" s="517">
        <v>10040065</v>
      </c>
      <c r="C74" s="500">
        <v>2673705</v>
      </c>
      <c r="D74" s="500"/>
      <c r="E74" s="500">
        <v>160206</v>
      </c>
      <c r="F74" s="500"/>
      <c r="G74" s="500"/>
    </row>
    <row r="75" ht="8.75" customHeight="1" hidden="1">
      <c r="A75" s="400">
        <v>45108</v>
      </c>
      <c r="B75" s="517">
        <v>10100000</v>
      </c>
      <c r="C75" s="500">
        <v>2881010</v>
      </c>
      <c r="D75" s="500"/>
      <c r="E75" s="500">
        <v>167690</v>
      </c>
      <c r="F75" s="500"/>
      <c r="G75" s="500"/>
    </row>
    <row r="76" ht="8.75" customHeight="1" hidden="1">
      <c r="A76" s="400">
        <v>45139</v>
      </c>
      <c r="B76" s="517">
        <v>10100000</v>
      </c>
      <c r="C76" s="500" cm="1">
        <f t="array" ref="C76">2646126+495000</f>
        <v>3141126</v>
      </c>
      <c r="D76" s="500"/>
      <c r="E76" s="500">
        <v>174700</v>
      </c>
      <c r="F76" s="500"/>
      <c r="G76" s="500"/>
    </row>
    <row r="77" ht="8.75" customHeight="1" hidden="1">
      <c r="A77" s="400">
        <v>45170</v>
      </c>
      <c r="B77" s="517">
        <v>10100000</v>
      </c>
      <c r="C77" s="500">
        <v>3558914</v>
      </c>
      <c r="D77" s="500"/>
      <c r="E77" s="500">
        <v>44392.5</v>
      </c>
      <c r="F77" s="500"/>
      <c r="G77" s="500"/>
    </row>
    <row r="78" ht="8.75" customHeight="1" hidden="1">
      <c r="A78" s="400">
        <v>45200</v>
      </c>
      <c r="B78" s="517">
        <v>10100000</v>
      </c>
      <c r="C78" s="500">
        <v>3053212</v>
      </c>
      <c r="D78" s="500"/>
      <c r="E78" s="500">
        <v>44825</v>
      </c>
      <c r="F78" s="500"/>
      <c r="G78" s="500"/>
    </row>
    <row r="79" ht="8.75" customHeight="1" hidden="1">
      <c r="A79" s="400">
        <v>45231</v>
      </c>
      <c r="B79" s="517">
        <v>10100000</v>
      </c>
      <c r="C79" s="500">
        <v>1591362</v>
      </c>
      <c r="D79" s="500"/>
      <c r="E79" s="500">
        <v>46575</v>
      </c>
      <c r="F79" s="500"/>
      <c r="G79" s="500"/>
    </row>
    <row r="80" ht="8.75" customHeight="1" hidden="1">
      <c r="A80" s="400">
        <v>45261</v>
      </c>
      <c r="B80" s="517">
        <v>10100000</v>
      </c>
      <c r="C80" s="500">
        <v>1840000</v>
      </c>
      <c r="D80" s="500" cm="1">
        <f t="array" ref="D80">'net worth - Table 1-1'!K80</f>
        <v>10100000</v>
      </c>
      <c r="E80" s="500">
        <v>46575</v>
      </c>
      <c r="F80" s="500"/>
      <c r="G80" s="500"/>
    </row>
    <row r="81" ht="8.75" customHeight="1" hidden="1">
      <c r="A81" s="400">
        <v>45292</v>
      </c>
      <c r="B81" s="517">
        <v>10100000</v>
      </c>
      <c r="C81" s="500">
        <v>1840000</v>
      </c>
      <c r="D81" s="500" cm="1">
        <f t="array" ref="D81">'net worth - Table 1-1'!K81</f>
        <v>40114000</v>
      </c>
      <c r="E81" s="500">
        <v>46575</v>
      </c>
      <c r="F81" s="500"/>
      <c r="G81" s="500"/>
    </row>
    <row r="82" ht="8.75" customHeight="1" hidden="1">
      <c r="A82" s="400">
        <v>45323</v>
      </c>
      <c r="B82" s="517">
        <v>10100000</v>
      </c>
      <c r="C82" s="500">
        <v>2309462</v>
      </c>
      <c r="D82" s="500" cm="1">
        <f t="array" ref="D82">'net worth - Table 1-1'!K82</f>
        <v>52261361</v>
      </c>
      <c r="E82" s="500">
        <v>0</v>
      </c>
      <c r="F82" s="500"/>
      <c r="G82" s="500"/>
    </row>
    <row r="83" ht="8.75" customHeight="1" hidden="1">
      <c r="A83" s="400">
        <v>45352</v>
      </c>
      <c r="B83" s="517">
        <v>0</v>
      </c>
      <c r="C83" s="500">
        <v>2309462</v>
      </c>
      <c r="D83" s="500" cm="1">
        <f t="array" ref="D83">'net worth - Table 1-1'!K83</f>
        <v>57900000</v>
      </c>
      <c r="E83" s="500"/>
      <c r="F83" s="500" cm="1">
        <f t="array" ref="F83">'flujos - Gasto mensual'!I84</f>
        <v>0</v>
      </c>
      <c r="G83" s="500" cm="1">
        <f t="array" ref="G83">'net worth - Table 1-1'!L83-F83</f>
        <v>0</v>
      </c>
    </row>
    <row r="84" ht="8.75" customHeight="1" hidden="1">
      <c r="A84" s="400">
        <v>45383</v>
      </c>
      <c r="B84" s="517">
        <v>0</v>
      </c>
      <c r="C84" s="500">
        <v>2309462</v>
      </c>
      <c r="D84" s="500" cm="1">
        <f t="array" ref="D84">'net worth - Table 1-1'!K84</f>
        <v>0</v>
      </c>
      <c r="E84" s="500"/>
      <c r="F84" s="500" cm="1">
        <f t="array" ref="F84">'flujos - Gasto mensual'!I85</f>
        <v>0</v>
      </c>
      <c r="G84" s="500" cm="1">
        <f t="array" ref="G84">'net worth - Table 1-1'!L84-F84</f>
        <v>146632532</v>
      </c>
    </row>
    <row r="85" ht="8.75" customHeight="1" hidden="1">
      <c r="A85" s="400">
        <v>45413</v>
      </c>
      <c r="B85" s="517">
        <v>0</v>
      </c>
      <c r="C85" s="500">
        <v>2309462</v>
      </c>
      <c r="D85" s="500" cm="1">
        <f t="array" ref="D85">'net worth - Table 1-1'!K85</f>
        <v>0</v>
      </c>
      <c r="E85" s="500"/>
      <c r="F85" s="500" cm="1">
        <f t="array" ref="F85">'flujos - Gasto mensual'!I86</f>
        <v>0</v>
      </c>
      <c r="G85" s="500" cm="1">
        <f t="array" ref="G85">'net worth - Table 1-1'!L85-F85</f>
        <v>148537645</v>
      </c>
    </row>
    <row r="86" ht="8.75" customHeight="1" hidden="1">
      <c r="A86" s="400">
        <v>45444</v>
      </c>
      <c r="B86" s="517">
        <v>0</v>
      </c>
      <c r="C86" s="500">
        <v>2309462</v>
      </c>
      <c r="D86" s="500" cm="1">
        <f t="array" ref="D86">'net worth - Table 1-1'!K86</f>
        <v>2590180</v>
      </c>
      <c r="E86" s="500"/>
      <c r="F86" s="500" cm="1">
        <f t="array" ref="F86">'flujos - Gasto mensual'!I87</f>
        <v>0</v>
      </c>
      <c r="G86" s="500" cm="1">
        <f t="array" ref="G86">'net worth - Table 1-1'!L86-F86</f>
        <v>148507657</v>
      </c>
    </row>
    <row r="87" ht="8.75" customHeight="1" hidden="1">
      <c r="A87" s="400">
        <v>45474</v>
      </c>
      <c r="B87" s="517">
        <v>0</v>
      </c>
      <c r="C87" s="500">
        <v>2309462</v>
      </c>
      <c r="D87" s="500" cm="1">
        <f t="array" ref="D87">'net worth - Table 1-1'!K87</f>
        <v>6590180</v>
      </c>
      <c r="E87" s="500"/>
      <c r="F87" s="500" cm="1">
        <f t="array" ref="F87">'flujos - Gasto mensual'!I88</f>
        <v>0</v>
      </c>
      <c r="G87" s="500" cm="1">
        <f t="array" ref="G87">'net worth - Table 1-1'!L87-F87</f>
        <v>146514662</v>
      </c>
    </row>
    <row r="88" ht="8.75" customHeight="1" hidden="1">
      <c r="A88" s="400">
        <v>45505</v>
      </c>
      <c r="B88" s="517">
        <v>0</v>
      </c>
      <c r="C88" s="500">
        <v>2309462</v>
      </c>
      <c r="D88" s="500" cm="1">
        <f t="array" ref="D88">'net worth - Table 1-1'!K88</f>
        <v>10590180</v>
      </c>
      <c r="E88" s="500"/>
      <c r="F88" s="500" cm="1">
        <f t="array" ref="F88">'flujos - Gasto mensual'!I89</f>
        <v>0</v>
      </c>
      <c r="G88" s="500" cm="1">
        <f t="array" ref="G88">'net worth - Table 1-1'!L88-F88</f>
        <v>144080221</v>
      </c>
    </row>
    <row r="89" ht="8.75" customHeight="1" hidden="1">
      <c r="A89" s="400">
        <v>45536</v>
      </c>
      <c r="B89" s="517">
        <v>0</v>
      </c>
      <c r="C89" s="500">
        <v>1000000</v>
      </c>
      <c r="D89" s="500" cm="1">
        <f t="array" ref="D89">'net worth - Table 1-1'!K89</f>
        <v>16582969</v>
      </c>
      <c r="E89" s="500"/>
      <c r="F89" s="500" cm="1">
        <f t="array" ref="F89">'flujos - Gasto mensual'!I90</f>
        <v>0</v>
      </c>
      <c r="G89" s="500" cm="1">
        <f t="array" ref="G89">'net worth - Table 1-1'!L89-F89</f>
        <v>142677909</v>
      </c>
    </row>
    <row r="90" ht="8.75" customHeight="1" hidden="1">
      <c r="A90" s="400">
        <v>45566</v>
      </c>
      <c r="B90" s="517" cm="1">
        <f t="array" ref="B90">'net worth - balances'!$B$8</f>
        <v>0</v>
      </c>
      <c r="C90" s="500">
        <v>545538</v>
      </c>
      <c r="D90" s="500" cm="1">
        <f t="array" ref="D90">'net worth - Table 1-1'!K90</f>
        <v>19688735</v>
      </c>
      <c r="E90" s="500"/>
      <c r="F90" s="500" cm="1">
        <f t="array" ref="F90">'flujos - Gasto mensual'!I91</f>
        <v>0</v>
      </c>
      <c r="G90" s="500" cm="1">
        <f t="array" ref="G90">'net worth - Table 1-1'!L90-F90</f>
        <v>140667010</v>
      </c>
    </row>
    <row r="91" ht="8.75" customHeight="1" hidden="1">
      <c r="A91" s="400">
        <v>45597</v>
      </c>
      <c r="B91" s="517" cm="1">
        <f t="array" ref="B91">'net worth - balances'!$B$8</f>
        <v>0</v>
      </c>
      <c r="C91" s="500">
        <v>2900000</v>
      </c>
      <c r="D91" s="500" cm="1">
        <f t="array" ref="D91">'net worth - Table 1-1'!K91</f>
        <v>4332241</v>
      </c>
      <c r="E91" s="500"/>
      <c r="F91" s="500" cm="1">
        <f t="array" ref="F91">'flujos - Gasto mensual'!I92</f>
        <v>0</v>
      </c>
      <c r="G91" s="500" cm="1">
        <f t="array" ref="G91">'net worth - Table 1-1'!L91-F91</f>
        <v>118820206</v>
      </c>
    </row>
    <row r="92" ht="8.75" customHeight="1" hidden="1">
      <c r="A92" s="400">
        <v>45627</v>
      </c>
      <c r="B92" t="s" s="521">
        <v>825</v>
      </c>
      <c r="C92" s="500">
        <v>2900000</v>
      </c>
      <c r="D92" s="500" cm="1">
        <f t="array" ref="D92">'net worth - Table 1-1'!K92</f>
        <v>14275453</v>
      </c>
      <c r="E92" s="500"/>
      <c r="F92" s="500" cm="1">
        <f t="array" ref="F92">'flujos - Gasto mensual'!I93</f>
        <v>0</v>
      </c>
      <c r="G92" s="500" cm="1">
        <f t="array" ref="G92">'net worth - Table 1-1'!L92-F92</f>
        <v>117412648</v>
      </c>
    </row>
    <row r="93" ht="8.75" customHeight="1" hidden="1">
      <c r="A93" s="400">
        <v>45658</v>
      </c>
      <c r="B93" s="517">
        <v>0</v>
      </c>
      <c r="C93" s="500">
        <v>900000</v>
      </c>
      <c r="D93" s="500" cm="1">
        <f t="array" ref="D93">'net worth - Table 1-1'!K93</f>
        <v>35074047</v>
      </c>
      <c r="E93" s="500"/>
      <c r="F93" s="500" cm="1">
        <f t="array" ref="F93">'flujos - Gasto mensual'!I94</f>
        <v>0</v>
      </c>
      <c r="G93" s="500" cm="1">
        <f t="array" ref="G93">'net worth - Table 1-1'!L93-F93</f>
        <v>117412648</v>
      </c>
    </row>
    <row r="94" ht="8.75" customHeight="1" hidden="1">
      <c r="A94" s="400">
        <v>45689</v>
      </c>
      <c r="B94" s="517">
        <v>0</v>
      </c>
      <c r="C94" s="500">
        <v>4600000</v>
      </c>
      <c r="D94" s="500" cm="1">
        <f t="array" ref="D94">'net worth - Table 1-1'!K94</f>
        <v>3071246</v>
      </c>
      <c r="E94" s="500"/>
      <c r="F94" s="500" cm="1">
        <f t="array" ref="F94">'flujos - Gasto mensual'!I95</f>
        <v>0</v>
      </c>
      <c r="G94" s="500" cm="1">
        <f t="array" ref="G94">'net worth - Table 1-1'!L94-F94</f>
        <v>96843989</v>
      </c>
    </row>
    <row r="95" ht="8.75" customHeight="1" hidden="1">
      <c r="A95" s="400">
        <v>45717</v>
      </c>
      <c r="B95" s="517">
        <v>0</v>
      </c>
      <c r="C95" s="500">
        <v>4430268</v>
      </c>
      <c r="D95" s="500" cm="1">
        <f t="array" ref="D95">'net worth - Table 1-1'!K95</f>
        <v>4776572.4</v>
      </c>
      <c r="E95" s="500"/>
      <c r="F95" s="500" cm="1">
        <f t="array" ref="F95">'flujos - Gasto mensual'!I96</f>
        <v>5570207</v>
      </c>
      <c r="G95" s="500" cm="1">
        <f t="array" ref="G95">'net worth - Table 1-1'!L95-F95</f>
        <v>96174107</v>
      </c>
    </row>
    <row r="96" ht="8.75" customHeight="1" hidden="1">
      <c r="A96" s="400">
        <v>45748</v>
      </c>
      <c r="B96" s="517">
        <v>0</v>
      </c>
      <c r="C96" s="500">
        <v>3000000</v>
      </c>
      <c r="D96" s="500" cm="1">
        <f t="array" ref="D96">'net worth - Table 1-1'!K96</f>
        <v>5912818</v>
      </c>
      <c r="E96" s="500"/>
      <c r="F96" s="500" cm="1">
        <f t="array" ref="F96">'flujos - Gasto mensual'!I97</f>
        <v>4870207</v>
      </c>
      <c r="G96" s="500" cm="1">
        <f t="array" ref="G96">'net worth - Table 1-1'!L96-F96</f>
        <v>95491654</v>
      </c>
    </row>
    <row r="97" ht="8.75" customHeight="1" hidden="1">
      <c r="A97" s="400">
        <v>45778</v>
      </c>
      <c r="B97" s="517">
        <v>0</v>
      </c>
      <c r="C97" s="500">
        <v>3200000</v>
      </c>
      <c r="D97" s="500">
        <v>5553109</v>
      </c>
      <c r="E97" s="500"/>
      <c r="F97" s="500" cm="1">
        <f t="array" ref="F97">'flujos - Gasto mensual'!I98</f>
        <v>4170207</v>
      </c>
      <c r="G97" s="500" cm="1">
        <f t="array" ref="G97">'net worth - Table 1-1'!L97-F97</f>
        <v>94826483</v>
      </c>
    </row>
    <row r="98" ht="8.75" customHeight="1" hidden="1">
      <c r="A98" s="400">
        <v>45809</v>
      </c>
      <c r="B98" s="517">
        <v>0</v>
      </c>
      <c r="C98" s="500">
        <v>3270000</v>
      </c>
      <c r="D98" s="500">
        <v>3330381</v>
      </c>
      <c r="E98" s="500"/>
      <c r="F98" s="500" cm="1">
        <f t="array" ref="F98">'flujos - Gasto mensual'!I99</f>
        <v>3970423</v>
      </c>
      <c r="G98" s="500" cm="1">
        <f t="array" ref="G98">'net worth - Table 1-1'!L98-F98</f>
        <v>93886625</v>
      </c>
    </row>
    <row r="99" ht="8.75" customHeight="1" hidden="1">
      <c r="A99" s="400">
        <v>45839</v>
      </c>
      <c r="B99" s="517">
        <v>0</v>
      </c>
      <c r="C99" s="500">
        <v>0</v>
      </c>
      <c r="D99" s="500">
        <v>362597</v>
      </c>
      <c r="E99" s="500"/>
      <c r="F99" s="500" cm="1">
        <f t="array" ref="F99">'flujos - Gasto mensual'!I100</f>
        <v>3470207</v>
      </c>
      <c r="G99" s="500" cm="1">
        <f t="array" ref="G99">'net worth - Table 1-1'!L99-F99</f>
        <v>93663876</v>
      </c>
    </row>
    <row r="100" ht="8.75" customHeight="1" hidden="1">
      <c r="A100" s="400">
        <v>45870</v>
      </c>
      <c r="B100" s="517">
        <v>0</v>
      </c>
      <c r="C100" s="500">
        <v>0</v>
      </c>
      <c r="D100" s="500">
        <v>1144754</v>
      </c>
      <c r="E100" s="500"/>
      <c r="F100" s="500" cm="1">
        <f t="array" ref="F100">'flujos - Gasto mensual'!I101</f>
        <v>2998443</v>
      </c>
      <c r="G100" s="500" cm="1">
        <f t="array" ref="G100">'net worth - Table 1-1'!L100-F100</f>
        <v>93199928</v>
      </c>
    </row>
    <row r="101" ht="8.75" customHeight="1" hidden="1">
      <c r="A101" s="400">
        <v>45901</v>
      </c>
      <c r="B101" s="517">
        <v>0</v>
      </c>
      <c r="C101" s="500">
        <v>0</v>
      </c>
      <c r="D101" s="500">
        <v>2835604</v>
      </c>
      <c r="E101" s="500"/>
      <c r="F101" s="500" cm="1">
        <f t="array" ref="F101">'flujos - Gasto mensual'!I102</f>
        <v>2765960</v>
      </c>
      <c r="G101" s="500" cm="1">
        <f t="array" ref="G101">'net worth - Table 1-1'!L101-F101</f>
        <v>92791278</v>
      </c>
    </row>
    <row r="102" ht="20.55" customHeight="1">
      <c r="A102" s="177">
        <v>45931</v>
      </c>
      <c r="B102" s="518">
        <v>0</v>
      </c>
      <c r="C102" s="184">
        <v>0</v>
      </c>
      <c r="D102" s="184">
        <v>-1316399</v>
      </c>
      <c r="E102" s="184"/>
      <c r="F102" s="184" cm="1">
        <f t="array" ref="F102">'flujos - Gasto mensual'!I103</f>
        <v>5824709</v>
      </c>
      <c r="G102" s="184" cm="1">
        <f t="array" ref="G102">'net worth - Table 1-1'!L102-F102</f>
        <v>92808548</v>
      </c>
    </row>
    <row r="103" ht="20.35" customHeight="1">
      <c r="A103" s="186">
        <v>45962</v>
      </c>
      <c r="B103" s="519">
        <v>0</v>
      </c>
      <c r="C103" s="316">
        <v>0</v>
      </c>
      <c r="D103" s="316">
        <v>-141123</v>
      </c>
      <c r="E103" s="316"/>
      <c r="F103" s="316" cm="1">
        <f t="array" ref="F103">'flujos - Gasto mensual'!I104</f>
        <v>5096529</v>
      </c>
      <c r="G103" s="316" cm="1">
        <f t="array" ref="G103">'net worth - Table 1-1'!L103-F103</f>
        <v>92440135</v>
      </c>
    </row>
    <row r="104" ht="20.35" customHeight="1">
      <c r="A104" s="186">
        <v>45992</v>
      </c>
      <c r="B104" s="519">
        <v>0</v>
      </c>
      <c r="C104" s="316">
        <v>0</v>
      </c>
      <c r="D104" s="316">
        <v>-1645628</v>
      </c>
      <c r="E104" s="316"/>
      <c r="F104" s="316" cm="1">
        <f t="array" ref="F104">'flujos - Gasto mensual'!I105</f>
        <v>6776991</v>
      </c>
      <c r="G104" s="316" cm="1">
        <f t="array" ref="G104">'net worth - Table 1-1'!L104-F104</f>
        <v>91930444</v>
      </c>
    </row>
    <row r="105" ht="20.35" customHeight="1">
      <c r="A105" s="186">
        <v>46023</v>
      </c>
      <c r="B105" s="519">
        <v>0</v>
      </c>
      <c r="C105" s="316">
        <v>0</v>
      </c>
      <c r="D105" s="316">
        <v>18610</v>
      </c>
      <c r="E105" s="316"/>
      <c r="F105" s="316" cm="1">
        <f t="array" ref="F105">'flujos - Gasto mensual'!I106</f>
        <v>6121064</v>
      </c>
      <c r="G105" s="316" cm="1">
        <f t="array" ref="G105">'net worth - Table 1-1'!L105-F105</f>
        <v>91879790</v>
      </c>
    </row>
    <row r="106" ht="20.35" customHeight="1">
      <c r="A106" s="186">
        <v>46054</v>
      </c>
      <c r="B106" s="519">
        <v>0</v>
      </c>
      <c r="C106" s="316">
        <v>0</v>
      </c>
      <c r="D106" s="316">
        <v>245877</v>
      </c>
      <c r="E106" s="316"/>
      <c r="F106" s="316" cm="1">
        <f t="array" ref="F106">'flujos - Gasto mensual'!I107</f>
        <v>5741896</v>
      </c>
      <c r="G106" s="316" cm="1">
        <f t="array" ref="G106">'net worth - Table 1-1'!L106-F106</f>
        <v>91041308</v>
      </c>
    </row>
    <row r="107" ht="20.35" customHeight="1">
      <c r="A107" s="186">
        <v>46082</v>
      </c>
      <c r="B107" s="519">
        <v>0</v>
      </c>
      <c r="C107" s="316">
        <v>0</v>
      </c>
      <c r="D107" s="316">
        <v>1880927</v>
      </c>
      <c r="E107" s="316"/>
      <c r="F107" s="316" cm="1">
        <f t="array" ref="F107">'flujos - Gasto mensual'!I108</f>
        <v>5138899</v>
      </c>
      <c r="G107" s="316" cm="1">
        <f t="array" ref="G107">'net worth - Table 1-1'!L107-F107</f>
        <v>78767080</v>
      </c>
    </row>
    <row r="108" ht="20.35" customHeight="1">
      <c r="A108" s="186">
        <v>46113</v>
      </c>
      <c r="B108" s="519" cm="1">
        <f t="array" ref="B108">'net worth - balances'!$B$8</f>
        <v>0</v>
      </c>
      <c r="C108" s="316">
        <v>50000</v>
      </c>
      <c r="D108" s="316">
        <v>20268684</v>
      </c>
      <c r="E108" s="316"/>
      <c r="F108" s="316" cm="1">
        <f t="array" ref="F108">'flujos - Gasto mensual'!I109</f>
        <v>4845217</v>
      </c>
      <c r="G108" s="316" cm="1">
        <f t="array" ref="G108">'depto - dividendos'!K32*IF(ISBLANK('variables - Table 1-1'!D108),'variables - Table 1'!$B$2,'variables - Table 1-1'!D108)</f>
        <v>76484318.79186</v>
      </c>
    </row>
    <row r="109" ht="20.35" customHeight="1">
      <c r="A109" s="186">
        <v>46143</v>
      </c>
      <c r="B109" s="519" cm="1">
        <f t="array" ref="B109">'net worth - balances'!$B$8</f>
        <v>0</v>
      </c>
      <c r="C109" s="316" cm="1">
        <f t="array" ref="C109">'net worth - cash'!$B$2</f>
        <v>280744</v>
      </c>
      <c r="D109" s="316" cm="1">
        <f t="array" ref="D109">IF('net worth - cash'!$B$2-'net worth - cash'!B$11&lt;0,'net worth - cash'!$B$2-'net worth - cash'!B$11,0)+'net worth - cash and cash equiv'!$H$118</f>
        <v>17512018</v>
      </c>
      <c r="E109" s="316"/>
      <c r="F109" s="316" cm="1">
        <f t="array" ref="F109">'flujos - Gasto mensual'!I110</f>
        <v>4399322</v>
      </c>
      <c r="G109" s="316" cm="1">
        <f t="array" ref="G109">'depto - dividendos'!K33*IF(ISBLANK('variables - Table 1-1'!D109),'variables - Table 1'!$B$2,'variables - Table 1-1'!D109)</f>
        <v>74539845.31171501</v>
      </c>
    </row>
    <row r="110" ht="20.35" customHeight="1">
      <c r="A110" s="186">
        <v>46174</v>
      </c>
      <c r="B110" s="519" cm="1">
        <f t="array" ref="B110">'net worth - balances'!$B$8</f>
        <v>0</v>
      </c>
      <c r="C110" s="316" cm="1">
        <f t="array" ref="C110">'net worth - cash'!$B$2</f>
        <v>280744</v>
      </c>
      <c r="D110" s="316" cm="1">
        <f t="array" ref="D110">IF('net worth - cash'!$B$2-'net worth - cash'!B$11&lt;0,'net worth - cash'!$B$2-'net worth - cash'!B$11,0)+'net worth - cash and cash equiv'!$H$118</f>
        <v>17512018</v>
      </c>
      <c r="E110" s="316"/>
      <c r="F110" s="316" cm="1">
        <f t="array" ref="F110">'flujos - Gasto mensual'!I111</f>
        <v>3910057</v>
      </c>
      <c r="G110" s="316" cm="1">
        <f t="array" ref="G110">'depto - dividendos'!K34*IF(ISBLANK('variables - Table 1-1'!D110),'variables - Table 1'!$B$2,'variables - Table 1-1'!D110)</f>
        <v>72745289.73878381</v>
      </c>
    </row>
    <row r="111" ht="20.35" customHeight="1">
      <c r="A111" s="186">
        <v>46204</v>
      </c>
      <c r="B111" s="519" cm="1">
        <f t="array" ref="B111">'net worth - balances'!$B$8</f>
        <v>0</v>
      </c>
      <c r="C111" s="316" cm="1">
        <f t="array" ref="C111">'net worth - cash'!$B$2</f>
        <v>280744</v>
      </c>
      <c r="D111" s="316" cm="1">
        <f t="array" ref="D111">IF('net worth - cash'!$B$2-'net worth - cash'!B$11&lt;0,'net worth - cash'!$B$2-'net worth - cash'!B$11,0)+'net worth - cash and cash equiv'!$H$118</f>
        <v>17512018</v>
      </c>
      <c r="E111" s="316"/>
      <c r="F111" s="316" cm="1">
        <f t="array" ref="F111">'flujos - Gasto mensual'!I112</f>
        <v>3462440</v>
      </c>
      <c r="G111" s="316" cm="1">
        <f t="array" ref="G111">'depto - dividendos'!K35*IF(ISBLANK('variables - Table 1-1'!D111),'variables - Table 1'!$B$2,'variables - Table 1-1'!D111)</f>
        <v>72012214.1459084</v>
      </c>
    </row>
    <row r="112" ht="20.35" customHeight="1">
      <c r="A112" s="186">
        <v>46235</v>
      </c>
      <c r="B112" s="519" cm="1">
        <f t="array" ref="B112">'net worth - balances'!$B$8</f>
        <v>0</v>
      </c>
      <c r="C112" s="316" cm="1">
        <f t="array" ref="C112">'net worth - cash'!$B$2</f>
        <v>280744</v>
      </c>
      <c r="D112" s="316" cm="1">
        <f t="array" ref="D112">IF('net worth - cash'!$B$2-'net worth - cash'!B$11&lt;0,'net worth - cash'!$B$2-'net worth - cash'!B$11,0)+'net worth - cash and cash equiv'!$H$118</f>
        <v>17512018</v>
      </c>
      <c r="E112" s="316"/>
      <c r="F112" s="316" cm="1">
        <f t="array" ref="F112">'flujos - Gasto mensual'!I113</f>
        <v>3109580</v>
      </c>
      <c r="G112" s="316" cm="1">
        <f t="array" ref="G112">'depto - dividendos'!K36*IF(ISBLANK('variables - Table 1-1'!D112),'variables - Table 1'!$B$2,'variables - Table 1-1'!D112)</f>
        <v>71441083.497574</v>
      </c>
    </row>
    <row r="113" ht="20.35" customHeight="1">
      <c r="A113" s="186">
        <v>46266</v>
      </c>
      <c r="B113" s="519" cm="1">
        <f t="array" ref="B113">'net worth - balances'!$B$8</f>
        <v>0</v>
      </c>
      <c r="C113" s="316" cm="1">
        <f t="array" ref="C113">'net worth - cash'!$B$2</f>
        <v>280744</v>
      </c>
      <c r="D113" s="316" cm="1">
        <f t="array" ref="D113">IF('net worth - cash'!$B$2-'net worth - cash'!B$11&lt;0,'net worth - cash'!$B$2-'net worth - cash'!B$11,0)+'net worth - cash and cash equiv'!$H$118</f>
        <v>17512018</v>
      </c>
      <c r="E113" s="316"/>
      <c r="F113" s="316" cm="1">
        <f t="array" ref="F113">'flujos - Gasto mensual'!I114</f>
        <v>2790064</v>
      </c>
      <c r="G113" s="316" cm="1">
        <f t="array" ref="G113">'depto - dividendos'!K37*IF(ISBLANK('variables - Table 1-1'!D113),'variables - Table 1'!$B$2,'variables - Table 1-1'!D113)</f>
        <v>70801680.7934815</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G13"/>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8.3516" style="522" customWidth="1"/>
    <col min="2" max="2" width="11.1484" style="522" customWidth="1"/>
    <col min="3" max="7" width="16.3516" style="522" customWidth="1"/>
    <col min="8" max="16384" width="16.3516" style="522" customWidth="1"/>
  </cols>
  <sheetData>
    <row r="1" ht="20.55" customHeight="1">
      <c r="A1" s="7"/>
      <c r="B1" s="7"/>
      <c r="C1" s="7"/>
      <c r="D1" s="7"/>
      <c r="E1" s="7"/>
      <c r="F1" s="7"/>
      <c r="G1" s="7"/>
    </row>
    <row r="2" ht="20.55" customHeight="1">
      <c r="A2" s="523"/>
      <c r="B2" s="524"/>
      <c r="C2" s="48"/>
      <c r="D2" s="48"/>
      <c r="E2" s="525"/>
      <c r="F2" s="526"/>
      <c r="G2" s="64"/>
    </row>
    <row r="3" ht="20.35" customHeight="1">
      <c r="A3" s="477"/>
      <c r="B3" s="29"/>
      <c r="C3" s="26"/>
      <c r="D3" s="26"/>
      <c r="E3" s="527"/>
      <c r="F3" s="528"/>
      <c r="G3" s="68"/>
    </row>
    <row r="4" ht="20.35" customHeight="1">
      <c r="A4" s="28"/>
      <c r="B4" s="29"/>
      <c r="C4" s="32"/>
      <c r="D4" s="32"/>
      <c r="E4" s="32"/>
      <c r="F4" s="32"/>
      <c r="G4" s="32"/>
    </row>
    <row r="5" ht="20.35" customHeight="1">
      <c r="A5" s="477"/>
      <c r="B5" s="29"/>
      <c r="C5" s="26"/>
      <c r="D5" s="26"/>
      <c r="E5" s="527"/>
      <c r="F5" s="528"/>
      <c r="G5" s="68"/>
    </row>
    <row r="6" ht="20.35" customHeight="1">
      <c r="A6" s="477"/>
      <c r="B6" s="29"/>
      <c r="C6" s="26"/>
      <c r="D6" s="26"/>
      <c r="E6" s="527"/>
      <c r="F6" s="528"/>
      <c r="G6" s="68"/>
    </row>
    <row r="7" ht="20.35" customHeight="1">
      <c r="A7" t="s" s="102">
        <v>827</v>
      </c>
      <c r="B7" s="29"/>
      <c r="C7" s="26" cm="1">
        <f t="array" ref="C7">'depto - dividendos'!C13*0</f>
        <v>0</v>
      </c>
      <c r="D7" s="26"/>
      <c r="E7" s="527"/>
      <c r="F7" s="528"/>
      <c r="G7" s="68"/>
    </row>
    <row r="8" ht="20.35" customHeight="1">
      <c r="A8" s="477"/>
      <c r="B8" s="83"/>
      <c r="C8" s="26"/>
      <c r="D8" s="26"/>
      <c r="E8" s="100"/>
      <c r="F8" s="529"/>
      <c r="G8" s="32"/>
    </row>
    <row r="9" ht="20.35" customHeight="1">
      <c r="A9" t="s" s="102">
        <v>828</v>
      </c>
      <c r="B9" s="83"/>
      <c r="C9" s="26">
        <v>0</v>
      </c>
      <c r="D9" s="26"/>
      <c r="E9" s="100"/>
      <c r="F9" s="530"/>
      <c r="G9" s="32"/>
    </row>
    <row r="10" ht="20.35" customHeight="1">
      <c r="A10" t="s" s="102">
        <v>829</v>
      </c>
      <c r="B10" s="83"/>
      <c r="C10" s="26">
        <v>0</v>
      </c>
      <c r="D10" s="26"/>
      <c r="E10" s="105"/>
      <c r="F10" s="530"/>
      <c r="G10" s="32"/>
    </row>
    <row r="11" ht="20.55" customHeight="1">
      <c r="A11" t="s" s="531">
        <v>830</v>
      </c>
      <c r="B11" s="459"/>
      <c r="C11" s="44" cm="1">
        <f t="array" ref="C11">'net worth - balances'!B4</f>
        <v>27351662</v>
      </c>
      <c r="D11" s="44"/>
      <c r="E11" s="532"/>
      <c r="F11" s="533"/>
      <c r="G11" s="73"/>
    </row>
    <row r="12" ht="20.55" customHeight="1">
      <c r="A12" t="s" s="45">
        <v>831</v>
      </c>
      <c r="B12" s="46"/>
      <c r="C12" s="79" cm="1">
        <f t="array" ref="C12">C10+C11-C7+C9</f>
        <v>27351662</v>
      </c>
      <c r="D12" s="46"/>
      <c r="E12" s="46"/>
      <c r="F12" s="46"/>
      <c r="G12" s="46"/>
    </row>
    <row r="13" ht="20.35" customHeight="1">
      <c r="A13" t="s" s="50">
        <v>832</v>
      </c>
      <c r="B13" s="51"/>
      <c r="C13" s="534">
        <v>0</v>
      </c>
      <c r="D13" s="51"/>
      <c r="E13" s="51"/>
      <c r="F13" s="51"/>
      <c r="G13" s="51"/>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BR114"/>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1" width="16.3516" style="535" customWidth="1"/>
    <col min="2" max="3" width="20.2656" style="535" customWidth="1"/>
    <col min="4" max="4" width="6.74219" style="535" customWidth="1"/>
    <col min="5" max="7" width="20.2656" style="535" customWidth="1"/>
    <col min="8" max="8" width="16.6719" style="535" customWidth="1"/>
    <col min="9" max="9" width="20.2656" style="535" customWidth="1"/>
    <col min="10" max="10" width="14.1719" style="535" customWidth="1"/>
    <col min="11" max="11" width="1.40625" style="535" customWidth="1"/>
    <col min="12" max="14" width="18.2266" style="535" customWidth="1"/>
    <col min="15" max="15" width="14.7969" style="535" customWidth="1"/>
    <col min="16" max="16" width="18.2266" style="535" customWidth="1"/>
    <col min="17" max="17" width="10.3516" style="535" customWidth="1"/>
    <col min="18" max="18" width="1.40625" style="535" customWidth="1"/>
    <col min="19" max="23" width="18.2266" style="535" customWidth="1"/>
    <col min="24" max="24" width="10.3516" style="535" customWidth="1"/>
    <col min="25" max="25" width="4.30469" style="535" customWidth="1"/>
    <col min="26" max="29" width="18.5" style="535" customWidth="1"/>
    <col min="30" max="31" width="6.67188" style="535" customWidth="1"/>
    <col min="32" max="32" width="18.5" style="535" customWidth="1"/>
    <col min="33" max="33" width="4.30469" style="535" customWidth="1"/>
    <col min="34" max="36" width="18.5" style="535" customWidth="1"/>
    <col min="37" max="41" width="18.1719" style="535" customWidth="1"/>
    <col min="42" max="42" width="9.17188" style="535" customWidth="1"/>
    <col min="43" max="43" width="1.40625" style="535" customWidth="1"/>
    <col min="44" max="48" width="18.1719" style="535" customWidth="1"/>
    <col min="49" max="49" width="8.17188" style="535" customWidth="1"/>
    <col min="50" max="50" width="1.40625" style="535" customWidth="1"/>
    <col min="51" max="55" width="18.1719" style="535" customWidth="1"/>
    <col min="56" max="56" width="9.67188" style="535" customWidth="1"/>
    <col min="57" max="57" width="8.35156" style="535" customWidth="1"/>
    <col min="58" max="62" width="18.1719" style="535" customWidth="1"/>
    <col min="63" max="63" width="9.85156" style="535" customWidth="1"/>
    <col min="64" max="70" width="19.4766" style="535" customWidth="1"/>
    <col min="71" max="16384" width="16.3516" style="535" customWidth="1"/>
  </cols>
  <sheetData>
    <row r="1" ht="20.35" customHeight="1">
      <c r="A1" s="217"/>
      <c r="B1" t="s" s="218">
        <v>834</v>
      </c>
      <c r="C1" t="s" s="218">
        <v>665</v>
      </c>
      <c r="D1" s="217"/>
      <c r="E1" t="s" s="218">
        <v>835</v>
      </c>
      <c r="F1" t="s" s="218">
        <v>836</v>
      </c>
      <c r="G1" t="s" s="218">
        <v>837</v>
      </c>
      <c r="H1" t="s" s="218">
        <v>838</v>
      </c>
      <c r="I1" t="s" s="218">
        <v>839</v>
      </c>
      <c r="J1" t="s" s="218">
        <v>840</v>
      </c>
      <c r="K1" s="217"/>
      <c r="L1" t="s" s="218">
        <v>841</v>
      </c>
      <c r="M1" t="s" s="218">
        <v>842</v>
      </c>
      <c r="N1" t="s" s="218">
        <v>843</v>
      </c>
      <c r="O1" t="s" s="218">
        <v>844</v>
      </c>
      <c r="P1" t="s" s="218">
        <v>845</v>
      </c>
      <c r="Q1" t="s" s="218">
        <v>846</v>
      </c>
      <c r="R1" s="217"/>
      <c r="S1" t="s" s="218">
        <v>847</v>
      </c>
      <c r="T1" t="s" s="218">
        <v>848</v>
      </c>
      <c r="U1" t="s" s="218">
        <v>849</v>
      </c>
      <c r="V1" t="s" s="218">
        <v>850</v>
      </c>
      <c r="W1" t="s" s="218">
        <v>851</v>
      </c>
      <c r="X1" t="s" s="218">
        <v>852</v>
      </c>
      <c r="Y1" s="217"/>
      <c r="Z1" t="s" s="218">
        <v>853</v>
      </c>
      <c r="AA1" s="217"/>
      <c r="AB1" s="217"/>
      <c r="AC1" s="217"/>
      <c r="AD1" s="217"/>
      <c r="AE1" s="217"/>
      <c r="AF1" s="217"/>
      <c r="AG1" s="217"/>
      <c r="AH1" t="s" s="218">
        <v>854</v>
      </c>
      <c r="AI1" t="s" s="218">
        <v>855</v>
      </c>
      <c r="AJ1" t="s" s="218">
        <v>856</v>
      </c>
      <c r="AK1" t="s" s="218">
        <v>857</v>
      </c>
      <c r="AL1" t="s" s="218">
        <v>858</v>
      </c>
      <c r="AM1" t="s" s="218">
        <v>859</v>
      </c>
      <c r="AN1" t="s" s="218">
        <v>860</v>
      </c>
      <c r="AO1" t="s" s="218">
        <v>670</v>
      </c>
      <c r="AP1" t="s" s="218">
        <v>861</v>
      </c>
      <c r="AQ1" s="217"/>
      <c r="AR1" t="s" s="218">
        <v>862</v>
      </c>
      <c r="AS1" t="s" s="218">
        <v>107</v>
      </c>
      <c r="AT1" t="s" s="218">
        <v>863</v>
      </c>
      <c r="AU1" t="s" s="218">
        <v>864</v>
      </c>
      <c r="AV1" t="s" s="218">
        <v>865</v>
      </c>
      <c r="AW1" t="s" s="218">
        <v>866</v>
      </c>
      <c r="AX1" s="217"/>
      <c r="AY1" t="s" s="218">
        <v>867</v>
      </c>
      <c r="AZ1" t="s" s="218">
        <v>868</v>
      </c>
      <c r="BA1" t="s" s="218">
        <v>869</v>
      </c>
      <c r="BB1" t="s" s="218">
        <v>870</v>
      </c>
      <c r="BC1" t="s" s="218">
        <v>871</v>
      </c>
      <c r="BD1" t="s" s="218">
        <v>872</v>
      </c>
      <c r="BE1" s="217"/>
      <c r="BF1" t="s" s="218">
        <v>873</v>
      </c>
      <c r="BG1" t="s" s="218">
        <v>874</v>
      </c>
      <c r="BH1" t="s" s="218">
        <v>875</v>
      </c>
      <c r="BI1" t="s" s="218">
        <v>876</v>
      </c>
      <c r="BJ1" t="s" s="218">
        <v>877</v>
      </c>
      <c r="BK1" t="s" s="218">
        <v>878</v>
      </c>
      <c r="BL1" t="s" s="218">
        <v>879</v>
      </c>
      <c r="BM1" t="s" s="218">
        <v>880</v>
      </c>
      <c r="BN1" t="s" s="218">
        <v>881</v>
      </c>
      <c r="BO1" t="s" s="218">
        <v>882</v>
      </c>
      <c r="BP1" t="s" s="218">
        <v>883</v>
      </c>
      <c r="BQ1" s="217"/>
      <c r="BR1" t="s" s="218">
        <v>884</v>
      </c>
    </row>
    <row r="2" ht="20.55" customHeight="1">
      <c r="A2" s="7"/>
      <c r="B2" s="7"/>
      <c r="C2" s="7"/>
      <c r="D2" s="7"/>
      <c r="E2" s="7"/>
      <c r="F2" s="7"/>
      <c r="G2" s="7"/>
      <c r="H2" s="7"/>
      <c r="I2" s="7"/>
      <c r="J2" s="7"/>
      <c r="K2" s="7"/>
      <c r="L2" s="7"/>
      <c r="M2" s="7"/>
      <c r="N2" s="7"/>
      <c r="O2" s="7"/>
      <c r="P2" s="7"/>
      <c r="Q2" s="7"/>
      <c r="R2" s="7"/>
      <c r="S2" s="7"/>
      <c r="T2" s="7"/>
      <c r="U2" s="7"/>
      <c r="V2" s="7"/>
      <c r="W2" s="7"/>
      <c r="X2" s="7"/>
      <c r="Y2" s="7"/>
      <c r="Z2" t="s" s="8">
        <v>599</v>
      </c>
      <c r="AA2" t="s" s="8">
        <v>791</v>
      </c>
      <c r="AB2" t="s" s="8">
        <v>885</v>
      </c>
      <c r="AC2" t="s" s="8">
        <v>135</v>
      </c>
      <c r="AD2" t="s" s="8">
        <v>759</v>
      </c>
      <c r="AE2" t="s" s="8">
        <v>663</v>
      </c>
      <c r="AF2" t="s" s="8">
        <v>886</v>
      </c>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row>
    <row r="3" ht="8.75" customHeight="1" hidden="1">
      <c r="A3" s="400">
        <v>42887</v>
      </c>
      <c r="B3" s="517" cm="1">
        <f t="array" ref="B3">E3+AH3</f>
        <v>1126087.61863593</v>
      </c>
      <c r="C3" s="500" cm="1">
        <f t="array" ref="C3">F3+AL3</f>
        <v>1125078</v>
      </c>
      <c r="D3" s="536"/>
      <c r="E3" s="500">
        <v>1001010</v>
      </c>
      <c r="F3" s="500">
        <v>1000000</v>
      </c>
      <c r="G3" s="500"/>
      <c r="H3" s="537"/>
      <c r="I3" s="500"/>
      <c r="J3" s="538"/>
      <c r="K3" s="500"/>
      <c r="L3" s="500"/>
      <c r="M3" s="500"/>
      <c r="N3" s="500"/>
      <c r="O3" s="500"/>
      <c r="P3" s="500"/>
      <c r="Q3" s="500"/>
      <c r="R3" s="500"/>
      <c r="S3" s="500"/>
      <c r="T3" s="500"/>
      <c r="U3" s="500"/>
      <c r="V3" s="500"/>
      <c r="W3" s="500"/>
      <c r="X3" s="500"/>
      <c r="Y3" s="539"/>
      <c r="Z3" s="500"/>
      <c r="AA3" s="500"/>
      <c r="AB3" s="500"/>
      <c r="AC3" s="500"/>
      <c r="AD3" s="500"/>
      <c r="AE3" s="500"/>
      <c r="AF3" s="500"/>
      <c r="AG3" s="539"/>
      <c r="AH3" s="500" cm="1">
        <f t="array" ref="AH3">SUM(AI3:AJ3)</f>
        <v>125077.618635927</v>
      </c>
      <c r="AI3" s="500" cm="1">
        <f t="array" ref="AI3">AR3+AY3</f>
        <v>97716.618635927007</v>
      </c>
      <c r="AJ3" s="500">
        <v>27361</v>
      </c>
      <c r="AK3" s="500" cm="1">
        <f t="array" ref="AK3">AS3+AZ3</f>
        <v>97717</v>
      </c>
      <c r="AL3" s="500" cm="1">
        <f t="array" ref="AL3">AK3+AJ3</f>
        <v>125078</v>
      </c>
      <c r="AM3" s="500" cm="1">
        <f t="array" ref="AM3">AT3</f>
        <v>4352</v>
      </c>
      <c r="AN3" s="537" cm="1">
        <f t="array" ref="AN3">AM3/AK3</f>
        <v>0.0445367745632797</v>
      </c>
      <c r="AO3" s="500">
        <v>3295</v>
      </c>
      <c r="AP3" s="538" cm="1">
        <f t="array" ref="AP3">AO3/(AK3)</f>
        <v>0.0337198235721522</v>
      </c>
      <c r="AQ3" s="538"/>
      <c r="AR3" s="500">
        <v>97716.618635927007</v>
      </c>
      <c r="AS3" s="500" cm="1">
        <f t="array" ref="AS3">SUM('net worth - retiro'!D5)-6646</f>
        <v>97717</v>
      </c>
      <c r="AT3" s="500" cm="1">
        <f t="array" ref="AT3">4352</f>
        <v>4352</v>
      </c>
      <c r="AU3" s="537" cm="1">
        <f t="array" ref="AU3">AT3/AS3</f>
        <v>0.0445367745632797</v>
      </c>
      <c r="AV3" s="500" cm="1">
        <f t="array" ref="AV3">AT3-AU3</f>
        <v>4351.955463225440</v>
      </c>
      <c r="AW3" s="538" cm="1">
        <f t="array" ref="AW3">AV3/(AS3)</f>
        <v>0.0445363187902355</v>
      </c>
      <c r="AX3" s="500"/>
      <c r="AY3" s="500"/>
      <c r="AZ3" s="500"/>
      <c r="BA3" s="500"/>
      <c r="BB3" s="540"/>
      <c r="BC3" s="500"/>
      <c r="BD3" s="500"/>
      <c r="BE3" s="500"/>
      <c r="BF3" s="500"/>
      <c r="BG3" s="500"/>
      <c r="BH3" s="500"/>
      <c r="BI3" s="500"/>
      <c r="BJ3" s="500"/>
      <c r="BK3" s="500"/>
      <c r="BL3" s="500" cm="1">
        <f t="array" ref="BL3">BC3+AV3+P3</f>
        <v>4351.955463225440</v>
      </c>
      <c r="BM3" s="500" cm="1">
        <f t="array" ref="BM3">SUM(BL$3:BL3)</f>
        <v>4351.955463225440</v>
      </c>
      <c r="BN3" s="500" cm="1">
        <f t="array" ref="BN3">B3-C3</f>
        <v>1009.61863593</v>
      </c>
      <c r="BO3" s="500" cm="1">
        <f t="array" ref="BO3">BL3+'net worth - Table 1-2'!E2</f>
        <v>4351.955463225440</v>
      </c>
      <c r="BP3" s="500" cm="1">
        <f t="array" ref="BP3">SUM(BO$3:BO3)</f>
        <v>4351.955463225440</v>
      </c>
      <c r="BQ3" s="500" cm="1">
        <f t="array" ref="BQ3">B3+'net worth - Table 1-2'!C2-'net worth - Table 1-2'!B2-C3</f>
        <v>1009.61863593</v>
      </c>
      <c r="BR3" s="500" cm="1">
        <f t="array" ref="BR3">(BF3+AY3)*0.85+('net worth - Table 1-2-1'!D2)+E3+'net worth - Table 1-2'!C2</f>
        <v>1001010</v>
      </c>
    </row>
    <row r="4" ht="8.75" customHeight="1" hidden="1">
      <c r="A4" s="400">
        <v>42917</v>
      </c>
      <c r="B4" s="517" cm="1">
        <f t="array" ref="B4">E4+AH4</f>
        <v>1256133.66666667</v>
      </c>
      <c r="C4" s="500" cm="1">
        <f t="array" ref="C4">F4+AL4</f>
        <v>1258134</v>
      </c>
      <c r="D4" s="536"/>
      <c r="E4" s="500">
        <v>998000</v>
      </c>
      <c r="F4" s="500">
        <v>1000000</v>
      </c>
      <c r="G4" s="500"/>
      <c r="H4" s="537"/>
      <c r="I4" s="500"/>
      <c r="J4" s="538"/>
      <c r="K4" s="500"/>
      <c r="L4" s="500"/>
      <c r="M4" s="500"/>
      <c r="N4" s="500"/>
      <c r="O4" s="500"/>
      <c r="P4" s="500"/>
      <c r="Q4" s="500"/>
      <c r="R4" s="500"/>
      <c r="S4" s="500"/>
      <c r="T4" s="500"/>
      <c r="U4" s="500"/>
      <c r="V4" s="500"/>
      <c r="W4" s="500"/>
      <c r="X4" s="500"/>
      <c r="Y4" s="539"/>
      <c r="Z4" s="500"/>
      <c r="AA4" s="500"/>
      <c r="AB4" s="500"/>
      <c r="AC4" s="500"/>
      <c r="AD4" s="500"/>
      <c r="AE4" s="500"/>
      <c r="AF4" s="500"/>
      <c r="AG4" s="539"/>
      <c r="AH4" s="500" cm="1">
        <f t="array" ref="AH4">SUM(AI4:AJ4)</f>
        <v>258133.666666667</v>
      </c>
      <c r="AI4" s="500" cm="1">
        <f t="array" ref="AI4">AR4+AY4</f>
        <v>201666.666666667</v>
      </c>
      <c r="AJ4" s="500">
        <v>56467</v>
      </c>
      <c r="AK4" s="500" cm="1">
        <f t="array" ref="AK4">AS4+AZ4</f>
        <v>201667</v>
      </c>
      <c r="AL4" s="500" cm="1">
        <f t="array" ref="AL4">AK4+AJ4</f>
        <v>258134</v>
      </c>
      <c r="AM4" s="500" cm="1">
        <f t="array" ref="AM4">AT4</f>
        <v>8474</v>
      </c>
      <c r="AN4" s="537" cm="1">
        <f t="array" ref="AN4">AM4/AK4</f>
        <v>0.0420197652565864</v>
      </c>
      <c r="AO4" s="500" cm="1">
        <f t="array" ref="AO4">AM4-AM3</f>
        <v>4122</v>
      </c>
      <c r="AP4" s="538" cm="1">
        <f t="array" ref="AP4">AO4/(AI3+AK4-AK3)</f>
        <v>0.0204396742895835</v>
      </c>
      <c r="AQ4" s="538"/>
      <c r="AR4" s="500">
        <v>201666.666666667</v>
      </c>
      <c r="AS4" s="500" cm="1">
        <f t="array" ref="AS4">SUM('net worth - retiro'!D$5:D6)-6646*2</f>
        <v>201667</v>
      </c>
      <c r="AT4" s="500" cm="1">
        <f t="array" ref="AT4">8474</f>
        <v>8474</v>
      </c>
      <c r="AU4" s="537" cm="1">
        <f t="array" ref="AU4">AT4/AS4</f>
        <v>0.0420197652565864</v>
      </c>
      <c r="AV4" s="500" cm="1">
        <f t="array" ref="AV4">AT4-AT3</f>
        <v>4122</v>
      </c>
      <c r="AW4" s="538" cm="1">
        <f t="array" ref="AW4">AV4/(AR3+AS4-AS3)</f>
        <v>0.0204396742895835</v>
      </c>
      <c r="AX4" s="500"/>
      <c r="AY4" s="500"/>
      <c r="AZ4" s="500"/>
      <c r="BA4" s="500"/>
      <c r="BB4" s="540"/>
      <c r="BC4" s="500"/>
      <c r="BD4" s="500"/>
      <c r="BE4" s="500"/>
      <c r="BF4" s="500"/>
      <c r="BG4" s="500"/>
      <c r="BH4" s="500"/>
      <c r="BI4" s="500"/>
      <c r="BJ4" s="500"/>
      <c r="BK4" s="500"/>
      <c r="BL4" s="500" cm="1">
        <f t="array" ref="BL4">BC4+AV4+P4</f>
        <v>4122</v>
      </c>
      <c r="BM4" s="500" cm="1">
        <f t="array" ref="BM4">SUM(BL$3:BL4)</f>
        <v>8473.955463225440</v>
      </c>
      <c r="BN4" s="500" cm="1">
        <f t="array" ref="BN4">B4-C4</f>
        <v>-2000.33333333</v>
      </c>
      <c r="BO4" s="500" cm="1">
        <f t="array" ref="BO4">BL4+'net worth - Table 1-2'!E3</f>
        <v>4122</v>
      </c>
      <c r="BP4" s="500" cm="1">
        <f t="array" ref="BP4">SUM(BO$3:BO4)</f>
        <v>8473.955463225440</v>
      </c>
      <c r="BQ4" s="500" cm="1">
        <f t="array" ref="BQ4">B4+'net worth - Table 1-2'!C3-'net worth - Table 1-2'!B3-C4</f>
        <v>-2000.33333333</v>
      </c>
      <c r="BR4" s="500" cm="1">
        <f t="array" ref="BR4">(BF4+AY4)*0.85+('net worth - Table 1-2-1'!D3)+E4+'net worth - Table 1-2'!C3</f>
        <v>998000</v>
      </c>
    </row>
    <row r="5" ht="8.75" customHeight="1" hidden="1">
      <c r="A5" s="400">
        <v>42948</v>
      </c>
      <c r="B5" s="517" cm="1">
        <f t="array" ref="B5">E5+AH5</f>
        <v>1397706.2987512</v>
      </c>
      <c r="C5" s="500" cm="1">
        <f t="array" ref="C5">F5+AL5</f>
        <v>1400707</v>
      </c>
      <c r="D5" s="536"/>
      <c r="E5" s="500">
        <v>997000</v>
      </c>
      <c r="F5" s="500">
        <v>1000000</v>
      </c>
      <c r="G5" s="500"/>
      <c r="H5" s="537"/>
      <c r="I5" s="500"/>
      <c r="J5" s="538"/>
      <c r="K5" s="500"/>
      <c r="L5" s="500"/>
      <c r="M5" s="500"/>
      <c r="N5" s="500"/>
      <c r="O5" s="500"/>
      <c r="P5" s="500"/>
      <c r="Q5" s="500"/>
      <c r="R5" s="500"/>
      <c r="S5" s="500"/>
      <c r="T5" s="500"/>
      <c r="U5" s="500"/>
      <c r="V5" s="500"/>
      <c r="W5" s="500"/>
      <c r="X5" s="500"/>
      <c r="Y5" s="539"/>
      <c r="Z5" s="500"/>
      <c r="AA5" s="500"/>
      <c r="AB5" s="500"/>
      <c r="AC5" s="500"/>
      <c r="AD5" s="500"/>
      <c r="AE5" s="500"/>
      <c r="AF5" s="500"/>
      <c r="AG5" s="539"/>
      <c r="AH5" s="500" cm="1">
        <f t="array" ref="AH5">SUM(AI5:AJ5)</f>
        <v>400706.298751201</v>
      </c>
      <c r="AI5" s="500" cm="1">
        <f t="array" ref="AI5">AR5+AY5</f>
        <v>318529.298751201</v>
      </c>
      <c r="AJ5" s="500">
        <v>82177</v>
      </c>
      <c r="AK5" s="500" cm="1">
        <f t="array" ref="AK5">AS5+AZ5</f>
        <v>318530</v>
      </c>
      <c r="AL5" s="500" cm="1">
        <f t="array" ref="AL5">AK5+AJ5</f>
        <v>400707</v>
      </c>
      <c r="AM5" s="500" cm="1">
        <f t="array" ref="AM5">AT5</f>
        <v>7568</v>
      </c>
      <c r="AN5" s="537" cm="1">
        <f t="array" ref="AN5">AM5/AK5</f>
        <v>0.0237591435657552</v>
      </c>
      <c r="AO5" s="500" cm="1">
        <f t="array" ref="AO5">AM5-AM4</f>
        <v>-906</v>
      </c>
      <c r="AP5" s="538" cm="1">
        <f t="array" ref="AP5">AO5/(AI4+AK5-AK4)</f>
        <v>-0.00284431905348429</v>
      </c>
      <c r="AQ5" s="538"/>
      <c r="AR5" s="500">
        <v>318529.298751201</v>
      </c>
      <c r="AS5" s="500" cm="1">
        <f t="array" ref="AS5">SUM('net worth - retiro'!D$5:D7)-6646*3</f>
        <v>318530</v>
      </c>
      <c r="AT5" s="500" cm="1">
        <f t="array" ref="AT5">7568</f>
        <v>7568</v>
      </c>
      <c r="AU5" s="537" cm="1">
        <f t="array" ref="AU5">AT5/AS5</f>
        <v>0.0237591435657552</v>
      </c>
      <c r="AV5" s="500" cm="1">
        <f t="array" ref="AV5">AT5-AT4</f>
        <v>-906</v>
      </c>
      <c r="AW5" s="538" cm="1">
        <f t="array" ref="AW5">AV5/(AR4+AS5-AS4)</f>
        <v>-0.00284431905348429</v>
      </c>
      <c r="AX5" s="500"/>
      <c r="AY5" s="500"/>
      <c r="AZ5" s="500"/>
      <c r="BA5" s="500"/>
      <c r="BB5" s="540"/>
      <c r="BC5" s="500"/>
      <c r="BD5" s="500"/>
      <c r="BE5" s="500"/>
      <c r="BF5" s="500"/>
      <c r="BG5" s="500"/>
      <c r="BH5" s="500"/>
      <c r="BI5" s="500"/>
      <c r="BJ5" s="500"/>
      <c r="BK5" s="500"/>
      <c r="BL5" s="500" cm="1">
        <f t="array" ref="BL5">BC5+AV5+P5</f>
        <v>-906</v>
      </c>
      <c r="BM5" s="500" cm="1">
        <f t="array" ref="BM5">SUM(BL$3:BL5)</f>
        <v>7567.955463225440</v>
      </c>
      <c r="BN5" s="500" cm="1">
        <f t="array" ref="BN5">B5-C5</f>
        <v>-3000.7012488</v>
      </c>
      <c r="BO5" s="500" cm="1">
        <f t="array" ref="BO5">BL5+'net worth - Table 1-2'!E4</f>
        <v>-906</v>
      </c>
      <c r="BP5" s="500" cm="1">
        <f t="array" ref="BP5">SUM(BO$3:BO5)</f>
        <v>7567.955463225440</v>
      </c>
      <c r="BQ5" s="500" cm="1">
        <f t="array" ref="BQ5">B5+'net worth - Table 1-2'!C4-'net worth - Table 1-2'!B4-C5</f>
        <v>-3000.7012488</v>
      </c>
      <c r="BR5" s="500" cm="1">
        <f t="array" ref="BR5">(BF5+AY5)*0.85+('net worth - Table 1-2-1'!D4)+E5+'net worth - Table 1-2'!C4</f>
        <v>997000</v>
      </c>
    </row>
    <row r="6" ht="8.75" customHeight="1" hidden="1">
      <c r="A6" s="400">
        <v>42979</v>
      </c>
      <c r="B6" s="517" cm="1">
        <f t="array" ref="B6">E6+AH6</f>
        <v>1536699.38712776</v>
      </c>
      <c r="C6" s="500" cm="1">
        <f t="array" ref="C6">F6+AL6</f>
        <v>1542700</v>
      </c>
      <c r="D6" s="536"/>
      <c r="E6" s="500">
        <v>994000</v>
      </c>
      <c r="F6" s="500">
        <v>1000000</v>
      </c>
      <c r="G6" s="500"/>
      <c r="H6" s="537"/>
      <c r="I6" s="500"/>
      <c r="J6" s="538"/>
      <c r="K6" s="500"/>
      <c r="L6" s="500"/>
      <c r="M6" s="500"/>
      <c r="N6" s="500"/>
      <c r="O6" s="500"/>
      <c r="P6" s="500"/>
      <c r="Q6" s="500"/>
      <c r="R6" s="500"/>
      <c r="S6" s="500"/>
      <c r="T6" s="500"/>
      <c r="U6" s="500"/>
      <c r="V6" s="500"/>
      <c r="W6" s="500"/>
      <c r="X6" s="500"/>
      <c r="Y6" s="539"/>
      <c r="Z6" s="500"/>
      <c r="AA6" s="500"/>
      <c r="AB6" s="500"/>
      <c r="AC6" s="500"/>
      <c r="AD6" s="500"/>
      <c r="AE6" s="500"/>
      <c r="AF6" s="500"/>
      <c r="AG6" s="539"/>
      <c r="AH6" s="500" cm="1">
        <f t="array" ref="AH6">SUM(AI6:AJ6)</f>
        <v>542699.387127762</v>
      </c>
      <c r="AI6" s="500" cm="1">
        <f t="array" ref="AI6">AR6+AY6</f>
        <v>434917.387127762</v>
      </c>
      <c r="AJ6" s="500">
        <v>107782</v>
      </c>
      <c r="AK6" s="500" cm="1">
        <f t="array" ref="AK6">AS6+AZ6</f>
        <v>434918</v>
      </c>
      <c r="AL6" s="500" cm="1">
        <f t="array" ref="AL6">AK6+AJ6</f>
        <v>542700</v>
      </c>
      <c r="AM6" s="500" cm="1">
        <f t="array" ref="AM6">AT6</f>
        <v>13456</v>
      </c>
      <c r="AN6" s="537" cm="1">
        <f t="array" ref="AN6">AM6/AK6</f>
        <v>0.0309391655438496</v>
      </c>
      <c r="AO6" s="500" cm="1">
        <f t="array" ref="AO6">AM6-AM5</f>
        <v>5888</v>
      </c>
      <c r="AP6" s="538" cm="1">
        <f t="array" ref="AP6">AO6/(AI5+AK6-AK5)</f>
        <v>0.0135382060380364</v>
      </c>
      <c r="AQ6" s="538"/>
      <c r="AR6" s="500">
        <v>434917.387127762</v>
      </c>
      <c r="AS6" s="500" cm="1">
        <f t="array" ref="AS6">SUM('net worth - retiro'!D$5:D8)-6646*4</f>
        <v>434918</v>
      </c>
      <c r="AT6" s="500" cm="1">
        <f t="array" ref="AT6">13456</f>
        <v>13456</v>
      </c>
      <c r="AU6" s="537" cm="1">
        <f t="array" ref="AU6">AT6/AS6</f>
        <v>0.0309391655438496</v>
      </c>
      <c r="AV6" s="500" cm="1">
        <f t="array" ref="AV6">AT6-AT5</f>
        <v>5888</v>
      </c>
      <c r="AW6" s="538" cm="1">
        <f t="array" ref="AW6">AV6/(AR5+AS6-AS5)</f>
        <v>0.0135382060380364</v>
      </c>
      <c r="AX6" s="500"/>
      <c r="AY6" s="500"/>
      <c r="AZ6" s="500"/>
      <c r="BA6" s="500"/>
      <c r="BB6" s="540"/>
      <c r="BC6" s="500"/>
      <c r="BD6" s="500"/>
      <c r="BE6" s="500"/>
      <c r="BF6" s="500"/>
      <c r="BG6" s="500"/>
      <c r="BH6" s="500"/>
      <c r="BI6" s="500"/>
      <c r="BJ6" s="500"/>
      <c r="BK6" s="500"/>
      <c r="BL6" s="500" cm="1">
        <f t="array" ref="BL6">BC6+AV6+P6</f>
        <v>5888</v>
      </c>
      <c r="BM6" s="500" cm="1">
        <f t="array" ref="BM6">SUM(BL$3:BL6)</f>
        <v>13455.9554632254</v>
      </c>
      <c r="BN6" s="500" cm="1">
        <f t="array" ref="BN6">B6-C6</f>
        <v>-6000.61287224</v>
      </c>
      <c r="BO6" s="500" cm="1">
        <f t="array" ref="BO6">BL6+'net worth - Table 1-2'!E5</f>
        <v>5888</v>
      </c>
      <c r="BP6" s="500" cm="1">
        <f t="array" ref="BP6">SUM(BO$3:BO6)</f>
        <v>13455.9554632254</v>
      </c>
      <c r="BQ6" s="500" cm="1">
        <f t="array" ref="BQ6">B6+'net worth - Table 1-2'!C5-'net worth - Table 1-2'!B5-C6</f>
        <v>-6000.61287224</v>
      </c>
      <c r="BR6" s="500" cm="1">
        <f t="array" ref="BR6">(BF6+AY6)*0.85+('net worth - Table 1-2-1'!D5)+E6+'net worth - Table 1-2'!C5</f>
        <v>994000</v>
      </c>
    </row>
    <row r="7" ht="8.75" customHeight="1" hidden="1">
      <c r="A7" s="400">
        <v>43009</v>
      </c>
      <c r="B7" s="517" cm="1">
        <f t="array" ref="B7">E7+AH7</f>
        <v>1901090</v>
      </c>
      <c r="C7" s="500" cm="1">
        <f t="array" ref="C7">F7+AL7</f>
        <v>1892440</v>
      </c>
      <c r="D7" s="536"/>
      <c r="E7" s="500">
        <v>1193708</v>
      </c>
      <c r="F7" s="500">
        <v>1200000</v>
      </c>
      <c r="G7" s="500"/>
      <c r="H7" s="537"/>
      <c r="I7" s="500"/>
      <c r="J7" s="538"/>
      <c r="K7" s="500"/>
      <c r="L7" s="500"/>
      <c r="M7" s="500"/>
      <c r="N7" s="500"/>
      <c r="O7" s="500"/>
      <c r="P7" s="500"/>
      <c r="Q7" s="500"/>
      <c r="R7" s="500"/>
      <c r="S7" s="500"/>
      <c r="T7" s="500"/>
      <c r="U7" s="500"/>
      <c r="V7" s="500"/>
      <c r="W7" s="500"/>
      <c r="X7" s="500"/>
      <c r="Y7" s="539"/>
      <c r="Z7" s="500"/>
      <c r="AA7" s="500"/>
      <c r="AB7" s="500"/>
      <c r="AC7" s="500"/>
      <c r="AD7" s="500"/>
      <c r="AE7" s="500"/>
      <c r="AF7" s="500"/>
      <c r="AG7" s="539"/>
      <c r="AH7" s="500" cm="1">
        <f t="array" ref="AH7">SUM(AI7:AJ7)</f>
        <v>707382</v>
      </c>
      <c r="AI7" s="500" cm="1">
        <f t="array" ref="AI7">AR7+AY7</f>
        <v>572598</v>
      </c>
      <c r="AJ7" s="500">
        <v>134784</v>
      </c>
      <c r="AK7" s="500" cm="1">
        <f t="array" ref="AK7">AS7+AZ7</f>
        <v>557656</v>
      </c>
      <c r="AL7" s="500" cm="1">
        <f t="array" ref="AL7">AK7+AJ7</f>
        <v>692440</v>
      </c>
      <c r="AM7" s="500" cm="1">
        <f t="array" ref="AM7">AI7-AK7</f>
        <v>14942</v>
      </c>
      <c r="AN7" s="537" cm="1">
        <f t="array" ref="AN7">AM7/AK7</f>
        <v>0.0267942961252098</v>
      </c>
      <c r="AO7" s="500" cm="1">
        <f t="array" ref="AO7">AM7-AM6</f>
        <v>1486</v>
      </c>
      <c r="AP7" s="538" cm="1">
        <f t="array" ref="AP7">AO7/(AI6+AK7-AK6)</f>
        <v>0.00266472813551346</v>
      </c>
      <c r="AQ7" s="538"/>
      <c r="AR7" s="500">
        <v>572598</v>
      </c>
      <c r="AS7" s="500" cm="1">
        <f t="array" ref="AS7">SUM('net worth - retiro'!D$5:D9)-6646*5</f>
        <v>557656</v>
      </c>
      <c r="AT7" s="500" cm="1">
        <f t="array" ref="AT7">AR7-AS7</f>
        <v>14942</v>
      </c>
      <c r="AU7" s="537" cm="1">
        <f t="array" ref="AU7">AT7/AS7</f>
        <v>0.0267942961252098</v>
      </c>
      <c r="AV7" s="500" cm="1">
        <f t="array" ref="AV7">AT7-AT6</f>
        <v>1486</v>
      </c>
      <c r="AW7" s="538" cm="1">
        <f t="array" ref="AW7">AV7/(AR6+AS7-AS6)</f>
        <v>0.00266472813551346</v>
      </c>
      <c r="AX7" s="500"/>
      <c r="AY7" s="500"/>
      <c r="AZ7" s="500"/>
      <c r="BA7" s="500"/>
      <c r="BB7" s="540"/>
      <c r="BC7" s="500"/>
      <c r="BD7" s="500"/>
      <c r="BE7" s="500"/>
      <c r="BF7" s="500"/>
      <c r="BG7" s="500"/>
      <c r="BH7" s="500"/>
      <c r="BI7" s="500"/>
      <c r="BJ7" s="500"/>
      <c r="BK7" s="500"/>
      <c r="BL7" s="500" cm="1">
        <f t="array" ref="BL7">BC7+AV7+P7</f>
        <v>1486</v>
      </c>
      <c r="BM7" s="500" cm="1">
        <f t="array" ref="BM7">SUM(BL$3:BL7)</f>
        <v>14941.9554632254</v>
      </c>
      <c r="BN7" s="500" cm="1">
        <f t="array" ref="BN7">B7-C7</f>
        <v>8650</v>
      </c>
      <c r="BO7" s="500" cm="1">
        <f t="array" ref="BO7">BL7+'net worth - Table 1-2'!E6</f>
        <v>1486</v>
      </c>
      <c r="BP7" s="500" cm="1">
        <f t="array" ref="BP7">SUM(BO$3:BO7)</f>
        <v>14941.9554632254</v>
      </c>
      <c r="BQ7" s="500" cm="1">
        <f t="array" ref="BQ7">B7+'net worth - Table 1-2'!C6-'net worth - Table 1-2'!B6-C7</f>
        <v>8650</v>
      </c>
      <c r="BR7" s="500" cm="1">
        <f t="array" ref="BR7">(BF7+AY7)*0.85+('net worth - Table 1-2-1'!D6)+E7+'net worth - Table 1-2'!C6</f>
        <v>1193708</v>
      </c>
    </row>
    <row r="8" ht="8.75" customHeight="1" hidden="1">
      <c r="A8" s="400">
        <v>43040</v>
      </c>
      <c r="B8" s="517" cm="1">
        <f t="array" ref="B8">E8+AH8</f>
        <v>2555665</v>
      </c>
      <c r="C8" s="500" cm="1">
        <f t="array" ref="C8">F8+AL8</f>
        <v>2534433</v>
      </c>
      <c r="D8" s="536"/>
      <c r="E8" s="500">
        <v>1699339</v>
      </c>
      <c r="F8" s="500">
        <v>1700000</v>
      </c>
      <c r="G8" s="500"/>
      <c r="H8" s="537"/>
      <c r="I8" s="500"/>
      <c r="J8" s="538"/>
      <c r="K8" s="500"/>
      <c r="L8" s="500"/>
      <c r="M8" s="500"/>
      <c r="N8" s="500"/>
      <c r="O8" s="500"/>
      <c r="P8" s="500"/>
      <c r="Q8" s="500"/>
      <c r="R8" s="500"/>
      <c r="S8" s="500"/>
      <c r="T8" s="500"/>
      <c r="U8" s="500"/>
      <c r="V8" s="500"/>
      <c r="W8" s="500"/>
      <c r="X8" s="500"/>
      <c r="Y8" s="539"/>
      <c r="Z8" s="500"/>
      <c r="AA8" s="500"/>
      <c r="AB8" s="500"/>
      <c r="AC8" s="500"/>
      <c r="AD8" s="500"/>
      <c r="AE8" s="500"/>
      <c r="AF8" s="500"/>
      <c r="AG8" s="539"/>
      <c r="AH8" s="500" cm="1">
        <f t="array" ref="AH8">SUM(AI8:AJ8)</f>
        <v>856326</v>
      </c>
      <c r="AI8" s="500" cm="1">
        <f t="array" ref="AI8">AR8+AY8</f>
        <v>695937</v>
      </c>
      <c r="AJ8" s="500">
        <v>160389</v>
      </c>
      <c r="AK8" s="500" cm="1">
        <f t="array" ref="AK8">AS8+AZ8</f>
        <v>674044</v>
      </c>
      <c r="AL8" s="500" cm="1">
        <f t="array" ref="AL8">AK8+AJ8</f>
        <v>834433</v>
      </c>
      <c r="AM8" s="500" cm="1">
        <f t="array" ref="AM8">AI8-AK8</f>
        <v>21893</v>
      </c>
      <c r="AN8" s="537" cm="1">
        <f t="array" ref="AN8">AM8/AK8</f>
        <v>0.0324800754846865</v>
      </c>
      <c r="AO8" s="500" cm="1">
        <f t="array" ref="AO8">AM8-AM7</f>
        <v>6951</v>
      </c>
      <c r="AP8" s="538" cm="1">
        <f t="array" ref="AP8">AO8/(AI7+AK8-AK7)</f>
        <v>0.0100887391035522</v>
      </c>
      <c r="AQ8" s="538"/>
      <c r="AR8" s="500">
        <v>695937</v>
      </c>
      <c r="AS8" s="500" cm="1">
        <f t="array" ref="AS8">SUM('net worth - retiro'!D$5:D10)-6646*6</f>
        <v>674044</v>
      </c>
      <c r="AT8" s="500" cm="1">
        <f t="array" ref="AT8">AR8-AS8</f>
        <v>21893</v>
      </c>
      <c r="AU8" s="537" cm="1">
        <f t="array" ref="AU8">AT8/AS8</f>
        <v>0.0324800754846865</v>
      </c>
      <c r="AV8" s="500" cm="1">
        <f t="array" ref="AV8">AT8-AT7</f>
        <v>6951</v>
      </c>
      <c r="AW8" s="538" cm="1">
        <f t="array" ref="AW8">AV8/(AR7+AS8-AS7)</f>
        <v>0.0100887391035522</v>
      </c>
      <c r="AX8" s="500"/>
      <c r="AY8" s="500"/>
      <c r="AZ8" s="500"/>
      <c r="BA8" s="500"/>
      <c r="BB8" s="540"/>
      <c r="BC8" s="500"/>
      <c r="BD8" s="500"/>
      <c r="BE8" s="500"/>
      <c r="BF8" s="500"/>
      <c r="BG8" s="500"/>
      <c r="BH8" s="500"/>
      <c r="BI8" s="500"/>
      <c r="BJ8" s="500"/>
      <c r="BK8" s="500"/>
      <c r="BL8" s="500" cm="1">
        <f t="array" ref="BL8">BC8+AV8+P8</f>
        <v>6951</v>
      </c>
      <c r="BM8" s="500" cm="1">
        <f t="array" ref="BM8">SUM(BL$3:BL8)</f>
        <v>21892.9554632254</v>
      </c>
      <c r="BN8" s="500" cm="1">
        <f t="array" ref="BN8">B8-C8</f>
        <v>21232</v>
      </c>
      <c r="BO8" s="500" cm="1">
        <f t="array" ref="BO8">BL8+'net worth - Table 1-2'!E7</f>
        <v>193651.01638091</v>
      </c>
      <c r="BP8" s="500" cm="1">
        <f t="array" ref="BP8">SUM(BO$3:BO8)</f>
        <v>208592.971844135</v>
      </c>
      <c r="BQ8" s="500" cm="1">
        <f t="array" ref="BQ8">B8+'net worth - Table 1-2'!C7-'net worth - Table 1-2'!B7-C8</f>
        <v>207932.01638091</v>
      </c>
      <c r="BR8" s="500" cm="1">
        <f t="array" ref="BR8">(BF8+AY8)*0.85+('net worth - Table 1-2-1'!D7)+E8+'net worth - Table 1-2'!C7</f>
        <v>2971557.01638091</v>
      </c>
    </row>
    <row r="9" ht="8.75" customHeight="1" hidden="1">
      <c r="A9" s="400">
        <v>43070</v>
      </c>
      <c r="B9" s="517" cm="1">
        <f t="array" ref="B9">E9+AH9</f>
        <v>2890246</v>
      </c>
      <c r="C9" s="500" cm="1">
        <f t="array" ref="C9">F9+AL9</f>
        <v>2876436</v>
      </c>
      <c r="D9" s="536"/>
      <c r="E9" s="500">
        <v>1894508</v>
      </c>
      <c r="F9" s="500">
        <v>1900000</v>
      </c>
      <c r="G9" s="500"/>
      <c r="H9" s="537"/>
      <c r="I9" s="500"/>
      <c r="J9" s="538"/>
      <c r="K9" s="500"/>
      <c r="L9" s="500"/>
      <c r="M9" s="500"/>
      <c r="N9" s="500"/>
      <c r="O9" s="500"/>
      <c r="P9" s="500"/>
      <c r="Q9" s="500"/>
      <c r="R9" s="500"/>
      <c r="S9" s="500"/>
      <c r="T9" s="500"/>
      <c r="U9" s="500"/>
      <c r="V9" s="500"/>
      <c r="W9" s="500"/>
      <c r="X9" s="500"/>
      <c r="Y9" s="539"/>
      <c r="Z9" s="500"/>
      <c r="AA9" s="500"/>
      <c r="AB9" s="500"/>
      <c r="AC9" s="500"/>
      <c r="AD9" s="500"/>
      <c r="AE9" s="500"/>
      <c r="AF9" s="500"/>
      <c r="AG9" s="539"/>
      <c r="AH9" s="500" cm="1">
        <f t="array" ref="AH9">SUM(AI9:AJ9)</f>
        <v>995738</v>
      </c>
      <c r="AI9" s="500" cm="1">
        <f t="array" ref="AI9">AR9+AY9</f>
        <v>809744</v>
      </c>
      <c r="AJ9" s="500">
        <v>185994</v>
      </c>
      <c r="AK9" s="500" cm="1">
        <f t="array" ref="AK9">AS9+AZ9</f>
        <v>790442</v>
      </c>
      <c r="AL9" s="500" cm="1">
        <f t="array" ref="AL9">AK9+AJ9</f>
        <v>976436</v>
      </c>
      <c r="AM9" s="500" cm="1">
        <f t="array" ref="AM9">AI9-AK9</f>
        <v>19302</v>
      </c>
      <c r="AN9" s="537" cm="1">
        <f t="array" ref="AN9">AM9/AK9</f>
        <v>0.0244192489771546</v>
      </c>
      <c r="AO9" s="500" cm="1">
        <f t="array" ref="AO9">AM9-AM8</f>
        <v>-2591</v>
      </c>
      <c r="AP9" s="538" cm="1">
        <f t="array" ref="AP9">AO9/(AI8+AK9-AK8)</f>
        <v>-0.00318957080514812</v>
      </c>
      <c r="AQ9" s="538"/>
      <c r="AR9" s="500">
        <v>809744</v>
      </c>
      <c r="AS9" s="500" cm="1">
        <f t="array" ref="AS9">SUM('net worth - retiro'!D$5:D11)-6646*7</f>
        <v>790442</v>
      </c>
      <c r="AT9" s="500" cm="1">
        <f t="array" ref="AT9">AR9-AS9</f>
        <v>19302</v>
      </c>
      <c r="AU9" s="537" cm="1">
        <f t="array" ref="AU9">AT9/AS9</f>
        <v>0.0244192489771546</v>
      </c>
      <c r="AV9" s="500" cm="1">
        <f t="array" ref="AV9">AT9-AT8</f>
        <v>-2591</v>
      </c>
      <c r="AW9" s="538" cm="1">
        <f t="array" ref="AW9">AV9/(AR8+AS9-AS8)</f>
        <v>-0.00318957080514812</v>
      </c>
      <c r="AX9" s="500"/>
      <c r="AY9" s="500"/>
      <c r="AZ9" s="500"/>
      <c r="BA9" s="500"/>
      <c r="BB9" s="540"/>
      <c r="BC9" s="500"/>
      <c r="BD9" s="500"/>
      <c r="BE9" s="500"/>
      <c r="BF9" s="500"/>
      <c r="BG9" s="500"/>
      <c r="BH9" s="500"/>
      <c r="BI9" s="500"/>
      <c r="BJ9" s="500"/>
      <c r="BK9" s="500"/>
      <c r="BL9" s="500" cm="1">
        <f t="array" ref="BL9">BC9+AV9+P9</f>
        <v>-2591</v>
      </c>
      <c r="BM9" s="500" cm="1">
        <f t="array" ref="BM9">SUM(BL$3:BL9)</f>
        <v>19301.9554632254</v>
      </c>
      <c r="BN9" s="500" cm="1">
        <f t="array" ref="BN9">B9-C9</f>
        <v>13810</v>
      </c>
      <c r="BO9" s="500" cm="1">
        <f t="array" ref="BO9">BL9+'net worth - Table 1-2'!E8</f>
        <v>865758.5478502701</v>
      </c>
      <c r="BP9" s="500" cm="1">
        <f t="array" ref="BP9">SUM(BO$3:BO9)</f>
        <v>1074351.51969441</v>
      </c>
      <c r="BQ9" s="500" cm="1">
        <f t="array" ref="BQ9">B9+'net worth - Table 1-2'!C8-'net worth - Table 1-2'!B8-C9</f>
        <v>1072117.42716018</v>
      </c>
      <c r="BR9" s="500" cm="1">
        <f t="array" ref="BR9">(BF9+AY9)*0.85+('net worth - Table 1-2-1'!D8)+E9+'net worth - Table 1-2'!C8</f>
        <v>4980190.42716018</v>
      </c>
    </row>
    <row r="10" ht="8.75" customHeight="1" hidden="1">
      <c r="A10" s="400">
        <v>43101</v>
      </c>
      <c r="B10" s="517" cm="1">
        <f t="array" ref="B10">E10+AH10</f>
        <v>3099167</v>
      </c>
      <c r="C10" s="500" cm="1">
        <f t="array" ref="C10">F10+AL10</f>
        <v>3019530</v>
      </c>
      <c r="D10" s="536"/>
      <c r="E10" s="500">
        <v>1916082</v>
      </c>
      <c r="F10" s="500">
        <v>1900000</v>
      </c>
      <c r="G10" s="500"/>
      <c r="H10" s="537"/>
      <c r="I10" s="500"/>
      <c r="J10" s="538"/>
      <c r="K10" s="500"/>
      <c r="L10" s="500"/>
      <c r="M10" s="500"/>
      <c r="N10" s="500"/>
      <c r="O10" s="500"/>
      <c r="P10" s="500"/>
      <c r="Q10" s="541"/>
      <c r="R10" s="500"/>
      <c r="S10" s="500"/>
      <c r="T10" s="500"/>
      <c r="U10" s="500"/>
      <c r="V10" s="500"/>
      <c r="W10" s="500"/>
      <c r="X10" s="541"/>
      <c r="Y10" s="539"/>
      <c r="Z10" s="500"/>
      <c r="AA10" s="500"/>
      <c r="AB10" s="500"/>
      <c r="AC10" s="500"/>
      <c r="AD10" s="500"/>
      <c r="AE10" s="500"/>
      <c r="AF10" s="500"/>
      <c r="AG10" s="539"/>
      <c r="AH10" s="500" cm="1">
        <f t="array" ref="AH10">SUM(AI10:AJ10)</f>
        <v>1183085</v>
      </c>
      <c r="AI10" s="500" cm="1">
        <f t="array" ref="AI10">AR10+AY10</f>
        <v>970089</v>
      </c>
      <c r="AJ10" s="500">
        <v>212996</v>
      </c>
      <c r="AK10" s="500" cm="1">
        <f t="array" ref="AK10">AS10+AZ10</f>
        <v>906534</v>
      </c>
      <c r="AL10" s="500" cm="1">
        <f t="array" ref="AL10">AK10+AJ10</f>
        <v>1119530</v>
      </c>
      <c r="AM10" s="500" cm="1">
        <f t="array" ref="AM10">AI10-AK10</f>
        <v>63555</v>
      </c>
      <c r="AN10" s="537" cm="1">
        <f t="array" ref="AN10">AM10/AK10</f>
        <v>0.07010768487447799</v>
      </c>
      <c r="AO10" s="500" cm="1">
        <f t="array" ref="AO10">AM10-AM9</f>
        <v>44253</v>
      </c>
      <c r="AP10" s="538" cm="1">
        <f t="array" ref="AP10">AO10/(AI9+AK10-AK9)</f>
        <v>0.0477978821303125</v>
      </c>
      <c r="AQ10" s="538"/>
      <c r="AR10" s="500">
        <v>970089</v>
      </c>
      <c r="AS10" s="500" cm="1">
        <f t="array" ref="AS10">SUM('net worth - retiro'!D$5:D12)-6646*8</f>
        <v>906534</v>
      </c>
      <c r="AT10" s="500" cm="1">
        <f t="array" ref="AT10">AR10-AS10</f>
        <v>63555</v>
      </c>
      <c r="AU10" s="537" cm="1">
        <f t="array" ref="AU10">AT10/AS10</f>
        <v>0.07010768487447799</v>
      </c>
      <c r="AV10" s="500" cm="1">
        <f t="array" ref="AV10">AT10-AT9</f>
        <v>44253</v>
      </c>
      <c r="AW10" s="538" cm="1">
        <f t="array" ref="AW10">AV10/(AR9+AS10-AS9)</f>
        <v>0.0477978821303125</v>
      </c>
      <c r="AX10" s="500"/>
      <c r="AY10" s="500"/>
      <c r="AZ10" s="500"/>
      <c r="BA10" s="500"/>
      <c r="BB10" s="540"/>
      <c r="BC10" s="500"/>
      <c r="BD10" s="541"/>
      <c r="BE10" s="541"/>
      <c r="BF10" s="500"/>
      <c r="BG10" s="500"/>
      <c r="BH10" s="500"/>
      <c r="BI10" s="500"/>
      <c r="BJ10" s="500"/>
      <c r="BK10" s="541"/>
      <c r="BL10" s="500" cm="1">
        <f t="array" ref="BL10">BC10+AV10+P10</f>
        <v>44253</v>
      </c>
      <c r="BM10" s="500" cm="1">
        <f t="array" ref="BM10">SUM(BL$10:BL10)</f>
        <v>44253</v>
      </c>
      <c r="BN10" s="500" cm="1">
        <f t="array" ref="BN10">B10-C10</f>
        <v>79637</v>
      </c>
      <c r="BO10" s="500" cm="1">
        <f t="array" ref="BO10">BL10+'net worth - Table 1-2'!E9</f>
        <v>269324.431679315</v>
      </c>
      <c r="BP10" s="500" cm="1">
        <f t="array" ref="BP10">SUM(BO$10:BO10)</f>
        <v>269324.431679315</v>
      </c>
      <c r="BQ10" s="500" cm="1">
        <f t="array" ref="BQ10">B10+'net worth - Table 1-2'!C9-'net worth - Table 1-2'!B9-C10</f>
        <v>1230643.06787891</v>
      </c>
      <c r="BR10" s="500" cm="1">
        <f t="array" ref="BR10">(BF10+AY10)*0.85+('net worth - Table 1-2-1'!D9)+E10+'net worth - Table 1-2'!C9</f>
        <v>5173521.54698329</v>
      </c>
    </row>
    <row r="11" ht="8.75" customHeight="1" hidden="1">
      <c r="A11" s="400">
        <v>43132</v>
      </c>
      <c r="B11" s="517" cm="1">
        <f t="array" ref="B11">E11+AH11</f>
        <v>3493177</v>
      </c>
      <c r="C11" s="500" cm="1">
        <f t="array" ref="C11">F11+AL11</f>
        <v>3411710</v>
      </c>
      <c r="D11" s="536"/>
      <c r="E11" s="500">
        <v>2087612</v>
      </c>
      <c r="F11" s="500">
        <v>2100000</v>
      </c>
      <c r="G11" s="500"/>
      <c r="H11" s="537"/>
      <c r="I11" s="500"/>
      <c r="J11" s="538"/>
      <c r="K11" s="500"/>
      <c r="L11" s="500"/>
      <c r="M11" s="500"/>
      <c r="N11" s="500"/>
      <c r="O11" s="542">
        <v>0</v>
      </c>
      <c r="P11" s="500"/>
      <c r="Q11" s="541"/>
      <c r="R11" s="500"/>
      <c r="S11" s="500"/>
      <c r="T11" s="500"/>
      <c r="U11" s="500"/>
      <c r="V11" s="500"/>
      <c r="W11" s="500"/>
      <c r="X11" s="541"/>
      <c r="Y11" s="539"/>
      <c r="Z11" s="500"/>
      <c r="AA11" s="500"/>
      <c r="AB11" s="500"/>
      <c r="AC11" s="500"/>
      <c r="AD11" s="500"/>
      <c r="AE11" s="500"/>
      <c r="AF11" s="500"/>
      <c r="AG11" s="539"/>
      <c r="AH11" s="500" cm="1">
        <f t="array" ref="AH11">SUM(AI11:AJ11)</f>
        <v>1405565</v>
      </c>
      <c r="AI11" s="500" cm="1">
        <f t="array" ref="AI11">AR11+AY11</f>
        <v>1163536</v>
      </c>
      <c r="AJ11" s="500">
        <v>242029</v>
      </c>
      <c r="AK11" s="500" cm="1">
        <f t="array" ref="AK11">AS11+AZ11</f>
        <v>1069681</v>
      </c>
      <c r="AL11" s="500" cm="1">
        <f t="array" ref="AL11">AK11+AJ11</f>
        <v>1311710</v>
      </c>
      <c r="AM11" s="500" cm="1">
        <f t="array" ref="AM11">AI11-AK11</f>
        <v>93855</v>
      </c>
      <c r="AN11" s="537" cm="1">
        <f t="array" ref="AN11">AM11/AK11</f>
        <v>0.087741111602431</v>
      </c>
      <c r="AO11" s="500" cm="1">
        <f t="array" ref="AO11">AM11-AM10</f>
        <v>30300</v>
      </c>
      <c r="AP11" s="538" cm="1">
        <f t="array" ref="AP11">AO11/(AI10+AK11-AK10)</f>
        <v>0.026737590404823</v>
      </c>
      <c r="AQ11" s="538"/>
      <c r="AR11" s="500">
        <v>1163536</v>
      </c>
      <c r="AS11" s="500" cm="1">
        <f t="array" ref="AS11">SUM('net worth - retiro'!D$5:D13)-6646</f>
        <v>1069681</v>
      </c>
      <c r="AT11" s="500" cm="1">
        <f t="array" ref="AT11">AR11-AS11</f>
        <v>93855</v>
      </c>
      <c r="AU11" s="537" cm="1">
        <f t="array" ref="AU11">AT11/AS11</f>
        <v>0.087741111602431</v>
      </c>
      <c r="AV11" s="500" cm="1">
        <f t="array" ref="AV11">AT11-AT10</f>
        <v>30300</v>
      </c>
      <c r="AW11" s="538" cm="1">
        <f t="array" ref="AW11">AV11/(AR10+AS11-AS10)</f>
        <v>0.026737590404823</v>
      </c>
      <c r="AX11" s="500"/>
      <c r="AY11" s="500"/>
      <c r="AZ11" s="500"/>
      <c r="BA11" s="500"/>
      <c r="BB11" s="537">
        <v>0</v>
      </c>
      <c r="BC11" s="500"/>
      <c r="BD11" s="541"/>
      <c r="BE11" s="541"/>
      <c r="BF11" s="500"/>
      <c r="BG11" s="500"/>
      <c r="BH11" s="500"/>
      <c r="BI11" s="500"/>
      <c r="BJ11" s="500"/>
      <c r="BK11" s="541"/>
      <c r="BL11" s="500" cm="1">
        <f t="array" ref="BL11">BC11+AV11+P11</f>
        <v>30300</v>
      </c>
      <c r="BM11" s="500" cm="1">
        <f t="array" ref="BM11">SUM(BL$10:BL11)</f>
        <v>74553</v>
      </c>
      <c r="BN11" s="500" cm="1">
        <f t="array" ref="BN11">B11-C11</f>
        <v>81467</v>
      </c>
      <c r="BO11" s="500" cm="1">
        <f t="array" ref="BO11">BL11+'net worth - Table 1-2'!E10</f>
        <v>-726257.447899871</v>
      </c>
      <c r="BP11" s="500" cm="1">
        <f t="array" ref="BP11">SUM(BO$10:BO11)</f>
        <v>-456933.016220556</v>
      </c>
      <c r="BQ11" s="500" cm="1">
        <f t="array" ref="BQ11">B11+'net worth - Table 1-2'!C10-'net worth - Table 1-2'!B10-C11</f>
        <v>511879.63942027</v>
      </c>
      <c r="BR11" s="500" cm="1">
        <f t="array" ref="BR11">(BF11+AY11)*0.85+('net worth - Table 1-2-1'!D10)+E11+'net worth - Table 1-2'!C10</f>
        <v>4933494.11852465</v>
      </c>
    </row>
    <row r="12" ht="8.75" customHeight="1" hidden="1">
      <c r="A12" s="400">
        <v>43160</v>
      </c>
      <c r="B12" s="517" cm="1">
        <f t="array" ref="B12">E12+AH12</f>
        <v>3669811</v>
      </c>
      <c r="C12" s="500" cm="1">
        <f t="array" ref="C12">F12+AL12</f>
        <v>3699791</v>
      </c>
      <c r="D12" s="536"/>
      <c r="E12" s="500">
        <v>2203156</v>
      </c>
      <c r="F12" s="500" cm="1">
        <f t="array" ref="F12">2300000-50000</f>
        <v>2250000</v>
      </c>
      <c r="G12" s="500" cm="1">
        <f t="array" ref="G12">-96844+50000</f>
        <v>-46844</v>
      </c>
      <c r="H12" s="537" cm="1">
        <f t="array" ref="H12">G12/F12</f>
        <v>-0.0208195555555556</v>
      </c>
      <c r="I12" s="500">
        <v>-84049</v>
      </c>
      <c r="J12" s="538" cm="1">
        <f t="array" ref="J12">I12/(E11+'net worth - brokerage'!B13)</f>
        <v>-0.0375619186883159</v>
      </c>
      <c r="K12" s="500"/>
      <c r="L12" s="500">
        <v>1615951</v>
      </c>
      <c r="M12" s="500">
        <v>1700000</v>
      </c>
      <c r="N12" s="500">
        <v>-84049</v>
      </c>
      <c r="O12" s="537" cm="1">
        <f t="array" ref="O12">N12/M12</f>
        <v>-0.0494405882352941</v>
      </c>
      <c r="P12" s="500">
        <v>-84049</v>
      </c>
      <c r="Q12" s="543" cm="1">
        <f t="array" ref="Q12">P12/E11</f>
        <v>-0.0402608339097495</v>
      </c>
      <c r="R12" s="500"/>
      <c r="S12" s="500"/>
      <c r="T12" s="500"/>
      <c r="U12" s="500"/>
      <c r="V12" s="500"/>
      <c r="W12" s="500"/>
      <c r="X12" s="543"/>
      <c r="Y12" s="539"/>
      <c r="Z12" s="500"/>
      <c r="AA12" s="500"/>
      <c r="AB12" s="500"/>
      <c r="AC12" s="500"/>
      <c r="AD12" s="500"/>
      <c r="AE12" s="500"/>
      <c r="AF12" s="500"/>
      <c r="AG12" s="539"/>
      <c r="AH12" s="500" cm="1">
        <f t="array" ref="AH12">SUM(AI12:AJ12)</f>
        <v>1466655</v>
      </c>
      <c r="AI12" s="500" cm="1">
        <f t="array" ref="AI12">AR12+AY12</f>
        <v>1200002</v>
      </c>
      <c r="AJ12" s="500">
        <v>266653</v>
      </c>
      <c r="AK12" s="500" cm="1">
        <f t="array" ref="AK12">AS12+AZ12</f>
        <v>1183138</v>
      </c>
      <c r="AL12" s="500" cm="1">
        <f t="array" ref="AL12">AK12+AJ12</f>
        <v>1449791</v>
      </c>
      <c r="AM12" s="500" cm="1">
        <f t="array" ref="AM12">AI12-AK12</f>
        <v>16864</v>
      </c>
      <c r="AN12" s="537" cm="1">
        <f t="array" ref="AN12">AM12/AK12</f>
        <v>0.0142536204567853</v>
      </c>
      <c r="AO12" s="500" cm="1">
        <f t="array" ref="AO12">AM12-AM11</f>
        <v>-76991</v>
      </c>
      <c r="AP12" s="538" cm="1">
        <f t="array" ref="AP12">AO12/(AI11+AK12-AK11)</f>
        <v>-0.0602908551573893</v>
      </c>
      <c r="AQ12" s="538"/>
      <c r="AR12" s="500">
        <v>1151971</v>
      </c>
      <c r="AS12" s="500" cm="1">
        <f t="array" ref="AS12">SUM('net worth - retiro'!D$5:D14)-6646*9</f>
        <v>1133138</v>
      </c>
      <c r="AT12" s="500" cm="1">
        <f t="array" ref="AT12">AR12-AS12</f>
        <v>18833</v>
      </c>
      <c r="AU12" s="537" cm="1">
        <f t="array" ref="AU12">AT12/AS12</f>
        <v>0.0166202174845429</v>
      </c>
      <c r="AV12" s="500" cm="1">
        <f t="array" ref="AV12">AT12-AT11</f>
        <v>-75022</v>
      </c>
      <c r="AW12" s="538" cm="1">
        <f t="array" ref="AW12">AV12/(AR11+AS12-AS11)</f>
        <v>-0.061142973105796</v>
      </c>
      <c r="AX12" s="500"/>
      <c r="AY12" s="500">
        <v>48031</v>
      </c>
      <c r="AZ12" s="500">
        <v>50000</v>
      </c>
      <c r="BA12" s="500">
        <v>-1969</v>
      </c>
      <c r="BB12" s="537" cm="1">
        <f t="array" ref="BB12">BA12/AZ12</f>
        <v>-0.03938</v>
      </c>
      <c r="BC12" s="500">
        <v>-1969</v>
      </c>
      <c r="BD12" s="538" cm="1">
        <f t="array" ref="BD12">BC12/(AY11+AZ12-AZ11)</f>
        <v>-0.03938</v>
      </c>
      <c r="BE12" s="538"/>
      <c r="BF12" s="500"/>
      <c r="BG12" s="500"/>
      <c r="BH12" s="500"/>
      <c r="BI12" s="500"/>
      <c r="BJ12" s="500"/>
      <c r="BK12" s="538"/>
      <c r="BL12" s="500" cm="1">
        <f t="array" ref="BL12">BC12+AV12+P12</f>
        <v>-161040</v>
      </c>
      <c r="BM12" s="500" cm="1">
        <f t="array" ref="BM12">SUM(BL$10:BL12)</f>
        <v>-86487</v>
      </c>
      <c r="BN12" s="500" cm="1">
        <f t="array" ref="BN12">B12-C12</f>
        <v>-29980</v>
      </c>
      <c r="BO12" s="500" cm="1">
        <f t="array" ref="BO12">BL12+'net worth - Table 1-2'!E11</f>
        <v>-1629578.22783639</v>
      </c>
      <c r="BP12" s="500" cm="1">
        <f t="array" ref="BP12">SUM(BO$10:BO12)</f>
        <v>-2086511.24405695</v>
      </c>
      <c r="BQ12" s="500" cm="1">
        <f t="array" ref="BQ12">B12+'net worth - Table 1-2'!C11-'net worth - Table 1-2'!B11-C12</f>
        <v>-1113516.89257559</v>
      </c>
      <c r="BR12" s="500" cm="1">
        <f t="array" ref="BR12">(BF12+AY12)*0.85+('net worth - Table 1-2-1'!D11)+E12+'net worth - Table 1-2'!C11</f>
        <v>3775914.93652879</v>
      </c>
    </row>
    <row r="13" ht="8.75" customHeight="1" hidden="1">
      <c r="A13" s="400">
        <v>43191</v>
      </c>
      <c r="B13" s="517" cm="1">
        <f t="array" ref="B13">E13+AH13</f>
        <v>4530689</v>
      </c>
      <c r="C13" s="500" cm="1">
        <f t="array" ref="C13">F13+AL13</f>
        <v>4504339</v>
      </c>
      <c r="D13" s="536"/>
      <c r="E13" s="500">
        <v>2492415</v>
      </c>
      <c r="F13" s="500">
        <v>2500000</v>
      </c>
      <c r="G13" s="500" cm="1">
        <f t="array" ref="G13">-57585+50000</f>
        <v>-7585</v>
      </c>
      <c r="H13" s="537" cm="1">
        <f t="array" ref="H13">G13/F13</f>
        <v>-0.003034</v>
      </c>
      <c r="I13" s="500">
        <v>36534</v>
      </c>
      <c r="J13" s="538" cm="1">
        <f t="array" ref="J13">I13/(E12+'net worth - brokerage'!B14)</f>
        <v>0.0148926525667344</v>
      </c>
      <c r="K13" s="500"/>
      <c r="L13" s="500">
        <v>1802485</v>
      </c>
      <c r="M13" s="500">
        <v>1850000</v>
      </c>
      <c r="N13" s="500">
        <v>-47515</v>
      </c>
      <c r="O13" s="537" cm="1">
        <f t="array" ref="O13">N13/M13</f>
        <v>-0.0256837837837838</v>
      </c>
      <c r="P13" s="500">
        <v>36534</v>
      </c>
      <c r="Q13" s="543" cm="1">
        <f t="array" ref="Q13">P13/L12</f>
        <v>0.0226083587930575</v>
      </c>
      <c r="R13" s="500"/>
      <c r="S13" s="500"/>
      <c r="T13" s="500"/>
      <c r="U13" s="500"/>
      <c r="V13" s="500"/>
      <c r="W13" s="500"/>
      <c r="X13" s="543"/>
      <c r="Y13" s="539"/>
      <c r="Z13" s="500"/>
      <c r="AA13" s="500"/>
      <c r="AB13" s="500"/>
      <c r="AC13" s="500"/>
      <c r="AD13" s="500"/>
      <c r="AE13" s="500"/>
      <c r="AF13" s="500"/>
      <c r="AG13" s="539"/>
      <c r="AH13" s="500" cm="1">
        <f t="array" ref="AH13">SUM(AI13:AJ13)</f>
        <v>2038274</v>
      </c>
      <c r="AI13" s="500" cm="1">
        <f t="array" ref="AI13">AR13+AY13</f>
        <v>1751692</v>
      </c>
      <c r="AJ13" s="500">
        <v>286582</v>
      </c>
      <c r="AK13" s="500" cm="1">
        <f t="array" ref="AK13">AS13+AZ13</f>
        <v>1717757</v>
      </c>
      <c r="AL13" s="500" cm="1">
        <f t="array" ref="AL13">AK13+AJ13</f>
        <v>2004339</v>
      </c>
      <c r="AM13" s="500" cm="1">
        <f t="array" ref="AM13">AI13-AK13</f>
        <v>33935</v>
      </c>
      <c r="AN13" s="537" cm="1">
        <f t="array" ref="AN13">AM13/AK13</f>
        <v>0.0197554136004103</v>
      </c>
      <c r="AO13" s="500" cm="1">
        <f t="array" ref="AO13">AM13-AM12</f>
        <v>17071</v>
      </c>
      <c r="AP13" s="538" cm="1">
        <f t="array" ref="AP13">AO13/(AI12+AK13-AK12)</f>
        <v>0.0098413428639455</v>
      </c>
      <c r="AQ13" s="538"/>
      <c r="AR13" s="500">
        <v>1239942</v>
      </c>
      <c r="AS13" s="500" cm="1">
        <f t="array" ref="AS13">SUM('net worth - retiro'!D$5:D15)-6646*10</f>
        <v>1217757</v>
      </c>
      <c r="AT13" s="500" cm="1">
        <f t="array" ref="AT13">AR13-AS13</f>
        <v>22185</v>
      </c>
      <c r="AU13" s="537" cm="1">
        <f t="array" ref="AU13">AT13/AS13</f>
        <v>0.0182179203240055</v>
      </c>
      <c r="AV13" s="500" cm="1">
        <f t="array" ref="AV13">AT13-AT12</f>
        <v>3352</v>
      </c>
      <c r="AW13" s="538" cm="1">
        <f t="array" ref="AW13">AV13/(AR12+AS13-AS12)</f>
        <v>0.00271068017693819</v>
      </c>
      <c r="AX13" s="500"/>
      <c r="AY13" s="500">
        <v>511750</v>
      </c>
      <c r="AZ13" s="500">
        <v>500000</v>
      </c>
      <c r="BA13" s="500">
        <v>11750</v>
      </c>
      <c r="BB13" s="537" cm="1">
        <f t="array" ref="BB13">BA13/AZ13</f>
        <v>0.0235</v>
      </c>
      <c r="BC13" s="500">
        <v>13719</v>
      </c>
      <c r="BD13" s="538" cm="1">
        <f t="array" ref="BD13">BC13/(AY12+AZ13-AZ12)</f>
        <v>0.027546478030484</v>
      </c>
      <c r="BE13" s="538"/>
      <c r="BF13" s="500"/>
      <c r="BG13" s="500"/>
      <c r="BH13" s="500"/>
      <c r="BI13" s="500"/>
      <c r="BJ13" s="500"/>
      <c r="BK13" s="538"/>
      <c r="BL13" s="500" cm="1">
        <f t="array" ref="BL13">BC13+AV13+P13</f>
        <v>53605</v>
      </c>
      <c r="BM13" s="500" cm="1">
        <f t="array" ref="BM13">SUM(BL$10:BL13)</f>
        <v>-32882</v>
      </c>
      <c r="BN13" s="500" cm="1">
        <f t="array" ref="BN13">B13-C13</f>
        <v>26350</v>
      </c>
      <c r="BO13" s="500" cm="1">
        <f t="array" ref="BO13">BL13+'net worth - Table 1-2'!E12</f>
        <v>577928.57887372</v>
      </c>
      <c r="BP13" s="500" cm="1">
        <f t="array" ref="BP13">SUM(BO$10:BO13)</f>
        <v>-1508582.66518323</v>
      </c>
      <c r="BQ13" s="500" cm="1">
        <f t="array" ref="BQ13">B13+'net worth - Table 1-2'!C12-'net worth - Table 1-2'!B12-C13</f>
        <v>-509215.71226079</v>
      </c>
      <c r="BR13" s="500" cm="1">
        <f t="array" ref="BR13">(BF13+AY13)*0.85+('net worth - Table 1-2-1'!D12)+E13+'net worth - Table 1-2'!C12</f>
        <v>5007306.26684359</v>
      </c>
    </row>
    <row r="14" ht="8.75" customHeight="1" hidden="1">
      <c r="A14" s="400">
        <v>43221</v>
      </c>
      <c r="B14" s="517" cm="1">
        <f t="array" ref="B14">E14+AH14</f>
        <v>4813225</v>
      </c>
      <c r="C14" s="500" cm="1">
        <f t="array" ref="C14">F14+AL14</f>
        <v>4615629</v>
      </c>
      <c r="D14" s="536"/>
      <c r="E14" s="500">
        <v>2596609</v>
      </c>
      <c r="F14" s="500">
        <v>2500000</v>
      </c>
      <c r="G14" s="500" cm="1">
        <f t="array" ref="G14">46609+50000</f>
        <v>96609</v>
      </c>
      <c r="H14" s="537" cm="1">
        <f t="array" ref="H14">G14/F14</f>
        <v>0.0386436</v>
      </c>
      <c r="I14" s="500">
        <v>105484</v>
      </c>
      <c r="J14" s="538">
        <v>0.0418044346547425</v>
      </c>
      <c r="K14" s="500"/>
      <c r="L14" s="500">
        <v>1907969</v>
      </c>
      <c r="M14" s="500">
        <v>1850000</v>
      </c>
      <c r="N14" s="500">
        <v>57969</v>
      </c>
      <c r="O14" s="537">
        <v>0.0313345945945946</v>
      </c>
      <c r="P14" s="500">
        <v>105484</v>
      </c>
      <c r="Q14" s="543" cm="1">
        <f t="array" ref="Q14">P14/L13</f>
        <v>0.0585214301367279</v>
      </c>
      <c r="R14" s="500"/>
      <c r="S14" s="500"/>
      <c r="T14" s="500"/>
      <c r="U14" s="500"/>
      <c r="V14" s="500"/>
      <c r="W14" s="500"/>
      <c r="X14" s="543"/>
      <c r="Y14" s="539"/>
      <c r="Z14" s="500"/>
      <c r="AA14" s="500"/>
      <c r="AB14" s="500"/>
      <c r="AC14" s="500"/>
      <c r="AD14" s="500"/>
      <c r="AE14" s="500"/>
      <c r="AF14" s="500"/>
      <c r="AG14" s="539"/>
      <c r="AH14" s="500" cm="1">
        <f t="array" ref="AH14">SUM(AI14:AJ14)</f>
        <v>2216616</v>
      </c>
      <c r="AI14" s="500" cm="1">
        <f t="array" ref="AI14">AR14+AY14</f>
        <v>1919941</v>
      </c>
      <c r="AJ14" s="500">
        <v>296675</v>
      </c>
      <c r="AK14" s="500" cm="1">
        <f t="array" ref="AK14">AS14+AZ14</f>
        <v>1818954</v>
      </c>
      <c r="AL14" s="500" cm="1">
        <f t="array" ref="AL14">AK14+AJ14</f>
        <v>2115629</v>
      </c>
      <c r="AM14" s="500" cm="1">
        <f t="array" ref="AM14">AI14-AK14</f>
        <v>100987</v>
      </c>
      <c r="AN14" s="537" cm="1">
        <f t="array" ref="AN14">AM14/AK14</f>
        <v>0.0555192709656209</v>
      </c>
      <c r="AO14" s="500" cm="1">
        <f t="array" ref="AO14">AM14-AM13</f>
        <v>67052</v>
      </c>
      <c r="AP14" s="538" cm="1">
        <f t="array" ref="AP14">AO14/(AI13+AK14-AK13)</f>
        <v>0.0361878126536452</v>
      </c>
      <c r="AQ14" s="538"/>
      <c r="AR14" s="500">
        <v>1378845</v>
      </c>
      <c r="AS14" s="500" cm="1">
        <f t="array" ref="AS14">SUM('net worth - retiro'!D$5:D16)</f>
        <v>1318954</v>
      </c>
      <c r="AT14" s="500" cm="1">
        <f t="array" ref="AT14">AR14-AS14</f>
        <v>59891</v>
      </c>
      <c r="AU14" s="537" cm="1">
        <f t="array" ref="AU14">AT14/AS14</f>
        <v>0.0454079520589801</v>
      </c>
      <c r="AV14" s="500" cm="1">
        <f t="array" ref="AV14">AT14-AT13</f>
        <v>37706</v>
      </c>
      <c r="AW14" s="538" cm="1">
        <f t="array" ref="AW14">AV14/(AR13+AS14-AS13)</f>
        <v>0.0281149082980959</v>
      </c>
      <c r="AX14" s="500"/>
      <c r="AY14" s="500">
        <v>541096</v>
      </c>
      <c r="AZ14" s="500">
        <v>500000</v>
      </c>
      <c r="BA14" s="500">
        <v>41096</v>
      </c>
      <c r="BB14" s="537" cm="1">
        <f t="array" ref="BB14">BA14/AZ14</f>
        <v>0.082192</v>
      </c>
      <c r="BC14" s="500">
        <v>29346</v>
      </c>
      <c r="BD14" s="538" cm="1">
        <f t="array" ref="BD14">BC14/(AY13+AZ14-AZ13)</f>
        <v>0.0573444064484612</v>
      </c>
      <c r="BE14" s="538"/>
      <c r="BF14" s="500"/>
      <c r="BG14" s="500"/>
      <c r="BH14" s="500"/>
      <c r="BI14" s="500"/>
      <c r="BJ14" s="500"/>
      <c r="BK14" s="538"/>
      <c r="BL14" s="500" cm="1">
        <f t="array" ref="BL14">BC14+AV14+P14</f>
        <v>172536</v>
      </c>
      <c r="BM14" s="500" cm="1">
        <f t="array" ref="BM14">SUM(BL$10:BL14)</f>
        <v>139654</v>
      </c>
      <c r="BN14" s="500" cm="1">
        <f t="array" ref="BN14">B14-C14</f>
        <v>197596</v>
      </c>
      <c r="BO14" s="500" cm="1">
        <f t="array" ref="BO14">BL14+'net worth - Table 1-2'!E13</f>
        <v>423792.689167592</v>
      </c>
      <c r="BP14" s="500" cm="1">
        <f t="array" ref="BP14">SUM(BO$10:BO14)</f>
        <v>-1084789.97601563</v>
      </c>
      <c r="BQ14" s="500" cm="1">
        <f t="array" ref="BQ14">B14+'net worth - Table 1-2'!C13-'net worth - Table 1-2'!B13-C14</f>
        <v>-89530.182604240006</v>
      </c>
      <c r="BR14" s="500" cm="1">
        <f t="array" ref="BR14">(BF14+AY14)*0.85+('net worth - Table 1-2-1'!D13)+E14+'net worth - Table 1-2'!C13</f>
        <v>5384883.89650014</v>
      </c>
    </row>
    <row r="15" ht="8.75" customHeight="1" hidden="1">
      <c r="A15" s="400">
        <v>43252</v>
      </c>
      <c r="B15" s="517" cm="1">
        <f t="array" ref="B15">E15+AH15</f>
        <v>5543487</v>
      </c>
      <c r="C15" s="500" cm="1">
        <f t="array" ref="C15">F15+AL15</f>
        <v>5350404</v>
      </c>
      <c r="D15" s="536"/>
      <c r="E15" s="500">
        <v>2798266</v>
      </c>
      <c r="F15" s="500">
        <v>2700000</v>
      </c>
      <c r="G15" s="500" cm="1">
        <f t="array" ref="G15">48266+50000</f>
        <v>98266</v>
      </c>
      <c r="H15" s="537" cm="1">
        <f t="array" ref="H15">G15/F15</f>
        <v>0.0363948148148148</v>
      </c>
      <c r="I15" s="500">
        <v>5959</v>
      </c>
      <c r="J15" s="538">
        <v>0.000603289365177206</v>
      </c>
      <c r="K15" s="500"/>
      <c r="L15" s="500">
        <v>2113928</v>
      </c>
      <c r="M15" s="500">
        <v>2050000</v>
      </c>
      <c r="N15" s="500">
        <v>63928</v>
      </c>
      <c r="O15" s="537">
        <v>0.0311843902439024</v>
      </c>
      <c r="P15" s="500">
        <v>5959</v>
      </c>
      <c r="Q15" s="543" cm="1">
        <f t="array" ref="Q15">P15/L14</f>
        <v>0.00312321636253</v>
      </c>
      <c r="R15" s="500"/>
      <c r="S15" s="500"/>
      <c r="T15" s="500"/>
      <c r="U15" s="500"/>
      <c r="V15" s="500"/>
      <c r="W15" s="500"/>
      <c r="X15" s="543"/>
      <c r="Y15" s="539"/>
      <c r="Z15" s="500"/>
      <c r="AA15" s="500"/>
      <c r="AB15" s="500"/>
      <c r="AC15" s="500"/>
      <c r="AD15" s="500"/>
      <c r="AE15" s="500"/>
      <c r="AF15" s="500"/>
      <c r="AG15" s="539"/>
      <c r="AH15" s="500" cm="1">
        <f t="array" ref="AH15">SUM(AI15:AJ15)</f>
        <v>2745221</v>
      </c>
      <c r="AI15" s="500" cm="1">
        <f t="array" ref="AI15">AR15+AY15</f>
        <v>2413642</v>
      </c>
      <c r="AJ15" s="500">
        <v>331579</v>
      </c>
      <c r="AK15" s="500" cm="1">
        <f t="array" ref="AK15">AS15+AZ15</f>
        <v>2318825</v>
      </c>
      <c r="AL15" s="500" cm="1">
        <f t="array" ref="AL15">AK15+AJ15</f>
        <v>2650404</v>
      </c>
      <c r="AM15" s="500" cm="1">
        <f t="array" ref="AM15">AI15-AK15</f>
        <v>94817</v>
      </c>
      <c r="AN15" s="537" cm="1">
        <f t="array" ref="AN15">AM15/AK15</f>
        <v>0.0408901059803996</v>
      </c>
      <c r="AO15" s="500" cm="1">
        <f t="array" ref="AO15">AM15-AM14</f>
        <v>-6170</v>
      </c>
      <c r="AP15" s="538" cm="1">
        <f t="array" ref="AP15">AO15/(AI14+AK15-AK14)</f>
        <v>-0.00254978485931965</v>
      </c>
      <c r="AQ15" s="538"/>
      <c r="AR15" s="500">
        <v>1496675</v>
      </c>
      <c r="AS15" s="500" cm="1">
        <f t="array" ref="AS15">SUM('net worth - retiro'!D$5:D17)</f>
        <v>1468825</v>
      </c>
      <c r="AT15" s="500" cm="1">
        <f t="array" ref="AT15">AR15-AS15</f>
        <v>27850</v>
      </c>
      <c r="AU15" s="537" cm="1">
        <f t="array" ref="AU15">AT15/AS15</f>
        <v>0.01896073391997</v>
      </c>
      <c r="AV15" s="500" cm="1">
        <f t="array" ref="AV15">AT15-AT14</f>
        <v>-32041</v>
      </c>
      <c r="AW15" s="538" cm="1">
        <f t="array" ref="AW15">AV15/(AR14+AS15-AS14)</f>
        <v>-0.0209594195390118</v>
      </c>
      <c r="AX15" s="500"/>
      <c r="AY15" s="500">
        <v>916967</v>
      </c>
      <c r="AZ15" s="500">
        <v>850000</v>
      </c>
      <c r="BA15" s="500">
        <v>66967</v>
      </c>
      <c r="BB15" s="537" cm="1">
        <f t="array" ref="BB15">BA15/AZ15</f>
        <v>0.0787847058823529</v>
      </c>
      <c r="BC15" s="500">
        <v>25871</v>
      </c>
      <c r="BD15" s="538" cm="1">
        <f t="array" ref="BD15">BC15/(AY14+AZ15-AZ14)</f>
        <v>0.0290327865908948</v>
      </c>
      <c r="BE15" s="538"/>
      <c r="BF15" s="500"/>
      <c r="BG15" s="500"/>
      <c r="BH15" s="500"/>
      <c r="BI15" s="500"/>
      <c r="BJ15" s="500"/>
      <c r="BK15" s="538"/>
      <c r="BL15" s="500" cm="1">
        <f t="array" ref="BL15">BC15+AV15+P15</f>
        <v>-211</v>
      </c>
      <c r="BM15" s="500" cm="1">
        <f t="array" ref="BM15">SUM(BL$10:BL15)</f>
        <v>139443</v>
      </c>
      <c r="BN15" s="500" cm="1">
        <f t="array" ref="BN15">B15-C15</f>
        <v>193083</v>
      </c>
      <c r="BO15" s="500" cm="1">
        <f t="array" ref="BO15">BL15+'net worth - Table 1-2'!E14</f>
        <v>-448097.542326655</v>
      </c>
      <c r="BP15" s="500" cm="1">
        <f t="array" ref="BP15">SUM(BO$10:BO15)</f>
        <v>-1532887.51834229</v>
      </c>
      <c r="BQ15" s="500" cm="1">
        <f t="array" ref="BQ15">B15+'net worth - Table 1-2'!C14-'net worth - Table 1-2'!B14-C15</f>
        <v>-560977.3400516</v>
      </c>
      <c r="BR15" s="500" cm="1">
        <f t="array" ref="BR15">(BF15+AY15)*0.85+('net worth - Table 1-2-1'!D14)+E15+'net worth - Table 1-2'!C14</f>
        <v>5439097.08905278</v>
      </c>
    </row>
    <row r="16" ht="8.75" customHeight="1" hidden="1">
      <c r="A16" s="400">
        <v>43282</v>
      </c>
      <c r="B16" s="517" cm="1">
        <f t="array" ref="B16">E16+AH16</f>
        <v>6223870</v>
      </c>
      <c r="C16" s="500" cm="1">
        <f t="array" ref="C16">F16+AL16</f>
        <v>5934897</v>
      </c>
      <c r="D16" s="536"/>
      <c r="E16" s="500">
        <v>2981456</v>
      </c>
      <c r="F16" s="500">
        <v>2850000</v>
      </c>
      <c r="G16" s="500">
        <v>131456</v>
      </c>
      <c r="H16" s="537">
        <v>0.0461249122807018</v>
      </c>
      <c r="I16" s="500">
        <v>67528</v>
      </c>
      <c r="J16" s="538">
        <v>0.0112574645571329</v>
      </c>
      <c r="K16" s="500"/>
      <c r="L16" s="500">
        <v>2981456</v>
      </c>
      <c r="M16" s="500">
        <v>2850000</v>
      </c>
      <c r="N16" s="500">
        <v>131456</v>
      </c>
      <c r="O16" s="537">
        <v>0.0461249122807018</v>
      </c>
      <c r="P16" s="500">
        <v>67528</v>
      </c>
      <c r="Q16" s="543" cm="1">
        <f t="array" ref="Q16">P16/L15</f>
        <v>0.0319443235531201</v>
      </c>
      <c r="R16" s="500"/>
      <c r="S16" s="500"/>
      <c r="T16" s="500"/>
      <c r="U16" s="500"/>
      <c r="V16" s="500"/>
      <c r="W16" s="500"/>
      <c r="X16" s="543"/>
      <c r="Y16" s="539"/>
      <c r="Z16" s="500"/>
      <c r="AA16" s="500"/>
      <c r="AB16" s="500"/>
      <c r="AC16" s="500"/>
      <c r="AD16" s="500"/>
      <c r="AE16" s="500"/>
      <c r="AF16" s="500"/>
      <c r="AG16" s="539"/>
      <c r="AH16" s="500" cm="1">
        <f t="array" ref="AH16">SUM(AI16:AJ16)</f>
        <v>3242414</v>
      </c>
      <c r="AI16" s="500" cm="1">
        <f t="array" ref="AI16">AR16+AY16</f>
        <v>2876213</v>
      </c>
      <c r="AJ16" s="500">
        <v>366201</v>
      </c>
      <c r="AK16" s="500" cm="1">
        <f t="array" ref="AK16">AS16+AZ16</f>
        <v>2718696</v>
      </c>
      <c r="AL16" s="500" cm="1">
        <f t="array" ref="AL16">AK16+AJ16</f>
        <v>3084897</v>
      </c>
      <c r="AM16" s="500" cm="1">
        <f t="array" ref="AM16">AI16-AK16</f>
        <v>157517</v>
      </c>
      <c r="AN16" s="537" cm="1">
        <f t="array" ref="AN16">AM16/AK16</f>
        <v>0.0579384381335758</v>
      </c>
      <c r="AO16" s="500" cm="1">
        <f t="array" ref="AO16">AM16-AM15</f>
        <v>62700</v>
      </c>
      <c r="AP16" s="538" cm="1">
        <f t="array" ref="AP16">AO16/(AI15+AK16-AK15)</f>
        <v>0.022285306661103</v>
      </c>
      <c r="AQ16" s="538"/>
      <c r="AR16" s="500">
        <v>1701157</v>
      </c>
      <c r="AS16" s="500" cm="1">
        <f t="array" ref="AS16">SUM('net worth - retiro'!D$5:D18)</f>
        <v>1618696</v>
      </c>
      <c r="AT16" s="500" cm="1">
        <f t="array" ref="AT16">AR16-AS16</f>
        <v>82461</v>
      </c>
      <c r="AU16" s="537" cm="1">
        <f t="array" ref="AU16">AT16/AS16</f>
        <v>0.0509428577076857</v>
      </c>
      <c r="AV16" s="500" cm="1">
        <f t="array" ref="AV16">AT16-AT15</f>
        <v>54611</v>
      </c>
      <c r="AW16" s="538" cm="1">
        <f t="array" ref="AW16">AV16/(AR15+AS16-AS15)</f>
        <v>0.0331670053554532</v>
      </c>
      <c r="AX16" s="500"/>
      <c r="AY16" s="500">
        <v>1175056</v>
      </c>
      <c r="AZ16" s="500">
        <v>1100000</v>
      </c>
      <c r="BA16" s="500">
        <v>75056</v>
      </c>
      <c r="BB16" s="537" cm="1">
        <f t="array" ref="BB16">BA16/AZ16</f>
        <v>0.06823272727272731</v>
      </c>
      <c r="BC16" s="500">
        <v>8089</v>
      </c>
      <c r="BD16" s="538" cm="1">
        <f t="array" ref="BD16">BC16/(AY15+AZ16-AZ15)</f>
        <v>0.00693164416817271</v>
      </c>
      <c r="BE16" s="538"/>
      <c r="BF16" s="500"/>
      <c r="BG16" s="500"/>
      <c r="BH16" s="500"/>
      <c r="BI16" s="500"/>
      <c r="BJ16" s="500"/>
      <c r="BK16" s="538"/>
      <c r="BL16" s="500" cm="1">
        <f t="array" ref="BL16">BC16+AV16+P16</f>
        <v>130228</v>
      </c>
      <c r="BM16" s="500" cm="1">
        <f t="array" ref="BM16">SUM(BL$10:BL16)</f>
        <v>269671</v>
      </c>
      <c r="BN16" s="500" cm="1">
        <f t="array" ref="BN16">B16-C16</f>
        <v>288973</v>
      </c>
      <c r="BO16" s="500" cm="1">
        <f t="array" ref="BO16">BL16+'net worth - Table 1-2'!E15</f>
        <v>406420.095638372</v>
      </c>
      <c r="BP16" s="500" cm="1">
        <f t="array" ref="BP16">SUM(BO$10:BO16)</f>
        <v>-1126467.42270392</v>
      </c>
      <c r="BQ16" s="500" cm="1">
        <f t="array" ref="BQ16">B16+'net worth - Table 1-2'!C15-'net worth - Table 1-2'!B15-C16</f>
        <v>-189330.11572285</v>
      </c>
      <c r="BR16" s="500" cm="1">
        <f t="array" ref="BR16">(BF16+AY16)*0.85+('net worth - Table 1-2-1'!D15)+E16+'net worth - Table 1-2'!C15</f>
        <v>6117419.96338153</v>
      </c>
    </row>
    <row r="17" ht="8.75" customHeight="1" hidden="1">
      <c r="A17" s="400">
        <v>43313</v>
      </c>
      <c r="B17" s="517" cm="1">
        <f t="array" ref="B17">E17+AH17</f>
        <v>7031675</v>
      </c>
      <c r="C17" s="500" cm="1">
        <f t="array" ref="C17">F17+AL17</f>
        <v>6371542</v>
      </c>
      <c r="D17" s="536"/>
      <c r="E17" s="500">
        <v>3229751</v>
      </c>
      <c r="F17" s="500">
        <v>2850000</v>
      </c>
      <c r="G17" s="500">
        <v>379751</v>
      </c>
      <c r="H17" s="537">
        <v>0.133245964912281</v>
      </c>
      <c r="I17" s="500">
        <v>248295</v>
      </c>
      <c r="J17" s="538">
        <v>0.0832797800806049</v>
      </c>
      <c r="K17" s="500"/>
      <c r="L17" s="500">
        <v>3229751</v>
      </c>
      <c r="M17" s="500">
        <v>2850000</v>
      </c>
      <c r="N17" s="500">
        <v>379751</v>
      </c>
      <c r="O17" s="537">
        <v>0.133245964912281</v>
      </c>
      <c r="P17" s="500">
        <v>248295</v>
      </c>
      <c r="Q17" s="543" cm="1">
        <f t="array" ref="Q17">P17/L16</f>
        <v>0.0832797800806049</v>
      </c>
      <c r="R17" s="500"/>
      <c r="S17" s="500"/>
      <c r="T17" s="500"/>
      <c r="U17" s="500"/>
      <c r="V17" s="500"/>
      <c r="W17" s="500"/>
      <c r="X17" s="543"/>
      <c r="Y17" s="539"/>
      <c r="Z17" s="500"/>
      <c r="AA17" s="500"/>
      <c r="AB17" s="500"/>
      <c r="AC17" s="500"/>
      <c r="AD17" s="500"/>
      <c r="AE17" s="500"/>
      <c r="AF17" s="500"/>
      <c r="AG17" s="539"/>
      <c r="AH17" s="500" cm="1">
        <f t="array" ref="AH17">SUM(AI17:AJ17)</f>
        <v>3801924</v>
      </c>
      <c r="AI17" s="500" cm="1">
        <f t="array" ref="AI17">AR17+AY17</f>
        <v>3398949</v>
      </c>
      <c r="AJ17" s="500">
        <v>402975</v>
      </c>
      <c r="AK17" s="500" cm="1">
        <f t="array" ref="AK17">AS17+AZ17</f>
        <v>3118567</v>
      </c>
      <c r="AL17" s="500" cm="1">
        <f t="array" ref="AL17">AK17+AJ17</f>
        <v>3521542</v>
      </c>
      <c r="AM17" s="500" cm="1">
        <f t="array" ref="AM17">AI17-AK17</f>
        <v>280382</v>
      </c>
      <c r="AN17" s="537">
        <v>0.0899073196118602</v>
      </c>
      <c r="AO17" s="500" cm="1">
        <f t="array" ref="AO17">AM17-AM16</f>
        <v>122865</v>
      </c>
      <c r="AP17" s="538">
        <v>0.0375036171233705</v>
      </c>
      <c r="AQ17" s="538"/>
      <c r="AR17" s="500">
        <v>1841962</v>
      </c>
      <c r="AS17" s="500">
        <v>1768567</v>
      </c>
      <c r="AT17" s="500">
        <v>73395</v>
      </c>
      <c r="AU17" s="537">
        <v>0.0414997000396366</v>
      </c>
      <c r="AV17" s="500" cm="1">
        <f t="array" ref="AV17">AT17-AT16</f>
        <v>-9066</v>
      </c>
      <c r="AW17" s="538">
        <v>-0.00489781894169078</v>
      </c>
      <c r="AX17" s="500"/>
      <c r="AY17" s="500">
        <v>1556987</v>
      </c>
      <c r="AZ17" s="500">
        <v>1350000</v>
      </c>
      <c r="BA17" s="500">
        <v>206987</v>
      </c>
      <c r="BB17" s="537" cm="1">
        <f t="array" ref="BB17">BA17/AZ17</f>
        <v>0.153323703703704</v>
      </c>
      <c r="BC17" s="500">
        <v>131931</v>
      </c>
      <c r="BD17" s="538">
        <v>0.0925795196820336</v>
      </c>
      <c r="BE17" s="538"/>
      <c r="BF17" s="500"/>
      <c r="BG17" s="500"/>
      <c r="BH17" s="500"/>
      <c r="BI17" s="500"/>
      <c r="BJ17" s="500"/>
      <c r="BK17" s="538"/>
      <c r="BL17" s="500" cm="1">
        <f t="array" ref="BL17">BC17+AV17+P17</f>
        <v>371160</v>
      </c>
      <c r="BM17" s="500" cm="1">
        <f t="array" ref="BM17">SUM(BL$10:BL17)</f>
        <v>640831</v>
      </c>
      <c r="BN17" s="500" cm="1">
        <f t="array" ref="BN17">B17-C17</f>
        <v>660133</v>
      </c>
      <c r="BO17" s="500" cm="1">
        <f t="array" ref="BO17">BL17+'net worth - Table 1-2'!E16</f>
        <v>-351086.088314671</v>
      </c>
      <c r="BP17" s="500" cm="1">
        <f t="array" ref="BP17">SUM(BO$10:BO17)</f>
        <v>-1477553.51101859</v>
      </c>
      <c r="BQ17" s="500" cm="1">
        <f t="array" ref="BQ17">B17+'net worth - Table 1-2'!C16-'net worth - Table 1-2'!B16-C17</f>
        <v>-403201.94678741</v>
      </c>
      <c r="BR17" s="500" cm="1">
        <f t="array" ref="BR17">(BF17+AY17)*0.85+('net worth - Table 1-2-1'!D16)+E17+'net worth - Table 1-2'!C16</f>
        <v>6105324.95955385</v>
      </c>
    </row>
    <row r="18" ht="8.75" customHeight="1" hidden="1">
      <c r="A18" s="400">
        <v>43344</v>
      </c>
      <c r="B18" s="517" cm="1">
        <f t="array" ref="B18">E18+AH18</f>
        <v>7514673</v>
      </c>
      <c r="C18" s="500" cm="1">
        <f t="array" ref="C18">F18+AL18</f>
        <v>6956011</v>
      </c>
      <c r="D18" s="536"/>
      <c r="E18" s="500">
        <v>3303248</v>
      </c>
      <c r="F18" s="500">
        <v>3000000</v>
      </c>
      <c r="G18" s="500">
        <v>303248</v>
      </c>
      <c r="H18" s="537">
        <v>0.101082666666667</v>
      </c>
      <c r="I18" s="500">
        <v>-76503</v>
      </c>
      <c r="J18" s="538">
        <v>-0.0226356912092045</v>
      </c>
      <c r="K18" s="500"/>
      <c r="L18" s="500">
        <v>3303248</v>
      </c>
      <c r="M18" s="500">
        <v>3000000</v>
      </c>
      <c r="N18" s="500">
        <v>303248</v>
      </c>
      <c r="O18" s="537">
        <v>0.101082666666667</v>
      </c>
      <c r="P18" s="500">
        <v>-76503</v>
      </c>
      <c r="Q18" s="543" cm="1">
        <f t="array" ref="Q18">P18/L17</f>
        <v>-0.0236869653419103</v>
      </c>
      <c r="R18" s="500"/>
      <c r="S18" s="500"/>
      <c r="T18" s="500"/>
      <c r="U18" s="500"/>
      <c r="V18" s="500"/>
      <c r="W18" s="500"/>
      <c r="X18" s="543"/>
      <c r="Y18" s="539"/>
      <c r="Z18" s="500"/>
      <c r="AA18" s="500"/>
      <c r="AB18" s="500"/>
      <c r="AC18" s="500"/>
      <c r="AD18" s="500"/>
      <c r="AE18" s="500"/>
      <c r="AF18" s="500"/>
      <c r="AG18" s="539"/>
      <c r="AH18" s="500" cm="1">
        <f t="array" ref="AH18">SUM(AI18:AJ18)</f>
        <v>4211425</v>
      </c>
      <c r="AI18" s="500" cm="1">
        <f t="array" ref="AI18">AR18+AY18</f>
        <v>3775796</v>
      </c>
      <c r="AJ18" s="500">
        <v>435629</v>
      </c>
      <c r="AK18" s="500" cm="1">
        <f t="array" ref="AK18">AS18+AZ18</f>
        <v>3520382</v>
      </c>
      <c r="AL18" s="500" cm="1">
        <f t="array" ref="AL18">AK18+AJ18</f>
        <v>3956011</v>
      </c>
      <c r="AM18" s="500" cm="1">
        <f t="array" ref="AM18">AI18-AK18</f>
        <v>255414</v>
      </c>
      <c r="AN18" s="537" cm="1">
        <f t="array" ref="AN18">AM18/AK18</f>
        <v>0.0725529218135986</v>
      </c>
      <c r="AO18" s="500" cm="1">
        <f t="array" ref="AO18">AM18-AM17</f>
        <v>-24968</v>
      </c>
      <c r="AP18" s="538" cm="1">
        <f t="array" ref="AP18">AO18/(AI17+AK18-AK17)</f>
        <v>-0.00656920555972431</v>
      </c>
      <c r="AQ18" s="538"/>
      <c r="AR18" s="500">
        <v>2003838</v>
      </c>
      <c r="AS18" s="500">
        <v>1920382</v>
      </c>
      <c r="AT18" s="500">
        <v>83456</v>
      </c>
      <c r="AU18" s="537">
        <v>0.0434580203313716</v>
      </c>
      <c r="AV18" s="500" cm="1">
        <f t="array" ref="AV18">AT18-AT17</f>
        <v>10061</v>
      </c>
      <c r="AW18" s="538">
        <v>0.00504620125520557</v>
      </c>
      <c r="AX18" s="500"/>
      <c r="AY18" s="500" cm="1">
        <f t="array" ref="AY18">1776159-4201</f>
        <v>1771958</v>
      </c>
      <c r="AZ18" s="500">
        <v>1600000</v>
      </c>
      <c r="BA18" s="500" cm="1">
        <f t="array" ref="BA18">176159-4201</f>
        <v>171958</v>
      </c>
      <c r="BB18" s="537" cm="1">
        <f t="array" ref="BB18">BA18/AZ18</f>
        <v>0.10747375</v>
      </c>
      <c r="BC18" s="500" cm="1">
        <f t="array" ref="BC18">BA18-BA17</f>
        <v>-35029</v>
      </c>
      <c r="BD18" s="538" cm="1">
        <f t="array" ref="BD18">BC18/(AY17+AZ18-AZ17)</f>
        <v>-0.0193853082506958</v>
      </c>
      <c r="BE18" s="538"/>
      <c r="BF18" s="500"/>
      <c r="BG18" s="500"/>
      <c r="BH18" s="500"/>
      <c r="BI18" s="500"/>
      <c r="BJ18" s="500"/>
      <c r="BK18" s="538"/>
      <c r="BL18" s="500" cm="1">
        <f t="array" ref="BL18">BC18+AV18+P18</f>
        <v>-101471</v>
      </c>
      <c r="BM18" s="500" cm="1">
        <f t="array" ref="BM18">SUM(BL$10:BL18)</f>
        <v>539360</v>
      </c>
      <c r="BN18" s="500" cm="1">
        <f t="array" ref="BN18">B18-C18</f>
        <v>558662</v>
      </c>
      <c r="BO18" s="500" cm="1">
        <f t="array" ref="BO18">BL18+'net worth - Table 1-2'!E17</f>
        <v>-344175.881532809</v>
      </c>
      <c r="BP18" s="500" cm="1">
        <f t="array" ref="BP18">SUM(BO$10:BO18)</f>
        <v>-1821729.3925514</v>
      </c>
      <c r="BQ18" s="500" cm="1">
        <f t="array" ref="BQ18">B18+'net worth - Table 1-2'!C17-'net worth - Table 1-2'!B17-C18</f>
        <v>-747377.82832021</v>
      </c>
      <c r="BR18" s="500" cm="1">
        <f t="array" ref="BR18">(BF18+AY18)*0.85+('net worth - Table 1-2-1'!D17)+E18+'net worth - Table 1-2'!C17</f>
        <v>6118842.42802105</v>
      </c>
    </row>
    <row r="19" ht="8.75" customHeight="1" hidden="1">
      <c r="A19" s="400">
        <v>43374</v>
      </c>
      <c r="B19" s="517" cm="1">
        <f t="array" ref="B19">E19+AH19</f>
        <v>7872572</v>
      </c>
      <c r="C19" s="500" cm="1">
        <f t="array" ref="C19">F19+AL19</f>
        <v>7637038</v>
      </c>
      <c r="D19" s="536"/>
      <c r="E19" s="500">
        <v>3417029</v>
      </c>
      <c r="F19" s="500">
        <v>3250000</v>
      </c>
      <c r="G19" s="500">
        <v>167029</v>
      </c>
      <c r="H19" s="537">
        <v>0.0513935384615385</v>
      </c>
      <c r="I19" s="500">
        <v>-136219</v>
      </c>
      <c r="J19" s="538">
        <v>-0.038336474121705</v>
      </c>
      <c r="K19" s="500"/>
      <c r="L19" s="500">
        <v>3417029</v>
      </c>
      <c r="M19" s="500">
        <v>3250000</v>
      </c>
      <c r="N19" s="500">
        <v>167029</v>
      </c>
      <c r="O19" s="537">
        <v>0.0513935384615385</v>
      </c>
      <c r="P19" s="500">
        <v>-136219</v>
      </c>
      <c r="Q19" s="543" cm="1">
        <f t="array" ref="Q19">P19/L18</f>
        <v>-0.0412378967610061</v>
      </c>
      <c r="R19" s="500"/>
      <c r="S19" s="500"/>
      <c r="T19" s="500"/>
      <c r="U19" s="500"/>
      <c r="V19" s="500"/>
      <c r="W19" s="500"/>
      <c r="X19" s="543"/>
      <c r="Y19" s="539"/>
      <c r="Z19" s="500"/>
      <c r="AA19" s="500"/>
      <c r="AB19" s="500"/>
      <c r="AC19" s="500"/>
      <c r="AD19" s="500"/>
      <c r="AE19" s="500"/>
      <c r="AF19" s="500"/>
      <c r="AG19" s="539"/>
      <c r="AH19" s="500" cm="1">
        <f t="array" ref="AH19">SUM(AI19:AJ19)</f>
        <v>4455543</v>
      </c>
      <c r="AI19" s="500" cm="1">
        <f t="array" ref="AI19">AR19+AY19</f>
        <v>3985541</v>
      </c>
      <c r="AJ19" s="500">
        <v>470002</v>
      </c>
      <c r="AK19" s="500" cm="1">
        <f t="array" ref="AK19">AS19+AZ19</f>
        <v>3917036</v>
      </c>
      <c r="AL19" s="500" cm="1">
        <f t="array" ref="AL19">AK19+AJ19</f>
        <v>4387038</v>
      </c>
      <c r="AM19" s="500" cm="1">
        <f t="array" ref="AM19">AI19-AK19</f>
        <v>68505</v>
      </c>
      <c r="AN19" s="537">
        <v>0.0174889891234086</v>
      </c>
      <c r="AO19" s="500" cm="1">
        <f t="array" ref="AO19">AM19-AM18</f>
        <v>-186909</v>
      </c>
      <c r="AP19" s="538">
        <v>-0.0447959831753526</v>
      </c>
      <c r="AQ19" s="538"/>
      <c r="AR19" s="500">
        <v>2056497</v>
      </c>
      <c r="AS19" s="500">
        <v>2067036</v>
      </c>
      <c r="AT19" s="500">
        <v>-10539</v>
      </c>
      <c r="AU19" s="537">
        <v>-0.00509860495898475</v>
      </c>
      <c r="AV19" s="500" cm="1">
        <f t="array" ref="AV19">AT19-AT18</f>
        <v>-93995</v>
      </c>
      <c r="AW19" s="538">
        <v>-0.043708602496545</v>
      </c>
      <c r="AX19" s="500"/>
      <c r="AY19" s="500">
        <v>1929044</v>
      </c>
      <c r="AZ19" s="500">
        <v>1850000</v>
      </c>
      <c r="BA19" s="500">
        <v>79044</v>
      </c>
      <c r="BB19" s="537">
        <v>0.0427264864864865</v>
      </c>
      <c r="BC19" s="500">
        <v>-92914</v>
      </c>
      <c r="BD19" s="538">
        <v>-0.04595248763822</v>
      </c>
      <c r="BE19" s="538"/>
      <c r="BF19" s="500"/>
      <c r="BG19" s="500"/>
      <c r="BH19" s="500"/>
      <c r="BI19" s="500"/>
      <c r="BJ19" s="500"/>
      <c r="BK19" s="538"/>
      <c r="BL19" s="500" cm="1">
        <f t="array" ref="BL19">BC19+AV19+P19</f>
        <v>-323128</v>
      </c>
      <c r="BM19" s="500" cm="1">
        <f t="array" ref="BM19">SUM(BL$10:BL19)</f>
        <v>216232</v>
      </c>
      <c r="BN19" s="500" cm="1">
        <f t="array" ref="BN19">B19-C19</f>
        <v>235534</v>
      </c>
      <c r="BO19" s="500" cm="1">
        <f t="array" ref="BO19">BL19+'net worth - Table 1-2'!E18</f>
        <v>-385541.259184521</v>
      </c>
      <c r="BP19" s="500" cm="1">
        <f t="array" ref="BP19">SUM(BO$10:BO19)</f>
        <v>-2207270.65173592</v>
      </c>
      <c r="BQ19" s="500" cm="1">
        <f t="array" ref="BQ19">B19+'net worth - Table 1-2'!C18-'net worth - Table 1-2'!B18-C19</f>
        <v>-1132919.08750474</v>
      </c>
      <c r="BR19" s="500" cm="1">
        <f t="array" ref="BR19">(BF19+AY19)*0.85+('net worth - Table 1-2-1'!D18)+E19+'net worth - Table 1-2'!C18</f>
        <v>6303733.26883652</v>
      </c>
    </row>
    <row r="20" ht="8.75" customHeight="1" hidden="1">
      <c r="A20" s="400">
        <v>43405</v>
      </c>
      <c r="B20" s="517" cm="1">
        <f t="array" ref="B20">E20+AH20</f>
        <v>8500422</v>
      </c>
      <c r="C20" s="500" cm="1">
        <f t="array" ref="C20">F20+AL20</f>
        <v>8350791</v>
      </c>
      <c r="D20" s="536"/>
      <c r="E20" s="500">
        <v>3809924</v>
      </c>
      <c r="F20" s="500">
        <v>3700000</v>
      </c>
      <c r="G20" s="500">
        <v>109924</v>
      </c>
      <c r="H20" s="537">
        <v>0.0297091891891892</v>
      </c>
      <c r="I20" s="500">
        <v>-57105</v>
      </c>
      <c r="J20" s="538">
        <v>-0.0147671506988957</v>
      </c>
      <c r="K20" s="500"/>
      <c r="L20" s="500">
        <v>3809924</v>
      </c>
      <c r="M20" s="500">
        <v>3700000</v>
      </c>
      <c r="N20" s="500">
        <v>109924</v>
      </c>
      <c r="O20" s="537">
        <v>0.0297091891891892</v>
      </c>
      <c r="P20" s="500">
        <v>-57105</v>
      </c>
      <c r="Q20" s="543" cm="1">
        <f t="array" ref="Q20">P20/L19</f>
        <v>-0.0167118862614277</v>
      </c>
      <c r="R20" s="500"/>
      <c r="S20" s="500"/>
      <c r="T20" s="500"/>
      <c r="U20" s="500"/>
      <c r="V20" s="500"/>
      <c r="W20" s="500"/>
      <c r="X20" s="543"/>
      <c r="Y20" s="539"/>
      <c r="Z20" s="500"/>
      <c r="AA20" s="500"/>
      <c r="AB20" s="500"/>
      <c r="AC20" s="500"/>
      <c r="AD20" s="500"/>
      <c r="AE20" s="500"/>
      <c r="AF20" s="500"/>
      <c r="AG20" s="539"/>
      <c r="AH20" s="500" cm="1">
        <f t="array" ref="AH20">SUM(AI20:AJ20)</f>
        <v>4690498</v>
      </c>
      <c r="AI20" s="500">
        <v>4171536</v>
      </c>
      <c r="AJ20" s="500">
        <v>518962</v>
      </c>
      <c r="AK20" s="500">
        <v>4131829</v>
      </c>
      <c r="AL20" s="500" cm="1">
        <f t="array" ref="AL20">AK20+AJ20</f>
        <v>4650791</v>
      </c>
      <c r="AM20" s="500">
        <v>39707</v>
      </c>
      <c r="AN20" s="537">
        <v>0.00961002984392626</v>
      </c>
      <c r="AO20" s="500">
        <v>-28798</v>
      </c>
      <c r="AP20" s="538">
        <v>-0.00685612144177106</v>
      </c>
      <c r="AQ20" s="538"/>
      <c r="AR20" s="500">
        <v>2261682</v>
      </c>
      <c r="AS20" s="500">
        <v>2281829</v>
      </c>
      <c r="AT20" s="500">
        <v>-20147</v>
      </c>
      <c r="AU20" s="537">
        <v>-0.008829320689674821</v>
      </c>
      <c r="AV20" s="500">
        <v>-9608</v>
      </c>
      <c r="AW20" s="538">
        <v>-0.00423019517542894</v>
      </c>
      <c r="AX20" s="500"/>
      <c r="AY20" s="500">
        <v>1909854</v>
      </c>
      <c r="AZ20" s="500">
        <v>1850000</v>
      </c>
      <c r="BA20" s="500">
        <v>59854</v>
      </c>
      <c r="BB20" s="537">
        <v>0.0323535135135135</v>
      </c>
      <c r="BC20" s="500">
        <v>-19190</v>
      </c>
      <c r="BD20" s="538">
        <v>-0.009947932758402609</v>
      </c>
      <c r="BE20" s="538"/>
      <c r="BF20" s="500"/>
      <c r="BG20" s="500"/>
      <c r="BH20" s="500"/>
      <c r="BI20" s="500"/>
      <c r="BJ20" s="500"/>
      <c r="BK20" s="538"/>
      <c r="BL20" s="500">
        <v>-85903</v>
      </c>
      <c r="BM20" s="500" cm="1">
        <f t="array" ref="BM20">SUM(BL$10:BL20)</f>
        <v>130329</v>
      </c>
      <c r="BN20" s="500" cm="1">
        <f t="array" ref="BN20">B20-C20</f>
        <v>149631</v>
      </c>
      <c r="BO20" s="500" cm="1">
        <f t="array" ref="BO20">BL20+'net worth - Table 1-2'!E19</f>
        <v>-602384.819296327</v>
      </c>
      <c r="BP20" s="500" cm="1">
        <f t="array" ref="BP20">SUM(BO$10:BO20)</f>
        <v>-2809655.47103225</v>
      </c>
      <c r="BQ20" s="500" cm="1">
        <f t="array" ref="BQ20">B20+'net worth - Table 1-2'!C19-'net worth - Table 1-2'!B19-C20</f>
        <v>-1735303.95634126</v>
      </c>
      <c r="BR20" s="500" cm="1">
        <f t="array" ref="BR20">(BF20+AY20)*0.85+('net worth - Table 1-2-1'!D19)+E20+'net worth - Table 1-2'!C19</f>
        <v>6163834.9</v>
      </c>
    </row>
    <row r="21" ht="8.75" customHeight="1" hidden="1">
      <c r="A21" s="400">
        <v>43435</v>
      </c>
      <c r="B21" s="517" cm="1">
        <f t="array" ref="B21">E21+AH21</f>
        <v>9034859</v>
      </c>
      <c r="C21" s="500" cm="1">
        <f t="array" ref="C21">F21+AL21</f>
        <v>9304800</v>
      </c>
      <c r="D21" s="536"/>
      <c r="E21" s="500">
        <v>4148904</v>
      </c>
      <c r="F21" s="500">
        <v>4300000</v>
      </c>
      <c r="G21" s="500">
        <v>-151096</v>
      </c>
      <c r="H21" s="537">
        <v>-0.0351386046511628</v>
      </c>
      <c r="I21" s="500">
        <v>-261020</v>
      </c>
      <c r="J21" s="538">
        <v>-0.0591892286579088</v>
      </c>
      <c r="K21" s="500"/>
      <c r="L21" s="500">
        <v>4148904</v>
      </c>
      <c r="M21" s="500">
        <v>4300000</v>
      </c>
      <c r="N21" s="500">
        <v>-151096</v>
      </c>
      <c r="O21" s="537">
        <v>-0.0351386046511628</v>
      </c>
      <c r="P21" s="500">
        <v>-261020</v>
      </c>
      <c r="Q21" s="543" cm="1">
        <f t="array" ref="Q21">P21/L20</f>
        <v>-0.0685105529664109</v>
      </c>
      <c r="R21" s="500"/>
      <c r="S21" s="500"/>
      <c r="T21" s="500"/>
      <c r="U21" s="500"/>
      <c r="V21" s="500"/>
      <c r="W21" s="500"/>
      <c r="X21" s="543"/>
      <c r="Y21" s="539"/>
      <c r="Z21" s="500"/>
      <c r="AA21" s="500"/>
      <c r="AB21" s="500"/>
      <c r="AC21" s="500"/>
      <c r="AD21" s="500"/>
      <c r="AE21" s="500"/>
      <c r="AF21" s="500"/>
      <c r="AG21" s="539"/>
      <c r="AH21" s="500">
        <v>4885955</v>
      </c>
      <c r="AI21" s="500">
        <v>4312686</v>
      </c>
      <c r="AJ21" s="500">
        <v>573269</v>
      </c>
      <c r="AK21" s="500">
        <v>4431531</v>
      </c>
      <c r="AL21" s="500">
        <v>5004800</v>
      </c>
      <c r="AM21" s="500">
        <v>-118845</v>
      </c>
      <c r="AN21" s="537">
        <v>-0.0268180455016562</v>
      </c>
      <c r="AO21" s="500">
        <v>-158552</v>
      </c>
      <c r="AP21" s="538">
        <v>-0.0354604250545375</v>
      </c>
      <c r="AQ21" s="538"/>
      <c r="AR21" s="500">
        <v>2435155</v>
      </c>
      <c r="AS21" s="500">
        <v>2497411</v>
      </c>
      <c r="AT21" s="500">
        <v>-62256</v>
      </c>
      <c r="AU21" s="537">
        <v>-0.0249282156601376</v>
      </c>
      <c r="AV21" s="500">
        <v>-42109</v>
      </c>
      <c r="AW21" s="538">
        <v>-0.0169981883238928</v>
      </c>
      <c r="AX21" s="500"/>
      <c r="AY21" s="500">
        <v>1877531</v>
      </c>
      <c r="AZ21" s="500">
        <v>1934120</v>
      </c>
      <c r="BA21" s="500">
        <v>-56589</v>
      </c>
      <c r="BB21" s="537">
        <v>-0.0292582673257088</v>
      </c>
      <c r="BC21" s="500">
        <v>-116443</v>
      </c>
      <c r="BD21" s="538">
        <v>-0.0583974515214341</v>
      </c>
      <c r="BE21" s="538"/>
      <c r="BF21" s="500"/>
      <c r="BG21" s="500"/>
      <c r="BH21" s="500"/>
      <c r="BI21" s="500"/>
      <c r="BJ21" s="500"/>
      <c r="BK21" s="538"/>
      <c r="BL21" s="500">
        <v>-419572</v>
      </c>
      <c r="BM21" s="500">
        <v>-289243</v>
      </c>
      <c r="BN21" s="500" cm="1">
        <f t="array" ref="BN21">B21-C21</f>
        <v>-269941</v>
      </c>
      <c r="BO21" s="500" cm="1">
        <f t="array" ref="BO21">BL21+'net worth - Table 1-2'!E20</f>
        <v>-366181.075517058</v>
      </c>
      <c r="BP21" s="500">
        <v>-289243</v>
      </c>
      <c r="BQ21" s="500" cm="1">
        <f t="array" ref="BQ21">B21+'net worth - Table 1-2'!C20-'net worth - Table 1-2'!B20-C21</f>
        <v>-2085734.47609102</v>
      </c>
      <c r="BR21" s="500" cm="1">
        <f t="array" ref="BR21">(BF21+AY21)*0.85+('net worth - Table 1-2-1'!D20)+E21+'net worth - Table 1-2'!C20</f>
        <v>6544481.83025024</v>
      </c>
    </row>
    <row r="22" ht="8.75" customHeight="1" hidden="1">
      <c r="A22" s="400">
        <v>43466</v>
      </c>
      <c r="B22" s="517">
        <v>9919964</v>
      </c>
      <c r="C22" s="500">
        <v>9869951</v>
      </c>
      <c r="D22" s="536"/>
      <c r="E22" s="500">
        <v>4603346</v>
      </c>
      <c r="F22" s="500">
        <v>4600000</v>
      </c>
      <c r="G22" s="500">
        <v>3346</v>
      </c>
      <c r="H22" s="537">
        <v>0.000727391304347826</v>
      </c>
      <c r="I22" s="500">
        <v>154442</v>
      </c>
      <c r="J22" s="538">
        <v>0.034714617352948</v>
      </c>
      <c r="K22" s="500"/>
      <c r="L22" s="500">
        <v>4603346</v>
      </c>
      <c r="M22" s="500">
        <v>4600000</v>
      </c>
      <c r="N22" s="500">
        <v>3346</v>
      </c>
      <c r="O22" s="537">
        <v>0.000727391304347826</v>
      </c>
      <c r="P22" s="500">
        <v>154442</v>
      </c>
      <c r="Q22" s="543" cm="1">
        <f t="array" ref="Q22">P22/L21</f>
        <v>0.0372247706864271</v>
      </c>
      <c r="R22" s="500"/>
      <c r="S22" s="500"/>
      <c r="T22" s="500"/>
      <c r="U22" s="500"/>
      <c r="V22" s="500"/>
      <c r="W22" s="500"/>
      <c r="X22" s="543"/>
      <c r="Y22" s="539"/>
      <c r="Z22" s="500"/>
      <c r="AA22" s="500"/>
      <c r="AB22" s="500"/>
      <c r="AC22" s="500"/>
      <c r="AD22" s="500"/>
      <c r="AE22" s="500"/>
      <c r="AF22" s="500"/>
      <c r="AG22" s="539"/>
      <c r="AH22" s="500">
        <v>5316618</v>
      </c>
      <c r="AI22" s="500">
        <v>4694038</v>
      </c>
      <c r="AJ22" s="500">
        <v>622580</v>
      </c>
      <c r="AK22" s="500">
        <v>4647371</v>
      </c>
      <c r="AL22" s="500">
        <v>5269951</v>
      </c>
      <c r="AM22" s="500">
        <v>46667</v>
      </c>
      <c r="AN22" s="537">
        <v>0.0100415912566481</v>
      </c>
      <c r="AO22" s="500">
        <v>165512</v>
      </c>
      <c r="AP22" s="538">
        <v>0.0365487578077282</v>
      </c>
      <c r="AQ22" s="538"/>
      <c r="AR22" s="500">
        <v>2765850</v>
      </c>
      <c r="AS22" s="500">
        <v>2713251</v>
      </c>
      <c r="AT22" s="500">
        <v>52599</v>
      </c>
      <c r="AU22" s="537">
        <v>0.0193859690828456</v>
      </c>
      <c r="AV22" s="500">
        <v>114855</v>
      </c>
      <c r="AW22" s="538">
        <v>0.0433252420317654</v>
      </c>
      <c r="AX22" s="500"/>
      <c r="AY22" s="500">
        <v>1928188</v>
      </c>
      <c r="AZ22" s="500">
        <v>1934120</v>
      </c>
      <c r="BA22" s="500">
        <v>-5932</v>
      </c>
      <c r="BB22" s="537">
        <v>-0.00306702789899282</v>
      </c>
      <c r="BC22" s="500">
        <v>50657</v>
      </c>
      <c r="BD22" s="538">
        <v>0.0269806463914577</v>
      </c>
      <c r="BE22" s="538"/>
      <c r="BF22" s="500"/>
      <c r="BG22" s="500"/>
      <c r="BH22" s="500"/>
      <c r="BI22" s="500"/>
      <c r="BJ22" s="500"/>
      <c r="BK22" s="538"/>
      <c r="BL22" s="500">
        <v>319954</v>
      </c>
      <c r="BM22" s="500">
        <v>319954</v>
      </c>
      <c r="BN22" s="500" cm="1">
        <f t="array" ref="BN22">B22-C22</f>
        <v>50013</v>
      </c>
      <c r="BO22" s="500" cm="1">
        <f t="array" ref="BO22">BL22+'net worth - Table 1-2'!E21</f>
        <v>148277.407402641</v>
      </c>
      <c r="BP22" s="500">
        <v>319954</v>
      </c>
      <c r="BQ22" s="500" cm="1">
        <f t="array" ref="BQ22">B22+'net worth - Table 1-2'!C21-'net worth - Table 1-2'!B21-C22</f>
        <v>-1953207.57491548</v>
      </c>
      <c r="BR22" s="500" cm="1">
        <f t="array" ref="BR22">(BF22+AY22)*0.85+('net worth - Table 1-2-1'!D21)+E22+'net worth - Table 1-2'!C21</f>
        <v>6854555.18142578</v>
      </c>
    </row>
    <row r="23" ht="8.75" customHeight="1" hidden="1">
      <c r="A23" s="400">
        <v>43497</v>
      </c>
      <c r="B23" s="517">
        <v>11055762</v>
      </c>
      <c r="C23" s="500">
        <v>10835102</v>
      </c>
      <c r="D23" s="536"/>
      <c r="E23" s="500">
        <v>5403216</v>
      </c>
      <c r="F23" s="500">
        <v>5300000</v>
      </c>
      <c r="G23" s="500">
        <v>103216</v>
      </c>
      <c r="H23" s="537">
        <v>0.0194747169811321</v>
      </c>
      <c r="I23" s="500">
        <v>99870</v>
      </c>
      <c r="J23" s="538">
        <v>0.0188315075048847</v>
      </c>
      <c r="K23" s="500"/>
      <c r="L23" s="500">
        <v>5403216</v>
      </c>
      <c r="M23" s="500">
        <v>5300000</v>
      </c>
      <c r="N23" s="500">
        <v>103216</v>
      </c>
      <c r="O23" s="537">
        <v>0.0194747169811321</v>
      </c>
      <c r="P23" s="500">
        <v>99870</v>
      </c>
      <c r="Q23" s="543" cm="1">
        <f t="array" ref="Q23">P23/L22</f>
        <v>0.0216950887463163</v>
      </c>
      <c r="R23" s="500"/>
      <c r="S23" s="500"/>
      <c r="T23" s="500"/>
      <c r="U23" s="500"/>
      <c r="V23" s="500"/>
      <c r="W23" s="500"/>
      <c r="X23" s="543"/>
      <c r="Y23" s="539"/>
      <c r="Z23" s="500"/>
      <c r="AA23" s="500"/>
      <c r="AB23" s="500"/>
      <c r="AC23" s="500"/>
      <c r="AD23" s="500"/>
      <c r="AE23" s="500"/>
      <c r="AF23" s="500"/>
      <c r="AG23" s="539"/>
      <c r="AH23" s="500">
        <v>5652546</v>
      </c>
      <c r="AI23" s="500">
        <v>4980502</v>
      </c>
      <c r="AJ23" s="500">
        <v>672044</v>
      </c>
      <c r="AK23" s="500">
        <v>4863058</v>
      </c>
      <c r="AL23" s="500">
        <v>5535102</v>
      </c>
      <c r="AM23" s="500">
        <v>117444</v>
      </c>
      <c r="AN23" s="537">
        <v>0.0241502363327766</v>
      </c>
      <c r="AO23" s="500">
        <v>70777</v>
      </c>
      <c r="AP23" s="538">
        <v>0.0144156750123479</v>
      </c>
      <c r="AQ23" s="538"/>
      <c r="AR23" s="500">
        <v>3015847</v>
      </c>
      <c r="AS23" s="500">
        <v>2928938</v>
      </c>
      <c r="AT23" s="500">
        <v>86909</v>
      </c>
      <c r="AU23" s="537">
        <v>0.0296725297701761</v>
      </c>
      <c r="AV23" s="500">
        <v>34310</v>
      </c>
      <c r="AW23" s="538">
        <v>0.0115074875810698</v>
      </c>
      <c r="AX23" s="500"/>
      <c r="AY23" s="500">
        <v>1964655</v>
      </c>
      <c r="AZ23" s="500">
        <v>1934120</v>
      </c>
      <c r="BA23" s="500">
        <v>30535</v>
      </c>
      <c r="BB23" s="537">
        <v>0.0157875416209956</v>
      </c>
      <c r="BC23" s="500">
        <v>36467</v>
      </c>
      <c r="BD23" s="538">
        <v>0.0189125749148942</v>
      </c>
      <c r="BE23" s="538"/>
      <c r="BF23" s="500"/>
      <c r="BG23" s="500"/>
      <c r="BH23" s="500"/>
      <c r="BI23" s="500"/>
      <c r="BJ23" s="500"/>
      <c r="BK23" s="538"/>
      <c r="BL23" s="500">
        <v>170647</v>
      </c>
      <c r="BM23" s="500">
        <v>490601</v>
      </c>
      <c r="BN23" s="500" cm="1">
        <f t="array" ref="BN23">B23-C23</f>
        <v>220660</v>
      </c>
      <c r="BO23" s="500" cm="1">
        <f t="array" ref="BO23">BL23+'net worth - Table 1-2'!E22</f>
        <v>-83171.416889267</v>
      </c>
      <c r="BP23" s="500">
        <v>490601</v>
      </c>
      <c r="BQ23" s="500" cm="1">
        <f t="array" ref="BQ23">B23+'net worth - Table 1-2'!C22-'net worth - Table 1-2'!B22-C23</f>
        <v>-1658779.53350485</v>
      </c>
      <c r="BR23" s="500" cm="1">
        <f t="array" ref="BR23">(BF23+AY23)*0.85+('net worth - Table 1-2-1'!D22)+E23+'net worth - Table 1-2'!C22</f>
        <v>7807963.94482241</v>
      </c>
    </row>
    <row r="24" ht="8.75" customHeight="1" hidden="1">
      <c r="A24" s="400">
        <v>43525</v>
      </c>
      <c r="B24" s="517">
        <v>12927074</v>
      </c>
      <c r="C24" s="500">
        <v>12211563</v>
      </c>
      <c r="D24" s="536"/>
      <c r="E24" s="500">
        <v>6824490</v>
      </c>
      <c r="F24" s="500">
        <v>6400000</v>
      </c>
      <c r="G24" s="500">
        <v>424490</v>
      </c>
      <c r="H24" s="537">
        <v>0.06632656250000001</v>
      </c>
      <c r="I24" s="500">
        <v>321274</v>
      </c>
      <c r="J24" s="538">
        <v>0.0494023264796987</v>
      </c>
      <c r="K24" s="500"/>
      <c r="L24" s="500">
        <v>6824490</v>
      </c>
      <c r="M24" s="500">
        <v>6400000</v>
      </c>
      <c r="N24" s="500">
        <v>424490</v>
      </c>
      <c r="O24" s="537">
        <v>0.06632656250000001</v>
      </c>
      <c r="P24" s="500">
        <v>321274</v>
      </c>
      <c r="Q24" s="543" cm="1">
        <f t="array" ref="Q24">P24/L23</f>
        <v>0.0594597735866936</v>
      </c>
      <c r="R24" s="500"/>
      <c r="S24" s="500"/>
      <c r="T24" s="500"/>
      <c r="U24" s="500"/>
      <c r="V24" s="500"/>
      <c r="W24" s="500"/>
      <c r="X24" s="543"/>
      <c r="Y24" s="539"/>
      <c r="Z24" s="500"/>
      <c r="AA24" s="500"/>
      <c r="AB24" s="500"/>
      <c r="AC24" s="500"/>
      <c r="AD24" s="500"/>
      <c r="AE24" s="500"/>
      <c r="AF24" s="500"/>
      <c r="AG24" s="539"/>
      <c r="AH24" s="500">
        <v>6102584</v>
      </c>
      <c r="AI24" s="500">
        <v>5370003</v>
      </c>
      <c r="AJ24" s="500">
        <v>732581</v>
      </c>
      <c r="AK24" s="500">
        <v>5078982</v>
      </c>
      <c r="AL24" s="500">
        <v>5811563</v>
      </c>
      <c r="AM24" s="500">
        <v>291021</v>
      </c>
      <c r="AN24" s="537">
        <v>0.0572990808000501</v>
      </c>
      <c r="AO24" s="500">
        <v>173577</v>
      </c>
      <c r="AP24" s="538">
        <v>0.0334031505500126</v>
      </c>
      <c r="AQ24" s="538"/>
      <c r="AR24" s="500">
        <v>3291261</v>
      </c>
      <c r="AS24" s="500">
        <v>3144862</v>
      </c>
      <c r="AT24" s="500">
        <v>146399</v>
      </c>
      <c r="AU24" s="537">
        <v>0.0465518041809148</v>
      </c>
      <c r="AV24" s="500">
        <v>59490</v>
      </c>
      <c r="AW24" s="538">
        <v>0.0184078636759845</v>
      </c>
      <c r="AX24" s="500"/>
      <c r="AY24" s="500">
        <v>2078742</v>
      </c>
      <c r="AZ24" s="500">
        <v>1934120</v>
      </c>
      <c r="BA24" s="500">
        <v>144622</v>
      </c>
      <c r="BB24" s="537">
        <v>0.0747740574524848</v>
      </c>
      <c r="BC24" s="500">
        <v>114087</v>
      </c>
      <c r="BD24" s="538">
        <v>0.0580697374348168</v>
      </c>
      <c r="BE24" s="538"/>
      <c r="BF24" s="500"/>
      <c r="BG24" s="500"/>
      <c r="BH24" s="500"/>
      <c r="BI24" s="500"/>
      <c r="BJ24" s="500"/>
      <c r="BK24" s="538"/>
      <c r="BL24" s="500">
        <v>494851</v>
      </c>
      <c r="BM24" s="500">
        <v>985452</v>
      </c>
      <c r="BN24" s="500" cm="1">
        <f t="array" ref="BN24">B24-C24</f>
        <v>715511</v>
      </c>
      <c r="BO24" s="500" cm="1">
        <f t="array" ref="BO24">BL24+'net worth - Table 1-2'!E23</f>
        <v>532072.4944898291</v>
      </c>
      <c r="BP24" s="500">
        <v>985452</v>
      </c>
      <c r="BQ24" s="500" cm="1">
        <f t="array" ref="BQ24">B24+'net worth - Table 1-2'!C23-'net worth - Table 1-2'!B23-C24</f>
        <v>10765908.2869005</v>
      </c>
      <c r="BR24" s="500" cm="1">
        <f t="array" ref="BR24">(BF24+AY24)*0.85+('net worth - Table 1-2-1'!D23)+E24+'net worth - Table 1-2'!C23</f>
        <v>9366467.715227781</v>
      </c>
    </row>
    <row r="25" ht="8.75" customHeight="1" hidden="1">
      <c r="A25" s="400">
        <v>43556</v>
      </c>
      <c r="B25" s="517">
        <v>14312495</v>
      </c>
      <c r="C25" s="500">
        <v>13184629</v>
      </c>
      <c r="D25" s="536"/>
      <c r="E25" s="500">
        <v>7804460</v>
      </c>
      <c r="F25" s="500">
        <v>7100000</v>
      </c>
      <c r="G25" s="500">
        <v>704460</v>
      </c>
      <c r="H25" s="537">
        <v>0.09921971830985921</v>
      </c>
      <c r="I25" s="500">
        <v>279970</v>
      </c>
      <c r="J25" s="538">
        <v>0.0372078373417999</v>
      </c>
      <c r="K25" s="500"/>
      <c r="L25" s="500">
        <v>7804460</v>
      </c>
      <c r="M25" s="500">
        <v>7100000</v>
      </c>
      <c r="N25" s="500">
        <v>704460</v>
      </c>
      <c r="O25" s="537">
        <v>0.09921971830985921</v>
      </c>
      <c r="P25" s="500">
        <v>279970</v>
      </c>
      <c r="Q25" s="543" cm="1">
        <f t="array" ref="Q25">P25/L24</f>
        <v>0.0410243109741534</v>
      </c>
      <c r="R25" s="500"/>
      <c r="S25" s="500"/>
      <c r="T25" s="500"/>
      <c r="U25" s="500"/>
      <c r="V25" s="500"/>
      <c r="W25" s="500"/>
      <c r="X25" s="543"/>
      <c r="Y25" s="539"/>
      <c r="Z25" s="500"/>
      <c r="AA25" s="500"/>
      <c r="AB25" s="500"/>
      <c r="AC25" s="500"/>
      <c r="AD25" s="500"/>
      <c r="AE25" s="500"/>
      <c r="AF25" s="500"/>
      <c r="AG25" s="539"/>
      <c r="AH25" s="500">
        <v>6508035</v>
      </c>
      <c r="AI25" s="500">
        <v>5724392</v>
      </c>
      <c r="AJ25" s="500">
        <v>783643</v>
      </c>
      <c r="AK25" s="500">
        <v>5300986</v>
      </c>
      <c r="AL25" s="500">
        <v>6084629</v>
      </c>
      <c r="AM25" s="500">
        <v>423406</v>
      </c>
      <c r="AN25" s="537">
        <v>0.0798730651241109</v>
      </c>
      <c r="AO25" s="500">
        <v>132385</v>
      </c>
      <c r="AP25" s="538">
        <v>0.0236739689345882</v>
      </c>
      <c r="AQ25" s="538"/>
      <c r="AR25" s="500">
        <v>3563940</v>
      </c>
      <c r="AS25" s="500">
        <v>3366866</v>
      </c>
      <c r="AT25" s="500">
        <v>197074</v>
      </c>
      <c r="AU25" s="537">
        <v>0.0585333660442679</v>
      </c>
      <c r="AV25" s="500">
        <v>50675</v>
      </c>
      <c r="AW25" s="538">
        <v>0.0144239048292685</v>
      </c>
      <c r="AX25" s="500"/>
      <c r="AY25" s="500">
        <v>2160452</v>
      </c>
      <c r="AZ25" s="500">
        <v>1934120</v>
      </c>
      <c r="BA25" s="500">
        <v>226332</v>
      </c>
      <c r="BB25" s="537">
        <v>0.117020660558807</v>
      </c>
      <c r="BC25" s="500">
        <v>81710</v>
      </c>
      <c r="BD25" s="538">
        <v>0.0393074272805379</v>
      </c>
      <c r="BE25" s="538"/>
      <c r="BF25" s="500"/>
      <c r="BG25" s="500"/>
      <c r="BH25" s="500"/>
      <c r="BI25" s="500"/>
      <c r="BJ25" s="500"/>
      <c r="BK25" s="538"/>
      <c r="BL25" s="500">
        <v>412355</v>
      </c>
      <c r="BM25" s="500">
        <v>1397807</v>
      </c>
      <c r="BN25" s="500" cm="1">
        <f t="array" ref="BN25">B25-C25</f>
        <v>1127866</v>
      </c>
      <c r="BO25" s="500" cm="1">
        <f t="array" ref="BO25">BL25+'net worth - Table 1-2'!E24</f>
        <v>615314.3635262731</v>
      </c>
      <c r="BP25" s="500">
        <v>1397807</v>
      </c>
      <c r="BQ25" s="500" cm="1">
        <f t="array" ref="BQ25">B25+'net worth - Table 1-2'!C24-'net worth - Table 1-2'!B24-C25</f>
        <v>-511392.675488747</v>
      </c>
      <c r="BR25" s="500" cm="1">
        <f t="array" ref="BR25">(BF25+AY25)*0.85+('net worth - Table 1-2-1'!D24)+E25+'net worth - Table 1-2'!C24</f>
        <v>10615816.2528385</v>
      </c>
    </row>
    <row r="26" ht="8.75" customHeight="1" hidden="1">
      <c r="A26" s="400">
        <v>43586</v>
      </c>
      <c r="B26" s="517">
        <v>15394483</v>
      </c>
      <c r="C26" s="500">
        <v>14456191</v>
      </c>
      <c r="D26" s="536"/>
      <c r="E26" s="500">
        <v>8700750</v>
      </c>
      <c r="F26" s="500">
        <v>8100000</v>
      </c>
      <c r="G26" s="500">
        <v>600750</v>
      </c>
      <c r="H26" s="537">
        <v>0.0741666666666667</v>
      </c>
      <c r="I26" s="500">
        <v>-103710</v>
      </c>
      <c r="J26" s="538">
        <v>-0.0117792573309436</v>
      </c>
      <c r="K26" s="500"/>
      <c r="L26" s="500">
        <v>8700750</v>
      </c>
      <c r="M26" s="500">
        <v>8100000</v>
      </c>
      <c r="N26" s="500">
        <v>600750</v>
      </c>
      <c r="O26" s="537">
        <v>0.0741666666666667</v>
      </c>
      <c r="P26" s="500">
        <v>-103710</v>
      </c>
      <c r="Q26" s="543" cm="1">
        <f t="array" ref="Q26">P26/L25</f>
        <v>-0.0132885555182549</v>
      </c>
      <c r="R26" s="500"/>
      <c r="S26" s="500"/>
      <c r="T26" s="500"/>
      <c r="U26" s="500"/>
      <c r="V26" s="500"/>
      <c r="W26" s="500"/>
      <c r="X26" s="543"/>
      <c r="Y26" s="539"/>
      <c r="Z26" s="500"/>
      <c r="AA26" s="500"/>
      <c r="AB26" s="500"/>
      <c r="AC26" s="500"/>
      <c r="AD26" s="500"/>
      <c r="AE26" s="500"/>
      <c r="AF26" s="500"/>
      <c r="AG26" s="539"/>
      <c r="AH26" s="500">
        <v>6693733</v>
      </c>
      <c r="AI26" s="500">
        <v>5854368</v>
      </c>
      <c r="AJ26" s="500">
        <v>839365</v>
      </c>
      <c r="AK26" s="500">
        <v>5516826</v>
      </c>
      <c r="AL26" s="500">
        <v>6356191</v>
      </c>
      <c r="AM26" s="500">
        <v>337542</v>
      </c>
      <c r="AN26" s="537">
        <v>0.0611840938974693</v>
      </c>
      <c r="AO26" s="500">
        <v>-85864</v>
      </c>
      <c r="AP26" s="538">
        <v>-0.0144546542963305</v>
      </c>
      <c r="AQ26" s="538"/>
      <c r="AR26" s="500">
        <v>3742959</v>
      </c>
      <c r="AS26" s="500">
        <v>3582706</v>
      </c>
      <c r="AT26" s="500">
        <v>158868</v>
      </c>
      <c r="AU26" s="537">
        <v>0.0447295982422225</v>
      </c>
      <c r="AV26" s="500">
        <v>-36821</v>
      </c>
      <c r="AW26" s="538">
        <v>-0.00974157226081941</v>
      </c>
      <c r="AX26" s="500"/>
      <c r="AY26" s="500">
        <v>2111409</v>
      </c>
      <c r="AZ26" s="500">
        <v>1934120</v>
      </c>
      <c r="BA26" s="500">
        <v>188942</v>
      </c>
      <c r="BB26" s="537">
        <v>0.0916639091679937</v>
      </c>
      <c r="BC26" s="500">
        <v>-49043</v>
      </c>
      <c r="BD26" s="538">
        <v>-0.0227003423357705</v>
      </c>
      <c r="BE26" s="538"/>
      <c r="BF26" s="500"/>
      <c r="BG26" s="500"/>
      <c r="BH26" s="500"/>
      <c r="BI26" s="500"/>
      <c r="BJ26" s="500"/>
      <c r="BK26" s="538"/>
      <c r="BL26" s="500">
        <v>-189574</v>
      </c>
      <c r="BM26" s="500">
        <v>1208233</v>
      </c>
      <c r="BN26" s="500" cm="1">
        <f t="array" ref="BN26">B26-C26</f>
        <v>938292</v>
      </c>
      <c r="BO26" s="500" cm="1">
        <f t="array" ref="BO26">BL26+'net worth - Table 1-2'!E25</f>
        <v>463859.410447271</v>
      </c>
      <c r="BP26" s="500">
        <v>1208233</v>
      </c>
      <c r="BQ26" s="500" cm="1">
        <f t="array" ref="BQ26">B26+'net worth - Table 1-2'!C25-'net worth - Table 1-2'!B25-C26</f>
        <v>-47533.26504148</v>
      </c>
      <c r="BR26" s="500" cm="1">
        <f t="array" ref="BR26">(BF26+AY26)*0.85+('net worth - Table 1-2-1'!D25)+E26+'net worth - Table 1-2'!C25</f>
        <v>12123853.1132858</v>
      </c>
    </row>
    <row r="27" ht="8.75" customHeight="1" hidden="1">
      <c r="A27" s="400">
        <v>43617</v>
      </c>
      <c r="B27" s="517">
        <v>17243549</v>
      </c>
      <c r="C27" s="500">
        <v>16138814</v>
      </c>
      <c r="D27" s="536"/>
      <c r="E27" s="500">
        <v>9778523</v>
      </c>
      <c r="F27" s="500">
        <v>9100000</v>
      </c>
      <c r="G27" s="500">
        <v>678523</v>
      </c>
      <c r="H27" s="537">
        <v>0.074562967032967</v>
      </c>
      <c r="I27" s="500">
        <v>77773</v>
      </c>
      <c r="J27" s="538">
        <v>0.008017215163776001</v>
      </c>
      <c r="K27" s="500"/>
      <c r="L27" s="500">
        <v>9778523</v>
      </c>
      <c r="M27" s="500">
        <v>9100000</v>
      </c>
      <c r="N27" s="500">
        <v>678523</v>
      </c>
      <c r="O27" s="537">
        <v>0.074562967032967</v>
      </c>
      <c r="P27" s="500">
        <v>77773</v>
      </c>
      <c r="Q27" s="543" cm="1">
        <f t="array" ref="Q27">P27/L26</f>
        <v>0.00893865471367411</v>
      </c>
      <c r="R27" s="500"/>
      <c r="S27" s="500"/>
      <c r="T27" s="500"/>
      <c r="U27" s="500"/>
      <c r="V27" s="500"/>
      <c r="W27" s="500"/>
      <c r="X27" s="543"/>
      <c r="Y27" s="539"/>
      <c r="Z27" s="500"/>
      <c r="AA27" s="500"/>
      <c r="AB27" s="500"/>
      <c r="AC27" s="500"/>
      <c r="AD27" s="500"/>
      <c r="AE27" s="500"/>
      <c r="AF27" s="500"/>
      <c r="AG27" s="539"/>
      <c r="AH27" s="500">
        <v>7465026</v>
      </c>
      <c r="AI27" s="500">
        <v>6561648</v>
      </c>
      <c r="AJ27" s="500">
        <v>903378</v>
      </c>
      <c r="AK27" s="500">
        <v>6135436</v>
      </c>
      <c r="AL27" s="500">
        <v>7038814</v>
      </c>
      <c r="AM27" s="500">
        <v>426212</v>
      </c>
      <c r="AN27" s="537">
        <v>0.06946727176357149</v>
      </c>
      <c r="AO27" s="500">
        <v>88670</v>
      </c>
      <c r="AP27" s="538">
        <v>0.0136984862299856</v>
      </c>
      <c r="AQ27" s="538"/>
      <c r="AR27" s="500">
        <v>4015381</v>
      </c>
      <c r="AS27" s="500">
        <v>3801316</v>
      </c>
      <c r="AT27" s="500">
        <v>214065</v>
      </c>
      <c r="AU27" s="537">
        <v>0.0563133925198537</v>
      </c>
      <c r="AV27" s="500">
        <v>55197</v>
      </c>
      <c r="AW27" s="538">
        <v>0.0139331158942328</v>
      </c>
      <c r="AX27" s="500"/>
      <c r="AY27" s="500">
        <v>2546267</v>
      </c>
      <c r="AZ27" s="500">
        <v>2334120</v>
      </c>
      <c r="BA27" s="500">
        <v>212147</v>
      </c>
      <c r="BB27" s="537">
        <v>0.09088950011139101</v>
      </c>
      <c r="BC27" s="500">
        <v>23205</v>
      </c>
      <c r="BD27" s="538">
        <v>0.00923983309767545</v>
      </c>
      <c r="BE27" s="538"/>
      <c r="BF27" s="500"/>
      <c r="BG27" s="500"/>
      <c r="BH27" s="500"/>
      <c r="BI27" s="500"/>
      <c r="BJ27" s="500"/>
      <c r="BK27" s="538"/>
      <c r="BL27" s="500">
        <v>156175</v>
      </c>
      <c r="BM27" s="500">
        <v>1364408</v>
      </c>
      <c r="BN27" s="500" cm="1">
        <f t="array" ref="BN27">B27-C27</f>
        <v>1104735</v>
      </c>
      <c r="BO27" s="500" cm="1">
        <f t="array" ref="BO27">BL27+'net worth - Table 1-2'!E26</f>
        <v>369520.145759303</v>
      </c>
      <c r="BP27" s="500">
        <v>1364408</v>
      </c>
      <c r="BQ27" s="500" cm="1">
        <f t="array" ref="BQ27">B27+'net worth - Table 1-2'!C26-'net worth - Table 1-2'!B26-C27</f>
        <v>332254.88071783</v>
      </c>
      <c r="BR27" s="500" cm="1">
        <f t="array" ref="BR27">(BF27+AY27)*0.85+('net worth - Table 1-2-1'!D26)+E27+'net worth - Table 1-2'!C26</f>
        <v>13784600.5590451</v>
      </c>
    </row>
    <row r="28" ht="8.75" customHeight="1" hidden="1">
      <c r="A28" s="400">
        <v>43647</v>
      </c>
      <c r="B28" s="517">
        <v>19299399</v>
      </c>
      <c r="C28" s="500">
        <v>17425863</v>
      </c>
      <c r="D28" s="536"/>
      <c r="E28" s="500">
        <v>10571456</v>
      </c>
      <c r="F28" s="500">
        <v>9400000</v>
      </c>
      <c r="G28" s="500">
        <v>1171456</v>
      </c>
      <c r="H28" s="537">
        <v>0.124622978723404</v>
      </c>
      <c r="I28" s="500">
        <v>492933</v>
      </c>
      <c r="J28" s="538">
        <v>0.0489092498970335</v>
      </c>
      <c r="K28" s="500"/>
      <c r="L28" s="500">
        <v>10571456</v>
      </c>
      <c r="M28" s="500">
        <v>9400000</v>
      </c>
      <c r="N28" s="500">
        <v>1171456</v>
      </c>
      <c r="O28" s="537">
        <v>0.124622978723404</v>
      </c>
      <c r="P28" s="500">
        <v>492933</v>
      </c>
      <c r="Q28" s="543" cm="1">
        <f t="array" ref="Q28">P28/L27</f>
        <v>0.050409760247023</v>
      </c>
      <c r="R28" s="500"/>
      <c r="S28" s="500"/>
      <c r="T28" s="500"/>
      <c r="U28" s="500"/>
      <c r="V28" s="500"/>
      <c r="W28" s="500"/>
      <c r="X28" s="543"/>
      <c r="Y28" s="539"/>
      <c r="Z28" s="500"/>
      <c r="AA28" s="500"/>
      <c r="AB28" s="500"/>
      <c r="AC28" s="500"/>
      <c r="AD28" s="500"/>
      <c r="AE28" s="500"/>
      <c r="AF28" s="500"/>
      <c r="AG28" s="539"/>
      <c r="AH28" s="500">
        <v>8727943</v>
      </c>
      <c r="AI28" s="500">
        <v>7757711</v>
      </c>
      <c r="AJ28" s="500">
        <v>970232</v>
      </c>
      <c r="AK28" s="500">
        <v>7055631</v>
      </c>
      <c r="AL28" s="500">
        <v>8025863</v>
      </c>
      <c r="AM28" s="500">
        <v>702080</v>
      </c>
      <c r="AN28" s="537">
        <v>0.0995063375621543</v>
      </c>
      <c r="AO28" s="500">
        <v>275868</v>
      </c>
      <c r="AP28" s="538">
        <v>0.0368716638400458</v>
      </c>
      <c r="AQ28" s="538"/>
      <c r="AR28" s="500">
        <v>4357708</v>
      </c>
      <c r="AS28" s="500">
        <v>4021511</v>
      </c>
      <c r="AT28" s="500">
        <v>336197</v>
      </c>
      <c r="AU28" s="537">
        <v>0.08359967186463001</v>
      </c>
      <c r="AV28" s="500">
        <v>122132</v>
      </c>
      <c r="AW28" s="538">
        <v>0.0288348031058822</v>
      </c>
      <c r="AX28" s="500"/>
      <c r="AY28" s="500">
        <v>3400003</v>
      </c>
      <c r="AZ28" s="500">
        <v>3034120</v>
      </c>
      <c r="BA28" s="500">
        <v>365883</v>
      </c>
      <c r="BB28" s="537">
        <v>0.120589495471504</v>
      </c>
      <c r="BC28" s="500">
        <v>153736</v>
      </c>
      <c r="BD28" s="538">
        <v>0.0473577804906374</v>
      </c>
      <c r="BE28" s="538"/>
      <c r="BF28" s="500"/>
      <c r="BG28" s="500"/>
      <c r="BH28" s="500"/>
      <c r="BI28" s="500"/>
      <c r="BJ28" s="500"/>
      <c r="BK28" s="538"/>
      <c r="BL28" s="500">
        <v>768801</v>
      </c>
      <c r="BM28" s="500">
        <v>2133209</v>
      </c>
      <c r="BN28" s="500" cm="1">
        <f t="array" ref="BN28">B28-C28</f>
        <v>1873536</v>
      </c>
      <c r="BO28" s="500" cm="1">
        <f t="array" ref="BO28">BL28+'net worth - Table 1-2'!E27</f>
        <v>483990.699671</v>
      </c>
      <c r="BP28" s="500">
        <v>2133209</v>
      </c>
      <c r="BQ28" s="500" cm="1">
        <f t="array" ref="BQ28">B28+'net worth - Table 1-2'!C27-'net worth - Table 1-2'!B27-C28</f>
        <v>816245.58038882</v>
      </c>
      <c r="BR28" s="500" cm="1">
        <f t="array" ref="BR28">(BF28+AY28)*0.85+('net worth - Table 1-2-1'!D27)+E28+'net worth - Table 1-2'!C27</f>
        <v>15018398.8587161</v>
      </c>
    </row>
    <row r="29" ht="8.75" customHeight="1" hidden="1">
      <c r="A29" s="400">
        <v>43678</v>
      </c>
      <c r="B29" s="517">
        <v>20391477</v>
      </c>
      <c r="C29" s="500">
        <v>18513699</v>
      </c>
      <c r="D29" s="536"/>
      <c r="E29" s="500">
        <v>10684713</v>
      </c>
      <c r="F29" s="500">
        <v>9400000</v>
      </c>
      <c r="G29" s="500">
        <v>1284713</v>
      </c>
      <c r="H29" s="537">
        <v>0.136671595744681</v>
      </c>
      <c r="I29" s="500">
        <v>113257</v>
      </c>
      <c r="J29" s="538">
        <v>0.0107134722028829</v>
      </c>
      <c r="K29" s="500"/>
      <c r="L29" s="500">
        <v>10684713</v>
      </c>
      <c r="M29" s="500">
        <v>9400000</v>
      </c>
      <c r="N29" s="500">
        <v>1284713</v>
      </c>
      <c r="O29" s="537">
        <v>0.136671595744681</v>
      </c>
      <c r="P29" s="500">
        <v>113257</v>
      </c>
      <c r="Q29" s="543" cm="1">
        <f t="array" ref="Q29">P29/L28</f>
        <v>0.0107134722028829</v>
      </c>
      <c r="R29" s="500"/>
      <c r="S29" s="500"/>
      <c r="T29" s="500"/>
      <c r="U29" s="500"/>
      <c r="V29" s="500"/>
      <c r="W29" s="500"/>
      <c r="X29" s="543"/>
      <c r="Y29" s="539"/>
      <c r="Z29" s="500"/>
      <c r="AA29" s="500"/>
      <c r="AB29" s="500"/>
      <c r="AC29" s="500"/>
      <c r="AD29" s="500"/>
      <c r="AE29" s="500"/>
      <c r="AF29" s="500"/>
      <c r="AG29" s="539"/>
      <c r="AH29" s="500">
        <v>9706764</v>
      </c>
      <c r="AI29" s="500">
        <v>8666911</v>
      </c>
      <c r="AJ29" s="500">
        <v>1039853</v>
      </c>
      <c r="AK29" s="500">
        <v>8073846</v>
      </c>
      <c r="AL29" s="500">
        <v>9113699</v>
      </c>
      <c r="AM29" s="500">
        <v>593065</v>
      </c>
      <c r="AN29" s="537">
        <v>0.0734550795246776</v>
      </c>
      <c r="AO29" s="500">
        <v>-109015</v>
      </c>
      <c r="AP29" s="538">
        <v>-0.0124220509607761</v>
      </c>
      <c r="AQ29" s="538"/>
      <c r="AR29" s="500">
        <v>4417812</v>
      </c>
      <c r="AS29" s="500">
        <v>4239726</v>
      </c>
      <c r="AT29" s="500">
        <v>178086</v>
      </c>
      <c r="AU29" s="537">
        <v>0.042004129512143</v>
      </c>
      <c r="AV29" s="500">
        <v>-158111</v>
      </c>
      <c r="AW29" s="538">
        <v>-0.0345528104384624</v>
      </c>
      <c r="AX29" s="500"/>
      <c r="AY29" s="500">
        <v>4249099</v>
      </c>
      <c r="AZ29" s="500">
        <v>3834120</v>
      </c>
      <c r="BA29" s="500">
        <v>414979</v>
      </c>
      <c r="BB29" s="537">
        <v>0.108233179973501</v>
      </c>
      <c r="BC29" s="500">
        <v>49096</v>
      </c>
      <c r="BD29" s="538">
        <v>0.0116895154598699</v>
      </c>
      <c r="BE29" s="538"/>
      <c r="BF29" s="500"/>
      <c r="BG29" s="500"/>
      <c r="BH29" s="500"/>
      <c r="BI29" s="500"/>
      <c r="BJ29" s="500"/>
      <c r="BK29" s="538"/>
      <c r="BL29" s="500">
        <v>4242</v>
      </c>
      <c r="BM29" s="500">
        <v>2137451</v>
      </c>
      <c r="BN29" s="500" cm="1">
        <f t="array" ref="BN29">B29-C29</f>
        <v>1877778</v>
      </c>
      <c r="BO29" s="500" cm="1">
        <f t="array" ref="BO29">BL29+'net worth - Table 1-2'!E28</f>
        <v>-152328.75044656</v>
      </c>
      <c r="BP29" s="500">
        <v>2137451</v>
      </c>
      <c r="BQ29" s="500" cm="1">
        <f t="array" ref="BQ29">B29+'net worth - Table 1-2'!C28-'net worth - Table 1-2'!B28-C29</f>
        <v>661825.11195073</v>
      </c>
      <c r="BR29" s="500" cm="1">
        <f t="array" ref="BR29">(BF29+AY29)*0.85+('net worth - Table 1-2-1'!D28)+E29+'net worth - Table 1-2'!C28</f>
        <v>15694724.990278</v>
      </c>
    </row>
    <row r="30" ht="8.75" customHeight="1" hidden="1">
      <c r="A30" s="400">
        <v>43709</v>
      </c>
      <c r="B30" s="517" cm="1">
        <f t="array" ref="B30">E30+AH30</f>
        <v>21813210</v>
      </c>
      <c r="C30" s="500" cm="1">
        <f t="array" ref="C30">F30+AL30</f>
        <v>19378120</v>
      </c>
      <c r="D30" s="536"/>
      <c r="E30" s="500">
        <v>11544666</v>
      </c>
      <c r="F30" s="500">
        <v>10000000</v>
      </c>
      <c r="G30" s="500">
        <v>1544666</v>
      </c>
      <c r="H30" s="537">
        <v>0.1544666</v>
      </c>
      <c r="I30" s="500">
        <v>259953</v>
      </c>
      <c r="J30" s="538">
        <v>0.0230358539025317</v>
      </c>
      <c r="K30" s="500"/>
      <c r="L30" s="500">
        <v>11544666</v>
      </c>
      <c r="M30" s="500">
        <v>10000000</v>
      </c>
      <c r="N30" s="500">
        <v>1544666</v>
      </c>
      <c r="O30" s="537">
        <v>0.1544666</v>
      </c>
      <c r="P30" s="500">
        <v>259953</v>
      </c>
      <c r="Q30" s="543" cm="1">
        <f t="array" ref="Q30">P30/L29</f>
        <v>0.0243294321522721</v>
      </c>
      <c r="R30" s="500"/>
      <c r="S30" s="500"/>
      <c r="T30" s="500"/>
      <c r="U30" s="500"/>
      <c r="V30" s="500"/>
      <c r="W30" s="500"/>
      <c r="X30" s="543"/>
      <c r="Y30" s="539"/>
      <c r="Z30" s="500"/>
      <c r="AA30" s="500"/>
      <c r="AB30" s="500"/>
      <c r="AC30" s="500"/>
      <c r="AD30" s="500"/>
      <c r="AE30" s="500"/>
      <c r="AF30" s="500"/>
      <c r="AG30" s="539"/>
      <c r="AH30" s="500">
        <v>10268544</v>
      </c>
      <c r="AI30" s="500">
        <v>9182485</v>
      </c>
      <c r="AJ30" s="500">
        <v>1086059</v>
      </c>
      <c r="AK30" s="500">
        <v>8292061</v>
      </c>
      <c r="AL30" s="500">
        <v>9378120</v>
      </c>
      <c r="AM30" s="500">
        <v>890424</v>
      </c>
      <c r="AN30" s="537">
        <v>0.107382712211114</v>
      </c>
      <c r="AO30" s="500">
        <v>297359</v>
      </c>
      <c r="AP30" s="538">
        <v>0.0334670549410329</v>
      </c>
      <c r="AQ30" s="538"/>
      <c r="AR30" s="500">
        <v>4832261</v>
      </c>
      <c r="AS30" s="500">
        <v>4457941</v>
      </c>
      <c r="AT30" s="500">
        <v>374320</v>
      </c>
      <c r="AU30" s="537">
        <v>0.0839670152655677</v>
      </c>
      <c r="AV30" s="500">
        <v>196234</v>
      </c>
      <c r="AW30" s="538">
        <v>0.0423280537408432</v>
      </c>
      <c r="AX30" s="500"/>
      <c r="AY30" s="500">
        <v>4350224</v>
      </c>
      <c r="AZ30" s="500">
        <v>3834120</v>
      </c>
      <c r="BA30" s="500">
        <v>516104</v>
      </c>
      <c r="BB30" s="537">
        <v>0.134608202142865</v>
      </c>
      <c r="BC30" s="500">
        <v>101125</v>
      </c>
      <c r="BD30" s="538">
        <v>0.0237991630696296</v>
      </c>
      <c r="BE30" s="538"/>
      <c r="BF30" s="500"/>
      <c r="BG30" s="500"/>
      <c r="BH30" s="500"/>
      <c r="BI30" s="500"/>
      <c r="BJ30" s="500"/>
      <c r="BK30" s="538"/>
      <c r="BL30" s="500">
        <v>557312</v>
      </c>
      <c r="BM30" s="500">
        <v>2694763</v>
      </c>
      <c r="BN30" s="500" cm="1">
        <f t="array" ref="BN30">B30-C30</f>
        <v>2435090</v>
      </c>
      <c r="BO30" s="500" cm="1">
        <f t="array" ref="BO30">BL30+'net worth - Table 1-2'!E29</f>
        <v>506598.63211629</v>
      </c>
      <c r="BP30" s="500">
        <v>2694763</v>
      </c>
      <c r="BQ30" s="500" cm="1">
        <f t="array" ref="BQ30">B30+'net worth - Table 1-2'!C29-'net worth - Table 1-2'!B29-C30</f>
        <v>1170515.46205855</v>
      </c>
      <c r="BR30" s="500" cm="1">
        <f t="array" ref="BR30">(BF30+AY30)*0.85+('net worth - Table 1-2-1'!D29)+E30+'net worth - Table 1-2'!C29</f>
        <v>16592012.5903858</v>
      </c>
    </row>
    <row r="31" ht="8.75" customHeight="1" hidden="1">
      <c r="A31" s="400">
        <v>43739</v>
      </c>
      <c r="B31" s="517">
        <v>22820066</v>
      </c>
      <c r="C31" s="500">
        <v>19928188</v>
      </c>
      <c r="D31" s="536"/>
      <c r="E31" s="500">
        <v>12106440</v>
      </c>
      <c r="F31" s="500">
        <v>10300000</v>
      </c>
      <c r="G31" s="500">
        <v>1806440</v>
      </c>
      <c r="H31" s="537">
        <v>0.175382524271845</v>
      </c>
      <c r="I31" s="500">
        <v>261774</v>
      </c>
      <c r="J31" s="538">
        <v>0.022100580970371</v>
      </c>
      <c r="K31" s="500"/>
      <c r="L31" s="500">
        <v>12106440</v>
      </c>
      <c r="M31" s="500">
        <v>10300000</v>
      </c>
      <c r="N31" s="500">
        <v>1806440</v>
      </c>
      <c r="O31" s="537">
        <v>0.175382524271845</v>
      </c>
      <c r="P31" s="500">
        <v>261774</v>
      </c>
      <c r="Q31" s="543" cm="1">
        <f t="array" ref="Q31">P31/L30</f>
        <v>0.0226748872596228</v>
      </c>
      <c r="R31" s="500"/>
      <c r="S31" s="500"/>
      <c r="T31" s="500"/>
      <c r="U31" s="500"/>
      <c r="V31" s="500"/>
      <c r="W31" s="500"/>
      <c r="X31" s="543"/>
      <c r="Y31" s="539"/>
      <c r="Z31" s="500"/>
      <c r="AA31" s="500"/>
      <c r="AB31" s="500"/>
      <c r="AC31" s="500"/>
      <c r="AD31" s="500"/>
      <c r="AE31" s="500"/>
      <c r="AF31" s="500"/>
      <c r="AG31" s="539"/>
      <c r="AH31" s="500">
        <v>10713626</v>
      </c>
      <c r="AI31" s="500">
        <v>9595714</v>
      </c>
      <c r="AJ31" s="500">
        <v>1117912</v>
      </c>
      <c r="AK31" s="500">
        <v>8510276</v>
      </c>
      <c r="AL31" s="500">
        <v>9628188</v>
      </c>
      <c r="AM31" s="500">
        <v>1085438</v>
      </c>
      <c r="AN31" s="537">
        <v>0.127544394564877</v>
      </c>
      <c r="AO31" s="500">
        <v>195014</v>
      </c>
      <c r="AP31" s="538">
        <v>0.0207446254002362</v>
      </c>
      <c r="AQ31" s="538"/>
      <c r="AR31" s="500">
        <v>5147616</v>
      </c>
      <c r="AS31" s="500">
        <v>4676156</v>
      </c>
      <c r="AT31" s="500">
        <v>471460</v>
      </c>
      <c r="AU31" s="537">
        <v>0.100822128260905</v>
      </c>
      <c r="AV31" s="500">
        <v>97140</v>
      </c>
      <c r="AW31" s="538">
        <v>0.0192338306329938</v>
      </c>
      <c r="AX31" s="500"/>
      <c r="AY31" s="500">
        <v>4448098</v>
      </c>
      <c r="AZ31" s="500">
        <v>3834120</v>
      </c>
      <c r="BA31" s="500">
        <v>613978</v>
      </c>
      <c r="BB31" s="537">
        <v>0.16013531136219</v>
      </c>
      <c r="BC31" s="500">
        <v>97874</v>
      </c>
      <c r="BD31" s="538">
        <v>0.0224986115657493</v>
      </c>
      <c r="BE31" s="538"/>
      <c r="BF31" s="500"/>
      <c r="BG31" s="500"/>
      <c r="BH31" s="500"/>
      <c r="BI31" s="500"/>
      <c r="BJ31" s="500"/>
      <c r="BK31" s="538"/>
      <c r="BL31" s="500">
        <v>456788</v>
      </c>
      <c r="BM31" s="500">
        <v>3151551</v>
      </c>
      <c r="BN31" s="500" cm="1">
        <f t="array" ref="BN31">B31-C31</f>
        <v>2891878</v>
      </c>
      <c r="BO31" s="500" cm="1">
        <f t="array" ref="BO31">BL31+'net worth - Table 1-2'!E30</f>
        <v>547779.19544503</v>
      </c>
      <c r="BP31" s="500">
        <v>3151551</v>
      </c>
      <c r="BQ31" s="500" cm="1">
        <f t="array" ref="BQ31">B31+'net worth - Table 1-2'!C30-'net worth - Table 1-2'!B30-C31</f>
        <v>1718294.65750358</v>
      </c>
      <c r="BR31" s="500" cm="1">
        <f t="array" ref="BR31">(BF31+AY31)*0.85+('net worth - Table 1-2-1'!D30)+E31+'net worth - Table 1-2'!C30</f>
        <v>17327970.6858308</v>
      </c>
    </row>
    <row r="32" ht="8.75" customHeight="1" hidden="1">
      <c r="A32" s="400">
        <v>43770</v>
      </c>
      <c r="B32" s="517" cm="1">
        <f t="array" ref="B32">E32+AH32</f>
        <v>26663336</v>
      </c>
      <c r="C32" s="500" cm="1">
        <f t="array" ref="C32">F32+AL32</f>
        <v>20578740</v>
      </c>
      <c r="D32" s="536"/>
      <c r="E32" s="500">
        <v>14496255</v>
      </c>
      <c r="F32" s="500">
        <v>10600000</v>
      </c>
      <c r="G32" s="500">
        <v>3896255</v>
      </c>
      <c r="H32" s="537">
        <v>0.367571226415094</v>
      </c>
      <c r="I32" s="500">
        <v>2089815</v>
      </c>
      <c r="J32" s="538">
        <v>0.168445984504822</v>
      </c>
      <c r="K32" s="500"/>
      <c r="L32" s="500">
        <v>14496255</v>
      </c>
      <c r="M32" s="500">
        <v>10600000</v>
      </c>
      <c r="N32" s="500">
        <v>3896255</v>
      </c>
      <c r="O32" s="537">
        <v>0.367571226415094</v>
      </c>
      <c r="P32" s="500">
        <v>2089815</v>
      </c>
      <c r="Q32" s="543" cm="1">
        <f t="array" ref="Q32">P32/L31</f>
        <v>0.172620109627603</v>
      </c>
      <c r="R32" s="500"/>
      <c r="S32" s="500"/>
      <c r="T32" s="500"/>
      <c r="U32" s="500"/>
      <c r="V32" s="500"/>
      <c r="W32" s="500"/>
      <c r="X32" s="543"/>
      <c r="Y32" s="539"/>
      <c r="Z32" s="500"/>
      <c r="AA32" s="500"/>
      <c r="AB32" s="500"/>
      <c r="AC32" s="500"/>
      <c r="AD32" s="500"/>
      <c r="AE32" s="500"/>
      <c r="AF32" s="500"/>
      <c r="AG32" s="539"/>
      <c r="AH32" s="500">
        <v>12167081</v>
      </c>
      <c r="AI32" s="500">
        <v>11001752</v>
      </c>
      <c r="AJ32" s="500">
        <v>1165329</v>
      </c>
      <c r="AK32" s="500">
        <v>8813411</v>
      </c>
      <c r="AL32" s="500">
        <v>9978740</v>
      </c>
      <c r="AM32" s="500">
        <v>2188341</v>
      </c>
      <c r="AN32" s="537">
        <v>0.24829671508568</v>
      </c>
      <c r="AO32" s="500">
        <v>1102903</v>
      </c>
      <c r="AP32" s="538">
        <v>0.111417297101916</v>
      </c>
      <c r="AQ32" s="538"/>
      <c r="AR32" s="500">
        <v>5706580</v>
      </c>
      <c r="AS32" s="500">
        <v>4894371</v>
      </c>
      <c r="AT32" s="500">
        <v>812209</v>
      </c>
      <c r="AU32" s="537">
        <v>0.165947575285976</v>
      </c>
      <c r="AV32" s="500">
        <v>340749</v>
      </c>
      <c r="AW32" s="538">
        <v>0.06350349088519559</v>
      </c>
      <c r="AX32" s="500"/>
      <c r="AY32" s="500">
        <v>5295172</v>
      </c>
      <c r="AZ32" s="500">
        <v>3919040</v>
      </c>
      <c r="BA32" s="500">
        <v>1376132</v>
      </c>
      <c r="BB32" s="537">
        <v>0.351140075120438</v>
      </c>
      <c r="BC32" s="500">
        <v>762154</v>
      </c>
      <c r="BD32" s="538">
        <v>0.168133901078707</v>
      </c>
      <c r="BE32" s="538"/>
      <c r="BF32" s="500"/>
      <c r="BG32" s="500"/>
      <c r="BH32" s="500"/>
      <c r="BI32" s="500"/>
      <c r="BJ32" s="500"/>
      <c r="BK32" s="538"/>
      <c r="BL32" s="500">
        <v>3192718</v>
      </c>
      <c r="BM32" s="500">
        <v>6344269</v>
      </c>
      <c r="BN32" s="500" cm="1">
        <f t="array" ref="BN32">B32-C32</f>
        <v>6084596</v>
      </c>
      <c r="BO32" s="500" cm="1">
        <f t="array" ref="BO32">BL32+'net worth - Table 1-2'!E31</f>
        <v>3064228.1392262</v>
      </c>
      <c r="BP32" s="500">
        <v>6344269</v>
      </c>
      <c r="BQ32" s="500" cm="1">
        <f t="array" ref="BQ32">B32+'net worth - Table 1-2'!C31-'net worth - Table 1-2'!B31-C32</f>
        <v>4782523</v>
      </c>
      <c r="BR32" s="500" cm="1">
        <f t="array" ref="BR32">(BF32+AY32)*0.85+('net worth - Table 1-2-1'!D31)+E32+'net worth - Table 1-2'!C31</f>
        <v>20309308.9283273</v>
      </c>
    </row>
    <row r="33" ht="8.75" customHeight="1" hidden="1">
      <c r="A33" s="400">
        <v>43800</v>
      </c>
      <c r="B33" s="517" cm="1">
        <f t="array" ref="B33">E33+AH33</f>
        <v>28527146</v>
      </c>
      <c r="C33" s="500" cm="1">
        <f t="array" ref="C33">F33+AL33</f>
        <v>23980176</v>
      </c>
      <c r="D33" s="536"/>
      <c r="E33" s="500">
        <v>13411060</v>
      </c>
      <c r="F33" s="500">
        <v>10600000</v>
      </c>
      <c r="G33" s="500">
        <v>2811060</v>
      </c>
      <c r="H33" s="537">
        <v>0.265194339622642</v>
      </c>
      <c r="I33" s="500">
        <v>-1085195</v>
      </c>
      <c r="J33" s="538">
        <v>-0.07486036910912509</v>
      </c>
      <c r="K33" s="500"/>
      <c r="L33" s="500">
        <v>13411060</v>
      </c>
      <c r="M33" s="500">
        <v>10600000</v>
      </c>
      <c r="N33" s="500">
        <v>2811060</v>
      </c>
      <c r="O33" s="537">
        <v>0.265194339622642</v>
      </c>
      <c r="P33" s="500">
        <v>-1085195</v>
      </c>
      <c r="Q33" s="543" cm="1">
        <f t="array" ref="Q33">P33/L32</f>
        <v>-0.07486036910912509</v>
      </c>
      <c r="R33" s="500"/>
      <c r="S33" s="500"/>
      <c r="T33" s="500"/>
      <c r="U33" s="500"/>
      <c r="V33" s="500"/>
      <c r="W33" s="500"/>
      <c r="X33" s="543"/>
      <c r="Y33" s="539"/>
      <c r="Z33" s="500"/>
      <c r="AA33" s="500"/>
      <c r="AB33" s="500"/>
      <c r="AC33" s="500"/>
      <c r="AD33" s="500"/>
      <c r="AE33" s="500"/>
      <c r="AF33" s="500"/>
      <c r="AG33" s="539"/>
      <c r="AH33" s="500">
        <v>15116086</v>
      </c>
      <c r="AI33" s="500">
        <v>13896847</v>
      </c>
      <c r="AJ33" s="500">
        <v>1219239</v>
      </c>
      <c r="AK33" s="500">
        <v>12160937</v>
      </c>
      <c r="AL33" s="500">
        <v>13380176</v>
      </c>
      <c r="AM33" s="500">
        <v>1735910</v>
      </c>
      <c r="AN33" s="537">
        <v>0.142744757250202</v>
      </c>
      <c r="AO33" s="500">
        <v>-452431</v>
      </c>
      <c r="AP33" s="538">
        <v>-0.0315298790642986</v>
      </c>
      <c r="AQ33" s="538"/>
      <c r="AR33" s="500">
        <v>5866002</v>
      </c>
      <c r="AS33" s="500">
        <v>5112586</v>
      </c>
      <c r="AT33" s="500">
        <v>753416</v>
      </c>
      <c r="AU33" s="537">
        <v>0.147364953860923</v>
      </c>
      <c r="AV33" s="500">
        <v>-58793</v>
      </c>
      <c r="AW33" s="538">
        <v>-0.00992321253309186</v>
      </c>
      <c r="AX33" s="500"/>
      <c r="AY33" s="500">
        <v>5530845</v>
      </c>
      <c r="AZ33" s="500">
        <v>4548351</v>
      </c>
      <c r="BA33" s="500">
        <v>982494</v>
      </c>
      <c r="BB33" s="537">
        <v>0.216011033449265</v>
      </c>
      <c r="BC33" s="500">
        <v>-393638</v>
      </c>
      <c r="BD33" s="538">
        <v>-0.06644259085560709</v>
      </c>
      <c r="BE33" s="538"/>
      <c r="BF33" s="500">
        <v>2500000</v>
      </c>
      <c r="BG33" s="500">
        <v>2500000</v>
      </c>
      <c r="BH33" s="500">
        <v>0</v>
      </c>
      <c r="BI33" s="544">
        <v>0</v>
      </c>
      <c r="BJ33" s="500">
        <v>0</v>
      </c>
      <c r="BK33" s="538">
        <v>0</v>
      </c>
      <c r="BL33" s="500" cm="1">
        <f t="array" ref="BL33">BC33+AV33+P33+BJ33</f>
        <v>-1537626</v>
      </c>
      <c r="BM33" s="500">
        <v>4806643</v>
      </c>
      <c r="BN33" s="500" cm="1">
        <f t="array" ref="BN33">B33-C33</f>
        <v>4546970</v>
      </c>
      <c r="BO33" s="500" cm="1">
        <f t="array" ref="BO33">BL33+'net worth - Table 1-2'!E32</f>
        <v>-1714694.11911821</v>
      </c>
      <c r="BP33" s="500">
        <v>4806643</v>
      </c>
      <c r="BQ33" s="500" cm="1">
        <f t="array" ref="BQ33">B33+'net worth - Table 1-2'!C32-'net worth - Table 1-2'!B32-C33</f>
        <v>3067828.67761158</v>
      </c>
      <c r="BR33" s="500" cm="1">
        <f t="array" ref="BR33">(BF33+AY33)*0.85+('net worth - Table 1-2-1'!D32)+E33+'net worth - Table 1-2'!C32</f>
        <v>21372367.6559388</v>
      </c>
    </row>
    <row r="34" ht="8.75" customHeight="1" hidden="1">
      <c r="A34" s="400">
        <v>43831</v>
      </c>
      <c r="B34" s="517" cm="1">
        <f t="array" ref="B34">E34+AH34</f>
        <v>30888646</v>
      </c>
      <c r="C34" s="500" cm="1">
        <f t="array" ref="C34">F34+AL34</f>
        <v>24262003</v>
      </c>
      <c r="D34" s="536"/>
      <c r="E34" s="500">
        <v>14574351</v>
      </c>
      <c r="F34" s="500">
        <v>10600000</v>
      </c>
      <c r="G34" s="500">
        <v>3974351</v>
      </c>
      <c r="H34" s="537">
        <v>0.374938773584906</v>
      </c>
      <c r="I34" s="500">
        <v>1163291</v>
      </c>
      <c r="J34" s="538">
        <v>0.08674116736484661</v>
      </c>
      <c r="K34" s="500"/>
      <c r="L34" s="500">
        <v>14574351</v>
      </c>
      <c r="M34" s="500">
        <v>10600000</v>
      </c>
      <c r="N34" s="500">
        <v>3974351</v>
      </c>
      <c r="O34" s="537">
        <v>0.374938773584906</v>
      </c>
      <c r="P34" s="500">
        <v>1163291</v>
      </c>
      <c r="Q34" s="543" cm="1">
        <f t="array" ref="Q34">P34/L33</f>
        <v>0.08674116736484661</v>
      </c>
      <c r="R34" s="500"/>
      <c r="S34" s="500"/>
      <c r="T34" s="500"/>
      <c r="U34" s="500"/>
      <c r="V34" s="500"/>
      <c r="W34" s="500"/>
      <c r="X34" s="543"/>
      <c r="Y34" s="539"/>
      <c r="Z34" s="500"/>
      <c r="AA34" s="500"/>
      <c r="AB34" s="500"/>
      <c r="AC34" s="500"/>
      <c r="AD34" s="500"/>
      <c r="AE34" s="500"/>
      <c r="AF34" s="500"/>
      <c r="AG34" s="539"/>
      <c r="AH34" s="500">
        <v>16314295</v>
      </c>
      <c r="AI34" s="500">
        <v>15031444</v>
      </c>
      <c r="AJ34" s="500">
        <v>1282851</v>
      </c>
      <c r="AK34" s="500">
        <v>12379152</v>
      </c>
      <c r="AL34" s="500">
        <v>13662003</v>
      </c>
      <c r="AM34" s="500">
        <v>2652292</v>
      </c>
      <c r="AN34" s="537">
        <v>0.214254740550887</v>
      </c>
      <c r="AO34" s="500">
        <v>916382</v>
      </c>
      <c r="AP34" s="538">
        <v>0.06492227947705791</v>
      </c>
      <c r="AQ34" s="538"/>
      <c r="AR34" s="500">
        <v>6306015</v>
      </c>
      <c r="AS34" s="500">
        <v>5330801</v>
      </c>
      <c r="AT34" s="500">
        <v>975214</v>
      </c>
      <c r="AU34" s="537">
        <v>0.18293948695515</v>
      </c>
      <c r="AV34" s="500">
        <v>221798</v>
      </c>
      <c r="AW34" s="538">
        <v>0.0364546497930629</v>
      </c>
      <c r="AX34" s="500"/>
      <c r="AY34" s="500">
        <v>6011921</v>
      </c>
      <c r="AZ34" s="500">
        <v>4548351</v>
      </c>
      <c r="BA34" s="500">
        <v>1463570</v>
      </c>
      <c r="BB34" s="537">
        <v>0.321780355122109</v>
      </c>
      <c r="BC34" s="500">
        <v>481076</v>
      </c>
      <c r="BD34" s="538">
        <v>0.0869805608365449</v>
      </c>
      <c r="BE34" s="538"/>
      <c r="BF34" s="500">
        <v>2713508</v>
      </c>
      <c r="BG34" s="500">
        <v>2500000</v>
      </c>
      <c r="BH34" s="500">
        <v>213508</v>
      </c>
      <c r="BI34" s="544">
        <v>0.0854032</v>
      </c>
      <c r="BJ34" s="500">
        <v>213508</v>
      </c>
      <c r="BK34" s="538">
        <v>0.0854032</v>
      </c>
      <c r="BL34" s="500" cm="1">
        <f t="array" ref="BL34">BC34+AV34+P34+BJ34</f>
        <v>2079673</v>
      </c>
      <c r="BM34" s="500" cm="1">
        <f t="array" ref="BM34">SUM(BL$34:BL34)</f>
        <v>2079673</v>
      </c>
      <c r="BN34" s="500" cm="1">
        <f t="array" ref="BN34">B34-C34</f>
        <v>6626643</v>
      </c>
      <c r="BO34" s="500" cm="1">
        <f t="array" ref="BO34">BL34+'net worth - Table 1-2'!E33</f>
        <v>2510686.42698877</v>
      </c>
      <c r="BP34" s="500" cm="1">
        <f t="array" ref="BP34">SUM(BO$34:BO34)</f>
        <v>2510686.42698877</v>
      </c>
      <c r="BQ34" s="500" cm="1">
        <f t="array" ref="BQ34">B34+'net worth - Table 1-2'!C33-'net worth - Table 1-2'!B33-C34</f>
        <v>5578515.10460034</v>
      </c>
      <c r="BR34" s="500" cm="1">
        <f t="array" ref="BR34">(BF34+AY34)*0.85+('net worth - Table 1-2-1'!D33)+E34+'net worth - Table 1-2'!C33</f>
        <v>23557068.4829276</v>
      </c>
    </row>
    <row r="35" ht="8.75" customHeight="1" hidden="1">
      <c r="A35" s="400">
        <v>43862</v>
      </c>
      <c r="B35" s="517">
        <v>29372300</v>
      </c>
      <c r="C35" s="500">
        <v>24520297</v>
      </c>
      <c r="D35" s="536"/>
      <c r="E35" s="500">
        <v>13559687</v>
      </c>
      <c r="F35" s="500">
        <v>10600000</v>
      </c>
      <c r="G35" s="500">
        <v>2959687</v>
      </c>
      <c r="H35" s="537">
        <v>0.279215754716981</v>
      </c>
      <c r="I35" s="500">
        <v>-1014664</v>
      </c>
      <c r="J35" s="538">
        <v>-0.0696198410481537</v>
      </c>
      <c r="K35" s="500"/>
      <c r="L35" s="500">
        <v>13559687</v>
      </c>
      <c r="M35" s="500">
        <v>10600000</v>
      </c>
      <c r="N35" s="500">
        <v>2959687</v>
      </c>
      <c r="O35" s="537">
        <v>0.279215754716981</v>
      </c>
      <c r="P35" s="500">
        <v>-1014664</v>
      </c>
      <c r="Q35" s="543" cm="1">
        <f t="array" ref="Q35">P35/L34</f>
        <v>-0.0696198410481537</v>
      </c>
      <c r="R35" s="500"/>
      <c r="S35" s="500"/>
      <c r="T35" s="500"/>
      <c r="U35" s="500"/>
      <c r="V35" s="500"/>
      <c r="W35" s="500"/>
      <c r="X35" s="543"/>
      <c r="Y35" s="539"/>
      <c r="Z35" s="500"/>
      <c r="AA35" s="500"/>
      <c r="AB35" s="500"/>
      <c r="AC35" s="500"/>
      <c r="AD35" s="500"/>
      <c r="AE35" s="500"/>
      <c r="AF35" s="500"/>
      <c r="AG35" s="539"/>
      <c r="AH35" s="500">
        <v>15812613</v>
      </c>
      <c r="AI35" s="500">
        <v>14489683</v>
      </c>
      <c r="AJ35" s="500">
        <v>1322930</v>
      </c>
      <c r="AK35" s="500">
        <v>12597367</v>
      </c>
      <c r="AL35" s="500">
        <v>13920297</v>
      </c>
      <c r="AM35" s="500">
        <v>1892316</v>
      </c>
      <c r="AN35" s="537">
        <v>0.150215199731817</v>
      </c>
      <c r="AO35" s="500">
        <v>-759976</v>
      </c>
      <c r="AP35" s="538">
        <v>-0.0498356061601115</v>
      </c>
      <c r="AQ35" s="538"/>
      <c r="AR35" s="500">
        <v>6418492</v>
      </c>
      <c r="AS35" s="500">
        <v>5549016</v>
      </c>
      <c r="AT35" s="500">
        <v>869476</v>
      </c>
      <c r="AU35" s="537">
        <v>0.156690123077677</v>
      </c>
      <c r="AV35" s="500">
        <v>-105738</v>
      </c>
      <c r="AW35" s="538">
        <v>-0.0162069700179178</v>
      </c>
      <c r="AX35" s="500"/>
      <c r="AY35" s="500">
        <v>5561143</v>
      </c>
      <c r="AZ35" s="500">
        <v>4548351</v>
      </c>
      <c r="BA35" s="500">
        <v>1012792</v>
      </c>
      <c r="BB35" s="537">
        <v>0.222672348725945</v>
      </c>
      <c r="BC35" s="500">
        <v>-450778</v>
      </c>
      <c r="BD35" s="538">
        <v>-0.07498069252739679</v>
      </c>
      <c r="BE35" s="538"/>
      <c r="BF35" s="500">
        <v>2510048</v>
      </c>
      <c r="BG35" s="500">
        <v>2500000</v>
      </c>
      <c r="BH35" s="500">
        <v>10048</v>
      </c>
      <c r="BI35" s="544">
        <v>0.0040192</v>
      </c>
      <c r="BJ35" s="500">
        <v>-203460</v>
      </c>
      <c r="BK35" s="538">
        <v>-0.0749804312351392</v>
      </c>
      <c r="BL35" s="500">
        <v>-1774640</v>
      </c>
      <c r="BM35" s="500">
        <v>305033</v>
      </c>
      <c r="BN35" s="500">
        <v>4852003</v>
      </c>
      <c r="BO35" s="500" cm="1">
        <f t="array" ref="BO35">BL35+'net worth - Table 1-2'!E34</f>
        <v>-1580467.09704588</v>
      </c>
      <c r="BP35" s="500">
        <v>305033</v>
      </c>
      <c r="BQ35" s="500" cm="1">
        <f t="array" ref="BQ35">B35+'net worth - Table 1-2'!C34-'net worth - Table 1-2'!B34-C35</f>
        <v>3998048.00755446</v>
      </c>
      <c r="BR35" s="500" cm="1">
        <f t="array" ref="BR35">(BF35+AY35)*0.85+('net worth - Table 1-2-1'!D34)+E35+'net worth - Table 1-2'!C34</f>
        <v>22180475.0858817</v>
      </c>
    </row>
    <row r="36" ht="8.75" customHeight="1" hidden="1">
      <c r="A36" s="400">
        <v>43891</v>
      </c>
      <c r="B36" s="517">
        <v>27032835</v>
      </c>
      <c r="C36" s="500">
        <v>25177265</v>
      </c>
      <c r="D36" s="536"/>
      <c r="E36" s="500">
        <v>12412477</v>
      </c>
      <c r="F36" s="500">
        <v>10600000</v>
      </c>
      <c r="G36" s="500">
        <v>1812477</v>
      </c>
      <c r="H36" s="537">
        <v>0.170988396226415</v>
      </c>
      <c r="I36" s="500">
        <v>-1147210</v>
      </c>
      <c r="J36" s="538">
        <v>-0.0846044602651964</v>
      </c>
      <c r="K36" s="500"/>
      <c r="L36" s="500">
        <v>12412477</v>
      </c>
      <c r="M36" s="500">
        <v>10600000</v>
      </c>
      <c r="N36" s="500">
        <v>1812477</v>
      </c>
      <c r="O36" s="537">
        <v>0.170988396226415</v>
      </c>
      <c r="P36" s="500">
        <v>-1147210</v>
      </c>
      <c r="Q36" s="543" cm="1">
        <f t="array" ref="Q36">P36/L35</f>
        <v>-0.0846044602651964</v>
      </c>
      <c r="R36" s="500"/>
      <c r="S36" s="500"/>
      <c r="T36" s="500"/>
      <c r="U36" s="500"/>
      <c r="V36" s="500"/>
      <c r="W36" s="500"/>
      <c r="X36" s="543"/>
      <c r="Y36" s="539"/>
      <c r="Z36" s="500"/>
      <c r="AA36" s="500"/>
      <c r="AB36" s="500"/>
      <c r="AC36" s="500"/>
      <c r="AD36" s="500"/>
      <c r="AE36" s="500"/>
      <c r="AF36" s="500"/>
      <c r="AG36" s="539"/>
      <c r="AH36" s="500">
        <v>14620358</v>
      </c>
      <c r="AI36" s="500">
        <v>13258675</v>
      </c>
      <c r="AJ36" s="500">
        <v>1361683</v>
      </c>
      <c r="AK36" s="500">
        <v>13215582</v>
      </c>
      <c r="AL36" s="500">
        <v>14577265</v>
      </c>
      <c r="AM36" s="500">
        <v>43093</v>
      </c>
      <c r="AN36" s="537">
        <v>0.00326077201896973</v>
      </c>
      <c r="AO36" s="500">
        <v>-1849223</v>
      </c>
      <c r="AP36" s="538">
        <v>-0.122401077899785</v>
      </c>
      <c r="AQ36" s="538"/>
      <c r="AR36" s="500">
        <v>5515029</v>
      </c>
      <c r="AS36" s="500">
        <v>5767231</v>
      </c>
      <c r="AT36" s="500">
        <v>-252202</v>
      </c>
      <c r="AU36" s="537">
        <v>-0.0437301713768705</v>
      </c>
      <c r="AV36" s="500">
        <v>-1121678</v>
      </c>
      <c r="AW36" s="538">
        <v>-0.169011228008107</v>
      </c>
      <c r="AX36" s="500"/>
      <c r="AY36" s="500">
        <v>5444992</v>
      </c>
      <c r="AZ36" s="500">
        <v>4948351</v>
      </c>
      <c r="BA36" s="500">
        <v>496641</v>
      </c>
      <c r="BB36" s="537">
        <v>0.100364949859054</v>
      </c>
      <c r="BC36" s="500">
        <v>-516151</v>
      </c>
      <c r="BD36" s="538">
        <v>-0.0865859114602686</v>
      </c>
      <c r="BE36" s="538"/>
      <c r="BF36" s="500">
        <v>2298654</v>
      </c>
      <c r="BG36" s="500">
        <v>2500000</v>
      </c>
      <c r="BH36" s="500">
        <v>-201346</v>
      </c>
      <c r="BI36" s="544">
        <v>-0.0805384</v>
      </c>
      <c r="BJ36" s="500">
        <v>-211394</v>
      </c>
      <c r="BK36" s="538">
        <v>-0.0842191065668864</v>
      </c>
      <c r="BL36" s="500">
        <v>-2996433</v>
      </c>
      <c r="BM36" s="500">
        <v>-2691400</v>
      </c>
      <c r="BN36" s="500">
        <v>1855570</v>
      </c>
      <c r="BO36" s="500" cm="1">
        <f t="array" ref="BO36">BL36+'net worth - Table 1-2'!E35</f>
        <v>-3552796.77762695</v>
      </c>
      <c r="BP36" s="500">
        <v>-2691400</v>
      </c>
      <c r="BQ36" s="500" cm="1">
        <f t="array" ref="BQ36">B36+'net worth - Table 1-2'!C35-'net worth - Table 1-2'!B35-C36</f>
        <v>445251.22992751</v>
      </c>
      <c r="BR36" s="500" cm="1">
        <f t="array" ref="BR36">(BF36+AY36)*0.85+('net worth - Table 1-2-1'!D35)+E36+'net worth - Table 1-2'!C35</f>
        <v>20198488.0582548</v>
      </c>
    </row>
    <row r="37" ht="8.75" customHeight="1" hidden="1">
      <c r="A37" s="400">
        <v>43922</v>
      </c>
      <c r="B37" s="517" cm="1">
        <f t="array" ref="B37">E37+AH37</f>
        <v>30520633</v>
      </c>
      <c r="C37" s="500" cm="1">
        <f t="array" ref="C37">F37+AL37</f>
        <v>25838791</v>
      </c>
      <c r="D37" s="536"/>
      <c r="E37" s="500">
        <v>13839283</v>
      </c>
      <c r="F37" s="500">
        <v>10600000</v>
      </c>
      <c r="G37" s="500">
        <v>3239283</v>
      </c>
      <c r="H37" s="537">
        <v>0.305592735849057</v>
      </c>
      <c r="I37" s="500">
        <v>1426806</v>
      </c>
      <c r="J37" s="538">
        <v>0.114949336864834</v>
      </c>
      <c r="K37" s="500"/>
      <c r="L37" s="500">
        <v>13839283</v>
      </c>
      <c r="M37" s="500">
        <v>10600000</v>
      </c>
      <c r="N37" s="500">
        <v>3239283</v>
      </c>
      <c r="O37" s="537">
        <v>0.305592735849057</v>
      </c>
      <c r="P37" s="500">
        <v>1426806</v>
      </c>
      <c r="Q37" s="543" cm="1">
        <f t="array" ref="Q37">P37/L36</f>
        <v>0.114949336864834</v>
      </c>
      <c r="R37" s="500"/>
      <c r="S37" s="500"/>
      <c r="T37" s="500"/>
      <c r="U37" s="500"/>
      <c r="V37" s="500"/>
      <c r="W37" s="500"/>
      <c r="X37" s="543"/>
      <c r="Y37" s="539"/>
      <c r="Z37" s="500"/>
      <c r="AA37" s="500"/>
      <c r="AB37" s="500"/>
      <c r="AC37" s="500"/>
      <c r="AD37" s="500"/>
      <c r="AE37" s="500"/>
      <c r="AF37" s="500"/>
      <c r="AG37" s="539"/>
      <c r="AH37" s="500">
        <v>16681350</v>
      </c>
      <c r="AI37" s="500">
        <v>15275333</v>
      </c>
      <c r="AJ37" s="500">
        <v>1406017</v>
      </c>
      <c r="AK37" s="500">
        <v>13832774</v>
      </c>
      <c r="AL37" s="500">
        <v>15238791</v>
      </c>
      <c r="AM37" s="500">
        <v>1442559</v>
      </c>
      <c r="AN37" s="537">
        <v>0.104285590149886</v>
      </c>
      <c r="AO37" s="500">
        <v>1399466</v>
      </c>
      <c r="AP37" s="538">
        <v>0.100856112270318</v>
      </c>
      <c r="AQ37" s="538"/>
      <c r="AR37" s="500">
        <v>5946335</v>
      </c>
      <c r="AS37" s="500">
        <v>5784423</v>
      </c>
      <c r="AT37" s="500">
        <v>161912</v>
      </c>
      <c r="AU37" s="537">
        <v>0.027991037308302</v>
      </c>
      <c r="AV37" s="500">
        <v>414114</v>
      </c>
      <c r="AW37" s="538">
        <v>0.0748549271621651</v>
      </c>
      <c r="AX37" s="500"/>
      <c r="AY37" s="500">
        <v>6764693</v>
      </c>
      <c r="AZ37" s="500">
        <v>5548351</v>
      </c>
      <c r="BA37" s="500">
        <v>1216342</v>
      </c>
      <c r="BB37" s="537">
        <v>0.219225856475194</v>
      </c>
      <c r="BC37" s="500">
        <v>719701</v>
      </c>
      <c r="BD37" s="538">
        <v>0.119057394947752</v>
      </c>
      <c r="BE37" s="538"/>
      <c r="BF37" s="500">
        <v>2564305</v>
      </c>
      <c r="BG37" s="500">
        <v>2500000</v>
      </c>
      <c r="BH37" s="500">
        <v>64305</v>
      </c>
      <c r="BI37" s="544">
        <v>0.025722</v>
      </c>
      <c r="BJ37" s="500">
        <v>265651</v>
      </c>
      <c r="BK37" s="538">
        <v>0.115568067225428</v>
      </c>
      <c r="BL37" s="500" cm="1">
        <f t="array" ref="BL37">BC37+AV37+P37+BJ37</f>
        <v>2826272</v>
      </c>
      <c r="BM37" s="500" cm="1">
        <f t="array" ref="BM37">SUM(BL$34:BL37)</f>
        <v>134872</v>
      </c>
      <c r="BN37" s="500" cm="1">
        <f t="array" ref="BN37">B37-C37</f>
        <v>4681842</v>
      </c>
      <c r="BO37" s="500" cm="1">
        <f t="array" ref="BO37">BL37+'net worth - Table 1-2'!E36</f>
        <v>3335098.84247757</v>
      </c>
      <c r="BP37" s="500" cm="1">
        <f t="array" ref="BP37">SUM(BO$34:BO37)</f>
        <v>712521.39479351</v>
      </c>
      <c r="BQ37" s="500" cm="1">
        <f t="array" ref="BQ37">B37+'net worth - Table 1-2'!C36-'net worth - Table 1-2'!B36-C37</f>
        <v>3780350.07240508</v>
      </c>
      <c r="BR37" s="500" cm="1">
        <f t="array" ref="BR37">(BF37+AY37)*0.85+('net worth - Table 1-2-1'!D36)+E37+'net worth - Table 1-2'!C36</f>
        <v>23481670.1007323</v>
      </c>
    </row>
    <row r="38" ht="8.75" customHeight="1" hidden="1">
      <c r="A38" s="400">
        <v>43952</v>
      </c>
      <c r="B38" s="517" cm="1">
        <f t="array" ref="B38">E38+AH38</f>
        <v>31171252</v>
      </c>
      <c r="C38" s="500" cm="1">
        <f t="array" ref="C38">F38+AL38</f>
        <v>26256964</v>
      </c>
      <c r="D38" s="536"/>
      <c r="E38" s="500">
        <v>13939112</v>
      </c>
      <c r="F38" s="500">
        <v>10600000</v>
      </c>
      <c r="G38" s="500">
        <v>3339112</v>
      </c>
      <c r="H38" s="537">
        <v>0.315010566037736</v>
      </c>
      <c r="I38" s="500">
        <v>99829</v>
      </c>
      <c r="J38" s="538">
        <v>0.00721345173734795</v>
      </c>
      <c r="K38" s="500"/>
      <c r="L38" s="500">
        <v>13939112</v>
      </c>
      <c r="M38" s="500">
        <v>10600000</v>
      </c>
      <c r="N38" s="500">
        <v>3339112</v>
      </c>
      <c r="O38" s="537">
        <v>0.315010566037736</v>
      </c>
      <c r="P38" s="500">
        <v>99829</v>
      </c>
      <c r="Q38" s="543" cm="1">
        <f t="array" ref="Q38">P38/L37</f>
        <v>0.00721345173734795</v>
      </c>
      <c r="R38" s="500"/>
      <c r="S38" s="500"/>
      <c r="T38" s="500"/>
      <c r="U38" s="500"/>
      <c r="V38" s="500"/>
      <c r="W38" s="500"/>
      <c r="X38" s="543"/>
      <c r="Y38" s="539"/>
      <c r="Z38" s="500"/>
      <c r="AA38" s="500"/>
      <c r="AB38" s="500"/>
      <c r="AC38" s="500"/>
      <c r="AD38" s="500"/>
      <c r="AE38" s="500"/>
      <c r="AF38" s="500"/>
      <c r="AG38" s="539"/>
      <c r="AH38" s="500">
        <v>17232140</v>
      </c>
      <c r="AI38" s="500">
        <v>15807950</v>
      </c>
      <c r="AJ38" s="500">
        <v>1424190</v>
      </c>
      <c r="AK38" s="500">
        <v>14232774</v>
      </c>
      <c r="AL38" s="500">
        <v>15656964</v>
      </c>
      <c r="AM38" s="500">
        <v>1575176</v>
      </c>
      <c r="AN38" s="537">
        <v>0.110672452186763</v>
      </c>
      <c r="AO38" s="500">
        <v>132617</v>
      </c>
      <c r="AP38" s="538">
        <v>0.008460234943653191</v>
      </c>
      <c r="AQ38" s="538"/>
      <c r="AR38" s="500">
        <v>5991474</v>
      </c>
      <c r="AS38" s="500">
        <v>5784423</v>
      </c>
      <c r="AT38" s="500">
        <v>207051</v>
      </c>
      <c r="AU38" s="537">
        <v>0.0357945814128739</v>
      </c>
      <c r="AV38" s="500">
        <v>45139</v>
      </c>
      <c r="AW38" s="538">
        <v>0.00759106239389473</v>
      </c>
      <c r="AX38" s="500"/>
      <c r="AY38" s="500">
        <v>7232092</v>
      </c>
      <c r="AZ38" s="500">
        <v>5948351</v>
      </c>
      <c r="BA38" s="500">
        <v>1283741</v>
      </c>
      <c r="BB38" s="537">
        <v>0.215814601391209</v>
      </c>
      <c r="BC38" s="500">
        <v>67399</v>
      </c>
      <c r="BD38" s="538">
        <v>0.009407102300126469</v>
      </c>
      <c r="BE38" s="538"/>
      <c r="BF38" s="500">
        <v>2584384</v>
      </c>
      <c r="BG38" s="500">
        <v>2500000</v>
      </c>
      <c r="BH38" s="500">
        <v>84384</v>
      </c>
      <c r="BI38" s="544">
        <v>0.0337536</v>
      </c>
      <c r="BJ38" s="500">
        <v>20079</v>
      </c>
      <c r="BK38" s="538">
        <v>0.007830191806356889</v>
      </c>
      <c r="BL38" s="500">
        <v>232446</v>
      </c>
      <c r="BM38" s="500">
        <v>367318</v>
      </c>
      <c r="BN38" s="500">
        <v>4914288</v>
      </c>
      <c r="BO38" s="500">
        <v>332104.77200145</v>
      </c>
      <c r="BP38" s="500">
        <v>367318</v>
      </c>
      <c r="BQ38" s="500" cm="1">
        <f t="array" ref="BQ38">B38+'net worth - Table 1-2'!C37-'net worth - Table 1-2'!B37-C38</f>
        <v>4112454.84440653</v>
      </c>
      <c r="BR38" s="500" cm="1">
        <f t="array" ref="BR38">(BF38+AY38)*0.85+('net worth - Table 1-2-1'!D37)+E38+'net worth - Table 1-2'!C37</f>
        <v>24095514.1727338</v>
      </c>
    </row>
    <row r="39" ht="8.75" customHeight="1" hidden="1">
      <c r="A39" s="400">
        <v>43983</v>
      </c>
      <c r="B39" s="517" cm="1">
        <f t="array" ref="B39">E39+AH39</f>
        <v>32824782</v>
      </c>
      <c r="C39" s="500" cm="1">
        <f t="array" ref="C39">F39+AL39</f>
        <v>26265865</v>
      </c>
      <c r="D39" s="536"/>
      <c r="E39" s="500">
        <v>14721044</v>
      </c>
      <c r="F39" s="500">
        <v>10600000</v>
      </c>
      <c r="G39" s="500">
        <v>4121044</v>
      </c>
      <c r="H39" s="537">
        <v>0.388777735849057</v>
      </c>
      <c r="I39" s="500">
        <v>781932</v>
      </c>
      <c r="J39" s="538">
        <v>0.0560962563468892</v>
      </c>
      <c r="K39" s="500"/>
      <c r="L39" s="500">
        <v>14721044</v>
      </c>
      <c r="M39" s="500">
        <v>10600000</v>
      </c>
      <c r="N39" s="500">
        <v>4121044</v>
      </c>
      <c r="O39" s="537">
        <v>0.388777735849057</v>
      </c>
      <c r="P39" s="500">
        <v>781932</v>
      </c>
      <c r="Q39" s="543" cm="1">
        <f t="array" ref="Q39">P39/L38</f>
        <v>0.0560962563468892</v>
      </c>
      <c r="R39" s="500"/>
      <c r="S39" s="500"/>
      <c r="T39" s="500"/>
      <c r="U39" s="500"/>
      <c r="V39" s="500"/>
      <c r="W39" s="500"/>
      <c r="X39" s="543"/>
      <c r="Y39" s="539"/>
      <c r="Z39" s="500"/>
      <c r="AA39" s="500"/>
      <c r="AB39" s="500"/>
      <c r="AC39" s="500"/>
      <c r="AD39" s="500"/>
      <c r="AE39" s="500"/>
      <c r="AF39" s="500"/>
      <c r="AG39" s="539"/>
      <c r="AH39" s="500">
        <v>18103738</v>
      </c>
      <c r="AI39" s="500">
        <v>16670647</v>
      </c>
      <c r="AJ39" s="500">
        <v>1433091</v>
      </c>
      <c r="AK39" s="500">
        <v>14232774</v>
      </c>
      <c r="AL39" s="500">
        <v>15665865</v>
      </c>
      <c r="AM39" s="500">
        <v>2437873</v>
      </c>
      <c r="AN39" s="537">
        <v>0.171285864582688</v>
      </c>
      <c r="AO39" s="500">
        <v>862697</v>
      </c>
      <c r="AP39" s="538">
        <v>0.0545736164398293</v>
      </c>
      <c r="AQ39" s="538"/>
      <c r="AR39" s="500">
        <v>6297554</v>
      </c>
      <c r="AS39" s="500">
        <v>5784423</v>
      </c>
      <c r="AT39" s="500">
        <v>513131</v>
      </c>
      <c r="AU39" s="537">
        <v>0.08870910720049351</v>
      </c>
      <c r="AV39" s="500">
        <v>306080</v>
      </c>
      <c r="AW39" s="538">
        <v>0.0510859264347972</v>
      </c>
      <c r="AX39" s="500"/>
      <c r="AY39" s="500">
        <v>7642169</v>
      </c>
      <c r="AZ39" s="500">
        <v>5948351</v>
      </c>
      <c r="BA39" s="500">
        <v>1693818</v>
      </c>
      <c r="BB39" s="537">
        <v>0.284754211713465</v>
      </c>
      <c r="BC39" s="500">
        <v>410077</v>
      </c>
      <c r="BD39" s="538">
        <v>0.0567024036751745</v>
      </c>
      <c r="BE39" s="538"/>
      <c r="BF39" s="500">
        <v>2730924</v>
      </c>
      <c r="BG39" s="500">
        <v>2500000</v>
      </c>
      <c r="BH39" s="500">
        <v>230924</v>
      </c>
      <c r="BI39" s="544">
        <v>0.0923696</v>
      </c>
      <c r="BJ39" s="500">
        <v>146540</v>
      </c>
      <c r="BK39" s="538">
        <v>0.0567020999975236</v>
      </c>
      <c r="BL39" s="500" cm="1">
        <f t="array" ref="BL39">BC39+AV39+P39+BJ39</f>
        <v>1644629</v>
      </c>
      <c r="BM39" s="500" cm="1">
        <f t="array" ref="BM39">SUM(BL$34:BL39)</f>
        <v>2011947</v>
      </c>
      <c r="BN39" s="500" cm="1">
        <f t="array" ref="BN39">B39-C39</f>
        <v>6558917</v>
      </c>
      <c r="BO39" s="500" cm="1">
        <f t="array" ref="BO39">BL39+'net worth - Table 1-2'!E38</f>
        <v>1650130.24107156</v>
      </c>
      <c r="BP39" s="500" cm="1">
        <f t="array" ref="BP39">SUM(BO$34:BO39)</f>
        <v>2694756.40786652</v>
      </c>
      <c r="BQ39" s="500" cm="1">
        <f t="array" ref="BQ39">B39+'net worth - Table 1-2'!C38-'net worth - Table 1-2'!B38-C39</f>
        <v>5762585.08547809</v>
      </c>
      <c r="BR39" s="500" cm="1">
        <f t="array" ref="BR39">(BF39+AY39)*0.85+('net worth - Table 1-2-1'!D38)+E39+'net worth - Table 1-2'!C38</f>
        <v>25356071.8638054</v>
      </c>
    </row>
    <row r="40" ht="8.75" customHeight="1" hidden="1">
      <c r="A40" s="400">
        <v>44013</v>
      </c>
      <c r="B40" s="517" cm="1">
        <f t="array" ref="B40">E40+AH40</f>
        <v>32084818</v>
      </c>
      <c r="C40" s="500" cm="1">
        <f t="array" ref="C40">F40+AL40</f>
        <v>26252777</v>
      </c>
      <c r="D40" s="536"/>
      <c r="E40" s="500">
        <v>14242037</v>
      </c>
      <c r="F40" s="500">
        <v>10600000</v>
      </c>
      <c r="G40" s="500">
        <v>3642037</v>
      </c>
      <c r="H40" s="537">
        <v>0.343588396226415</v>
      </c>
      <c r="I40" s="500">
        <v>-479007</v>
      </c>
      <c r="J40" s="538">
        <v>-0.0325389286248992</v>
      </c>
      <c r="K40" s="500"/>
      <c r="L40" s="500">
        <v>14242037</v>
      </c>
      <c r="M40" s="500">
        <v>10600000</v>
      </c>
      <c r="N40" s="500">
        <v>3642037</v>
      </c>
      <c r="O40" s="537">
        <v>0.343588396226415</v>
      </c>
      <c r="P40" s="500">
        <v>-479007</v>
      </c>
      <c r="Q40" s="543" cm="1">
        <f t="array" ref="Q40">P40/L39</f>
        <v>-0.0325389286248992</v>
      </c>
      <c r="R40" s="500"/>
      <c r="S40" s="500"/>
      <c r="T40" s="500"/>
      <c r="U40" s="500"/>
      <c r="V40" s="500"/>
      <c r="W40" s="500"/>
      <c r="X40" s="543"/>
      <c r="Y40" s="539"/>
      <c r="Z40" s="500"/>
      <c r="AA40" s="500"/>
      <c r="AB40" s="500"/>
      <c r="AC40" s="500"/>
      <c r="AD40" s="500"/>
      <c r="AE40" s="500"/>
      <c r="AF40" s="500"/>
      <c r="AG40" s="539"/>
      <c r="AH40" s="500">
        <v>17842781</v>
      </c>
      <c r="AI40" s="500">
        <v>16422778</v>
      </c>
      <c r="AJ40" s="500">
        <v>1420003</v>
      </c>
      <c r="AK40" s="500">
        <v>14232774</v>
      </c>
      <c r="AL40" s="500">
        <v>15652777</v>
      </c>
      <c r="AM40" s="500">
        <v>2190004</v>
      </c>
      <c r="AN40" s="537">
        <v>0.153870496362831</v>
      </c>
      <c r="AO40" s="500">
        <v>-247869</v>
      </c>
      <c r="AP40" s="538">
        <v>-0.0148685890835551</v>
      </c>
      <c r="AQ40" s="538"/>
      <c r="AR40" s="500">
        <v>6381454</v>
      </c>
      <c r="AS40" s="500">
        <v>5784423</v>
      </c>
      <c r="AT40" s="500">
        <v>597031</v>
      </c>
      <c r="AU40" s="537">
        <v>0.103213578951608</v>
      </c>
      <c r="AV40" s="500">
        <v>83900</v>
      </c>
      <c r="AW40" s="538">
        <v>0.0133226328825446</v>
      </c>
      <c r="AX40" s="500"/>
      <c r="AY40" s="500">
        <v>7397745</v>
      </c>
      <c r="AZ40" s="500">
        <v>5948351</v>
      </c>
      <c r="BA40" s="500">
        <v>1449394</v>
      </c>
      <c r="BB40" s="537">
        <v>0.243663159756376</v>
      </c>
      <c r="BC40" s="500">
        <v>-244424</v>
      </c>
      <c r="BD40" s="538">
        <v>-0.031983589999122</v>
      </c>
      <c r="BE40" s="538"/>
      <c r="BF40" s="500">
        <v>2643579</v>
      </c>
      <c r="BG40" s="500">
        <v>2500000</v>
      </c>
      <c r="BH40" s="500">
        <v>143579</v>
      </c>
      <c r="BI40" s="544">
        <v>0.0574316</v>
      </c>
      <c r="BJ40" s="500">
        <v>-87345</v>
      </c>
      <c r="BK40" s="538">
        <v>-0.0319836802488828</v>
      </c>
      <c r="BL40" s="500" cm="1">
        <f t="array" ref="BL40">BC40+AV40+P40+BJ40</f>
        <v>-726876</v>
      </c>
      <c r="BM40" s="500" cm="1">
        <f t="array" ref="BM40">SUM(BL$34:BL40)</f>
        <v>1285071</v>
      </c>
      <c r="BN40" s="500" cm="1">
        <f t="array" ref="BN40">B40-C40</f>
        <v>5832041</v>
      </c>
      <c r="BO40" s="500" cm="1">
        <f t="array" ref="BO40">BL40+'net worth - Table 1-2'!E39</f>
        <v>-210424.69626754</v>
      </c>
      <c r="BP40" s="500" cm="1">
        <f t="array" ref="BP40">SUM(BO$34:BO40)</f>
        <v>2484331.71159898</v>
      </c>
      <c r="BQ40" s="500" cm="1">
        <f t="array" ref="BQ40">B40+'net worth - Table 1-2'!C39-'net worth - Table 1-2'!B39-C40</f>
        <v>5552160.38921055</v>
      </c>
      <c r="BR40" s="500" cm="1">
        <f t="array" ref="BR40">(BF40+AY40)*0.85+('net worth - Table 1-2-1'!D39)+E40+'net worth - Table 1-2'!C39</f>
        <v>25111512.5175378</v>
      </c>
    </row>
    <row r="41" ht="8.75" customHeight="1" hidden="1">
      <c r="A41" s="400">
        <v>44044</v>
      </c>
      <c r="B41" s="517" cm="1">
        <f t="array" ref="B41">E41+AH41</f>
        <v>35669597</v>
      </c>
      <c r="C41" s="500" cm="1">
        <f t="array" ref="C41">F41+AL41</f>
        <v>26552809</v>
      </c>
      <c r="D41" s="536"/>
      <c r="E41" s="500">
        <v>16025314</v>
      </c>
      <c r="F41" s="500">
        <v>10600000</v>
      </c>
      <c r="G41" s="500">
        <v>5425314</v>
      </c>
      <c r="H41" s="537">
        <v>0.511822075471698</v>
      </c>
      <c r="I41" s="500">
        <v>1783277</v>
      </c>
      <c r="J41" s="538">
        <v>0.125212215078503</v>
      </c>
      <c r="K41" s="500"/>
      <c r="L41" s="500">
        <v>16025314</v>
      </c>
      <c r="M41" s="500">
        <v>10600000</v>
      </c>
      <c r="N41" s="500">
        <v>5425314</v>
      </c>
      <c r="O41" s="537">
        <v>0.511822075471698</v>
      </c>
      <c r="P41" s="500">
        <v>1783277</v>
      </c>
      <c r="Q41" s="543" cm="1">
        <f t="array" ref="Q41">P41/L40</f>
        <v>0.125212215078503</v>
      </c>
      <c r="R41" s="500"/>
      <c r="S41" s="500"/>
      <c r="T41" s="500"/>
      <c r="U41" s="500"/>
      <c r="V41" s="500"/>
      <c r="W41" s="500"/>
      <c r="X41" s="543"/>
      <c r="Y41" s="539"/>
      <c r="Z41" s="500"/>
      <c r="AA41" s="500"/>
      <c r="AB41" s="500"/>
      <c r="AC41" s="500"/>
      <c r="AD41" s="500"/>
      <c r="AE41" s="500"/>
      <c r="AF41" s="500"/>
      <c r="AG41" s="539"/>
      <c r="AH41" s="500">
        <v>19644283</v>
      </c>
      <c r="AI41" s="500">
        <v>18152118</v>
      </c>
      <c r="AJ41" s="500">
        <v>1492165</v>
      </c>
      <c r="AK41" s="500">
        <v>14460644</v>
      </c>
      <c r="AL41" s="500">
        <v>15952809</v>
      </c>
      <c r="AM41" s="500">
        <v>3691474</v>
      </c>
      <c r="AN41" s="537">
        <v>0.255277289171907</v>
      </c>
      <c r="AO41" s="500">
        <v>1501470</v>
      </c>
      <c r="AP41" s="538">
        <v>0.0901748688699683</v>
      </c>
      <c r="AQ41" s="538"/>
      <c r="AR41" s="500">
        <v>6846580</v>
      </c>
      <c r="AS41" s="500">
        <v>6012293</v>
      </c>
      <c r="AT41" s="500">
        <v>834287</v>
      </c>
      <c r="AU41" s="537">
        <v>0.138763529987644</v>
      </c>
      <c r="AV41" s="500">
        <v>237256</v>
      </c>
      <c r="AW41" s="538">
        <v>0.0358971658826228</v>
      </c>
      <c r="AX41" s="500"/>
      <c r="AY41" s="500">
        <v>8329129</v>
      </c>
      <c r="AZ41" s="500">
        <v>5948351</v>
      </c>
      <c r="BA41" s="500">
        <v>2380778</v>
      </c>
      <c r="BB41" s="537">
        <v>0.400241680425382</v>
      </c>
      <c r="BC41" s="500">
        <v>931384</v>
      </c>
      <c r="BD41" s="538">
        <v>0.12590106850128</v>
      </c>
      <c r="BE41" s="538"/>
      <c r="BF41" s="500">
        <v>2976409</v>
      </c>
      <c r="BG41" s="500">
        <v>2500000</v>
      </c>
      <c r="BH41" s="500">
        <v>476409</v>
      </c>
      <c r="BI41" s="544">
        <v>0.1905636</v>
      </c>
      <c r="BJ41" s="500">
        <v>332830</v>
      </c>
      <c r="BK41" s="538">
        <v>0.125901287610471</v>
      </c>
      <c r="BL41" s="500" cm="1">
        <f t="array" ref="BL41">BC41+AV41+P41+BJ41</f>
        <v>3284747</v>
      </c>
      <c r="BM41" s="500" cm="1">
        <f t="array" ref="BM41">SUM(BL$34:BL41)</f>
        <v>4569818</v>
      </c>
      <c r="BN41" s="500" cm="1">
        <f t="array" ref="BN41">B41-C41</f>
        <v>9116788</v>
      </c>
      <c r="BO41" s="500" cm="1">
        <f t="array" ref="BO41">BL41+'net worth - Table 1-2'!E40</f>
        <v>3757629.05325309</v>
      </c>
      <c r="BP41" s="500" cm="1">
        <f t="array" ref="BP41">SUM(BO$34:BO41)</f>
        <v>6241960.76485207</v>
      </c>
      <c r="BQ41" s="500" cm="1">
        <f t="array" ref="BQ41">B41+'net worth - Table 1-2'!C40-'net worth - Table 1-2'!B40-C41</f>
        <v>9309789.44246364</v>
      </c>
      <c r="BR41" s="500" cm="1">
        <f t="array" ref="BR41">(BF41+AY41)*0.85+('net worth - Table 1-2-1'!D40)+E41+'net worth - Table 1-2'!C40</f>
        <v>28442253.4707909</v>
      </c>
    </row>
    <row r="42" ht="8.75" customHeight="1" hidden="1">
      <c r="A42" s="400">
        <v>44075</v>
      </c>
      <c r="B42" s="517" cm="1">
        <f t="array" ref="B42">E42+AH42</f>
        <v>32534233</v>
      </c>
      <c r="C42" s="500" cm="1">
        <f t="array" ref="C42">F42+AL42</f>
        <v>24112471</v>
      </c>
      <c r="D42" s="536"/>
      <c r="E42" s="500">
        <v>12781177</v>
      </c>
      <c r="F42" s="500">
        <v>7600000</v>
      </c>
      <c r="G42" s="500">
        <v>5181177</v>
      </c>
      <c r="H42" s="537">
        <v>0.681733815789474</v>
      </c>
      <c r="I42" s="500">
        <v>-244137</v>
      </c>
      <c r="J42" s="538">
        <v>-0.0187432717552913</v>
      </c>
      <c r="K42" s="500"/>
      <c r="L42" s="500">
        <v>12781177</v>
      </c>
      <c r="M42" s="500">
        <v>7600000</v>
      </c>
      <c r="N42" s="500">
        <v>5181177</v>
      </c>
      <c r="O42" s="537">
        <v>0.681733815789474</v>
      </c>
      <c r="P42" s="500">
        <v>-244137</v>
      </c>
      <c r="Q42" s="543" cm="1">
        <f t="array" ref="Q42">P42/L41</f>
        <v>-0.015234459680478</v>
      </c>
      <c r="R42" s="500"/>
      <c r="S42" s="500"/>
      <c r="T42" s="500"/>
      <c r="U42" s="500"/>
      <c r="V42" s="500"/>
      <c r="W42" s="500"/>
      <c r="X42" s="543"/>
      <c r="Y42" s="539"/>
      <c r="Z42" s="500"/>
      <c r="AA42" s="500"/>
      <c r="AB42" s="500"/>
      <c r="AC42" s="500"/>
      <c r="AD42" s="500"/>
      <c r="AE42" s="500"/>
      <c r="AF42" s="500"/>
      <c r="AG42" s="539"/>
      <c r="AH42" s="500">
        <v>19753056</v>
      </c>
      <c r="AI42" s="500">
        <v>18231303</v>
      </c>
      <c r="AJ42" s="500">
        <v>1521753</v>
      </c>
      <c r="AK42" s="500">
        <v>14990718</v>
      </c>
      <c r="AL42" s="500">
        <v>16512471</v>
      </c>
      <c r="AM42" s="500">
        <v>3240585</v>
      </c>
      <c r="AN42" s="537">
        <v>0.216172767708658</v>
      </c>
      <c r="AO42" s="500">
        <v>-450889</v>
      </c>
      <c r="AP42" s="538">
        <v>-0.0241346946867905</v>
      </c>
      <c r="AQ42" s="538"/>
      <c r="AR42" s="500">
        <v>6875018</v>
      </c>
      <c r="AS42" s="500">
        <v>6240163</v>
      </c>
      <c r="AT42" s="500">
        <v>634855</v>
      </c>
      <c r="AU42" s="537">
        <v>0.101736925782227</v>
      </c>
      <c r="AV42" s="500">
        <v>-199432</v>
      </c>
      <c r="AW42" s="538">
        <v>-0.0281904600357625</v>
      </c>
      <c r="AX42" s="500"/>
      <c r="AY42" s="500">
        <v>8446077</v>
      </c>
      <c r="AZ42" s="500">
        <v>6250555</v>
      </c>
      <c r="BA42" s="500">
        <v>2195522</v>
      </c>
      <c r="BB42" s="537">
        <v>0.351252328793203</v>
      </c>
      <c r="BC42" s="500">
        <v>-185256</v>
      </c>
      <c r="BD42" s="538">
        <v>-0.0214631969360932</v>
      </c>
      <c r="BE42" s="538"/>
      <c r="BF42" s="500">
        <v>2910208</v>
      </c>
      <c r="BG42" s="500">
        <v>2500000</v>
      </c>
      <c r="BH42" s="500">
        <v>410208</v>
      </c>
      <c r="BI42" s="544">
        <v>0.1640832</v>
      </c>
      <c r="BJ42" s="500">
        <v>-66201</v>
      </c>
      <c r="BK42" s="538">
        <v>-0.0222419029105207</v>
      </c>
      <c r="BL42" s="500" cm="1">
        <f t="array" ref="BL42">BC42+AV42+P42+BJ42</f>
        <v>-695026</v>
      </c>
      <c r="BM42" s="500" cm="1">
        <f t="array" ref="BM42">SUM(BL$34:BL42)</f>
        <v>3874792</v>
      </c>
      <c r="BN42" s="500" cm="1">
        <f t="array" ref="BN42">B42-C42</f>
        <v>8421762</v>
      </c>
      <c r="BO42" s="500" cm="1">
        <f t="array" ref="BO42">BL42+'net worth - Table 1-2'!E41</f>
        <v>-1092611.75067945</v>
      </c>
      <c r="BP42" s="500" cm="1">
        <f t="array" ref="BP42">SUM(BO$34:BO42)</f>
        <v>5149349.01417262</v>
      </c>
      <c r="BQ42" s="500" cm="1">
        <f t="array" ref="BQ42">B42+'net worth - Table 1-2'!C41-'net worth - Table 1-2'!B41-C42</f>
        <v>8217177.69178419</v>
      </c>
      <c r="BR42" s="500" cm="1">
        <f t="array" ref="BR42">(BF42+AY42)*0.85+('net worth - Table 1-2-1'!D41)+E42+'net worth - Table 1-2'!C41</f>
        <v>24843665.6701115</v>
      </c>
    </row>
    <row r="43" ht="8.75" customHeight="1" hidden="1">
      <c r="A43" s="400">
        <v>44105</v>
      </c>
      <c r="B43" s="517" cm="1">
        <f t="array" ref="B43">E43+AH43</f>
        <v>32442611</v>
      </c>
      <c r="C43" s="500" cm="1">
        <f t="array" ref="C43">F43+AL43</f>
        <v>24993612</v>
      </c>
      <c r="D43" s="536"/>
      <c r="E43" s="500">
        <v>12237434</v>
      </c>
      <c r="F43" s="500">
        <v>7600000</v>
      </c>
      <c r="G43" s="500">
        <v>4637434</v>
      </c>
      <c r="H43" s="537">
        <v>0.610188684210526</v>
      </c>
      <c r="I43" s="500">
        <v>-543743</v>
      </c>
      <c r="J43" s="538">
        <v>-0.0425424825898272</v>
      </c>
      <c r="K43" s="500"/>
      <c r="L43" s="500">
        <v>12237434</v>
      </c>
      <c r="M43" s="500">
        <v>7600000</v>
      </c>
      <c r="N43" s="500">
        <v>4637434</v>
      </c>
      <c r="O43" s="537">
        <v>0.610188684210526</v>
      </c>
      <c r="P43" s="500">
        <v>-543743</v>
      </c>
      <c r="Q43" s="543" cm="1">
        <f t="array" ref="Q43">P43/L42</f>
        <v>-0.0425424825898272</v>
      </c>
      <c r="R43" s="500"/>
      <c r="S43" s="500"/>
      <c r="T43" s="500"/>
      <c r="U43" s="500"/>
      <c r="V43" s="500"/>
      <c r="W43" s="500"/>
      <c r="X43" s="543"/>
      <c r="Y43" s="539"/>
      <c r="Z43" s="500"/>
      <c r="AA43" s="500"/>
      <c r="AB43" s="500"/>
      <c r="AC43" s="500"/>
      <c r="AD43" s="500"/>
      <c r="AE43" s="500"/>
      <c r="AF43" s="500"/>
      <c r="AG43" s="539"/>
      <c r="AH43" s="500">
        <v>20205177</v>
      </c>
      <c r="AI43" s="500">
        <v>18630153</v>
      </c>
      <c r="AJ43" s="500">
        <v>1575024</v>
      </c>
      <c r="AK43" s="500">
        <v>15818588</v>
      </c>
      <c r="AL43" s="500">
        <v>17393612</v>
      </c>
      <c r="AM43" s="500">
        <v>2811565</v>
      </c>
      <c r="AN43" s="537">
        <v>0.177738050956255</v>
      </c>
      <c r="AO43" s="500">
        <v>-429020</v>
      </c>
      <c r="AP43" s="538">
        <v>-0.0225098958910757</v>
      </c>
      <c r="AQ43" s="538"/>
      <c r="AR43" s="500">
        <v>7181459</v>
      </c>
      <c r="AS43" s="500">
        <v>6468033</v>
      </c>
      <c r="AT43" s="500">
        <v>713426</v>
      </c>
      <c r="AU43" s="537">
        <v>0.110300303044218</v>
      </c>
      <c r="AV43" s="500">
        <v>78571</v>
      </c>
      <c r="AW43" s="538">
        <v>0.0110618385085053</v>
      </c>
      <c r="AX43" s="500"/>
      <c r="AY43" s="500">
        <v>8660694</v>
      </c>
      <c r="AZ43" s="500">
        <v>6850555</v>
      </c>
      <c r="BA43" s="500">
        <v>1810139</v>
      </c>
      <c r="BB43" s="537">
        <v>0.264232459997767</v>
      </c>
      <c r="BC43" s="500">
        <v>-385383</v>
      </c>
      <c r="BD43" s="538">
        <v>-0.0426022241464449</v>
      </c>
      <c r="BE43" s="538"/>
      <c r="BF43" s="500">
        <v>2788000</v>
      </c>
      <c r="BG43" s="500">
        <v>2500000</v>
      </c>
      <c r="BH43" s="500">
        <v>288000</v>
      </c>
      <c r="BI43" s="544">
        <v>0.1152</v>
      </c>
      <c r="BJ43" s="500">
        <v>-122208</v>
      </c>
      <c r="BK43" s="538">
        <v>-0.0419928747361013</v>
      </c>
      <c r="BL43" s="500" cm="1">
        <f t="array" ref="BL43">BC43+AV43+P43+BJ43</f>
        <v>-972763</v>
      </c>
      <c r="BM43" s="500" cm="1">
        <f t="array" ref="BM43">SUM(BL$34:BL43)</f>
        <v>2902029</v>
      </c>
      <c r="BN43" s="500" cm="1">
        <f t="array" ref="BN43">B43-C43</f>
        <v>7448999</v>
      </c>
      <c r="BO43" s="500" cm="1">
        <f t="array" ref="BO43">BL43+'net worth - Table 1-2'!E42</f>
        <v>-624587.9312510299</v>
      </c>
      <c r="BP43" s="500" cm="1">
        <f t="array" ref="BP43">SUM(BO$34:BO43)</f>
        <v>4524761.08292159</v>
      </c>
      <c r="BQ43" s="500" cm="1">
        <f t="array" ref="BQ43">B43+'net worth - Table 1-2'!C42-'net worth - Table 1-2'!B42-C43</f>
        <v>7592589.76053316</v>
      </c>
      <c r="BR43" s="500" cm="1">
        <f t="array" ref="BR43">(BF43+AY43)*0.85+('net worth - Table 1-2-1'!D42)+E43+'net worth - Table 1-2'!C42</f>
        <v>24726645.3888604</v>
      </c>
    </row>
    <row r="44" ht="8.75" customHeight="1" hidden="1">
      <c r="A44" s="400">
        <v>44136</v>
      </c>
      <c r="B44" s="517" cm="1">
        <f t="array" ref="B44">E44+AH44</f>
        <v>38550992</v>
      </c>
      <c r="C44" s="500" cm="1">
        <f t="array" ref="C44">F44+AL44</f>
        <v>27274638</v>
      </c>
      <c r="D44" s="536"/>
      <c r="E44" s="500">
        <v>13809591</v>
      </c>
      <c r="F44" s="500">
        <v>7600000</v>
      </c>
      <c r="G44" s="500">
        <v>6209591</v>
      </c>
      <c r="H44" s="537">
        <v>0.8170514473684209</v>
      </c>
      <c r="I44" s="500">
        <v>1572157</v>
      </c>
      <c r="J44" s="538">
        <v>0.128471132101713</v>
      </c>
      <c r="K44" s="500"/>
      <c r="L44" s="500">
        <v>13809591</v>
      </c>
      <c r="M44" s="500">
        <v>7600000</v>
      </c>
      <c r="N44" s="500">
        <v>6209591</v>
      </c>
      <c r="O44" s="537">
        <v>0.8170514473684209</v>
      </c>
      <c r="P44" s="500">
        <v>1572157</v>
      </c>
      <c r="Q44" s="543" cm="1">
        <f t="array" ref="Q44">P44/L43</f>
        <v>0.128471132101713</v>
      </c>
      <c r="R44" s="500"/>
      <c r="S44" s="500"/>
      <c r="T44" s="500"/>
      <c r="U44" s="500"/>
      <c r="V44" s="500"/>
      <c r="W44" s="500"/>
      <c r="X44" s="543"/>
      <c r="Y44" s="539"/>
      <c r="Z44" s="500"/>
      <c r="AA44" s="500"/>
      <c r="AB44" s="500"/>
      <c r="AC44" s="500"/>
      <c r="AD44" s="500"/>
      <c r="AE44" s="500"/>
      <c r="AF44" s="500"/>
      <c r="AG44" s="539"/>
      <c r="AH44" s="500">
        <v>24741401</v>
      </c>
      <c r="AI44" s="500">
        <v>23113221</v>
      </c>
      <c r="AJ44" s="500">
        <v>1628180</v>
      </c>
      <c r="AK44" s="500">
        <v>18046458</v>
      </c>
      <c r="AL44" s="500">
        <v>19674638</v>
      </c>
      <c r="AM44" s="500">
        <v>5066763</v>
      </c>
      <c r="AN44" s="537">
        <v>0.280762186130929</v>
      </c>
      <c r="AO44" s="500">
        <v>2255198</v>
      </c>
      <c r="AP44" s="538">
        <v>0.108121368933192</v>
      </c>
      <c r="AQ44" s="538"/>
      <c r="AR44" s="500">
        <v>7934599</v>
      </c>
      <c r="AS44" s="500">
        <v>6695903</v>
      </c>
      <c r="AT44" s="500">
        <v>1238696</v>
      </c>
      <c r="AU44" s="537">
        <v>0.184993121913504</v>
      </c>
      <c r="AV44" s="500">
        <v>525270</v>
      </c>
      <c r="AW44" s="538">
        <v>0.0708930592770276</v>
      </c>
      <c r="AX44" s="500"/>
      <c r="AY44" s="500">
        <v>9779139</v>
      </c>
      <c r="AZ44" s="500">
        <v>6850555</v>
      </c>
      <c r="BA44" s="500">
        <v>2928584</v>
      </c>
      <c r="BB44" s="537">
        <v>0.427495874421853</v>
      </c>
      <c r="BC44" s="500">
        <v>1118445</v>
      </c>
      <c r="BD44" s="538">
        <v>0.129140343718413</v>
      </c>
      <c r="BE44" s="538"/>
      <c r="BF44" s="500">
        <v>5399483</v>
      </c>
      <c r="BG44" s="500">
        <v>4500000</v>
      </c>
      <c r="BH44" s="500">
        <v>899483</v>
      </c>
      <c r="BI44" s="544">
        <v>0.199885111111111</v>
      </c>
      <c r="BJ44" s="500">
        <v>611483</v>
      </c>
      <c r="BK44" s="538">
        <v>0.12771157059315</v>
      </c>
      <c r="BL44" s="500" cm="1">
        <f t="array" ref="BL44">BC44+AV44+P44+BJ44</f>
        <v>3827355</v>
      </c>
      <c r="BM44" s="500" cm="1">
        <f t="array" ref="BM44">SUM(BL$34:BL44)</f>
        <v>6729384</v>
      </c>
      <c r="BN44" s="500" cm="1">
        <f t="array" ref="BN44">B44-C44</f>
        <v>11276354</v>
      </c>
      <c r="BO44" s="500" cm="1">
        <f t="array" ref="BO44">BL44+'net worth - Table 1-2'!E43</f>
        <v>5098760.51862758</v>
      </c>
      <c r="BP44" s="500" cm="1">
        <f t="array" ref="BP44">SUM(BO$34:BO44)</f>
        <v>9623521.601549171</v>
      </c>
      <c r="BQ44" s="500" cm="1">
        <f t="array" ref="BQ44">B44+'net worth - Table 1-2'!C43-'net worth - Table 1-2'!B43-C44</f>
        <v>12691350.2791607</v>
      </c>
      <c r="BR44" s="500" cm="1">
        <f t="array" ref="BR44">(BF44+AY44)*0.85+('net worth - Table 1-2-1'!D43)+E44+'net worth - Table 1-2'!C43</f>
        <v>30740646.707488</v>
      </c>
    </row>
    <row r="45" ht="8.75" customHeight="1" hidden="1">
      <c r="A45" s="400">
        <v>44166</v>
      </c>
      <c r="B45" s="517" cm="1">
        <f t="array" ref="B45">E45+AH45</f>
        <v>38491904</v>
      </c>
      <c r="C45" s="500" cm="1">
        <f t="array" ref="C45">F45+AL45</f>
        <v>28086832</v>
      </c>
      <c r="D45" s="536"/>
      <c r="E45" s="500">
        <v>13490786</v>
      </c>
      <c r="F45" s="500">
        <v>7600000</v>
      </c>
      <c r="G45" s="500">
        <v>5890786</v>
      </c>
      <c r="H45" s="537">
        <v>0.775103421052632</v>
      </c>
      <c r="I45" s="500">
        <v>-318805</v>
      </c>
      <c r="J45" s="538">
        <v>-0.0230857669861475</v>
      </c>
      <c r="K45" s="500"/>
      <c r="L45" s="500">
        <v>13490786</v>
      </c>
      <c r="M45" s="500">
        <v>7600000</v>
      </c>
      <c r="N45" s="500">
        <v>5890786</v>
      </c>
      <c r="O45" s="537">
        <v>0.775103421052632</v>
      </c>
      <c r="P45" s="500">
        <v>-318805</v>
      </c>
      <c r="Q45" s="543" cm="1">
        <f t="array" ref="Q45">P45/L44</f>
        <v>-0.0230857669861475</v>
      </c>
      <c r="R45" s="500"/>
      <c r="S45" s="500"/>
      <c r="T45" s="500"/>
      <c r="U45" s="500"/>
      <c r="V45" s="500"/>
      <c r="W45" s="500"/>
      <c r="X45" s="543"/>
      <c r="Y45" s="539"/>
      <c r="Z45" s="500"/>
      <c r="AA45" s="500"/>
      <c r="AB45" s="500"/>
      <c r="AC45" s="500"/>
      <c r="AD45" s="500"/>
      <c r="AE45" s="500"/>
      <c r="AF45" s="500"/>
      <c r="AG45" s="539"/>
      <c r="AH45" s="500">
        <v>25001118</v>
      </c>
      <c r="AI45" s="500">
        <v>23329774</v>
      </c>
      <c r="AJ45" s="500">
        <v>1671344</v>
      </c>
      <c r="AK45" s="500">
        <v>18815488</v>
      </c>
      <c r="AL45" s="500">
        <v>20486832</v>
      </c>
      <c r="AM45" s="500">
        <v>4514286</v>
      </c>
      <c r="AN45" s="537">
        <v>0.239923939256851</v>
      </c>
      <c r="AO45" s="500">
        <v>-552477</v>
      </c>
      <c r="AP45" s="538">
        <v>-0.023133372143187</v>
      </c>
      <c r="AQ45" s="538"/>
      <c r="AR45" s="500">
        <v>7963522</v>
      </c>
      <c r="AS45" s="500">
        <v>6923773</v>
      </c>
      <c r="AT45" s="500">
        <v>1039749</v>
      </c>
      <c r="AU45" s="537">
        <v>0.15017086782019</v>
      </c>
      <c r="AV45" s="500">
        <v>-198947</v>
      </c>
      <c r="AW45" s="538">
        <v>-0.0243733850627794</v>
      </c>
      <c r="AX45" s="500"/>
      <c r="AY45" s="500">
        <v>9599786</v>
      </c>
      <c r="AZ45" s="500">
        <v>6891715</v>
      </c>
      <c r="BA45" s="500">
        <v>2708071</v>
      </c>
      <c r="BB45" s="537">
        <v>0.392945877767725</v>
      </c>
      <c r="BC45" s="500">
        <v>-220513</v>
      </c>
      <c r="BD45" s="538">
        <v>-0.0224548152759911</v>
      </c>
      <c r="BE45" s="538"/>
      <c r="BF45" s="500">
        <v>5766466</v>
      </c>
      <c r="BG45" s="500">
        <v>5000000</v>
      </c>
      <c r="BH45" s="500">
        <v>766466</v>
      </c>
      <c r="BI45" s="544">
        <v>0.1532932</v>
      </c>
      <c r="BJ45" s="500">
        <v>-133017</v>
      </c>
      <c r="BK45" s="538">
        <v>-0.0225472299860852</v>
      </c>
      <c r="BL45" s="500" cm="1">
        <f t="array" ref="BL45">BC45+AV45+P45+BJ45</f>
        <v>-871282</v>
      </c>
      <c r="BM45" s="500" cm="1">
        <f t="array" ref="BM45">SUM(BL$34:BL45)</f>
        <v>5858102</v>
      </c>
      <c r="BN45" s="500" cm="1">
        <f t="array" ref="BN45">B45-C45</f>
        <v>10405072</v>
      </c>
      <c r="BO45" s="500" cm="1">
        <f t="array" ref="BO45">BL45+'net worth - Table 1-2'!E44</f>
        <v>309858.98153595</v>
      </c>
      <c r="BP45" s="500" cm="1">
        <f t="array" ref="BP45">SUM(BO$34:BO45)</f>
        <v>9933380.58308512</v>
      </c>
      <c r="BQ45" s="500" cm="1">
        <f t="array" ref="BQ45">B45+'net worth - Table 1-2'!C44-'net worth - Table 1-2'!B44-C45</f>
        <v>13001209.2606967</v>
      </c>
      <c r="BR45" s="500" cm="1">
        <f t="array" ref="BR45">(BF45+AY45)*0.85+('net worth - Table 1-2-1'!D44)+E45+'net worth - Table 1-2'!C44</f>
        <v>31762468.189024</v>
      </c>
    </row>
    <row r="46" ht="8.75" customHeight="1" hidden="1">
      <c r="A46" s="400">
        <v>44197</v>
      </c>
      <c r="B46" s="517" cm="1">
        <f t="array" ref="B46">E46+AH46</f>
        <v>40685352</v>
      </c>
      <c r="C46" s="500" cm="1">
        <f t="array" ref="C46">F46+AL46</f>
        <v>28382328</v>
      </c>
      <c r="D46" s="536"/>
      <c r="E46" s="500">
        <v>14079388</v>
      </c>
      <c r="F46" s="500">
        <v>7600000</v>
      </c>
      <c r="G46" s="500">
        <v>6479388</v>
      </c>
      <c r="H46" s="537">
        <v>0.852551052631579</v>
      </c>
      <c r="I46" s="500">
        <v>588602</v>
      </c>
      <c r="J46" s="538">
        <v>0.0436299263808647</v>
      </c>
      <c r="K46" s="500"/>
      <c r="L46" s="500">
        <v>14079388</v>
      </c>
      <c r="M46" s="500">
        <v>7600000</v>
      </c>
      <c r="N46" s="500">
        <v>6479388</v>
      </c>
      <c r="O46" s="537">
        <v>0.852551052631579</v>
      </c>
      <c r="P46" s="500">
        <v>588602</v>
      </c>
      <c r="Q46" s="543" cm="1">
        <f t="array" ref="Q46">P46/L45</f>
        <v>0.0436299263808647</v>
      </c>
      <c r="R46" s="500"/>
      <c r="S46" s="500"/>
      <c r="T46" s="500"/>
      <c r="U46" s="500"/>
      <c r="V46" s="500"/>
      <c r="W46" s="500"/>
      <c r="X46" s="543"/>
      <c r="Y46" s="539"/>
      <c r="Z46" s="500"/>
      <c r="AA46" s="500"/>
      <c r="AB46" s="500"/>
      <c r="AC46" s="500"/>
      <c r="AD46" s="500"/>
      <c r="AE46" s="500"/>
      <c r="AF46" s="500"/>
      <c r="AG46" s="539"/>
      <c r="AH46" s="500">
        <v>26605964</v>
      </c>
      <c r="AI46" s="500">
        <v>24866994</v>
      </c>
      <c r="AJ46" s="500">
        <v>1738970</v>
      </c>
      <c r="AK46" s="500">
        <v>19043358</v>
      </c>
      <c r="AL46" s="500">
        <v>20782328</v>
      </c>
      <c r="AM46" s="500">
        <v>5823636</v>
      </c>
      <c r="AN46" s="537">
        <v>0.305809301069696</v>
      </c>
      <c r="AO46" s="500">
        <v>1309350</v>
      </c>
      <c r="AP46" s="538">
        <v>0.0555806854030055</v>
      </c>
      <c r="AQ46" s="538"/>
      <c r="AR46" s="500">
        <v>8821699</v>
      </c>
      <c r="AS46" s="500">
        <v>7151643</v>
      </c>
      <c r="AT46" s="500">
        <v>1670056</v>
      </c>
      <c r="AU46" s="537">
        <v>0.233520604985456</v>
      </c>
      <c r="AV46" s="500">
        <v>630307</v>
      </c>
      <c r="AW46" s="538">
        <v>0.07694748340697161</v>
      </c>
      <c r="AX46" s="500"/>
      <c r="AY46" s="500">
        <v>10024006</v>
      </c>
      <c r="AZ46" s="500">
        <v>6891715</v>
      </c>
      <c r="BA46" s="500">
        <v>3132291</v>
      </c>
      <c r="BB46" s="537">
        <v>0.45450094787727</v>
      </c>
      <c r="BC46" s="500">
        <v>424220</v>
      </c>
      <c r="BD46" s="538">
        <v>0.0441905684147542</v>
      </c>
      <c r="BE46" s="538"/>
      <c r="BF46" s="500">
        <v>6021289</v>
      </c>
      <c r="BG46" s="500">
        <v>5000000</v>
      </c>
      <c r="BH46" s="500">
        <v>1021289</v>
      </c>
      <c r="BI46" s="544">
        <v>0.2042578</v>
      </c>
      <c r="BJ46" s="500">
        <v>254823</v>
      </c>
      <c r="BK46" s="538">
        <v>0.0441904972647025</v>
      </c>
      <c r="BL46" s="500" cm="1">
        <f t="array" ref="BL46">BC46+AV46+P46+BJ46</f>
        <v>1897952</v>
      </c>
      <c r="BM46" s="500" cm="1">
        <f t="array" ref="BM46">SUM(BL$46:BL46)</f>
        <v>1897952</v>
      </c>
      <c r="BN46" s="500" cm="1">
        <f t="array" ref="BN46">B46-C46</f>
        <v>12303024</v>
      </c>
      <c r="BO46" s="500" cm="1">
        <f t="array" ref="BO46">BL46+'net worth - Table 1-2'!E45</f>
        <v>4253879.35316578</v>
      </c>
      <c r="BP46" s="500" cm="1">
        <f t="array" ref="BP46">SUM(BO$46:BO46)</f>
        <v>4253879.35316578</v>
      </c>
      <c r="BQ46" s="500" cm="1">
        <f t="array" ref="BQ46">B46+'net worth - Table 1-2'!C45-'net worth - Table 1-2'!B45-C46</f>
        <v>17255088.6138625</v>
      </c>
      <c r="BR46" s="500" cm="1">
        <f t="array" ref="BR46">(BF46+AY46)*0.85+('net worth - Table 1-2-1'!D45)+E46+'net worth - Table 1-2'!C45</f>
        <v>33084184.0921897</v>
      </c>
    </row>
    <row r="47" ht="8.75" customHeight="1" hidden="1">
      <c r="A47" s="400">
        <v>44228</v>
      </c>
      <c r="B47" s="517" cm="1">
        <f t="array" ref="B47">E47+AH47</f>
        <v>40184164</v>
      </c>
      <c r="C47" s="500" cm="1">
        <f t="array" ref="C47">F47+AL47</f>
        <v>28460293</v>
      </c>
      <c r="D47" s="536"/>
      <c r="E47" s="500">
        <v>13907650</v>
      </c>
      <c r="F47" s="500">
        <v>7600000</v>
      </c>
      <c r="G47" s="500">
        <v>6307650</v>
      </c>
      <c r="H47" s="537">
        <v>0.829953947368421</v>
      </c>
      <c r="I47" s="500">
        <v>-171738</v>
      </c>
      <c r="J47" s="538">
        <v>-0.0121978313261912</v>
      </c>
      <c r="K47" s="500"/>
      <c r="L47" s="500">
        <v>13907650</v>
      </c>
      <c r="M47" s="500">
        <v>7600000</v>
      </c>
      <c r="N47" s="500">
        <v>6307650</v>
      </c>
      <c r="O47" s="537">
        <v>0.829953947368421</v>
      </c>
      <c r="P47" s="500">
        <v>-171738</v>
      </c>
      <c r="Q47" s="543" cm="1">
        <f t="array" ref="Q47">P47/L46</f>
        <v>-0.0121978313261912</v>
      </c>
      <c r="R47" s="500"/>
      <c r="S47" s="500"/>
      <c r="T47" s="500"/>
      <c r="U47" s="500"/>
      <c r="V47" s="500"/>
      <c r="W47" s="500"/>
      <c r="X47" s="543"/>
      <c r="Y47" s="539"/>
      <c r="Z47" s="500"/>
      <c r="AA47" s="500"/>
      <c r="AB47" s="500"/>
      <c r="AC47" s="500"/>
      <c r="AD47" s="500"/>
      <c r="AE47" s="500"/>
      <c r="AF47" s="500"/>
      <c r="AG47" s="539"/>
      <c r="AH47" s="500">
        <v>26276514</v>
      </c>
      <c r="AI47" s="500">
        <v>24543435</v>
      </c>
      <c r="AJ47" s="500">
        <v>1733079</v>
      </c>
      <c r="AK47" s="500">
        <v>19127214</v>
      </c>
      <c r="AL47" s="500">
        <v>20860293</v>
      </c>
      <c r="AM47" s="500">
        <v>5416221</v>
      </c>
      <c r="AN47" s="537">
        <v>0.283168317142267</v>
      </c>
      <c r="AO47" s="500">
        <v>-407415</v>
      </c>
      <c r="AP47" s="538">
        <v>-0.0163287022285814</v>
      </c>
      <c r="AQ47" s="538"/>
      <c r="AR47" s="500">
        <v>8685346</v>
      </c>
      <c r="AS47" s="500">
        <v>7235499</v>
      </c>
      <c r="AT47" s="500">
        <v>1449847</v>
      </c>
      <c r="AU47" s="537">
        <v>0.200379683557416</v>
      </c>
      <c r="AV47" s="500">
        <v>-220209</v>
      </c>
      <c r="AW47" s="538">
        <v>-0.0247271506380007</v>
      </c>
      <c r="AX47" s="500"/>
      <c r="AY47" s="500">
        <v>9907052</v>
      </c>
      <c r="AZ47" s="500">
        <v>6891715</v>
      </c>
      <c r="BA47" s="500">
        <v>3015337</v>
      </c>
      <c r="BB47" s="537">
        <v>0.43753071622956</v>
      </c>
      <c r="BC47" s="500">
        <v>-116954</v>
      </c>
      <c r="BD47" s="538">
        <v>-0.0116673912605399</v>
      </c>
      <c r="BE47" s="538"/>
      <c r="BF47" s="500">
        <v>5951037</v>
      </c>
      <c r="BG47" s="500">
        <v>5000000</v>
      </c>
      <c r="BH47" s="500">
        <v>951037</v>
      </c>
      <c r="BI47" s="544">
        <v>0.1902074</v>
      </c>
      <c r="BJ47" s="500">
        <v>-70252</v>
      </c>
      <c r="BK47" s="538">
        <v>-0.0116672692508199</v>
      </c>
      <c r="BL47" s="500" cm="1">
        <f t="array" ref="BL47">BC47+AV47+P47+BJ47</f>
        <v>-579153</v>
      </c>
      <c r="BM47" s="500" cm="1">
        <f t="array" ref="BM47">SUM(BL$46:BL47)</f>
        <v>1318799</v>
      </c>
      <c r="BN47" s="500" cm="1">
        <f t="array" ref="BN47">B47-C47</f>
        <v>11723871</v>
      </c>
      <c r="BO47" s="500" cm="1">
        <f t="array" ref="BO47">BL47+'net worth - Table 1-2'!E46</f>
        <v>944314.3804284499</v>
      </c>
      <c r="BP47" s="500" cm="1">
        <f t="array" ref="BP47">SUM(BO$46:BO47)</f>
        <v>5198193.73359423</v>
      </c>
      <c r="BQ47" s="500" cm="1">
        <f t="array" ref="BQ47">B47+'net worth - Table 1-2'!C46-'net worth - Table 1-2'!B46-C47</f>
        <v>18199402.9942909</v>
      </c>
      <c r="BR47" s="500" cm="1">
        <f t="array" ref="BR47">(BF47+AY47)*0.85+('net worth - Table 1-2-1'!D46)+E47+'net worth - Table 1-2'!C46</f>
        <v>32776788.3726182</v>
      </c>
    </row>
    <row r="48" ht="8.75" customHeight="1" hidden="1">
      <c r="A48" s="400">
        <v>44256</v>
      </c>
      <c r="B48" s="517" cm="1">
        <f t="array" ref="B48">E48+AH48</f>
        <v>40284439</v>
      </c>
      <c r="C48" s="500" cm="1">
        <f t="array" ref="C48">F48+AL48</f>
        <v>28692812</v>
      </c>
      <c r="D48" s="536"/>
      <c r="E48" s="500">
        <v>13815520</v>
      </c>
      <c r="F48" s="500">
        <v>7600000</v>
      </c>
      <c r="G48" s="500">
        <v>6215520</v>
      </c>
      <c r="H48" s="537">
        <v>0.817831578947368</v>
      </c>
      <c r="I48" s="500">
        <v>-92130</v>
      </c>
      <c r="J48" s="538">
        <v>-0.00662441174461537</v>
      </c>
      <c r="K48" s="500"/>
      <c r="L48" s="500">
        <v>13815520</v>
      </c>
      <c r="M48" s="500">
        <v>7600000</v>
      </c>
      <c r="N48" s="500">
        <v>6215520</v>
      </c>
      <c r="O48" s="537">
        <v>0.817831578947368</v>
      </c>
      <c r="P48" s="500">
        <v>-92130</v>
      </c>
      <c r="Q48" s="543" cm="1">
        <f t="array" ref="Q48">P48/L47</f>
        <v>-0.00662441174461537</v>
      </c>
      <c r="R48" s="500"/>
      <c r="S48" s="500"/>
      <c r="T48" s="500"/>
      <c r="U48" s="500"/>
      <c r="V48" s="500"/>
      <c r="W48" s="500"/>
      <c r="X48" s="543"/>
      <c r="Y48" s="539"/>
      <c r="Z48" s="500"/>
      <c r="AA48" s="500"/>
      <c r="AB48" s="500"/>
      <c r="AC48" s="500"/>
      <c r="AD48" s="500"/>
      <c r="AE48" s="500"/>
      <c r="AF48" s="500"/>
      <c r="AG48" s="539"/>
      <c r="AH48" s="500">
        <v>26468919</v>
      </c>
      <c r="AI48" s="500">
        <v>26468919</v>
      </c>
      <c r="AJ48" s="500">
        <v>0</v>
      </c>
      <c r="AK48" s="500">
        <v>21092812</v>
      </c>
      <c r="AL48" s="500">
        <v>21092812</v>
      </c>
      <c r="AM48" s="500">
        <v>5376107</v>
      </c>
      <c r="AN48" s="537">
        <v>0.25487862879544</v>
      </c>
      <c r="AO48" s="500">
        <v>-40114</v>
      </c>
      <c r="AP48" s="538">
        <v>-0.00151322004088191</v>
      </c>
      <c r="AQ48" s="538"/>
      <c r="AR48" s="500">
        <v>6765171</v>
      </c>
      <c r="AS48" s="500">
        <v>5201097</v>
      </c>
      <c r="AT48" s="500">
        <v>1564074</v>
      </c>
      <c r="AU48" s="537">
        <v>0.300720021180147</v>
      </c>
      <c r="AV48" s="500">
        <v>114227</v>
      </c>
      <c r="AW48" s="538">
        <v>0.0171745544692603</v>
      </c>
      <c r="AX48" s="500"/>
      <c r="AY48" s="500">
        <v>11824605</v>
      </c>
      <c r="AZ48" s="500">
        <v>8891715</v>
      </c>
      <c r="BA48" s="500">
        <v>2932890</v>
      </c>
      <c r="BB48" s="537">
        <v>0.329845254824294</v>
      </c>
      <c r="BC48" s="500">
        <v>-82447</v>
      </c>
      <c r="BD48" s="538">
        <v>-0.00692421600241605</v>
      </c>
      <c r="BE48" s="538"/>
      <c r="BF48" s="500">
        <v>7879143</v>
      </c>
      <c r="BG48" s="500">
        <v>7000000</v>
      </c>
      <c r="BH48" s="500">
        <v>879143</v>
      </c>
      <c r="BI48" s="544">
        <v>0.125591857142857</v>
      </c>
      <c r="BJ48" s="500">
        <v>-71894</v>
      </c>
      <c r="BK48" s="538">
        <v>-0.009042090987628411</v>
      </c>
      <c r="BL48" s="500" cm="1">
        <f t="array" ref="BL48">BC48+AV48+P48+BJ48</f>
        <v>-132244</v>
      </c>
      <c r="BM48" s="500" cm="1">
        <f t="array" ref="BM48">SUM(BL$46:BL48)</f>
        <v>1186555</v>
      </c>
      <c r="BN48" s="500" cm="1">
        <f t="array" ref="BN48">B48-C48</f>
        <v>11591627</v>
      </c>
      <c r="BO48" s="500" cm="1">
        <f t="array" ref="BO48">BL48+'net worth - Table 1-2'!E47</f>
        <v>1027548.62571301</v>
      </c>
      <c r="BP48" s="500" cm="1">
        <f t="array" ref="BP48">SUM(BO$46:BO48)</f>
        <v>6225742.35930724</v>
      </c>
      <c r="BQ48" s="500" cm="1">
        <f t="array" ref="BQ48">B48+'net worth - Table 1-2'!C47-'net worth - Table 1-2'!B47-C48</f>
        <v>19226951.6200039</v>
      </c>
      <c r="BR48" s="500" cm="1">
        <f t="array" ref="BR48">(BF48+AY48)*0.85+('net worth - Table 1-2-1'!D47)+E48+'net worth - Table 1-2'!C47</f>
        <v>37113261.1483312</v>
      </c>
    </row>
    <row r="49" ht="8.75" customHeight="1" hidden="1">
      <c r="A49" s="400">
        <v>44287</v>
      </c>
      <c r="B49" s="517" cm="1">
        <f t="array" ref="B49">E49+AH49</f>
        <v>41517609</v>
      </c>
      <c r="C49" s="500" cm="1">
        <f t="array" ref="C49">F49+AL49</f>
        <v>29292812</v>
      </c>
      <c r="D49" s="536"/>
      <c r="E49" s="500">
        <v>14686023</v>
      </c>
      <c r="F49" s="500">
        <v>8200000</v>
      </c>
      <c r="G49" s="500">
        <v>6486023</v>
      </c>
      <c r="H49" s="537">
        <v>0.790978414634146</v>
      </c>
      <c r="I49" s="500">
        <v>270503</v>
      </c>
      <c r="J49" s="538">
        <v>0.0187647063720213</v>
      </c>
      <c r="K49" s="500"/>
      <c r="L49" s="500">
        <v>14686023</v>
      </c>
      <c r="M49" s="500">
        <v>8200000</v>
      </c>
      <c r="N49" s="500">
        <v>6486023</v>
      </c>
      <c r="O49" s="537">
        <v>0.790978414634146</v>
      </c>
      <c r="P49" s="500">
        <v>270503</v>
      </c>
      <c r="Q49" s="543" cm="1">
        <f t="array" ref="Q49">P49/L48</f>
        <v>0.019579646658251</v>
      </c>
      <c r="R49" s="500"/>
      <c r="S49" s="500"/>
      <c r="T49" s="500"/>
      <c r="U49" s="500"/>
      <c r="V49" s="500"/>
      <c r="W49" s="500"/>
      <c r="X49" s="543"/>
      <c r="Y49" s="539"/>
      <c r="Z49" s="500"/>
      <c r="AA49" s="500"/>
      <c r="AB49" s="500"/>
      <c r="AC49" s="500"/>
      <c r="AD49" s="500"/>
      <c r="AE49" s="500"/>
      <c r="AF49" s="500"/>
      <c r="AG49" s="539"/>
      <c r="AH49" s="500">
        <v>26831586</v>
      </c>
      <c r="AI49" s="500">
        <v>26831586</v>
      </c>
      <c r="AJ49" s="500">
        <v>0</v>
      </c>
      <c r="AK49" s="500">
        <v>21092812</v>
      </c>
      <c r="AL49" s="500">
        <v>21092812</v>
      </c>
      <c r="AM49" s="500">
        <v>5738774</v>
      </c>
      <c r="AN49" s="537">
        <v>0.272072495597078</v>
      </c>
      <c r="AO49" s="500">
        <v>362667</v>
      </c>
      <c r="AP49" s="538">
        <v>0.0137016173573239</v>
      </c>
      <c r="AQ49" s="538"/>
      <c r="AR49" s="500">
        <v>6737772</v>
      </c>
      <c r="AS49" s="500">
        <v>5201097</v>
      </c>
      <c r="AT49" s="500">
        <v>1536675</v>
      </c>
      <c r="AU49" s="537">
        <v>0.295452094048621</v>
      </c>
      <c r="AV49" s="500">
        <v>-27399</v>
      </c>
      <c r="AW49" s="538">
        <v>-0.00405000849202481</v>
      </c>
      <c r="AX49" s="500"/>
      <c r="AY49" s="500">
        <v>12058691</v>
      </c>
      <c r="AZ49" s="500">
        <v>8891715</v>
      </c>
      <c r="BA49" s="500">
        <v>3166976</v>
      </c>
      <c r="BB49" s="537">
        <v>0.356171559704736</v>
      </c>
      <c r="BC49" s="500">
        <v>234086</v>
      </c>
      <c r="BD49" s="538">
        <v>0.0197965175158071</v>
      </c>
      <c r="BE49" s="538"/>
      <c r="BF49" s="500">
        <v>8035123</v>
      </c>
      <c r="BG49" s="500">
        <v>7000000</v>
      </c>
      <c r="BH49" s="500">
        <v>1035123</v>
      </c>
      <c r="BI49" s="544">
        <v>0.147874714285714</v>
      </c>
      <c r="BJ49" s="500">
        <v>155980</v>
      </c>
      <c r="BK49" s="538">
        <v>0.0197965692461731</v>
      </c>
      <c r="BL49" s="500" cm="1">
        <f t="array" ref="BL49">BC49+AV49+P49+BJ49</f>
        <v>633170</v>
      </c>
      <c r="BM49" s="500" cm="1">
        <f t="array" ref="BM49">SUM(BL$46:BL49)</f>
        <v>1819725</v>
      </c>
      <c r="BN49" s="500" cm="1">
        <f t="array" ref="BN49">B49-C49</f>
        <v>12224797</v>
      </c>
      <c r="BO49" s="500" cm="1">
        <f t="array" ref="BO49">BL49+'net worth - Table 1-2'!E48</f>
        <v>2013859.95578555</v>
      </c>
      <c r="BP49" s="500" cm="1">
        <f t="array" ref="BP49">SUM(BO$46:BO49)</f>
        <v>8239602.31509279</v>
      </c>
      <c r="BQ49" s="500" cm="1">
        <f t="array" ref="BQ49">B49+'net worth - Table 1-2'!C48-'net worth - Table 1-2'!B48-C49</f>
        <v>21240811.5757895</v>
      </c>
      <c r="BR49" s="500" cm="1">
        <f t="array" ref="BR49">(BF49+AY49)*0.85+('net worth - Table 1-2-1'!D48)+E49+'net worth - Table 1-2'!C48</f>
        <v>39696010.2041167</v>
      </c>
    </row>
    <row r="50" ht="8.75" customHeight="1" hidden="1">
      <c r="A50" s="400">
        <v>44317</v>
      </c>
      <c r="B50" s="517" cm="1">
        <f t="array" ref="B50">E50+AH50</f>
        <v>41511782</v>
      </c>
      <c r="C50" s="500" cm="1">
        <f t="array" ref="C50">F50+AL50</f>
        <v>28871949</v>
      </c>
      <c r="D50" s="536"/>
      <c r="E50" s="500">
        <v>15436852</v>
      </c>
      <c r="F50" s="500">
        <v>8800000</v>
      </c>
      <c r="G50" s="500">
        <v>6636852</v>
      </c>
      <c r="H50" s="537">
        <v>0.754187727272727</v>
      </c>
      <c r="I50" s="500">
        <v>150829</v>
      </c>
      <c r="J50" s="538">
        <v>0.00986711847810251</v>
      </c>
      <c r="K50" s="500"/>
      <c r="L50" s="500">
        <v>15436852</v>
      </c>
      <c r="M50" s="500">
        <v>8800000</v>
      </c>
      <c r="N50" s="500">
        <v>6636852</v>
      </c>
      <c r="O50" s="537">
        <v>0.754187727272727</v>
      </c>
      <c r="P50" s="500">
        <v>150829</v>
      </c>
      <c r="Q50" s="543" cm="1">
        <f t="array" ref="Q50">P50/L49</f>
        <v>0.010270241303585</v>
      </c>
      <c r="R50" s="500"/>
      <c r="S50" s="500"/>
      <c r="T50" s="500"/>
      <c r="U50" s="500"/>
      <c r="V50" s="500"/>
      <c r="W50" s="500"/>
      <c r="X50" s="543"/>
      <c r="Y50" s="539"/>
      <c r="Z50" s="500"/>
      <c r="AA50" s="500"/>
      <c r="AB50" s="500"/>
      <c r="AC50" s="500"/>
      <c r="AD50" s="500"/>
      <c r="AE50" s="500"/>
      <c r="AF50" s="500"/>
      <c r="AG50" s="539"/>
      <c r="AH50" s="500">
        <v>26074930</v>
      </c>
      <c r="AI50" s="500">
        <v>26074930</v>
      </c>
      <c r="AJ50" s="500">
        <v>0</v>
      </c>
      <c r="AK50" s="500">
        <v>20071949</v>
      </c>
      <c r="AL50" s="500">
        <v>20071949</v>
      </c>
      <c r="AM50" s="500">
        <v>6002981</v>
      </c>
      <c r="AN50" s="537">
        <v>0.299073149299054</v>
      </c>
      <c r="AO50" s="500">
        <v>264207</v>
      </c>
      <c r="AP50" s="538">
        <v>0.0102363269715459</v>
      </c>
      <c r="AQ50" s="538"/>
      <c r="AR50" s="500">
        <v>5781626</v>
      </c>
      <c r="AS50" s="500">
        <v>4180234</v>
      </c>
      <c r="AT50" s="500">
        <v>1601392</v>
      </c>
      <c r="AU50" s="537">
        <v>0.383086688448541</v>
      </c>
      <c r="AV50" s="500">
        <v>64717</v>
      </c>
      <c r="AW50" s="538">
        <v>0.0113202781433114</v>
      </c>
      <c r="AX50" s="500"/>
      <c r="AY50" s="500">
        <v>12178409</v>
      </c>
      <c r="AZ50" s="500">
        <v>8891715</v>
      </c>
      <c r="BA50" s="500">
        <v>3286694</v>
      </c>
      <c r="BB50" s="537">
        <v>0.369635553996051</v>
      </c>
      <c r="BC50" s="500">
        <v>119718</v>
      </c>
      <c r="BD50" s="538">
        <v>0.00992794325685931</v>
      </c>
      <c r="BE50" s="538"/>
      <c r="BF50" s="500">
        <v>8114895</v>
      </c>
      <c r="BG50" s="500">
        <v>7000000</v>
      </c>
      <c r="BH50" s="500">
        <v>1114895</v>
      </c>
      <c r="BI50" s="544">
        <v>0.159270714285714</v>
      </c>
      <c r="BJ50" s="500">
        <v>79772</v>
      </c>
      <c r="BK50" s="538">
        <v>0.00992791274010367</v>
      </c>
      <c r="BL50" s="500" cm="1">
        <f t="array" ref="BL50">BC50+AV50+P50+BJ50</f>
        <v>415036</v>
      </c>
      <c r="BM50" s="500" cm="1">
        <f t="array" ref="BM50">SUM(BL$46:BL50)</f>
        <v>2234761</v>
      </c>
      <c r="BN50" s="500" cm="1">
        <f t="array" ref="BN50">B50-C50</f>
        <v>12639833</v>
      </c>
      <c r="BO50" s="500" cm="1">
        <f t="array" ref="BO50">BL50+'net worth - Table 1-2'!E49</f>
        <v>-1036647.42226528</v>
      </c>
      <c r="BP50" s="500" cm="1">
        <f t="array" ref="BP50">SUM(BO$46:BO50)</f>
        <v>7202954.89282751</v>
      </c>
      <c r="BQ50" s="500" cm="1">
        <f t="array" ref="BQ50">B50+'net worth - Table 1-2'!C49-'net worth - Table 1-2'!B49-C50</f>
        <v>20204164.1535242</v>
      </c>
      <c r="BR50" s="500" cm="1">
        <f t="array" ref="BR50">(BF50+AY50)*0.85+('net worth - Table 1-2-1'!D49)+E50+'net worth - Table 1-2'!C49</f>
        <v>38164722.2818515</v>
      </c>
    </row>
    <row r="51" ht="8.75" customHeight="1" hidden="1">
      <c r="A51" s="400">
        <v>44348</v>
      </c>
      <c r="B51" s="517" cm="1">
        <f t="array" ref="B51">E51+AH51</f>
        <v>44265312</v>
      </c>
      <c r="C51" s="500" cm="1">
        <f t="array" ref="C51">F51+AL51</f>
        <v>29571949</v>
      </c>
      <c r="D51" s="536"/>
      <c r="E51" s="500">
        <v>16991759</v>
      </c>
      <c r="F51" s="500">
        <v>9500000</v>
      </c>
      <c r="G51" s="500">
        <v>7491759</v>
      </c>
      <c r="H51" s="537">
        <v>0.788606210526316</v>
      </c>
      <c r="I51" s="500">
        <v>854907</v>
      </c>
      <c r="J51" s="538">
        <v>0.0529785487280915</v>
      </c>
      <c r="K51" s="500"/>
      <c r="L51" s="500">
        <v>16991759</v>
      </c>
      <c r="M51" s="500">
        <v>9500000</v>
      </c>
      <c r="N51" s="500">
        <v>7491759</v>
      </c>
      <c r="O51" s="537">
        <v>0.788606210526316</v>
      </c>
      <c r="P51" s="500">
        <v>854907</v>
      </c>
      <c r="Q51" s="543" cm="1">
        <f t="array" ref="Q51">P51/L50</f>
        <v>0.0553809157462934</v>
      </c>
      <c r="R51" s="500"/>
      <c r="S51" s="500"/>
      <c r="T51" s="500"/>
      <c r="U51" s="500"/>
      <c r="V51" s="500"/>
      <c r="W51" s="500"/>
      <c r="X51" s="543"/>
      <c r="Y51" s="539"/>
      <c r="Z51" s="500"/>
      <c r="AA51" s="500"/>
      <c r="AB51" s="500"/>
      <c r="AC51" s="500"/>
      <c r="AD51" s="500"/>
      <c r="AE51" s="500"/>
      <c r="AF51" s="500"/>
      <c r="AG51" s="539"/>
      <c r="AH51" s="500">
        <v>27273553</v>
      </c>
      <c r="AI51" s="500">
        <v>27273553</v>
      </c>
      <c r="AJ51" s="500">
        <v>0</v>
      </c>
      <c r="AK51" s="500">
        <v>20071949</v>
      </c>
      <c r="AL51" s="500">
        <v>20071949</v>
      </c>
      <c r="AM51" s="500">
        <v>7201604</v>
      </c>
      <c r="AN51" s="537">
        <v>0.358789472811036</v>
      </c>
      <c r="AO51" s="500">
        <v>1198623</v>
      </c>
      <c r="AP51" s="538">
        <v>0.0459684072018602</v>
      </c>
      <c r="AQ51" s="538"/>
      <c r="AR51" s="500">
        <v>5890711</v>
      </c>
      <c r="AS51" s="500">
        <v>4180234</v>
      </c>
      <c r="AT51" s="500">
        <v>1710477</v>
      </c>
      <c r="AU51" s="537">
        <v>0.409182117556099</v>
      </c>
      <c r="AV51" s="500">
        <v>109085</v>
      </c>
      <c r="AW51" s="538">
        <v>0.0188675296534228</v>
      </c>
      <c r="AX51" s="500"/>
      <c r="AY51" s="500">
        <v>12832262</v>
      </c>
      <c r="AZ51" s="500">
        <v>8891715</v>
      </c>
      <c r="BA51" s="500">
        <v>3940547</v>
      </c>
      <c r="BB51" s="537">
        <v>0.443170636935619</v>
      </c>
      <c r="BC51" s="500">
        <v>653853</v>
      </c>
      <c r="BD51" s="538">
        <v>0.0536895254544333</v>
      </c>
      <c r="BE51" s="538"/>
      <c r="BF51" s="500">
        <v>8550580</v>
      </c>
      <c r="BG51" s="500">
        <v>7000000</v>
      </c>
      <c r="BH51" s="500">
        <v>1550580</v>
      </c>
      <c r="BI51" s="544">
        <v>0.221511428571429</v>
      </c>
      <c r="BJ51" s="500">
        <v>435685</v>
      </c>
      <c r="BK51" s="538">
        <v>0.0536895425017822</v>
      </c>
      <c r="BL51" s="500" cm="1">
        <f t="array" ref="BL51">BC51+AV51+P51+BJ51</f>
        <v>2053530</v>
      </c>
      <c r="BM51" s="500" cm="1">
        <f t="array" ref="BM51">SUM(BL$46:BL51)</f>
        <v>4288291</v>
      </c>
      <c r="BN51" s="500" cm="1">
        <f t="array" ref="BN51">B51-C51</f>
        <v>14693363</v>
      </c>
      <c r="BO51" s="500" cm="1">
        <f t="array" ref="BO51">BL51+'net worth - Table 1-2'!E50</f>
        <v>1397990.7649794</v>
      </c>
      <c r="BP51" s="500" cm="1">
        <f t="array" ref="BP51">SUM(BO$46:BO51)</f>
        <v>8600945.657806911</v>
      </c>
      <c r="BQ51" s="500" cm="1">
        <f t="array" ref="BQ51">B51+'net worth - Table 1-2'!C50-'net worth - Table 1-2'!B50-C51</f>
        <v>21602154.9185036</v>
      </c>
      <c r="BR51" s="500" cm="1">
        <f t="array" ref="BR51">(BF51+AY51)*0.85+('net worth - Table 1-2-1'!D50)+E51+'net worth - Table 1-2'!C50</f>
        <v>39990197.3468309</v>
      </c>
    </row>
    <row r="52" ht="8.75" customHeight="1" hidden="1">
      <c r="A52" s="400">
        <v>44378</v>
      </c>
      <c r="B52" s="517" cm="1">
        <f t="array" ref="B52">E52+AH52</f>
        <v>45614170</v>
      </c>
      <c r="C52" s="500" cm="1">
        <f t="array" ref="C52">F52+AL52</f>
        <v>30171949</v>
      </c>
      <c r="D52" s="536"/>
      <c r="E52" s="500">
        <v>17935236</v>
      </c>
      <c r="F52" s="500">
        <v>10100000</v>
      </c>
      <c r="G52" s="500">
        <v>7835236</v>
      </c>
      <c r="H52" s="537">
        <v>0.775765940594059</v>
      </c>
      <c r="I52" s="500">
        <v>343477</v>
      </c>
      <c r="J52" s="538">
        <v>0.0195248809399901</v>
      </c>
      <c r="K52" s="500"/>
      <c r="L52" s="500">
        <v>17935236</v>
      </c>
      <c r="M52" s="500">
        <v>10100000</v>
      </c>
      <c r="N52" s="500">
        <v>7835236</v>
      </c>
      <c r="O52" s="537">
        <v>0.775765940594059</v>
      </c>
      <c r="P52" s="500">
        <v>343477</v>
      </c>
      <c r="Q52" s="543" cm="1">
        <f t="array" ref="Q52">P52/L51</f>
        <v>0.0202143286048254</v>
      </c>
      <c r="R52" s="500"/>
      <c r="S52" s="500"/>
      <c r="T52" s="500"/>
      <c r="U52" s="500"/>
      <c r="V52" s="500"/>
      <c r="W52" s="500"/>
      <c r="X52" s="543"/>
      <c r="Y52" s="539"/>
      <c r="Z52" s="500"/>
      <c r="AA52" s="500"/>
      <c r="AB52" s="500"/>
      <c r="AC52" s="500"/>
      <c r="AD52" s="500"/>
      <c r="AE52" s="500"/>
      <c r="AF52" s="500"/>
      <c r="AG52" s="539"/>
      <c r="AH52" s="500">
        <v>27678934</v>
      </c>
      <c r="AI52" s="500">
        <v>27678934</v>
      </c>
      <c r="AJ52" s="500">
        <v>0</v>
      </c>
      <c r="AK52" s="500">
        <v>20071949</v>
      </c>
      <c r="AL52" s="500">
        <v>20071949</v>
      </c>
      <c r="AM52" s="500">
        <v>7606985</v>
      </c>
      <c r="AN52" s="537">
        <v>0.378985867291711</v>
      </c>
      <c r="AO52" s="500">
        <v>405381</v>
      </c>
      <c r="AP52" s="538">
        <v>0.01486351998216</v>
      </c>
      <c r="AQ52" s="538"/>
      <c r="AR52" s="500">
        <v>5859486</v>
      </c>
      <c r="AS52" s="500">
        <v>4180234</v>
      </c>
      <c r="AT52" s="500">
        <v>1679252</v>
      </c>
      <c r="AU52" s="537">
        <v>0.4017124400213</v>
      </c>
      <c r="AV52" s="500">
        <v>-31225</v>
      </c>
      <c r="AW52" s="538">
        <v>-0.00530071836829204</v>
      </c>
      <c r="AX52" s="500"/>
      <c r="AY52" s="500">
        <v>13094278</v>
      </c>
      <c r="AZ52" s="500">
        <v>8891715</v>
      </c>
      <c r="BA52" s="500">
        <v>4202563</v>
      </c>
      <c r="BB52" s="537">
        <v>0.472638068134213</v>
      </c>
      <c r="BC52" s="500">
        <v>262016</v>
      </c>
      <c r="BD52" s="538">
        <v>0.0204185357188</v>
      </c>
      <c r="BE52" s="538"/>
      <c r="BF52" s="500">
        <v>8725170</v>
      </c>
      <c r="BG52" s="500">
        <v>7000000</v>
      </c>
      <c r="BH52" s="500">
        <v>1725170</v>
      </c>
      <c r="BI52" s="544">
        <v>0.246452857142857</v>
      </c>
      <c r="BJ52" s="500">
        <v>174590</v>
      </c>
      <c r="BK52" s="538">
        <v>0.0204184979264565</v>
      </c>
      <c r="BL52" s="500" cm="1">
        <f t="array" ref="BL52">BC52+AV52+P52+BJ52</f>
        <v>748858</v>
      </c>
      <c r="BM52" s="500" cm="1">
        <f t="array" ref="BM52">SUM(BL$46:BL52)</f>
        <v>5037149</v>
      </c>
      <c r="BN52" s="500" cm="1">
        <f t="array" ref="BN52">B52-C52</f>
        <v>15442221</v>
      </c>
      <c r="BO52" s="500" cm="1">
        <f t="array" ref="BO52">BL52+'net worth - Table 1-2'!E51</f>
        <v>1668489.35316914</v>
      </c>
      <c r="BP52" s="500" cm="1">
        <f t="array" ref="BP52">SUM(BO$46:BO52)</f>
        <v>10269435.0109761</v>
      </c>
      <c r="BQ52" s="500" cm="1">
        <f t="array" ref="BQ52">B52+'net worth - Table 1-2'!C51-'net worth - Table 1-2'!B51-C52</f>
        <v>23270644.2716727</v>
      </c>
      <c r="BR52" s="500" cm="1">
        <f t="array" ref="BR52">(BF52+AY52)*0.85+('net worth - Table 1-2-1'!D51)+E52+'net worth - Table 1-2'!C51</f>
        <v>42224420.8</v>
      </c>
    </row>
    <row r="53" ht="8.75" customHeight="1" hidden="1">
      <c r="A53" s="400">
        <v>44409</v>
      </c>
      <c r="B53" s="517" cm="1">
        <f t="array" ref="B53">E53+AH53</f>
        <v>47552367</v>
      </c>
      <c r="C53" s="500" cm="1">
        <f t="array" ref="C53">F53+AL53</f>
        <v>30171949</v>
      </c>
      <c r="D53" s="536"/>
      <c r="E53" s="500">
        <v>18749937</v>
      </c>
      <c r="F53" s="500">
        <v>10100000</v>
      </c>
      <c r="G53" s="500">
        <v>8649937</v>
      </c>
      <c r="H53" s="537">
        <v>0.856429405940594</v>
      </c>
      <c r="I53" s="500">
        <v>814701</v>
      </c>
      <c r="J53" s="538">
        <v>0.0454246043932737</v>
      </c>
      <c r="K53" s="500"/>
      <c r="L53" s="500">
        <v>18749937</v>
      </c>
      <c r="M53" s="500">
        <v>10100000</v>
      </c>
      <c r="N53" s="500">
        <v>8649937</v>
      </c>
      <c r="O53" s="537">
        <v>0.856429405940594</v>
      </c>
      <c r="P53" s="500">
        <v>814701</v>
      </c>
      <c r="Q53" s="543" cm="1">
        <f t="array" ref="Q53">P53/L52</f>
        <v>0.0454246043932737</v>
      </c>
      <c r="R53" s="500"/>
      <c r="S53" s="500"/>
      <c r="T53" s="500"/>
      <c r="U53" s="500"/>
      <c r="V53" s="500"/>
      <c r="W53" s="500"/>
      <c r="X53" s="543"/>
      <c r="Y53" s="539"/>
      <c r="Z53" s="500"/>
      <c r="AA53" s="500"/>
      <c r="AB53" s="500"/>
      <c r="AC53" s="500"/>
      <c r="AD53" s="500"/>
      <c r="AE53" s="500"/>
      <c r="AF53" s="500"/>
      <c r="AG53" s="539"/>
      <c r="AH53" s="500">
        <v>28802430</v>
      </c>
      <c r="AI53" s="500">
        <v>28802430</v>
      </c>
      <c r="AJ53" s="500">
        <v>0</v>
      </c>
      <c r="AK53" s="500">
        <v>20071949</v>
      </c>
      <c r="AL53" s="500">
        <v>20071949</v>
      </c>
      <c r="AM53" s="500">
        <v>8730481</v>
      </c>
      <c r="AN53" s="537">
        <v>0.434959305645904</v>
      </c>
      <c r="AO53" s="500">
        <v>1123496</v>
      </c>
      <c r="AP53" s="538">
        <v>0.0405902915191748</v>
      </c>
      <c r="AQ53" s="538"/>
      <c r="AR53" s="500">
        <v>6103959</v>
      </c>
      <c r="AS53" s="500">
        <v>4180234</v>
      </c>
      <c r="AT53" s="500">
        <v>1923725</v>
      </c>
      <c r="AU53" s="537">
        <v>0.460195529723934</v>
      </c>
      <c r="AV53" s="500">
        <v>244473</v>
      </c>
      <c r="AW53" s="538">
        <v>0.0417226016070352</v>
      </c>
      <c r="AX53" s="500"/>
      <c r="AY53" s="500">
        <v>13621797</v>
      </c>
      <c r="AZ53" s="500">
        <v>8891715</v>
      </c>
      <c r="BA53" s="500">
        <v>4730082</v>
      </c>
      <c r="BB53" s="537">
        <v>0.531965093348134</v>
      </c>
      <c r="BC53" s="500">
        <v>527519</v>
      </c>
      <c r="BD53" s="538">
        <v>0.0402862227302643</v>
      </c>
      <c r="BE53" s="538"/>
      <c r="BF53" s="500">
        <v>9076674</v>
      </c>
      <c r="BG53" s="500">
        <v>7000000</v>
      </c>
      <c r="BH53" s="500">
        <v>2076674</v>
      </c>
      <c r="BI53" s="544">
        <v>0.296667714285714</v>
      </c>
      <c r="BJ53" s="500">
        <v>351504</v>
      </c>
      <c r="BK53" s="538">
        <v>0.0402862064578684</v>
      </c>
      <c r="BL53" s="500" cm="1">
        <f t="array" ref="BL53">BC53+AV53+P53+BJ53</f>
        <v>1938197</v>
      </c>
      <c r="BM53" s="500" cm="1">
        <f t="array" ref="BM53">SUM(BL$46:BL53)</f>
        <v>6975346</v>
      </c>
      <c r="BN53" s="500" cm="1">
        <f t="array" ref="BN53">B53-C53</f>
        <v>17380418</v>
      </c>
      <c r="BO53" s="500" cm="1">
        <f t="array" ref="BO53">BL53+'net worth - Table 1-2'!E52</f>
        <v>3789875</v>
      </c>
      <c r="BP53" s="500" cm="1">
        <f t="array" ref="BP53">SUM(BO$46:BO53)</f>
        <v>14059310.0109761</v>
      </c>
      <c r="BQ53" s="500" cm="1">
        <f t="array" ref="BQ53">B53+'net worth - Table 1-2'!C52-'net worth - Table 1-2'!B52-C53</f>
        <v>27060519.2716727</v>
      </c>
      <c r="BR53" s="500" cm="1">
        <f t="array" ref="BR53">(BF53+AY53)*0.85+('net worth - Table 1-2-1'!D52)+E53+'net worth - Table 1-2'!C52</f>
        <v>45637969.35</v>
      </c>
    </row>
    <row r="54" ht="8.75" customHeight="1" hidden="1">
      <c r="A54" s="400">
        <v>44440</v>
      </c>
      <c r="B54" s="517" cm="1">
        <f t="array" ref="B54">E54+AH54</f>
        <v>47022555</v>
      </c>
      <c r="C54" s="500" cm="1">
        <f t="array" ref="C54">F54+AL54</f>
        <v>30171949</v>
      </c>
      <c r="D54" s="536"/>
      <c r="E54" s="500">
        <v>18459742</v>
      </c>
      <c r="F54" s="500">
        <v>10100000</v>
      </c>
      <c r="G54" s="500">
        <v>8359742</v>
      </c>
      <c r="H54" s="537">
        <v>0.827697227722772</v>
      </c>
      <c r="I54" s="500">
        <v>-290195</v>
      </c>
      <c r="J54" s="538">
        <v>-0.0154771186697854</v>
      </c>
      <c r="K54" s="500"/>
      <c r="L54" s="500">
        <v>18459742</v>
      </c>
      <c r="M54" s="500">
        <v>10100000</v>
      </c>
      <c r="N54" s="500">
        <v>8359742</v>
      </c>
      <c r="O54" s="537">
        <v>0.827697227722772</v>
      </c>
      <c r="P54" s="500">
        <v>-290195</v>
      </c>
      <c r="Q54" s="543" cm="1">
        <f t="array" ref="Q54">P54/L53</f>
        <v>-0.0154771186697854</v>
      </c>
      <c r="R54" s="500"/>
      <c r="S54" s="500"/>
      <c r="T54" s="500"/>
      <c r="U54" s="500"/>
      <c r="V54" s="500"/>
      <c r="W54" s="500"/>
      <c r="X54" s="543"/>
      <c r="Y54" s="539"/>
      <c r="Z54" s="500"/>
      <c r="AA54" s="500"/>
      <c r="AB54" s="500"/>
      <c r="AC54" s="500"/>
      <c r="AD54" s="500"/>
      <c r="AE54" s="500"/>
      <c r="AF54" s="500"/>
      <c r="AG54" s="539"/>
      <c r="AH54" s="500">
        <v>28562813</v>
      </c>
      <c r="AI54" s="500">
        <v>28562813</v>
      </c>
      <c r="AJ54" s="500">
        <v>0</v>
      </c>
      <c r="AK54" s="500">
        <v>20071949</v>
      </c>
      <c r="AL54" s="500">
        <v>20071949</v>
      </c>
      <c r="AM54" s="500">
        <v>8490864</v>
      </c>
      <c r="AN54" s="537">
        <v>0.423021401658603</v>
      </c>
      <c r="AO54" s="500">
        <v>-239617</v>
      </c>
      <c r="AP54" s="538">
        <v>-0.008319332778519029</v>
      </c>
      <c r="AQ54" s="538"/>
      <c r="AR54" s="500">
        <v>6077254</v>
      </c>
      <c r="AS54" s="500">
        <v>4180234</v>
      </c>
      <c r="AT54" s="500">
        <v>1897020</v>
      </c>
      <c r="AU54" s="537">
        <v>0.453807131371115</v>
      </c>
      <c r="AV54" s="500">
        <v>-26705</v>
      </c>
      <c r="AW54" s="538">
        <v>-0.00437502938666528</v>
      </c>
      <c r="AX54" s="500"/>
      <c r="AY54" s="500">
        <v>13494024</v>
      </c>
      <c r="AZ54" s="500">
        <v>8891715</v>
      </c>
      <c r="BA54" s="500">
        <v>4602309</v>
      </c>
      <c r="BB54" s="537">
        <v>0.517595199576235</v>
      </c>
      <c r="BC54" s="500">
        <v>-127773</v>
      </c>
      <c r="BD54" s="538">
        <v>-0.00938003994627141</v>
      </c>
      <c r="BE54" s="538"/>
      <c r="BF54" s="500">
        <v>8991535</v>
      </c>
      <c r="BG54" s="500">
        <v>7000000</v>
      </c>
      <c r="BH54" s="500">
        <v>1991535</v>
      </c>
      <c r="BI54" s="544">
        <v>0.284505</v>
      </c>
      <c r="BJ54" s="500">
        <v>-85139</v>
      </c>
      <c r="BK54" s="538">
        <v>-0.009379977731931321</v>
      </c>
      <c r="BL54" s="500">
        <v>-529812</v>
      </c>
      <c r="BM54" s="500" cm="1">
        <f t="array" ref="BM54">SUM(BL$46:BL54)</f>
        <v>6445534</v>
      </c>
      <c r="BN54" s="500" cm="1">
        <f t="array" ref="BN54">B54-C54</f>
        <v>16850606</v>
      </c>
      <c r="BO54" s="500" cm="1">
        <f t="array" ref="BO54">BL54+'net worth - Table 1-2'!E53</f>
        <v>-233885</v>
      </c>
      <c r="BP54" s="500" cm="1">
        <f t="array" ref="BP54">SUM(BO$46:BO54)</f>
        <v>13825425.0109761</v>
      </c>
      <c r="BQ54" s="500" cm="1">
        <f t="array" ref="BQ54">B54+'net worth - Table 1-2'!C53-'net worth - Table 1-2'!B53-C54</f>
        <v>26826634.2716727</v>
      </c>
      <c r="BR54" s="500" cm="1">
        <f t="array" ref="BR54">(BF54+AY54)*0.85+('net worth - Table 1-2-1'!D53)+E54+'net worth - Table 1-2'!C53</f>
        <v>45462726.15</v>
      </c>
    </row>
    <row r="55" ht="8.75" customHeight="1" hidden="1">
      <c r="A55" s="400">
        <v>44470</v>
      </c>
      <c r="B55" s="517" cm="1">
        <f t="array" ref="B55">E55+AH55</f>
        <v>50218773</v>
      </c>
      <c r="C55" s="500" cm="1">
        <f t="array" ref="C55">F55+AL55</f>
        <v>30171949</v>
      </c>
      <c r="D55" s="536"/>
      <c r="E55" s="500">
        <v>19822509</v>
      </c>
      <c r="F55" s="500">
        <v>10100000</v>
      </c>
      <c r="G55" s="500">
        <v>9722509</v>
      </c>
      <c r="H55" s="537">
        <v>0.962624653465347</v>
      </c>
      <c r="I55" s="500">
        <v>1362767</v>
      </c>
      <c r="J55" s="538">
        <v>0.0738237294974112</v>
      </c>
      <c r="K55" s="500"/>
      <c r="L55" s="500">
        <v>19822509</v>
      </c>
      <c r="M55" s="500">
        <v>10100000</v>
      </c>
      <c r="N55" s="500">
        <v>9722509</v>
      </c>
      <c r="O55" s="537">
        <v>0.962624653465347</v>
      </c>
      <c r="P55" s="500">
        <v>1362767</v>
      </c>
      <c r="Q55" s="543" cm="1">
        <f t="array" ref="Q55">P55/L54</f>
        <v>0.0738237294974112</v>
      </c>
      <c r="R55" s="500"/>
      <c r="S55" s="500"/>
      <c r="T55" s="500"/>
      <c r="U55" s="500"/>
      <c r="V55" s="500"/>
      <c r="W55" s="500"/>
      <c r="X55" s="543"/>
      <c r="Y55" s="539"/>
      <c r="Z55" s="500"/>
      <c r="AA55" s="500"/>
      <c r="AB55" s="500"/>
      <c r="AC55" s="500"/>
      <c r="AD55" s="500"/>
      <c r="AE55" s="500"/>
      <c r="AF55" s="500"/>
      <c r="AG55" s="539"/>
      <c r="AH55" s="500">
        <v>30396264</v>
      </c>
      <c r="AI55" s="500">
        <v>30396264</v>
      </c>
      <c r="AJ55" s="500">
        <v>0</v>
      </c>
      <c r="AK55" s="500">
        <v>20071949</v>
      </c>
      <c r="AL55" s="500">
        <v>20071949</v>
      </c>
      <c r="AM55" s="500">
        <v>10324315</v>
      </c>
      <c r="AN55" s="537">
        <v>0.514365346384649</v>
      </c>
      <c r="AO55" s="500">
        <v>1833451</v>
      </c>
      <c r="AP55" s="538">
        <v>0.06419014121613301</v>
      </c>
      <c r="AQ55" s="538"/>
      <c r="AR55" s="500">
        <v>6237306</v>
      </c>
      <c r="AS55" s="500">
        <v>4180234</v>
      </c>
      <c r="AT55" s="500">
        <v>2057072</v>
      </c>
      <c r="AU55" s="537">
        <v>0.492094940139715</v>
      </c>
      <c r="AV55" s="500">
        <v>160052</v>
      </c>
      <c r="AW55" s="538">
        <v>0.0263362367279696</v>
      </c>
      <c r="AX55" s="500"/>
      <c r="AY55" s="500">
        <v>14498264</v>
      </c>
      <c r="AZ55" s="500">
        <v>8891715</v>
      </c>
      <c r="BA55" s="500">
        <v>5606549</v>
      </c>
      <c r="BB55" s="537">
        <v>0.630536291367863</v>
      </c>
      <c r="BC55" s="500">
        <v>1004240</v>
      </c>
      <c r="BD55" s="538">
        <v>0.0744210918848225</v>
      </c>
      <c r="BE55" s="538"/>
      <c r="BF55" s="500">
        <v>9660694</v>
      </c>
      <c r="BG55" s="500">
        <v>7000000</v>
      </c>
      <c r="BH55" s="500">
        <v>2660694</v>
      </c>
      <c r="BI55" s="544">
        <v>0.380099142857143</v>
      </c>
      <c r="BJ55" s="500">
        <v>669159</v>
      </c>
      <c r="BK55" s="538">
        <v>0.0744209970822557</v>
      </c>
      <c r="BL55" s="500" cm="1">
        <f t="array" ref="BL55">BC55+AV55+P55+BJ55</f>
        <v>3196218</v>
      </c>
      <c r="BM55" s="500" cm="1">
        <f t="array" ref="BM55">SUM(BL$46:BL55)</f>
        <v>9641752</v>
      </c>
      <c r="BN55" s="500" cm="1">
        <f t="array" ref="BN55">B55-C55</f>
        <v>20046824</v>
      </c>
      <c r="BO55" s="500" cm="1">
        <f t="array" ref="BO55">BL55+'net worth - Table 1-2'!E54</f>
        <v>5438352</v>
      </c>
      <c r="BP55" s="500" cm="1">
        <f t="array" ref="BP55">SUM(BO$46:BO55)</f>
        <v>19263777.0109761</v>
      </c>
      <c r="BQ55" s="500" cm="1">
        <f t="array" ref="BQ55">B55+'net worth - Table 1-2'!C54-'net worth - Table 1-2'!B54-C55</f>
        <v>32264986.2716727</v>
      </c>
      <c r="BR55" s="500" cm="1">
        <f t="array" ref="BR55">(BF55+AY55)*0.85+('net worth - Table 1-2-1'!D54)+E55+'net worth - Table 1-2'!C54</f>
        <v>50490016.3</v>
      </c>
    </row>
    <row r="56" ht="8.75" customHeight="1" hidden="1">
      <c r="A56" s="400">
        <v>44501</v>
      </c>
      <c r="B56" s="517" cm="1">
        <f t="array" ref="B56">E56+AH56</f>
        <v>52433191</v>
      </c>
      <c r="C56" s="500" cm="1">
        <f t="array" ref="C56">F56+AL56</f>
        <v>30497106</v>
      </c>
      <c r="D56" s="536"/>
      <c r="E56" s="500">
        <v>20631759</v>
      </c>
      <c r="F56" s="500">
        <v>10100000</v>
      </c>
      <c r="G56" s="500">
        <v>10531759</v>
      </c>
      <c r="H56" s="537">
        <v>1.04274841584158</v>
      </c>
      <c r="I56" s="500">
        <v>809250</v>
      </c>
      <c r="J56" s="538">
        <v>0.0408248017443201</v>
      </c>
      <c r="K56" s="500"/>
      <c r="L56" s="500">
        <v>20631759</v>
      </c>
      <c r="M56" s="500">
        <v>10100000</v>
      </c>
      <c r="N56" s="500">
        <v>10531759</v>
      </c>
      <c r="O56" s="537">
        <v>1.04274841584158</v>
      </c>
      <c r="P56" s="500">
        <v>809250</v>
      </c>
      <c r="Q56" s="543" cm="1">
        <f t="array" ref="Q56">P56/L55</f>
        <v>0.0408248017443201</v>
      </c>
      <c r="R56" s="500"/>
      <c r="S56" s="500"/>
      <c r="T56" s="500"/>
      <c r="U56" s="500"/>
      <c r="V56" s="500"/>
      <c r="W56" s="500"/>
      <c r="X56" s="543"/>
      <c r="Y56" s="539"/>
      <c r="Z56" s="500"/>
      <c r="AA56" s="500"/>
      <c r="AB56" s="500"/>
      <c r="AC56" s="500"/>
      <c r="AD56" s="500"/>
      <c r="AE56" s="500"/>
      <c r="AF56" s="500"/>
      <c r="AG56" s="539"/>
      <c r="AH56" s="500">
        <v>31801432</v>
      </c>
      <c r="AI56" s="500">
        <v>31801432</v>
      </c>
      <c r="AJ56" s="500">
        <v>0</v>
      </c>
      <c r="AK56" s="500">
        <v>20397106</v>
      </c>
      <c r="AL56" s="500">
        <v>20397106</v>
      </c>
      <c r="AM56" s="500">
        <v>11404326</v>
      </c>
      <c r="AN56" s="537">
        <v>0.559114905810658</v>
      </c>
      <c r="AO56" s="500">
        <v>1080011</v>
      </c>
      <c r="AP56" s="538">
        <v>0.035154981926129</v>
      </c>
      <c r="AQ56" s="538"/>
      <c r="AR56" s="500">
        <v>6315200</v>
      </c>
      <c r="AS56" s="500">
        <v>4180234</v>
      </c>
      <c r="AT56" s="500">
        <v>2134966</v>
      </c>
      <c r="AU56" s="537">
        <v>0.510728825228444</v>
      </c>
      <c r="AV56" s="500">
        <v>77894</v>
      </c>
      <c r="AW56" s="538">
        <v>0.012488404448972</v>
      </c>
      <c r="AX56" s="500"/>
      <c r="AY56" s="500">
        <v>15425547</v>
      </c>
      <c r="AZ56" s="500">
        <v>9216872</v>
      </c>
      <c r="BA56" s="500">
        <v>6208675</v>
      </c>
      <c r="BB56" s="537">
        <v>0.673620616625684</v>
      </c>
      <c r="BC56" s="500">
        <v>602126</v>
      </c>
      <c r="BD56" s="538">
        <v>0.0406199081844872</v>
      </c>
      <c r="BE56" s="538"/>
      <c r="BF56" s="500">
        <v>10060685</v>
      </c>
      <c r="BG56" s="500">
        <v>7000000</v>
      </c>
      <c r="BH56" s="500">
        <v>3060685</v>
      </c>
      <c r="BI56" s="544">
        <v>0.437240714285714</v>
      </c>
      <c r="BJ56" s="500">
        <v>399991</v>
      </c>
      <c r="BK56" s="538">
        <v>0.0414039612475046</v>
      </c>
      <c r="BL56" s="500" cm="1">
        <f t="array" ref="BL56">BC56+AV56+P56+BJ56</f>
        <v>1889261</v>
      </c>
      <c r="BM56" s="500" cm="1">
        <f t="array" ref="BM56">SUM(BL$46:BL56)</f>
        <v>11531013</v>
      </c>
      <c r="BN56" s="500" cm="1">
        <f t="array" ref="BN56">B56-C56</f>
        <v>21936085</v>
      </c>
      <c r="BO56" s="500" cm="1">
        <f t="array" ref="BO56">BL56+'net worth - Table 1-2'!E55</f>
        <v>2339009</v>
      </c>
      <c r="BP56" s="500" cm="1">
        <f t="array" ref="BP56">SUM(BO$46:BO56)</f>
        <v>21602786.0109761</v>
      </c>
      <c r="BQ56" s="500" cm="1">
        <f t="array" ref="BQ56">B56+'net worth - Table 1-2'!C55-'net worth - Table 1-2'!B55-C56</f>
        <v>34603995.2716727</v>
      </c>
      <c r="BR56" s="500" cm="1">
        <f t="array" ref="BR56">(BF56+AY56)*0.85+('net worth - Table 1-2-1'!D55)+E56+'net worth - Table 1-2'!C55</f>
        <v>52877197.2</v>
      </c>
    </row>
    <row r="57" ht="8.75" customHeight="1" hidden="1">
      <c r="A57" s="400">
        <v>44531</v>
      </c>
      <c r="B57" s="517" cm="1">
        <f t="array" ref="B57">E57+AH57</f>
        <v>53436079</v>
      </c>
      <c r="C57" s="500" cm="1">
        <f t="array" ref="C57">F57+AL57</f>
        <v>30958996</v>
      </c>
      <c r="D57" s="536"/>
      <c r="E57" s="500">
        <v>20792432</v>
      </c>
      <c r="F57" s="500">
        <v>10100000</v>
      </c>
      <c r="G57" s="500">
        <v>10692432</v>
      </c>
      <c r="H57" s="537">
        <v>1.05865663366337</v>
      </c>
      <c r="I57" s="500">
        <v>160673</v>
      </c>
      <c r="J57" s="538">
        <v>0.0077876539756014</v>
      </c>
      <c r="K57" s="500"/>
      <c r="L57" s="500">
        <v>20792432</v>
      </c>
      <c r="M57" s="500">
        <v>10100000</v>
      </c>
      <c r="N57" s="500">
        <v>10692432</v>
      </c>
      <c r="O57" s="537">
        <v>1.05865663366337</v>
      </c>
      <c r="P57" s="500">
        <v>160673</v>
      </c>
      <c r="Q57" s="543" cm="1">
        <f t="array" ref="Q57">P57/L56</f>
        <v>0.0077876539756014</v>
      </c>
      <c r="R57" s="500"/>
      <c r="S57" s="500"/>
      <c r="T57" s="500"/>
      <c r="U57" s="500"/>
      <c r="V57" s="500"/>
      <c r="W57" s="500"/>
      <c r="X57" s="543"/>
      <c r="Y57" s="539"/>
      <c r="Z57" s="500"/>
      <c r="AA57" s="500"/>
      <c r="AB57" s="500"/>
      <c r="AC57" s="500"/>
      <c r="AD57" s="500"/>
      <c r="AE57" s="500"/>
      <c r="AF57" s="500"/>
      <c r="AG57" s="539"/>
      <c r="AH57" s="500">
        <v>32643647</v>
      </c>
      <c r="AI57" s="500">
        <v>32643647</v>
      </c>
      <c r="AJ57" s="500">
        <v>0</v>
      </c>
      <c r="AK57" s="500">
        <v>20858996</v>
      </c>
      <c r="AL57" s="500">
        <v>20858996</v>
      </c>
      <c r="AM57" s="500">
        <v>11784651</v>
      </c>
      <c r="AN57" s="537">
        <v>0.564967316739502</v>
      </c>
      <c r="AO57" s="500">
        <v>380325</v>
      </c>
      <c r="AP57" s="538">
        <v>0.0117881537431266</v>
      </c>
      <c r="AQ57" s="538"/>
      <c r="AR57" s="500">
        <v>6477409</v>
      </c>
      <c r="AS57" s="500">
        <v>4180234</v>
      </c>
      <c r="AT57" s="500">
        <v>2297175</v>
      </c>
      <c r="AU57" s="537">
        <v>0.549532633819064</v>
      </c>
      <c r="AV57" s="500">
        <v>162209</v>
      </c>
      <c r="AW57" s="538">
        <v>0.0256854889789714</v>
      </c>
      <c r="AX57" s="500"/>
      <c r="AY57" s="500">
        <v>16020785</v>
      </c>
      <c r="AZ57" s="500">
        <v>9678762</v>
      </c>
      <c r="BA57" s="500">
        <v>6342023</v>
      </c>
      <c r="BB57" s="537">
        <v>0.655251467078124</v>
      </c>
      <c r="BC57" s="500">
        <v>133348</v>
      </c>
      <c r="BD57" s="538">
        <v>0.008393298428185741</v>
      </c>
      <c r="BE57" s="538"/>
      <c r="BF57" s="500">
        <v>10145453</v>
      </c>
      <c r="BG57" s="500">
        <v>7000000</v>
      </c>
      <c r="BH57" s="500">
        <v>3145453</v>
      </c>
      <c r="BI57" s="544">
        <v>0.449350428571429</v>
      </c>
      <c r="BJ57" s="500">
        <v>84768</v>
      </c>
      <c r="BK57" s="538">
        <v>0.00842566882871296</v>
      </c>
      <c r="BL57" s="500" cm="1">
        <f t="array" ref="BL57">BC57+AV57+P57+BJ57</f>
        <v>540998</v>
      </c>
      <c r="BM57" s="500" cm="1">
        <f t="array" ref="BM57">SUM(BL$46:BL57)</f>
        <v>12072011</v>
      </c>
      <c r="BN57" s="500" cm="1">
        <f t="array" ref="BN57">B57-C57</f>
        <v>22477083</v>
      </c>
      <c r="BO57" s="500" cm="1">
        <f t="array" ref="BO57">BL57+'net worth - Table 1-2'!E56</f>
        <v>-1311007</v>
      </c>
      <c r="BP57" s="500" cm="1">
        <f t="array" ref="BP57">SUM(BO$46:BO57)</f>
        <v>20291779.0109761</v>
      </c>
      <c r="BQ57" s="500" cm="1">
        <f t="array" ref="BQ57">B57+'net worth - Table 1-2'!C56-'net worth - Table 1-2'!B56-C57</f>
        <v>33292988.2716727</v>
      </c>
      <c r="BR57" s="500" cm="1">
        <f t="array" ref="BR57">(BF57+AY57)*0.85+('net worth - Table 1-2-1'!D56)+E57+'net worth - Table 1-2'!C56</f>
        <v>51763870.3</v>
      </c>
    </row>
    <row r="58" ht="8.75" customHeight="1" hidden="1">
      <c r="A58" s="400">
        <v>44562</v>
      </c>
      <c r="B58" s="517" cm="1">
        <f t="array" ref="B58">E58+AH58</f>
        <v>46715926</v>
      </c>
      <c r="C58" s="500" cm="1">
        <f t="array" ref="C58">F58+AL58</f>
        <v>30958996</v>
      </c>
      <c r="D58" s="536"/>
      <c r="E58" s="500">
        <v>18067651</v>
      </c>
      <c r="F58" s="500">
        <v>10100000</v>
      </c>
      <c r="G58" s="500">
        <v>7967651</v>
      </c>
      <c r="H58" s="537">
        <v>0.788876336633663</v>
      </c>
      <c r="I58" s="500">
        <v>-2724781</v>
      </c>
      <c r="J58" s="538">
        <v>-0.131046767400754</v>
      </c>
      <c r="K58" s="500"/>
      <c r="L58" s="500">
        <v>18067651</v>
      </c>
      <c r="M58" s="500">
        <v>10100000</v>
      </c>
      <c r="N58" s="500">
        <v>7967651</v>
      </c>
      <c r="O58" s="537">
        <v>0.788876336633663</v>
      </c>
      <c r="P58" s="500">
        <v>-2724781</v>
      </c>
      <c r="Q58" s="543">
        <v>-0.131046767400754</v>
      </c>
      <c r="R58" s="500"/>
      <c r="S58" s="500"/>
      <c r="T58" s="500"/>
      <c r="U58" s="500"/>
      <c r="V58" s="500"/>
      <c r="W58" s="500"/>
      <c r="X58" s="543"/>
      <c r="Y58" s="539"/>
      <c r="Z58" s="500"/>
      <c r="AA58" s="500"/>
      <c r="AB58" s="500"/>
      <c r="AC58" s="500"/>
      <c r="AD58" s="500"/>
      <c r="AE58" s="500"/>
      <c r="AF58" s="500"/>
      <c r="AG58" s="539"/>
      <c r="AH58" s="500">
        <v>28648275</v>
      </c>
      <c r="AI58" s="500">
        <v>28648275</v>
      </c>
      <c r="AJ58" s="500">
        <v>0</v>
      </c>
      <c r="AK58" s="500">
        <v>20858996</v>
      </c>
      <c r="AL58" s="500">
        <v>20858996</v>
      </c>
      <c r="AM58" s="500">
        <v>7789279</v>
      </c>
      <c r="AN58" s="537">
        <v>0.373425403600442</v>
      </c>
      <c r="AO58" s="500">
        <v>-3995372</v>
      </c>
      <c r="AP58" s="538">
        <v>-0.122393554862298</v>
      </c>
      <c r="AQ58" s="538"/>
      <c r="AR58" s="500">
        <v>5901811</v>
      </c>
      <c r="AS58" s="500">
        <v>4180234</v>
      </c>
      <c r="AT58" s="500">
        <v>1721577</v>
      </c>
      <c r="AU58" s="537">
        <v>0.411837471299454</v>
      </c>
      <c r="AV58" s="500">
        <v>-575598</v>
      </c>
      <c r="AW58" s="538">
        <v>-0.0888623830917578</v>
      </c>
      <c r="AX58" s="500"/>
      <c r="AY58" s="500">
        <v>13925635</v>
      </c>
      <c r="AZ58" s="500">
        <v>9678762</v>
      </c>
      <c r="BA58" s="500">
        <v>4246873</v>
      </c>
      <c r="BB58" s="537">
        <v>0.438782666626166</v>
      </c>
      <c r="BC58" s="500">
        <v>-2095150</v>
      </c>
      <c r="BD58" s="538">
        <v>-0.13077698751965</v>
      </c>
      <c r="BE58" s="538"/>
      <c r="BF58" s="500">
        <v>8820829</v>
      </c>
      <c r="BG58" s="500">
        <v>7000000</v>
      </c>
      <c r="BH58" s="500">
        <v>1820829</v>
      </c>
      <c r="BI58" s="544">
        <v>0.260118428571429</v>
      </c>
      <c r="BJ58" s="500">
        <v>-1324624</v>
      </c>
      <c r="BK58" s="538">
        <v>-0.130563317379717</v>
      </c>
      <c r="BL58" s="500" cm="1">
        <f t="array" ref="BL58">BC58+AV58+P58+BJ58</f>
        <v>-6720153</v>
      </c>
      <c r="BM58" s="500" cm="1">
        <f t="array" ref="BM58">SUM(BL$58:BL58)</f>
        <v>-6720153</v>
      </c>
      <c r="BN58" s="500" cm="1">
        <f t="array" ref="BN58">B58-C58</f>
        <v>15756930</v>
      </c>
      <c r="BO58" s="500" cm="1">
        <f t="array" ref="BO58">BL58+'net worth - Table 1-2'!E57</f>
        <v>-9211902</v>
      </c>
      <c r="BP58" s="500" cm="1">
        <f t="array" ref="BP58">SUM(BO$58:BO58)</f>
        <v>-9211902</v>
      </c>
      <c r="BQ58" s="500" cm="1">
        <f t="array" ref="BQ58">B58+'net worth - Table 1-2'!C57-'net worth - Table 1-2'!B57-C58</f>
        <v>24081086.2716727</v>
      </c>
      <c r="BR58" s="500" cm="1">
        <f t="array" ref="BR58">(BF58+AY58)*0.85+('net worth - Table 1-2-1'!D57)+E58+'net worth - Table 1-2'!C57</f>
        <v>43640532.4</v>
      </c>
    </row>
    <row r="59" ht="8.75" customHeight="1" hidden="1">
      <c r="A59" s="400">
        <v>44593</v>
      </c>
      <c r="B59" s="517" cm="1">
        <f t="array" ref="B59">E59+AH59</f>
        <v>48036808</v>
      </c>
      <c r="C59" s="500" cm="1">
        <f t="array" ref="C59">F59+AL59</f>
        <v>33958996</v>
      </c>
      <c r="D59" s="536"/>
      <c r="E59" s="500">
        <v>18212076</v>
      </c>
      <c r="F59" s="500">
        <v>10900000</v>
      </c>
      <c r="G59" s="500">
        <v>7312076</v>
      </c>
      <c r="H59" s="537">
        <v>0.670832660550459</v>
      </c>
      <c r="I59" s="500">
        <v>-655575</v>
      </c>
      <c r="J59" s="538">
        <v>-0.0347459787124534</v>
      </c>
      <c r="K59" s="500"/>
      <c r="L59" s="500">
        <v>18212076</v>
      </c>
      <c r="M59" s="500">
        <v>10900000</v>
      </c>
      <c r="N59" s="500">
        <v>7312076</v>
      </c>
      <c r="O59" s="537">
        <v>0.670832660550459</v>
      </c>
      <c r="P59" s="500">
        <v>-655575</v>
      </c>
      <c r="Q59" s="543">
        <v>-0.03628446221371</v>
      </c>
      <c r="R59" s="500"/>
      <c r="S59" s="500"/>
      <c r="T59" s="500"/>
      <c r="U59" s="500"/>
      <c r="V59" s="500"/>
      <c r="W59" s="500"/>
      <c r="X59" s="543"/>
      <c r="Y59" s="539"/>
      <c r="Z59" s="500"/>
      <c r="AA59" s="500"/>
      <c r="AB59" s="500"/>
      <c r="AC59" s="500"/>
      <c r="AD59" s="500"/>
      <c r="AE59" s="500"/>
      <c r="AF59" s="500"/>
      <c r="AG59" s="539"/>
      <c r="AH59" s="500">
        <v>29824732</v>
      </c>
      <c r="AI59" s="500">
        <v>29824732</v>
      </c>
      <c r="AJ59" s="500">
        <v>0</v>
      </c>
      <c r="AK59" s="500">
        <v>23058996</v>
      </c>
      <c r="AL59" s="500">
        <v>23058996</v>
      </c>
      <c r="AM59" s="500">
        <v>6765736</v>
      </c>
      <c r="AN59" s="537">
        <v>0.293409825822425</v>
      </c>
      <c r="AO59" s="500">
        <v>-1023543</v>
      </c>
      <c r="AP59" s="538">
        <v>-0.033179910383968</v>
      </c>
      <c r="AQ59" s="538"/>
      <c r="AR59" s="500">
        <v>5737277</v>
      </c>
      <c r="AS59" s="500">
        <v>4180234</v>
      </c>
      <c r="AT59" s="500">
        <v>1557043</v>
      </c>
      <c r="AU59" s="537">
        <v>0.372477473749077</v>
      </c>
      <c r="AV59" s="500">
        <v>-164534</v>
      </c>
      <c r="AW59" s="538">
        <v>-0.0278785613432894</v>
      </c>
      <c r="AX59" s="500"/>
      <c r="AY59" s="500">
        <v>15566987</v>
      </c>
      <c r="AZ59" s="500">
        <v>11878762</v>
      </c>
      <c r="BA59" s="500">
        <v>3688225</v>
      </c>
      <c r="BB59" s="537">
        <v>0.310489005504109</v>
      </c>
      <c r="BC59" s="500">
        <v>-558648</v>
      </c>
      <c r="BD59" s="538">
        <v>-0.0346434729547085</v>
      </c>
      <c r="BE59" s="538"/>
      <c r="BF59" s="500">
        <v>8520468</v>
      </c>
      <c r="BG59" s="500">
        <v>7000000</v>
      </c>
      <c r="BH59" s="500">
        <v>1520468</v>
      </c>
      <c r="BI59" s="544">
        <v>0.217209714285714</v>
      </c>
      <c r="BJ59" s="500">
        <v>-300361</v>
      </c>
      <c r="BK59" s="538">
        <v>-0.0340513346307926</v>
      </c>
      <c r="BL59" s="500" cm="1">
        <f t="array" ref="BL59">BC59+AV59+P59+BJ59</f>
        <v>-1679118</v>
      </c>
      <c r="BM59" s="500" cm="1">
        <f t="array" ref="BM59">SUM(BL$58:BL59)</f>
        <v>-8399271</v>
      </c>
      <c r="BN59" s="500" cm="1">
        <f t="array" ref="BN59">B59-C59</f>
        <v>14077812</v>
      </c>
      <c r="BO59" s="500" cm="1">
        <f t="array" ref="BO59">BL59+'net worth - Table 1-2'!E58</f>
        <v>-1070252</v>
      </c>
      <c r="BP59" s="500" cm="1">
        <f t="array" ref="BP59">SUM(BO$58:BO59)</f>
        <v>-10282154</v>
      </c>
      <c r="BQ59" s="500" cm="1">
        <f t="array" ref="BQ59">B59+'net worth - Table 1-2'!C58-'net worth - Table 1-2'!B58-C59</f>
        <v>23010834.2716727</v>
      </c>
      <c r="BR59" s="500" cm="1">
        <f t="array" ref="BR59">(BF59+AY59)*0.85+('net worth - Table 1-2-1'!D58)+E59+'net worth - Table 1-2'!C58</f>
        <v>45533665.75</v>
      </c>
    </row>
    <row r="60" ht="8.75" customHeight="1" hidden="1">
      <c r="A60" s="400">
        <v>44621</v>
      </c>
      <c r="B60" s="517" cm="1">
        <f t="array" ref="B60">E60+AH60</f>
        <v>50135015</v>
      </c>
      <c r="C60" s="500" cm="1">
        <f t="array" ref="C60">F60+AL60</f>
        <v>35958996</v>
      </c>
      <c r="D60" s="536"/>
      <c r="E60" s="500">
        <v>20276098</v>
      </c>
      <c r="F60" s="500">
        <v>12900000</v>
      </c>
      <c r="G60" s="500">
        <v>7376098</v>
      </c>
      <c r="H60" s="537">
        <v>0.571790542635659</v>
      </c>
      <c r="I60" s="500">
        <v>64022</v>
      </c>
      <c r="J60" s="538">
        <v>0.00316751233272624</v>
      </c>
      <c r="K60" s="500"/>
      <c r="L60" s="500">
        <v>20276098</v>
      </c>
      <c r="M60" s="500">
        <v>12900000</v>
      </c>
      <c r="N60" s="500">
        <v>7376098</v>
      </c>
      <c r="O60" s="537">
        <v>0.571790542635659</v>
      </c>
      <c r="P60" s="500">
        <v>64022</v>
      </c>
      <c r="Q60" s="543">
        <v>0.00351535980851387</v>
      </c>
      <c r="R60" s="500"/>
      <c r="S60" s="500"/>
      <c r="T60" s="500"/>
      <c r="U60" s="500"/>
      <c r="V60" s="500"/>
      <c r="W60" s="500"/>
      <c r="X60" s="543"/>
      <c r="Y60" s="539"/>
      <c r="Z60" s="500"/>
      <c r="AA60" s="500"/>
      <c r="AB60" s="500"/>
      <c r="AC60" s="500"/>
      <c r="AD60" s="500"/>
      <c r="AE60" s="500"/>
      <c r="AF60" s="500"/>
      <c r="AG60" s="539"/>
      <c r="AH60" s="500">
        <v>29858917</v>
      </c>
      <c r="AI60" s="500">
        <v>29858917</v>
      </c>
      <c r="AJ60" s="500">
        <v>0</v>
      </c>
      <c r="AK60" s="500">
        <v>23058996</v>
      </c>
      <c r="AL60" s="500">
        <v>23058996</v>
      </c>
      <c r="AM60" s="500">
        <v>6799921</v>
      </c>
      <c r="AN60" s="537">
        <v>0.29489232748902</v>
      </c>
      <c r="AO60" s="500">
        <v>34185</v>
      </c>
      <c r="AP60" s="538">
        <v>0.00114619638493315</v>
      </c>
      <c r="AQ60" s="538"/>
      <c r="AR60" s="500">
        <v>5704057</v>
      </c>
      <c r="AS60" s="500">
        <v>4180234</v>
      </c>
      <c r="AT60" s="500">
        <v>1523823</v>
      </c>
      <c r="AU60" s="537">
        <v>0.364530550203649</v>
      </c>
      <c r="AV60" s="500">
        <v>-33220</v>
      </c>
      <c r="AW60" s="538">
        <v>-0.0057902032619307</v>
      </c>
      <c r="AX60" s="500"/>
      <c r="AY60" s="500">
        <v>15610549</v>
      </c>
      <c r="AZ60" s="500">
        <v>11878762</v>
      </c>
      <c r="BA60" s="500">
        <v>3731787</v>
      </c>
      <c r="BB60" s="537">
        <v>0.314156222677077</v>
      </c>
      <c r="BC60" s="500">
        <v>43562</v>
      </c>
      <c r="BD60" s="538">
        <v>0.00279835783250799</v>
      </c>
      <c r="BE60" s="538"/>
      <c r="BF60" s="500">
        <v>8544311</v>
      </c>
      <c r="BG60" s="500">
        <v>7000000</v>
      </c>
      <c r="BH60" s="500">
        <v>1544311</v>
      </c>
      <c r="BI60" s="544">
        <v>0.220615857142857</v>
      </c>
      <c r="BJ60" s="500">
        <v>23843</v>
      </c>
      <c r="BK60" s="538">
        <v>0.00279832046784285</v>
      </c>
      <c r="BL60" s="500" cm="1">
        <f t="array" ref="BL60">BC60+AV60+P60+BJ60</f>
        <v>98207</v>
      </c>
      <c r="BM60" s="500" cm="1">
        <f t="array" ref="BM60">SUM(BL$58:BL60)</f>
        <v>-8301064</v>
      </c>
      <c r="BN60" s="500" cm="1">
        <f t="array" ref="BN60">B60-C60</f>
        <v>14176019</v>
      </c>
      <c r="BO60" s="500" cm="1">
        <f t="array" ref="BO60">BL60+'net worth - Table 1-2'!E59</f>
        <v>688794</v>
      </c>
      <c r="BP60" s="500" cm="1">
        <f t="array" ref="BP60">SUM(BO$58:BO60)</f>
        <v>-9593360</v>
      </c>
      <c r="BQ60" s="500" cm="1">
        <f t="array" ref="BQ60">B60+'net worth - Table 1-2'!C59-'net worth - Table 1-2'!B59-C60</f>
        <v>23699628.2716727</v>
      </c>
      <c r="BR60" s="500" cm="1">
        <f t="array" ref="BR60">(BF60+AY60)*0.85+('net worth - Table 1-2-1'!D59)+E60+'net worth - Table 1-2'!C59</f>
        <v>48245569</v>
      </c>
    </row>
    <row r="61" ht="8.75" customHeight="1" hidden="1">
      <c r="A61" s="400">
        <v>44652</v>
      </c>
      <c r="B61" s="517" cm="1">
        <f t="array" ref="B61">E61+AH61</f>
        <v>48491343</v>
      </c>
      <c r="C61" s="500" cm="1">
        <f t="array" ref="C61">F61+AL61</f>
        <v>35958996</v>
      </c>
      <c r="D61" s="536"/>
      <c r="E61" s="500">
        <v>19542857</v>
      </c>
      <c r="F61" s="500">
        <v>12900000</v>
      </c>
      <c r="G61" s="500">
        <v>6642857</v>
      </c>
      <c r="H61" s="537">
        <v>0.51495015503876</v>
      </c>
      <c r="I61" s="500">
        <v>-733241</v>
      </c>
      <c r="J61" s="538">
        <v>-0.0361628258060303</v>
      </c>
      <c r="K61" s="500"/>
      <c r="L61" s="500">
        <v>19542857</v>
      </c>
      <c r="M61" s="500">
        <v>12900000</v>
      </c>
      <c r="N61" s="500">
        <v>6642857</v>
      </c>
      <c r="O61" s="537">
        <v>0.51495015503876</v>
      </c>
      <c r="P61" s="500">
        <v>-733241</v>
      </c>
      <c r="Q61" s="543">
        <v>-0.0361628258060303</v>
      </c>
      <c r="R61" s="500"/>
      <c r="S61" s="500"/>
      <c r="T61" s="500"/>
      <c r="U61" s="500"/>
      <c r="V61" s="500"/>
      <c r="W61" s="500"/>
      <c r="X61" s="543"/>
      <c r="Y61" s="539"/>
      <c r="Z61" s="500"/>
      <c r="AA61" s="500"/>
      <c r="AB61" s="500"/>
      <c r="AC61" s="500"/>
      <c r="AD61" s="500"/>
      <c r="AE61" s="500"/>
      <c r="AF61" s="500"/>
      <c r="AG61" s="539"/>
      <c r="AH61" s="500">
        <v>28948486</v>
      </c>
      <c r="AI61" s="500">
        <v>28948486</v>
      </c>
      <c r="AJ61" s="500">
        <v>0</v>
      </c>
      <c r="AK61" s="500">
        <v>23058996</v>
      </c>
      <c r="AL61" s="500">
        <v>23058996</v>
      </c>
      <c r="AM61" s="500">
        <v>5889490</v>
      </c>
      <c r="AN61" s="537">
        <v>0.255409645762548</v>
      </c>
      <c r="AO61" s="500">
        <v>-910431</v>
      </c>
      <c r="AP61" s="538">
        <v>-0.0304910924934083</v>
      </c>
      <c r="AQ61" s="538"/>
      <c r="AR61" s="500">
        <v>5654182</v>
      </c>
      <c r="AS61" s="500">
        <v>4180234</v>
      </c>
      <c r="AT61" s="500">
        <v>1473948</v>
      </c>
      <c r="AU61" s="537">
        <v>0.352599399937898</v>
      </c>
      <c r="AV61" s="500">
        <v>-49875</v>
      </c>
      <c r="AW61" s="538">
        <v>-0.00874377657867023</v>
      </c>
      <c r="AX61" s="500"/>
      <c r="AY61" s="500">
        <v>15054398</v>
      </c>
      <c r="AZ61" s="500">
        <v>11878762</v>
      </c>
      <c r="BA61" s="500">
        <v>3175636</v>
      </c>
      <c r="BB61" s="537">
        <v>0.267337286495007</v>
      </c>
      <c r="BC61" s="500">
        <v>-556151</v>
      </c>
      <c r="BD61" s="538">
        <v>-0.0356266137725201</v>
      </c>
      <c r="BE61" s="538"/>
      <c r="BF61" s="500">
        <v>8239906</v>
      </c>
      <c r="BG61" s="500">
        <v>7000000</v>
      </c>
      <c r="BH61" s="500">
        <v>1239906</v>
      </c>
      <c r="BI61" s="544">
        <v>0.177129428571429</v>
      </c>
      <c r="BJ61" s="500">
        <v>-304405</v>
      </c>
      <c r="BK61" s="538">
        <v>-0.0356266292273303</v>
      </c>
      <c r="BL61" s="500" cm="1">
        <f t="array" ref="BL61">BC61+AV61+P61+BJ61</f>
        <v>-1643672</v>
      </c>
      <c r="BM61" s="500" cm="1">
        <f t="array" ref="BM61">SUM(BL$58:BL61)</f>
        <v>-9944736</v>
      </c>
      <c r="BN61" s="500" cm="1">
        <f t="array" ref="BN61">B61-C61</f>
        <v>12532347</v>
      </c>
      <c r="BO61" s="500" cm="1">
        <f t="array" ref="BO61">BL61+'net worth - Table 1-2'!E60</f>
        <v>-2358039</v>
      </c>
      <c r="BP61" s="500" cm="1">
        <f t="array" ref="BP61">SUM(BO$58:BO61)</f>
        <v>-11951399</v>
      </c>
      <c r="BQ61" s="500" cm="1">
        <f t="array" ref="BQ61">B61+'net worth - Table 1-2'!C60-'net worth - Table 1-2'!B60-C61</f>
        <v>21341589.2716727</v>
      </c>
      <c r="BR61" s="500" cm="1">
        <f t="array" ref="BR61">(BF61+AY61)*0.85+('net worth - Table 1-2-1'!D60)+E61+'net worth - Table 1-2'!C60</f>
        <v>46066488.4</v>
      </c>
    </row>
    <row r="62" ht="8.75" customHeight="1" hidden="1">
      <c r="A62" s="400">
        <v>44682</v>
      </c>
      <c r="B62" s="517" cm="1">
        <f t="array" ref="B62">E62+AH62</f>
        <v>47434945</v>
      </c>
      <c r="C62" s="500" cm="1">
        <f t="array" ref="C62">F62+AL62</f>
        <v>35958996</v>
      </c>
      <c r="D62" s="536"/>
      <c r="E62" s="500">
        <v>19059853</v>
      </c>
      <c r="F62" s="500">
        <v>12900000</v>
      </c>
      <c r="G62" s="500">
        <v>6159853</v>
      </c>
      <c r="H62" s="537">
        <v>0.477507984496124</v>
      </c>
      <c r="I62" s="500">
        <v>-483004</v>
      </c>
      <c r="J62" s="538">
        <v>-0.0247151171397304</v>
      </c>
      <c r="K62" s="500"/>
      <c r="L62" s="500">
        <v>19059853</v>
      </c>
      <c r="M62" s="500">
        <v>12900000</v>
      </c>
      <c r="N62" s="500">
        <v>6159853</v>
      </c>
      <c r="O62" s="537">
        <v>0.477507984496124</v>
      </c>
      <c r="P62" s="500">
        <v>-483004</v>
      </c>
      <c r="Q62" s="543">
        <v>-0.0247151171397304</v>
      </c>
      <c r="R62" s="500"/>
      <c r="S62" s="500"/>
      <c r="T62" s="500"/>
      <c r="U62" s="500"/>
      <c r="V62" s="500"/>
      <c r="W62" s="500"/>
      <c r="X62" s="543"/>
      <c r="Y62" s="539"/>
      <c r="Z62" s="500"/>
      <c r="AA62" s="500"/>
      <c r="AB62" s="500"/>
      <c r="AC62" s="500"/>
      <c r="AD62" s="500"/>
      <c r="AE62" s="500"/>
      <c r="AF62" s="500"/>
      <c r="AG62" s="539"/>
      <c r="AH62" s="500">
        <v>28375092</v>
      </c>
      <c r="AI62" s="500">
        <v>28375092</v>
      </c>
      <c r="AJ62" s="500">
        <v>0</v>
      </c>
      <c r="AK62" s="500">
        <v>23058996</v>
      </c>
      <c r="AL62" s="500">
        <v>23058996</v>
      </c>
      <c r="AM62" s="500">
        <v>5316096</v>
      </c>
      <c r="AN62" s="537">
        <v>0.230543255222387</v>
      </c>
      <c r="AO62" s="500">
        <v>-573394</v>
      </c>
      <c r="AP62" s="538">
        <v>-0.0198073916542648</v>
      </c>
      <c r="AQ62" s="538"/>
      <c r="AR62" s="500">
        <v>5642564</v>
      </c>
      <c r="AS62" s="500">
        <v>4180234</v>
      </c>
      <c r="AT62" s="500">
        <v>1462330</v>
      </c>
      <c r="AU62" s="537">
        <v>0.34982012968652</v>
      </c>
      <c r="AV62" s="500">
        <v>-11618</v>
      </c>
      <c r="AW62" s="538">
        <v>-0.0020547622980654</v>
      </c>
      <c r="AX62" s="500"/>
      <c r="AY62" s="500">
        <v>14691339</v>
      </c>
      <c r="AZ62" s="500">
        <v>11878762</v>
      </c>
      <c r="BA62" s="500">
        <v>2812577</v>
      </c>
      <c r="BB62" s="537">
        <v>0.236773579603666</v>
      </c>
      <c r="BC62" s="500">
        <v>-363059</v>
      </c>
      <c r="BD62" s="538">
        <v>-0.0241164741359967</v>
      </c>
      <c r="BE62" s="538"/>
      <c r="BF62" s="500">
        <v>8041189</v>
      </c>
      <c r="BG62" s="500">
        <v>7000000</v>
      </c>
      <c r="BH62" s="500">
        <v>1041189</v>
      </c>
      <c r="BI62" s="544">
        <v>0.148741285714286</v>
      </c>
      <c r="BJ62" s="500">
        <v>-198717</v>
      </c>
      <c r="BK62" s="538">
        <v>-0.0241164158911522</v>
      </c>
      <c r="BL62" s="500" cm="1">
        <f t="array" ref="BL62">BC62+AV62+P62+BJ62</f>
        <v>-1056398</v>
      </c>
      <c r="BM62" s="500" cm="1">
        <f t="array" ref="BM62">SUM(BL$58:BL62)</f>
        <v>-11001134</v>
      </c>
      <c r="BN62" s="500" cm="1">
        <f t="array" ref="BN62">B62-C62</f>
        <v>11475949</v>
      </c>
      <c r="BO62" s="500" cm="1">
        <f t="array" ref="BO62">BL62+'net worth - Table 1-2'!E61</f>
        <v>-2875045</v>
      </c>
      <c r="BP62" s="500" cm="1">
        <f t="array" ref="BP62">SUM(BO$58:BO62)</f>
        <v>-14826444</v>
      </c>
      <c r="BQ62" s="500" cm="1">
        <f t="array" ref="BQ62">B62+'net worth - Table 1-2'!C61-'net worth - Table 1-2'!B61-C62</f>
        <v>18466544.2716727</v>
      </c>
      <c r="BR62" s="500" cm="1">
        <f t="array" ref="BR62">(BF62+AY62)*0.85+('net worth - Table 1-2-1'!D61)+E62+'net worth - Table 1-2'!C61</f>
        <v>43287327.8</v>
      </c>
    </row>
    <row r="63" ht="8.75" customHeight="1" hidden="1">
      <c r="A63" s="400">
        <v>44713</v>
      </c>
      <c r="B63" s="517" cm="1">
        <f t="array" ref="B63">E63+AH63</f>
        <v>49083783</v>
      </c>
      <c r="C63" s="500" cm="1">
        <f t="array" ref="C63">F63+AL63</f>
        <v>35958996</v>
      </c>
      <c r="D63" s="536"/>
      <c r="E63" s="500">
        <v>19707911</v>
      </c>
      <c r="F63" s="500">
        <v>12900000</v>
      </c>
      <c r="G63" s="500">
        <v>6807911</v>
      </c>
      <c r="H63" s="537">
        <v>0.52774503875969</v>
      </c>
      <c r="I63" s="500">
        <v>648058</v>
      </c>
      <c r="J63" s="538">
        <v>0.0340012066200091</v>
      </c>
      <c r="K63" s="500"/>
      <c r="L63" s="500">
        <v>19707911</v>
      </c>
      <c r="M63" s="500">
        <v>12900000</v>
      </c>
      <c r="N63" s="500">
        <v>6807911</v>
      </c>
      <c r="O63" s="537">
        <v>0.52774503875969</v>
      </c>
      <c r="P63" s="500">
        <v>648058</v>
      </c>
      <c r="Q63" s="543">
        <v>0.0340012066200091</v>
      </c>
      <c r="R63" s="500"/>
      <c r="S63" s="500"/>
      <c r="T63" s="500"/>
      <c r="U63" s="500"/>
      <c r="V63" s="500"/>
      <c r="W63" s="500"/>
      <c r="X63" s="543"/>
      <c r="Y63" s="539"/>
      <c r="Z63" s="500"/>
      <c r="AA63" s="500"/>
      <c r="AB63" s="500"/>
      <c r="AC63" s="500"/>
      <c r="AD63" s="500"/>
      <c r="AE63" s="500"/>
      <c r="AF63" s="500"/>
      <c r="AG63" s="539"/>
      <c r="AH63" s="500">
        <v>29375872</v>
      </c>
      <c r="AI63" s="500">
        <v>29375872</v>
      </c>
      <c r="AJ63" s="500">
        <v>0</v>
      </c>
      <c r="AK63" s="500">
        <v>23058996</v>
      </c>
      <c r="AL63" s="500">
        <v>23058996</v>
      </c>
      <c r="AM63" s="500">
        <v>6316876</v>
      </c>
      <c r="AN63" s="537">
        <v>0.27394410407114</v>
      </c>
      <c r="AO63" s="500">
        <v>1000780</v>
      </c>
      <c r="AP63" s="538">
        <v>0.035269665381173</v>
      </c>
      <c r="AQ63" s="538"/>
      <c r="AR63" s="500">
        <v>5856880</v>
      </c>
      <c r="AS63" s="500">
        <v>4180234</v>
      </c>
      <c r="AT63" s="500">
        <v>1676646</v>
      </c>
      <c r="AU63" s="537">
        <v>0.401089029944257</v>
      </c>
      <c r="AV63" s="500">
        <v>214316</v>
      </c>
      <c r="AW63" s="538">
        <v>0.0379820237750072</v>
      </c>
      <c r="AX63" s="500"/>
      <c r="AY63" s="500">
        <v>15199607</v>
      </c>
      <c r="AZ63" s="500">
        <v>11878762</v>
      </c>
      <c r="BA63" s="500">
        <v>3320845</v>
      </c>
      <c r="BB63" s="537">
        <v>0.279561540167233</v>
      </c>
      <c r="BC63" s="500">
        <v>508268</v>
      </c>
      <c r="BD63" s="538">
        <v>0.0345964380782446</v>
      </c>
      <c r="BE63" s="538"/>
      <c r="BF63" s="500">
        <v>8319385</v>
      </c>
      <c r="BG63" s="500">
        <v>7000000</v>
      </c>
      <c r="BH63" s="500">
        <v>1319385</v>
      </c>
      <c r="BI63" s="544">
        <v>0.188483571428571</v>
      </c>
      <c r="BJ63" s="500">
        <v>278196</v>
      </c>
      <c r="BK63" s="538">
        <v>0.0345963762324204</v>
      </c>
      <c r="BL63" s="500" cm="1">
        <f t="array" ref="BL63">BC63+AV63+P63+BJ63</f>
        <v>1648838</v>
      </c>
      <c r="BM63" s="500" cm="1">
        <f t="array" ref="BM63">SUM(BL$58:BL63)</f>
        <v>-9352296</v>
      </c>
      <c r="BN63" s="500" cm="1">
        <f t="array" ref="BN63">B63-C63</f>
        <v>13124787</v>
      </c>
      <c r="BO63" s="500" cm="1">
        <f t="array" ref="BO63">BL63+'net worth - Table 1-2'!E62</f>
        <v>2130</v>
      </c>
      <c r="BP63" s="500" cm="1">
        <f t="array" ref="BP63">SUM(BO$58:BO63)</f>
        <v>-14824314</v>
      </c>
      <c r="BQ63" s="500" cm="1">
        <f t="array" ref="BQ63">B63+'net worth - Table 1-2'!C62-'net worth - Table 1-2'!B62-C63</f>
        <v>18468674.2716727</v>
      </c>
      <c r="BR63" s="500" cm="1">
        <f t="array" ref="BR63">(BF63+AY63)*0.85+('net worth - Table 1-2-1'!D62)+E63+'net worth - Table 1-2'!C62</f>
        <v>42957172.2</v>
      </c>
    </row>
    <row r="64" ht="8.75" customHeight="1" hidden="1">
      <c r="A64" s="400">
        <v>44743</v>
      </c>
      <c r="B64" s="517" cm="1">
        <f t="array" ref="B64">E64+AH64</f>
        <v>51682070</v>
      </c>
      <c r="C64" s="500" cm="1">
        <f t="array" ref="C64">F64+AL64</f>
        <v>35958996</v>
      </c>
      <c r="D64" s="536"/>
      <c r="E64" s="500">
        <v>20826478</v>
      </c>
      <c r="F64" s="500">
        <v>12900000</v>
      </c>
      <c r="G64" s="500">
        <v>7926478</v>
      </c>
      <c r="H64" s="537">
        <v>0.614455658914729</v>
      </c>
      <c r="I64" s="500">
        <v>1118567</v>
      </c>
      <c r="J64" s="538">
        <v>0.056757258544551</v>
      </c>
      <c r="K64" s="500"/>
      <c r="L64" s="500">
        <v>20826478</v>
      </c>
      <c r="M64" s="500">
        <v>12900000</v>
      </c>
      <c r="N64" s="500">
        <v>7926478</v>
      </c>
      <c r="O64" s="537">
        <v>0.614455658914729</v>
      </c>
      <c r="P64" s="500">
        <v>1118567</v>
      </c>
      <c r="Q64" s="543">
        <v>0.056757258544551</v>
      </c>
      <c r="R64" s="500"/>
      <c r="S64" s="500"/>
      <c r="T64" s="500"/>
      <c r="U64" s="500"/>
      <c r="V64" s="500"/>
      <c r="W64" s="500"/>
      <c r="X64" s="543"/>
      <c r="Y64" s="539"/>
      <c r="Z64" s="500"/>
      <c r="AA64" s="500"/>
      <c r="AB64" s="500"/>
      <c r="AC64" s="500"/>
      <c r="AD64" s="500"/>
      <c r="AE64" s="500"/>
      <c r="AF64" s="500"/>
      <c r="AG64" s="539"/>
      <c r="AH64" s="500">
        <v>30855592</v>
      </c>
      <c r="AI64" s="500">
        <v>30855592</v>
      </c>
      <c r="AJ64" s="500">
        <v>0</v>
      </c>
      <c r="AK64" s="500">
        <v>23058996</v>
      </c>
      <c r="AL64" s="500">
        <v>23058996</v>
      </c>
      <c r="AM64" s="500">
        <v>7796596</v>
      </c>
      <c r="AN64" s="537">
        <v>0.338115154710118</v>
      </c>
      <c r="AO64" s="500">
        <v>1479720</v>
      </c>
      <c r="AP64" s="538">
        <v>0.0503719515117713</v>
      </c>
      <c r="AQ64" s="538"/>
      <c r="AR64" s="500">
        <v>5986946</v>
      </c>
      <c r="AS64" s="500">
        <v>4180234</v>
      </c>
      <c r="AT64" s="500">
        <v>1806712</v>
      </c>
      <c r="AU64" s="537">
        <v>0.432203556068871</v>
      </c>
      <c r="AV64" s="500">
        <v>130066</v>
      </c>
      <c r="AW64" s="538">
        <v>0.0222073868680936</v>
      </c>
      <c r="AX64" s="500"/>
      <c r="AY64" s="500">
        <v>16071847</v>
      </c>
      <c r="AZ64" s="500">
        <v>11878762</v>
      </c>
      <c r="BA64" s="500">
        <v>4193085</v>
      </c>
      <c r="BB64" s="537">
        <v>0.352990067483463</v>
      </c>
      <c r="BC64" s="500">
        <v>872240</v>
      </c>
      <c r="BD64" s="538">
        <v>0.0573856942485421</v>
      </c>
      <c r="BE64" s="538"/>
      <c r="BF64" s="500">
        <v>8796799</v>
      </c>
      <c r="BG64" s="500">
        <v>7000000</v>
      </c>
      <c r="BH64" s="500">
        <v>1796799</v>
      </c>
      <c r="BI64" s="544">
        <v>0.256685571428571</v>
      </c>
      <c r="BJ64" s="500">
        <v>477414</v>
      </c>
      <c r="BK64" s="538">
        <v>0.057385732238621</v>
      </c>
      <c r="BL64" s="500" cm="1">
        <f t="array" ref="BL64">BC64+AV64+P64+BJ64</f>
        <v>2598287</v>
      </c>
      <c r="BM64" s="500" cm="1">
        <f t="array" ref="BM64">SUM(BL$58:BL64)</f>
        <v>-6754009</v>
      </c>
      <c r="BN64" s="500" cm="1">
        <f t="array" ref="BN64">B64-C64</f>
        <v>15723074</v>
      </c>
      <c r="BO64" s="500" cm="1">
        <f t="array" ref="BO64">BL64+'net worth - Table 1-2'!E63</f>
        <v>3758320</v>
      </c>
      <c r="BP64" s="500" cm="1">
        <f t="array" ref="BP64">SUM(BO$58:BO64)</f>
        <v>-11065994</v>
      </c>
      <c r="BQ64" s="500" cm="1">
        <f t="array" ref="BQ64">B64+'net worth - Table 1-2'!C63-'net worth - Table 1-2'!B63-C64</f>
        <v>22226994.2716727</v>
      </c>
      <c r="BR64" s="500" cm="1">
        <f t="array" ref="BR64">(BF64+AY64)*0.85+('net worth - Table 1-2-1'!D63)+E64+'net worth - Table 1-2'!C63</f>
        <v>46382978.1</v>
      </c>
    </row>
    <row r="65" ht="8.75" customHeight="1" hidden="1">
      <c r="A65" s="400">
        <v>44774</v>
      </c>
      <c r="B65" s="517" cm="1">
        <f t="array" ref="B65">E65+AH65</f>
        <v>49231877</v>
      </c>
      <c r="C65" s="500" cm="1">
        <f t="array" ref="C65">F65+AL65</f>
        <v>36104310</v>
      </c>
      <c r="D65" s="536"/>
      <c r="E65" s="500">
        <v>19636133</v>
      </c>
      <c r="F65" s="500">
        <v>12900000</v>
      </c>
      <c r="G65" s="500">
        <v>6736133</v>
      </c>
      <c r="H65" s="537">
        <v>0.522180852713178</v>
      </c>
      <c r="I65" s="500">
        <v>-1190345</v>
      </c>
      <c r="J65" s="538">
        <v>-0.0571553673165477</v>
      </c>
      <c r="K65" s="500"/>
      <c r="L65" s="500">
        <v>19636133</v>
      </c>
      <c r="M65" s="500">
        <v>12900000</v>
      </c>
      <c r="N65" s="500">
        <v>6736133</v>
      </c>
      <c r="O65" s="537">
        <v>0.522180852713178</v>
      </c>
      <c r="P65" s="500">
        <v>-1190345</v>
      </c>
      <c r="Q65" s="543">
        <v>-0.0571553673165477</v>
      </c>
      <c r="R65" s="500"/>
      <c r="S65" s="500"/>
      <c r="T65" s="500"/>
      <c r="U65" s="500"/>
      <c r="V65" s="500"/>
      <c r="W65" s="500"/>
      <c r="X65" s="543"/>
      <c r="Y65" s="539"/>
      <c r="Z65" s="500"/>
      <c r="AA65" s="500"/>
      <c r="AB65" s="500"/>
      <c r="AC65" s="500"/>
      <c r="AD65" s="500"/>
      <c r="AE65" s="500"/>
      <c r="AF65" s="500"/>
      <c r="AG65" s="539"/>
      <c r="AH65" s="500">
        <v>29595744</v>
      </c>
      <c r="AI65" s="500">
        <v>29595744</v>
      </c>
      <c r="AJ65" s="500">
        <v>0</v>
      </c>
      <c r="AK65" s="500">
        <v>23204310</v>
      </c>
      <c r="AL65" s="500">
        <v>23204310</v>
      </c>
      <c r="AM65" s="500">
        <v>6391434</v>
      </c>
      <c r="AN65" s="537">
        <v>0.275441674413072</v>
      </c>
      <c r="AO65" s="500">
        <v>-1405162</v>
      </c>
      <c r="AP65" s="538">
        <v>-0.0453264817486302</v>
      </c>
      <c r="AQ65" s="538"/>
      <c r="AR65" s="500">
        <v>5998237</v>
      </c>
      <c r="AS65" s="500">
        <v>4180234</v>
      </c>
      <c r="AT65" s="500">
        <v>1818003</v>
      </c>
      <c r="AU65" s="537">
        <v>0.434904601034296</v>
      </c>
      <c r="AV65" s="500">
        <v>11291</v>
      </c>
      <c r="AW65" s="538">
        <v>0.00188593650251731</v>
      </c>
      <c r="AX65" s="500"/>
      <c r="AY65" s="500">
        <v>15298560</v>
      </c>
      <c r="AZ65" s="500">
        <v>12024076</v>
      </c>
      <c r="BA65" s="500">
        <v>3274484</v>
      </c>
      <c r="BB65" s="537">
        <v>0.272327287352475</v>
      </c>
      <c r="BC65" s="500">
        <v>-918601</v>
      </c>
      <c r="BD65" s="538">
        <v>-0.056643761506715</v>
      </c>
      <c r="BE65" s="538"/>
      <c r="BF65" s="500">
        <v>8298947</v>
      </c>
      <c r="BG65" s="500">
        <v>7000000</v>
      </c>
      <c r="BH65" s="500">
        <v>1298947</v>
      </c>
      <c r="BI65" s="544">
        <v>0.185563857142857</v>
      </c>
      <c r="BJ65" s="500">
        <v>-497852</v>
      </c>
      <c r="BK65" s="538">
        <v>-0.0565946772229308</v>
      </c>
      <c r="BL65" s="500" cm="1">
        <f t="array" ref="BL65">BC65+AV65+P65+BJ65</f>
        <v>-2595507</v>
      </c>
      <c r="BM65" s="500" cm="1">
        <f t="array" ref="BM65">SUM(BL$58:BL65)</f>
        <v>-9349516</v>
      </c>
      <c r="BN65" s="500" cm="1">
        <f t="array" ref="BN65">B65-C65</f>
        <v>13127567</v>
      </c>
      <c r="BO65" s="500" cm="1">
        <f t="array" ref="BO65">BL65+'net worth - Table 1-2'!E64</f>
        <v>-3104582</v>
      </c>
      <c r="BP65" s="500" cm="1">
        <f t="array" ref="BP65">SUM(BO$58:BO65)</f>
        <v>-14170576</v>
      </c>
      <c r="BQ65" s="500" cm="1">
        <f t="array" ref="BQ65">B65+'net worth - Table 1-2'!C64-'net worth - Table 1-2'!B64-C65</f>
        <v>19122412.2716727</v>
      </c>
      <c r="BR65" s="500" cm="1">
        <f t="array" ref="BR65">(BF65+AY65)*0.85+('net worth - Table 1-2-1'!D64)+E65+'net worth - Table 1-2'!C64</f>
        <v>43603089.95</v>
      </c>
    </row>
    <row r="66" ht="8.75" customHeight="1" hidden="1">
      <c r="A66" s="400">
        <v>44805</v>
      </c>
      <c r="B66" s="517" cm="1">
        <f t="array" ref="B66">E66+AH66</f>
        <v>47562071</v>
      </c>
      <c r="C66" s="500" cm="1">
        <f t="array" ref="C66">F66+AL66</f>
        <v>36104310</v>
      </c>
      <c r="D66" s="536"/>
      <c r="E66" s="500">
        <v>18911493</v>
      </c>
      <c r="F66" s="500">
        <v>12900000</v>
      </c>
      <c r="G66" s="500">
        <v>6011493</v>
      </c>
      <c r="H66" s="537">
        <v>0.466007209302326</v>
      </c>
      <c r="I66" s="500">
        <v>-724640</v>
      </c>
      <c r="J66" s="538">
        <v>-0.0369033964070217</v>
      </c>
      <c r="K66" s="500"/>
      <c r="L66" s="500">
        <v>18911493</v>
      </c>
      <c r="M66" s="500">
        <v>12900000</v>
      </c>
      <c r="N66" s="500">
        <v>6011493</v>
      </c>
      <c r="O66" s="537">
        <v>0.466007209302326</v>
      </c>
      <c r="P66" s="500">
        <v>-724640</v>
      </c>
      <c r="Q66" s="543">
        <v>-0.0369033964070217</v>
      </c>
      <c r="R66" s="500"/>
      <c r="S66" s="500"/>
      <c r="T66" s="500"/>
      <c r="U66" s="500"/>
      <c r="V66" s="500"/>
      <c r="W66" s="500"/>
      <c r="X66" s="543"/>
      <c r="Y66" s="539"/>
      <c r="Z66" s="500"/>
      <c r="AA66" s="500"/>
      <c r="AB66" s="500"/>
      <c r="AC66" s="500"/>
      <c r="AD66" s="500"/>
      <c r="AE66" s="500"/>
      <c r="AF66" s="500"/>
      <c r="AG66" s="539"/>
      <c r="AH66" s="500">
        <v>28650578</v>
      </c>
      <c r="AI66" s="500">
        <v>28650578</v>
      </c>
      <c r="AJ66" s="500">
        <v>0</v>
      </c>
      <c r="AK66" s="500">
        <v>23204310</v>
      </c>
      <c r="AL66" s="500">
        <v>23204310</v>
      </c>
      <c r="AM66" s="500">
        <v>5446268</v>
      </c>
      <c r="AN66" s="537">
        <v>0.234709327706792</v>
      </c>
      <c r="AO66" s="500">
        <v>-945166</v>
      </c>
      <c r="AP66" s="538">
        <v>-0.0319358756448224</v>
      </c>
      <c r="AQ66" s="538"/>
      <c r="AR66" s="500">
        <v>5909948</v>
      </c>
      <c r="AS66" s="500">
        <v>4180234</v>
      </c>
      <c r="AT66" s="500">
        <v>1729714</v>
      </c>
      <c r="AU66" s="537">
        <v>0.413784013048073</v>
      </c>
      <c r="AV66" s="500">
        <v>-88289</v>
      </c>
      <c r="AW66" s="538">
        <v>-0.0147191583126842</v>
      </c>
      <c r="AX66" s="500"/>
      <c r="AY66" s="500">
        <v>14743036</v>
      </c>
      <c r="AZ66" s="500">
        <v>12024076</v>
      </c>
      <c r="BA66" s="500">
        <v>2718960</v>
      </c>
      <c r="BB66" s="537">
        <v>0.226126315236198</v>
      </c>
      <c r="BC66" s="500">
        <v>-555524</v>
      </c>
      <c r="BD66" s="538">
        <v>-0.0363121757864793</v>
      </c>
      <c r="BE66" s="538"/>
      <c r="BF66" s="500">
        <v>7997594</v>
      </c>
      <c r="BG66" s="500">
        <v>7000000</v>
      </c>
      <c r="BH66" s="500">
        <v>997594</v>
      </c>
      <c r="BI66" s="544">
        <v>0.142513428571429</v>
      </c>
      <c r="BJ66" s="500">
        <v>-301353</v>
      </c>
      <c r="BK66" s="538" cm="1">
        <f t="array" ref="BK66">BJ66/(BF65+BG66-BG65)</f>
        <v>-0.0363121971980301</v>
      </c>
      <c r="BL66" s="500" cm="1">
        <f t="array" ref="BL66">BC66+AV66+P66+BJ66</f>
        <v>-1669806</v>
      </c>
      <c r="BM66" s="500" cm="1">
        <f t="array" ref="BM66">SUM(BL$58:BL66)</f>
        <v>-11019322</v>
      </c>
      <c r="BN66" s="500" cm="1">
        <f t="array" ref="BN66">B66-C66</f>
        <v>11457761</v>
      </c>
      <c r="BO66" s="500" cm="1">
        <f t="array" ref="BO66">BL66+'net worth - Table 1-2'!E65</f>
        <v>-1808476</v>
      </c>
      <c r="BP66" s="500" cm="1">
        <f t="array" ref="BP66">SUM(BO$58:BO66)</f>
        <v>-15979052</v>
      </c>
      <c r="BQ66" s="500" cm="1">
        <f t="array" ref="BQ66">B66+'net worth - Table 1-2'!C65-'net worth - Table 1-2'!B65-C66</f>
        <v>17313936.2716727</v>
      </c>
      <c r="BR66" s="500" cm="1">
        <f t="array" ref="BR66">(BF66+AY66)*0.85+('net worth - Table 1-2-1'!D65)+E66+'net worth - Table 1-2'!C65</f>
        <v>42011434.5</v>
      </c>
    </row>
    <row r="67" ht="8.75" customHeight="1" hidden="1">
      <c r="A67" s="400">
        <v>44835</v>
      </c>
      <c r="B67" s="517" cm="1">
        <f t="array" ref="B67">E67+AH67</f>
        <v>49058906</v>
      </c>
      <c r="C67" s="500" cm="1">
        <f t="array" ref="C67">F67+AL67</f>
        <v>36465789</v>
      </c>
      <c r="D67" s="536"/>
      <c r="E67" s="500">
        <v>19413118</v>
      </c>
      <c r="F67" s="500">
        <v>12900000</v>
      </c>
      <c r="G67" s="500">
        <v>6513118</v>
      </c>
      <c r="H67" s="537">
        <v>0.504892868217054</v>
      </c>
      <c r="I67" s="500">
        <v>501625</v>
      </c>
      <c r="J67" s="538">
        <v>0.0265248756404373</v>
      </c>
      <c r="K67" s="500"/>
      <c r="L67" s="500">
        <v>19413118</v>
      </c>
      <c r="M67" s="500">
        <v>12900000</v>
      </c>
      <c r="N67" s="500">
        <v>6513118</v>
      </c>
      <c r="O67" s="537">
        <v>0.504892868217054</v>
      </c>
      <c r="P67" s="500">
        <v>501625</v>
      </c>
      <c r="Q67" s="543">
        <v>0.0265248756404373</v>
      </c>
      <c r="R67" s="500"/>
      <c r="S67" s="500"/>
      <c r="T67" s="500"/>
      <c r="U67" s="500"/>
      <c r="V67" s="500"/>
      <c r="W67" s="500"/>
      <c r="X67" s="543"/>
      <c r="Y67" s="539"/>
      <c r="Z67" s="500"/>
      <c r="AA67" s="500"/>
      <c r="AB67" s="500"/>
      <c r="AC67" s="500"/>
      <c r="AD67" s="500"/>
      <c r="AE67" s="500"/>
      <c r="AF67" s="500"/>
      <c r="AG67" s="539"/>
      <c r="AH67" s="500">
        <v>29645788</v>
      </c>
      <c r="AI67" s="500">
        <v>29563856</v>
      </c>
      <c r="AJ67" s="500">
        <v>81932</v>
      </c>
      <c r="AK67" s="500">
        <v>23483857</v>
      </c>
      <c r="AL67" s="500" cm="1">
        <f t="array" ref="AL67">AK67+AJ67</f>
        <v>23565789</v>
      </c>
      <c r="AM67" s="500">
        <v>6079999</v>
      </c>
      <c r="AN67" s="537">
        <v>0.258901210308</v>
      </c>
      <c r="AO67" s="500">
        <v>633731</v>
      </c>
      <c r="AP67" s="538">
        <v>0.0219055742068173</v>
      </c>
      <c r="AQ67" s="538"/>
      <c r="AR67" s="500">
        <v>6208389</v>
      </c>
      <c r="AS67" s="500">
        <v>4459781</v>
      </c>
      <c r="AT67" s="500">
        <v>1748608</v>
      </c>
      <c r="AU67" s="537">
        <v>0.392083826537671</v>
      </c>
      <c r="AV67" s="500">
        <v>18894</v>
      </c>
      <c r="AW67" s="538">
        <v>0.00305259152806489</v>
      </c>
      <c r="AX67" s="500"/>
      <c r="AY67" s="500">
        <v>15141642</v>
      </c>
      <c r="AZ67" s="500">
        <v>12024076</v>
      </c>
      <c r="BA67" s="500">
        <v>3117566</v>
      </c>
      <c r="BB67" s="537">
        <v>0.25927697063791</v>
      </c>
      <c r="BC67" s="500">
        <v>398606</v>
      </c>
      <c r="BD67" s="538">
        <v>0.02703690067636</v>
      </c>
      <c r="BE67" s="538"/>
      <c r="BF67" s="500">
        <v>8213825</v>
      </c>
      <c r="BG67" s="500">
        <v>7000000</v>
      </c>
      <c r="BH67" s="500">
        <v>1213825</v>
      </c>
      <c r="BI67" s="544">
        <v>0.173403571428571</v>
      </c>
      <c r="BJ67" s="500">
        <v>216231</v>
      </c>
      <c r="BK67" s="538">
        <v>0.0270370063796687</v>
      </c>
      <c r="BL67" s="500" cm="1">
        <f t="array" ref="BL67">BC67+AV67+P67+BJ67</f>
        <v>1135356</v>
      </c>
      <c r="BM67" s="500" cm="1">
        <f t="array" ref="BM67">SUM(BL$58:BL67)</f>
        <v>-9883966</v>
      </c>
      <c r="BN67" s="500" cm="1">
        <f t="array" ref="BN67">B67-C67</f>
        <v>12593117</v>
      </c>
      <c r="BO67" s="500" cm="1">
        <f t="array" ref="BO67">BL67+'net worth - Table 1-2'!E66</f>
        <v>1575614</v>
      </c>
      <c r="BP67" s="500" cm="1">
        <f t="array" ref="BP67">SUM(BO$58:BO67)</f>
        <v>-14403438</v>
      </c>
      <c r="BQ67" s="500" cm="1">
        <f t="array" ref="BQ67">B67+'net worth - Table 1-2'!C66-'net worth - Table 1-2'!B66-C67</f>
        <v>18889550.2716727</v>
      </c>
      <c r="BR67" s="500" cm="1">
        <f t="array" ref="BR67">(BF67+AY67)*0.85+('net worth - Table 1-2-1'!D66)+E67+'net worth - Table 1-2'!C66</f>
        <v>43475928.95</v>
      </c>
    </row>
    <row r="68" ht="8.75" customHeight="1" hidden="1">
      <c r="A68" s="400">
        <v>44866</v>
      </c>
      <c r="B68" s="517" cm="1">
        <f t="array" ref="B68">E68+AH68</f>
        <v>50156376</v>
      </c>
      <c r="C68" s="500" cm="1">
        <f t="array" ref="C68">F68+AL68</f>
        <v>37366841</v>
      </c>
      <c r="D68" s="536"/>
      <c r="E68" s="500">
        <v>19600732</v>
      </c>
      <c r="F68" s="500">
        <v>12900000</v>
      </c>
      <c r="G68" s="500">
        <v>6700732</v>
      </c>
      <c r="H68" s="537">
        <v>0.519436589147287</v>
      </c>
      <c r="I68" s="500">
        <v>187614</v>
      </c>
      <c r="J68" s="538">
        <v>0.00966428988892974</v>
      </c>
      <c r="K68" s="500"/>
      <c r="L68" s="500">
        <v>19600732</v>
      </c>
      <c r="M68" s="500">
        <v>12900000</v>
      </c>
      <c r="N68" s="500">
        <v>6700732</v>
      </c>
      <c r="O68" s="537">
        <v>0.519436589147287</v>
      </c>
      <c r="P68" s="500">
        <v>187614</v>
      </c>
      <c r="Q68" s="543">
        <v>0.00966428988892974</v>
      </c>
      <c r="R68" s="500"/>
      <c r="S68" s="500"/>
      <c r="T68" s="500"/>
      <c r="U68" s="500"/>
      <c r="V68" s="500"/>
      <c r="W68" s="500"/>
      <c r="X68" s="543"/>
      <c r="Y68" s="539"/>
      <c r="Z68" s="500"/>
      <c r="AA68" s="500"/>
      <c r="AB68" s="500"/>
      <c r="AC68" s="500"/>
      <c r="AD68" s="500"/>
      <c r="AE68" s="500"/>
      <c r="AF68" s="500"/>
      <c r="AG68" s="539"/>
      <c r="AH68" s="500">
        <v>30555644</v>
      </c>
      <c r="AI68" s="500">
        <v>30389322</v>
      </c>
      <c r="AJ68" s="500">
        <v>166322</v>
      </c>
      <c r="AK68" s="500">
        <v>24300519</v>
      </c>
      <c r="AL68" s="500" cm="1">
        <f t="array" ref="AL68">AK68+AJ68</f>
        <v>24466841</v>
      </c>
      <c r="AM68" s="500">
        <v>6088803</v>
      </c>
      <c r="AN68" s="537">
        <v>0.250562673167598</v>
      </c>
      <c r="AO68" s="500">
        <v>8804</v>
      </c>
      <c r="AP68" s="538">
        <v>0.000289790977230869</v>
      </c>
      <c r="AQ68" s="538"/>
      <c r="AR68" s="500">
        <v>6538943</v>
      </c>
      <c r="AS68" s="500">
        <v>5030163</v>
      </c>
      <c r="AT68" s="500">
        <v>1508780</v>
      </c>
      <c r="AU68" s="537">
        <v>0.299946542487788</v>
      </c>
      <c r="AV68" s="500">
        <v>-239828</v>
      </c>
      <c r="AW68" s="538">
        <v>-0.0353792745027085</v>
      </c>
      <c r="AX68" s="500"/>
      <c r="AY68" s="500">
        <v>15551924</v>
      </c>
      <c r="AZ68" s="500">
        <v>12270356</v>
      </c>
      <c r="BA68" s="500">
        <v>3281568</v>
      </c>
      <c r="BB68" s="537">
        <v>0.267438695340217</v>
      </c>
      <c r="BC68" s="500">
        <v>164002</v>
      </c>
      <c r="BD68" s="538">
        <v>0.010657839310597</v>
      </c>
      <c r="BE68" s="538"/>
      <c r="BF68" s="500">
        <v>8298455</v>
      </c>
      <c r="BG68" s="500">
        <v>7000000</v>
      </c>
      <c r="BH68" s="500">
        <v>1298455</v>
      </c>
      <c r="BI68" s="544">
        <v>0.185493571428571</v>
      </c>
      <c r="BJ68" s="500">
        <v>84630</v>
      </c>
      <c r="BK68" s="538">
        <v>0.0103033604928276</v>
      </c>
      <c r="BL68" s="500" cm="1">
        <f t="array" ref="BL68">BC68+AV68+P68+BJ68</f>
        <v>196418</v>
      </c>
      <c r="BM68" s="500" cm="1">
        <f t="array" ref="BM68">SUM(BL$58:BL68)</f>
        <v>-9687548</v>
      </c>
      <c r="BN68" s="500" cm="1">
        <f t="array" ref="BN68">B68-C68</f>
        <v>12789535</v>
      </c>
      <c r="BO68" s="500" cm="1">
        <f t="array" ref="BO68">BL68+'net worth - Table 1-2'!E67</f>
        <v>-754768</v>
      </c>
      <c r="BP68" s="500" cm="1">
        <f t="array" ref="BP68">SUM(BO$58:BO68)</f>
        <v>-15158206</v>
      </c>
      <c r="BQ68" s="500" cm="1">
        <f t="array" ref="BQ68">B68+'net worth - Table 1-2'!C67-'net worth - Table 1-2'!B67-C68</f>
        <v>18134782.2716727</v>
      </c>
      <c r="BR68" s="500" cm="1">
        <f t="array" ref="BR68">(BF68+AY68)*0.85+('net worth - Table 1-2-1'!D67)+E68+'net worth - Table 1-2'!C67</f>
        <v>43133032.15</v>
      </c>
    </row>
    <row r="69" ht="8.75" customHeight="1" hidden="1">
      <c r="A69" s="400">
        <v>44896</v>
      </c>
      <c r="B69" s="517" cm="1">
        <f t="array" ref="B69">E69+AH69</f>
        <v>47813485</v>
      </c>
      <c r="C69" s="500" cm="1">
        <f t="array" ref="C69">F69+AL69</f>
        <v>37772999</v>
      </c>
      <c r="D69" s="536"/>
      <c r="E69" s="500">
        <v>18905117</v>
      </c>
      <c r="F69" s="500">
        <v>14200000</v>
      </c>
      <c r="G69" s="500">
        <v>4705117</v>
      </c>
      <c r="H69" s="537">
        <v>0.331346267605634</v>
      </c>
      <c r="I69" s="500">
        <v>-1995615</v>
      </c>
      <c r="J69" s="538">
        <v>-0.095480627185689</v>
      </c>
      <c r="K69" s="500"/>
      <c r="L69" s="500">
        <v>18905117</v>
      </c>
      <c r="M69" s="500">
        <v>14200000</v>
      </c>
      <c r="N69" s="500">
        <v>4705117</v>
      </c>
      <c r="O69" s="537">
        <v>0.331346267605634</v>
      </c>
      <c r="P69" s="500">
        <v>-1995615</v>
      </c>
      <c r="Q69" s="543">
        <v>-0.101813289422048</v>
      </c>
      <c r="R69" s="500"/>
      <c r="S69" s="500"/>
      <c r="T69" s="500"/>
      <c r="U69" s="500"/>
      <c r="V69" s="500"/>
      <c r="W69" s="500"/>
      <c r="X69" s="543"/>
      <c r="Y69" s="539"/>
      <c r="Z69" s="500"/>
      <c r="AA69" s="500"/>
      <c r="AB69" s="500"/>
      <c r="AC69" s="500"/>
      <c r="AD69" s="500"/>
      <c r="AE69" s="500"/>
      <c r="AF69" s="500"/>
      <c r="AG69" s="539"/>
      <c r="AH69" s="500">
        <v>28908368</v>
      </c>
      <c r="AI69" s="500">
        <v>28659958</v>
      </c>
      <c r="AJ69" s="500">
        <v>248410</v>
      </c>
      <c r="AK69" s="500">
        <v>23324589</v>
      </c>
      <c r="AL69" s="500">
        <v>23572999</v>
      </c>
      <c r="AM69" s="500">
        <v>5335369</v>
      </c>
      <c r="AN69" s="537">
        <v>0.228744395024495</v>
      </c>
      <c r="AO69" s="500">
        <v>-753434</v>
      </c>
      <c r="AP69" s="538">
        <v>-0.0256153387545374</v>
      </c>
      <c r="AQ69" s="538"/>
      <c r="AR69" s="500">
        <v>6620063</v>
      </c>
      <c r="AS69" s="500">
        <v>5316669</v>
      </c>
      <c r="AT69" s="500">
        <v>1303394</v>
      </c>
      <c r="AU69" s="537">
        <v>0.245152368898647</v>
      </c>
      <c r="AV69" s="500">
        <v>-205386</v>
      </c>
      <c r="AW69" s="538">
        <v>-0.0300912071865162</v>
      </c>
      <c r="AX69" s="500"/>
      <c r="AY69" s="500">
        <v>14076465</v>
      </c>
      <c r="AZ69" s="500">
        <v>10507920</v>
      </c>
      <c r="BA69" s="500">
        <v>1806109</v>
      </c>
      <c r="BB69" s="537">
        <v>0.171880733770337</v>
      </c>
      <c r="BC69" s="500">
        <v>-1475459</v>
      </c>
      <c r="BD69" s="538">
        <v>-0.106998824031755</v>
      </c>
      <c r="BE69" s="538"/>
      <c r="BF69" s="500">
        <v>7963430</v>
      </c>
      <c r="BG69" s="500">
        <v>7500000</v>
      </c>
      <c r="BH69" s="500">
        <v>463430</v>
      </c>
      <c r="BI69" s="544">
        <v>0.0617906666666667</v>
      </c>
      <c r="BJ69" s="500">
        <v>-835025</v>
      </c>
      <c r="BK69" s="538">
        <v>-0.0949058669959669</v>
      </c>
      <c r="BL69" s="500" cm="1">
        <f t="array" ref="BL69">BC69+AV69+P69+BJ69</f>
        <v>-4511485</v>
      </c>
      <c r="BM69" s="500" cm="1">
        <f t="array" ref="BM69">SUM(BL$58:BL69)</f>
        <v>-14199033</v>
      </c>
      <c r="BN69" s="500" cm="1">
        <f t="array" ref="BN69">B69-C69</f>
        <v>10040486</v>
      </c>
      <c r="BO69" s="500" cm="1">
        <f t="array" ref="BO69">BL69+'net worth - Table 1-2'!E68</f>
        <v>-4869486</v>
      </c>
      <c r="BP69" s="500" cm="1">
        <f t="array" ref="BP69">SUM(BO$58:BO69)</f>
        <v>-20027692</v>
      </c>
      <c r="BQ69" s="500" cm="1">
        <f t="array" ref="BQ69">B69+'net worth - Table 1-2'!C68-'net worth - Table 1-2'!B68-C69</f>
        <v>15027732.2716727</v>
      </c>
      <c r="BR69" s="500" cm="1">
        <f t="array" ref="BR69">(BF69+AY69)*0.85+('net worth - Table 1-2-1'!D68)+E69+'net worth - Table 1-2'!C68</f>
        <v>40540504.75</v>
      </c>
    </row>
    <row r="70" ht="8.75" customHeight="1" hidden="1">
      <c r="A70" s="400">
        <v>44927</v>
      </c>
      <c r="B70" s="517" cm="1">
        <f t="array" ref="B70">E70+AH70</f>
        <v>49630973</v>
      </c>
      <c r="C70" s="500" cm="1">
        <f t="array" ref="C70">F70+AL70</f>
        <v>38459505</v>
      </c>
      <c r="D70" s="536"/>
      <c r="E70" s="500">
        <v>19423234</v>
      </c>
      <c r="F70" s="500">
        <v>14200000</v>
      </c>
      <c r="G70" s="500">
        <v>5223234</v>
      </c>
      <c r="H70" s="537">
        <v>0.36783338028169</v>
      </c>
      <c r="I70" s="500">
        <v>518117</v>
      </c>
      <c r="J70" s="538">
        <v>0.0274061779146884</v>
      </c>
      <c r="K70" s="500"/>
      <c r="L70" s="500">
        <v>19423234</v>
      </c>
      <c r="M70" s="500">
        <v>14200000</v>
      </c>
      <c r="N70" s="500">
        <v>5223234</v>
      </c>
      <c r="O70" s="537">
        <v>0.36783338028169</v>
      </c>
      <c r="P70" s="500">
        <v>518117</v>
      </c>
      <c r="Q70" s="543">
        <v>0.0274061779146884</v>
      </c>
      <c r="R70" s="500"/>
      <c r="S70" s="500"/>
      <c r="T70" s="500"/>
      <c r="U70" s="500"/>
      <c r="V70" s="500"/>
      <c r="W70" s="500"/>
      <c r="X70" s="543"/>
      <c r="Y70" s="539"/>
      <c r="Z70" s="500"/>
      <c r="AA70" s="500"/>
      <c r="AB70" s="500"/>
      <c r="AC70" s="500"/>
      <c r="AD70" s="500"/>
      <c r="AE70" s="500"/>
      <c r="AF70" s="500"/>
      <c r="AG70" s="539"/>
      <c r="AH70" s="500">
        <v>30207739</v>
      </c>
      <c r="AI70" s="500">
        <v>29959329</v>
      </c>
      <c r="AJ70" s="500">
        <v>248410</v>
      </c>
      <c r="AK70" s="500">
        <v>24011095</v>
      </c>
      <c r="AL70" s="500">
        <v>24259505</v>
      </c>
      <c r="AM70" s="500">
        <v>5948234</v>
      </c>
      <c r="AN70" s="537">
        <v>0.247728560484226</v>
      </c>
      <c r="AO70" s="500">
        <v>612865</v>
      </c>
      <c r="AP70" s="538">
        <v>0.020883776662156</v>
      </c>
      <c r="AQ70" s="538"/>
      <c r="AR70" s="500">
        <v>6888238</v>
      </c>
      <c r="AS70" s="500">
        <v>5603175</v>
      </c>
      <c r="AT70" s="500">
        <v>1285063</v>
      </c>
      <c r="AU70" s="537">
        <v>0.229345505003859</v>
      </c>
      <c r="AV70" s="500">
        <v>-18331</v>
      </c>
      <c r="AW70" s="538">
        <v>-0.00265413984859921</v>
      </c>
      <c r="AX70" s="500"/>
      <c r="AY70" s="500">
        <v>14884862</v>
      </c>
      <c r="AZ70" s="500">
        <v>10907920</v>
      </c>
      <c r="BA70" s="500">
        <v>2214506</v>
      </c>
      <c r="BB70" s="537">
        <v>0.203018173950671</v>
      </c>
      <c r="BC70" s="500">
        <v>408397</v>
      </c>
      <c r="BD70" s="538">
        <v>0.0282110998783197</v>
      </c>
      <c r="BE70" s="538"/>
      <c r="BF70" s="500">
        <v>8186229</v>
      </c>
      <c r="BG70" s="500">
        <v>7500000</v>
      </c>
      <c r="BH70" s="500">
        <v>686229</v>
      </c>
      <c r="BI70" s="544">
        <v>0.0914972</v>
      </c>
      <c r="BJ70" s="500">
        <v>222799</v>
      </c>
      <c r="BK70" s="538">
        <v>0.0279777683736782</v>
      </c>
      <c r="BL70" s="500" cm="1">
        <f t="array" ref="BL70">BC70+AV70+P70+BJ70</f>
        <v>1130982</v>
      </c>
      <c r="BM70" s="500" cm="1">
        <f t="array" ref="BM70">SUM(BL$70:BL70)</f>
        <v>1130982</v>
      </c>
      <c r="BN70" s="500" cm="1">
        <f t="array" ref="BN70">B70-C70</f>
        <v>11171468</v>
      </c>
      <c r="BO70" s="500" cm="1">
        <f t="array" ref="BO70">BL70+'net worth - Table 1-2'!E69</f>
        <v>1926948</v>
      </c>
      <c r="BP70" s="500" cm="1">
        <f t="array" ref="BP70">SUM(BO$70:BO70)</f>
        <v>1926948</v>
      </c>
      <c r="BQ70" s="500" cm="1">
        <f t="array" ref="BQ70">B70+'net worth - Table 1-2'!C69-'net worth - Table 1-2'!B69-C70</f>
        <v>16954680.2716727</v>
      </c>
      <c r="BR70" s="500" cm="1">
        <f t="array" ref="BR70">(BF70+AY70)*0.85+('net worth - Table 1-2-1'!D69)+E70+'net worth - Table 1-2'!C69</f>
        <v>42731104.35</v>
      </c>
    </row>
    <row r="71" ht="8.75" customHeight="1" hidden="1">
      <c r="A71" s="400">
        <v>44958</v>
      </c>
      <c r="B71" s="517" cm="1">
        <f t="array" ref="B71">E71+AH71</f>
        <v>51180722</v>
      </c>
      <c r="C71" s="500" cm="1">
        <f t="array" ref="C71">F71+AL71</f>
        <v>39119285</v>
      </c>
      <c r="D71" s="536"/>
      <c r="E71" s="500">
        <v>19770460</v>
      </c>
      <c r="F71" s="500">
        <v>14200000</v>
      </c>
      <c r="G71" s="500">
        <v>5570460</v>
      </c>
      <c r="H71" s="537">
        <v>0.392285915492958</v>
      </c>
      <c r="I71" s="500">
        <v>347226</v>
      </c>
      <c r="J71" s="538">
        <v>0.0178768376059311</v>
      </c>
      <c r="K71" s="500"/>
      <c r="L71" s="500">
        <v>19770460</v>
      </c>
      <c r="M71" s="500">
        <v>14200000</v>
      </c>
      <c r="N71" s="500">
        <v>5570460</v>
      </c>
      <c r="O71" s="537">
        <v>0.392285915492958</v>
      </c>
      <c r="P71" s="500">
        <v>347226</v>
      </c>
      <c r="Q71" s="543">
        <v>0.0178768376059311</v>
      </c>
      <c r="R71" s="500"/>
      <c r="S71" s="500"/>
      <c r="T71" s="500"/>
      <c r="U71" s="500"/>
      <c r="V71" s="500"/>
      <c r="W71" s="500"/>
      <c r="X71" s="543"/>
      <c r="Y71" s="539"/>
      <c r="Z71" s="500"/>
      <c r="AA71" s="500"/>
      <c r="AB71" s="500"/>
      <c r="AC71" s="500"/>
      <c r="AD71" s="500"/>
      <c r="AE71" s="500"/>
      <c r="AF71" s="500"/>
      <c r="AG71" s="539"/>
      <c r="AH71" s="500">
        <v>31410262</v>
      </c>
      <c r="AI71" s="500">
        <v>31003512</v>
      </c>
      <c r="AJ71" s="500">
        <v>406750</v>
      </c>
      <c r="AK71" s="500">
        <v>24512535</v>
      </c>
      <c r="AL71" s="500">
        <v>24919285</v>
      </c>
      <c r="AM71" s="500">
        <v>6490977</v>
      </c>
      <c r="AN71" s="537">
        <v>0.264802355203164</v>
      </c>
      <c r="AO71" s="500">
        <v>542743</v>
      </c>
      <c r="AP71" s="538">
        <v>0.0178177707857605</v>
      </c>
      <c r="AQ71" s="538"/>
      <c r="AR71" s="500">
        <v>6998157</v>
      </c>
      <c r="AS71" s="500">
        <v>5604615</v>
      </c>
      <c r="AT71" s="500">
        <v>1393542</v>
      </c>
      <c r="AU71" s="537">
        <v>0.248641878166475</v>
      </c>
      <c r="AV71" s="500">
        <v>108479</v>
      </c>
      <c r="AW71" s="538">
        <v>0.0157451480315916</v>
      </c>
      <c r="AX71" s="500"/>
      <c r="AY71" s="500">
        <v>15668307</v>
      </c>
      <c r="AZ71" s="500">
        <v>11407920</v>
      </c>
      <c r="BA71" s="500">
        <v>2497951</v>
      </c>
      <c r="BB71" s="537">
        <v>0.218966384757256</v>
      </c>
      <c r="BC71" s="500">
        <v>283445</v>
      </c>
      <c r="BD71" s="538">
        <v>0.0184236296692164</v>
      </c>
      <c r="BE71" s="538"/>
      <c r="BF71" s="500">
        <v>8337048</v>
      </c>
      <c r="BG71" s="500">
        <v>7500000</v>
      </c>
      <c r="BH71" s="500">
        <v>837048</v>
      </c>
      <c r="BI71" s="544">
        <v>0.1116064</v>
      </c>
      <c r="BJ71" s="500">
        <v>150819</v>
      </c>
      <c r="BK71" s="538">
        <v>0.0184235012238236</v>
      </c>
      <c r="BL71" s="500" cm="1">
        <f t="array" ref="BL71">BC71+AV71+P71+BJ71</f>
        <v>889969</v>
      </c>
      <c r="BM71" s="500" cm="1">
        <f t="array" ref="BM71">SUM(BL$70:BL71)</f>
        <v>2020951</v>
      </c>
      <c r="BN71" s="500" cm="1">
        <f t="array" ref="BN71">B71-C71</f>
        <v>12061437</v>
      </c>
      <c r="BO71" s="500" cm="1">
        <f t="array" ref="BO71">BL71+'net worth - Table 1-2'!E70</f>
        <v>1099219</v>
      </c>
      <c r="BP71" s="500" cm="1">
        <f t="array" ref="BP71">SUM(BO$70:BO71)</f>
        <v>3026167</v>
      </c>
      <c r="BQ71" s="500" cm="1">
        <f t="array" ref="BQ71">B71+'net worth - Table 1-2'!C70-'net worth - Table 1-2'!B70-C71</f>
        <v>18053899.2716727</v>
      </c>
      <c r="BR71" s="500" cm="1">
        <f t="array" ref="BR71">(BF71+AY71)*0.85+('net worth - Table 1-2-1'!D70)+E71+'net worth - Table 1-2'!C70</f>
        <v>44081704.75</v>
      </c>
    </row>
    <row r="72" ht="8.75" customHeight="1" hidden="1">
      <c r="A72" s="400">
        <v>44986</v>
      </c>
      <c r="B72" s="517" cm="1">
        <f t="array" ref="B72">E72+AH72</f>
        <v>51268063</v>
      </c>
      <c r="C72" s="500" cm="1">
        <f t="array" ref="C72">F72+AL72</f>
        <v>39499140</v>
      </c>
      <c r="D72" s="536"/>
      <c r="E72" s="500">
        <v>19696814</v>
      </c>
      <c r="F72" s="500">
        <v>14200000</v>
      </c>
      <c r="G72" s="500">
        <v>5496814</v>
      </c>
      <c r="H72" s="537">
        <v>0.387099577464789</v>
      </c>
      <c r="I72" s="500">
        <v>-73646</v>
      </c>
      <c r="J72" s="538">
        <v>-0.00372505242670125</v>
      </c>
      <c r="K72" s="500"/>
      <c r="L72" s="500">
        <v>19696814</v>
      </c>
      <c r="M72" s="500">
        <v>14200000</v>
      </c>
      <c r="N72" s="500">
        <v>5496814</v>
      </c>
      <c r="O72" s="537">
        <v>0.387099577464789</v>
      </c>
      <c r="P72" s="500">
        <v>-73646</v>
      </c>
      <c r="Q72" s="543">
        <v>-0.00372505242670125</v>
      </c>
      <c r="R72" s="500"/>
      <c r="S72" s="500"/>
      <c r="T72" s="500"/>
      <c r="U72" s="500"/>
      <c r="V72" s="500"/>
      <c r="W72" s="500"/>
      <c r="X72" s="543"/>
      <c r="Y72" s="539"/>
      <c r="Z72" s="500"/>
      <c r="AA72" s="500"/>
      <c r="AB72" s="500"/>
      <c r="AC72" s="500"/>
      <c r="AD72" s="500"/>
      <c r="AE72" s="500"/>
      <c r="AF72" s="500"/>
      <c r="AG72" s="539"/>
      <c r="AH72" s="500">
        <v>31571249</v>
      </c>
      <c r="AI72" s="500">
        <v>31074403</v>
      </c>
      <c r="AJ72" s="500">
        <v>496846</v>
      </c>
      <c r="AK72" s="500">
        <v>24802294</v>
      </c>
      <c r="AL72" s="500">
        <v>25299140</v>
      </c>
      <c r="AM72" s="500">
        <v>6272109</v>
      </c>
      <c r="AN72" s="537">
        <v>0.252884229176543</v>
      </c>
      <c r="AO72" s="500">
        <v>-218868</v>
      </c>
      <c r="AP72" s="538">
        <v>-0.00699409147736585</v>
      </c>
      <c r="AQ72" s="538"/>
      <c r="AR72" s="500">
        <v>7143328</v>
      </c>
      <c r="AS72" s="500">
        <v>5894374</v>
      </c>
      <c r="AT72" s="500">
        <v>1248954</v>
      </c>
      <c r="AU72" s="537">
        <v>0.211889167535009</v>
      </c>
      <c r="AV72" s="500">
        <v>-144588</v>
      </c>
      <c r="AW72" s="538">
        <v>-0.0198394163708802</v>
      </c>
      <c r="AX72" s="500"/>
      <c r="AY72" s="500">
        <v>15619824</v>
      </c>
      <c r="AZ72" s="500">
        <v>11407920</v>
      </c>
      <c r="BA72" s="500">
        <v>2449468</v>
      </c>
      <c r="BB72" s="537">
        <v>0.2147164426118</v>
      </c>
      <c r="BC72" s="500">
        <v>-48483</v>
      </c>
      <c r="BD72" s="538">
        <v>-0.00309433559094802</v>
      </c>
      <c r="BE72" s="538"/>
      <c r="BF72" s="500">
        <v>8311251</v>
      </c>
      <c r="BG72" s="500">
        <v>7500000</v>
      </c>
      <c r="BH72" s="500">
        <v>811251</v>
      </c>
      <c r="BI72" s="544">
        <v>0.1081668</v>
      </c>
      <c r="BJ72" s="500">
        <v>-25797</v>
      </c>
      <c r="BK72" s="538">
        <v>-0.00309426070234932</v>
      </c>
      <c r="BL72" s="500" cm="1">
        <f t="array" ref="BL72">BC72+AV72+P72+BJ72</f>
        <v>-292514</v>
      </c>
      <c r="BM72" s="500" cm="1">
        <f t="array" ref="BM72">SUM(BL$70:BL72)</f>
        <v>1728437</v>
      </c>
      <c r="BN72" s="500" cm="1">
        <f t="array" ref="BN72">B72-C72</f>
        <v>11768923</v>
      </c>
      <c r="BO72" s="500" cm="1">
        <f t="array" ref="BO72">BL72+'net worth - Table 1-2'!E71</f>
        <v>260081</v>
      </c>
      <c r="BP72" s="500" cm="1">
        <f t="array" ref="BP72">SUM(BO$70:BO72)</f>
        <v>3286248</v>
      </c>
      <c r="BQ72" s="500" cm="1">
        <f t="array" ref="BQ72">B72+'net worth - Table 1-2'!C71-'net worth - Table 1-2'!B71-C72</f>
        <v>18313980.2716727</v>
      </c>
      <c r="BR72" s="500" cm="1">
        <f t="array" ref="BR72">(BF72+AY72)*0.85+('net worth - Table 1-2-1'!D71)+E72+'net worth - Table 1-2'!C71</f>
        <v>44497515.75</v>
      </c>
    </row>
    <row r="73" ht="8.75" customHeight="1" hidden="1">
      <c r="A73" s="400">
        <v>45017</v>
      </c>
      <c r="B73" s="517" cm="1">
        <f t="array" ref="B73">E73+AH73</f>
        <v>52481528</v>
      </c>
      <c r="C73" s="500" cm="1">
        <f t="array" ref="C73">F73+AL73</f>
        <v>40472171</v>
      </c>
      <c r="D73" s="536"/>
      <c r="E73" s="500">
        <v>19754277</v>
      </c>
      <c r="F73" s="500">
        <v>14200000</v>
      </c>
      <c r="G73" s="500">
        <v>5554277</v>
      </c>
      <c r="H73" s="537">
        <v>0.391146267605634</v>
      </c>
      <c r="I73" s="500">
        <v>57463</v>
      </c>
      <c r="J73" s="538">
        <v>0.00291737536842253</v>
      </c>
      <c r="K73" s="500"/>
      <c r="L73" s="500">
        <v>19754277</v>
      </c>
      <c r="M73" s="500">
        <v>14200000</v>
      </c>
      <c r="N73" s="500">
        <v>5554277</v>
      </c>
      <c r="O73" s="537">
        <v>0.391146267605634</v>
      </c>
      <c r="P73" s="500">
        <v>57463</v>
      </c>
      <c r="Q73" s="543">
        <v>0.00291737536842253</v>
      </c>
      <c r="R73" s="500"/>
      <c r="S73" s="500"/>
      <c r="T73" s="500"/>
      <c r="U73" s="500"/>
      <c r="V73" s="500"/>
      <c r="W73" s="500"/>
      <c r="X73" s="543"/>
      <c r="Y73" s="539"/>
      <c r="Z73" s="500"/>
      <c r="AA73" s="500"/>
      <c r="AB73" s="500"/>
      <c r="AC73" s="500"/>
      <c r="AD73" s="500"/>
      <c r="AE73" s="500"/>
      <c r="AF73" s="500"/>
      <c r="AG73" s="539"/>
      <c r="AH73" s="500">
        <v>32727251</v>
      </c>
      <c r="AI73" s="500">
        <v>32147670</v>
      </c>
      <c r="AJ73" s="500">
        <v>579581</v>
      </c>
      <c r="AK73" s="500">
        <v>25692590</v>
      </c>
      <c r="AL73" s="500">
        <v>26272171</v>
      </c>
      <c r="AM73" s="500">
        <v>6455080</v>
      </c>
      <c r="AN73" s="537">
        <v>0.251242868079863</v>
      </c>
      <c r="AO73" s="500">
        <v>182971</v>
      </c>
      <c r="AP73" s="538">
        <v>0.00572415839110514</v>
      </c>
      <c r="AQ73" s="538"/>
      <c r="AR73" s="500">
        <v>7538750</v>
      </c>
      <c r="AS73" s="500">
        <v>6184670</v>
      </c>
      <c r="AT73" s="500">
        <v>1354080</v>
      </c>
      <c r="AU73" s="537">
        <v>0.218941350144793</v>
      </c>
      <c r="AV73" s="500">
        <v>105126</v>
      </c>
      <c r="AW73" s="538">
        <v>0.0141419582158043</v>
      </c>
      <c r="AX73" s="500"/>
      <c r="AY73" s="500">
        <v>16268785</v>
      </c>
      <c r="AZ73" s="500">
        <v>12007920</v>
      </c>
      <c r="BA73" s="500">
        <v>2498429</v>
      </c>
      <c r="BB73" s="537">
        <v>0.208065093704821</v>
      </c>
      <c r="BC73" s="500">
        <v>48961</v>
      </c>
      <c r="BD73" s="538">
        <v>0.00301859009074328</v>
      </c>
      <c r="BE73" s="538"/>
      <c r="BF73" s="500">
        <v>8340135</v>
      </c>
      <c r="BG73" s="500">
        <v>7500000</v>
      </c>
      <c r="BH73" s="500">
        <v>840135</v>
      </c>
      <c r="BI73" s="544">
        <v>0.112018</v>
      </c>
      <c r="BJ73" s="500">
        <v>28884</v>
      </c>
      <c r="BK73" s="538">
        <v>0.00347528909907786</v>
      </c>
      <c r="BL73" s="500" cm="1">
        <f t="array" ref="BL73">BC73+AV73+P73+BJ73</f>
        <v>240434</v>
      </c>
      <c r="BM73" s="500" cm="1">
        <f t="array" ref="BM73">SUM(BL$70:BL73)</f>
        <v>1968871</v>
      </c>
      <c r="BN73" s="500" cm="1">
        <f t="array" ref="BN73">B73-C73</f>
        <v>12009357</v>
      </c>
      <c r="BO73" s="500" cm="1">
        <f t="array" ref="BO73">BL73+'net worth - Table 1-2'!E72</f>
        <v>366949</v>
      </c>
      <c r="BP73" s="500" cm="1">
        <f t="array" ref="BP73">SUM(BO$70:BO73)</f>
        <v>3653197</v>
      </c>
      <c r="BQ73" s="500" cm="1">
        <f t="array" ref="BQ73">B73+'net worth - Table 1-2'!C72-'net worth - Table 1-2'!B72-C73</f>
        <v>18680929.2716727</v>
      </c>
      <c r="BR73" s="500" cm="1">
        <f t="array" ref="BR73">(BF73+AY73)*0.85+('net worth - Table 1-2-1'!D72)+E73+'net worth - Table 1-2'!C72</f>
        <v>45257662</v>
      </c>
    </row>
    <row r="74" ht="8.75" customHeight="1" hidden="1">
      <c r="A74" s="400">
        <v>45047</v>
      </c>
      <c r="B74" s="517" cm="1">
        <f t="array" ref="B74">E74+AH74</f>
        <v>55705952</v>
      </c>
      <c r="C74" s="500" cm="1">
        <f t="array" ref="C74">F74+AL74</f>
        <v>41696261</v>
      </c>
      <c r="D74" s="536"/>
      <c r="E74" s="500">
        <v>20900676</v>
      </c>
      <c r="F74" s="500">
        <v>14450000</v>
      </c>
      <c r="G74" s="500">
        <v>6450676</v>
      </c>
      <c r="H74" s="537">
        <v>0.446413564013841</v>
      </c>
      <c r="I74" s="500">
        <v>896399</v>
      </c>
      <c r="J74" s="538">
        <v>0.0448103673029523</v>
      </c>
      <c r="K74" s="500"/>
      <c r="L74" s="500">
        <v>20900676</v>
      </c>
      <c r="M74" s="500">
        <v>14450000</v>
      </c>
      <c r="N74" s="500">
        <v>6450676</v>
      </c>
      <c r="O74" s="537">
        <v>0.446413564013841</v>
      </c>
      <c r="P74" s="500">
        <v>896399</v>
      </c>
      <c r="Q74" s="543">
        <v>0.04537746433342</v>
      </c>
      <c r="R74" s="500"/>
      <c r="S74" s="500"/>
      <c r="T74" s="500"/>
      <c r="U74" s="500"/>
      <c r="V74" s="500"/>
      <c r="W74" s="500"/>
      <c r="X74" s="543"/>
      <c r="Y74" s="539"/>
      <c r="Z74" s="500"/>
      <c r="AA74" s="500"/>
      <c r="AB74" s="500"/>
      <c r="AC74" s="500"/>
      <c r="AD74" s="500"/>
      <c r="AE74" s="500"/>
      <c r="AF74" s="500"/>
      <c r="AG74" s="539"/>
      <c r="AH74" s="500">
        <v>34805276</v>
      </c>
      <c r="AI74" s="500">
        <v>34144048</v>
      </c>
      <c r="AJ74" s="500">
        <v>661228</v>
      </c>
      <c r="AK74" s="500">
        <v>26585033</v>
      </c>
      <c r="AL74" s="500">
        <v>27246261</v>
      </c>
      <c r="AM74" s="500">
        <v>7559015</v>
      </c>
      <c r="AN74" s="537">
        <v>0.284333481925714</v>
      </c>
      <c r="AO74" s="500">
        <v>1103935</v>
      </c>
      <c r="AP74" s="538">
        <v>0.0334119619990404</v>
      </c>
      <c r="AQ74" s="538"/>
      <c r="AR74" s="500">
        <v>7790913</v>
      </c>
      <c r="AS74" s="500">
        <v>6477113</v>
      </c>
      <c r="AT74" s="500">
        <v>1313800</v>
      </c>
      <c r="AU74" s="537">
        <v>0.202837282597972</v>
      </c>
      <c r="AV74" s="500">
        <v>-40280</v>
      </c>
      <c r="AW74" s="538">
        <v>-0.00514353304790215</v>
      </c>
      <c r="AX74" s="500"/>
      <c r="AY74" s="500">
        <v>17634447</v>
      </c>
      <c r="AZ74" s="500">
        <v>12607920</v>
      </c>
      <c r="BA74" s="500">
        <v>3264091</v>
      </c>
      <c r="BB74" s="537">
        <v>0.258892109086987</v>
      </c>
      <c r="BC74" s="500">
        <v>765662</v>
      </c>
      <c r="BD74" s="538">
        <v>0.0453892796665557</v>
      </c>
      <c r="BE74" s="538"/>
      <c r="BF74" s="500">
        <v>8718688</v>
      </c>
      <c r="BG74" s="500">
        <v>7500000</v>
      </c>
      <c r="BH74" s="500">
        <v>1218688</v>
      </c>
      <c r="BI74" s="544">
        <v>0.162491733333333</v>
      </c>
      <c r="BJ74" s="500">
        <v>378553</v>
      </c>
      <c r="BK74" s="538">
        <v>0.0453893132425314</v>
      </c>
      <c r="BL74" s="500" cm="1">
        <f t="array" ref="BL74">BC74+AV74+P74+BJ74</f>
        <v>2000334</v>
      </c>
      <c r="BM74" s="500" cm="1">
        <f t="array" ref="BM74">SUM(BL$70:BL74)</f>
        <v>3969205</v>
      </c>
      <c r="BN74" s="500" cm="1">
        <f t="array" ref="BN74">B74-C74</f>
        <v>14009691</v>
      </c>
      <c r="BO74" s="500" cm="1">
        <f t="array" ref="BO74">BL74+'net worth - Table 1-2'!E73</f>
        <v>1787565</v>
      </c>
      <c r="BP74" s="500" cm="1">
        <f t="array" ref="BP74">SUM(BO$70:BO74)</f>
        <v>5440762</v>
      </c>
      <c r="BQ74" s="500" cm="1">
        <f t="array" ref="BQ74">B74+'net worth - Table 1-2'!C73-'net worth - Table 1-2'!B73-C74</f>
        <v>20468494.2716727</v>
      </c>
      <c r="BR74" s="500" cm="1">
        <f t="array" ref="BR74">(BF74+AY74)*0.85+('net worth - Table 1-2-1'!D73)+E74+'net worth - Table 1-2'!C73</f>
        <v>47673874.75</v>
      </c>
    </row>
    <row r="75" ht="8.75" customHeight="1" hidden="1">
      <c r="A75" s="400">
        <v>45078</v>
      </c>
      <c r="B75" s="517" cm="1">
        <f t="array" ref="B75">E75+AH75</f>
        <v>58561297</v>
      </c>
      <c r="C75" s="500" cm="1">
        <f t="array" ref="C75">F75+AL75</f>
        <v>42084084</v>
      </c>
      <c r="D75" s="536"/>
      <c r="E75" s="500">
        <v>21905792</v>
      </c>
      <c r="F75" s="500">
        <v>14450000</v>
      </c>
      <c r="G75" s="500">
        <v>7455792</v>
      </c>
      <c r="H75" s="537">
        <v>0.515971764705882</v>
      </c>
      <c r="I75" s="500">
        <v>1005116</v>
      </c>
      <c r="J75" s="538">
        <v>0.0480901191904032</v>
      </c>
      <c r="K75" s="500"/>
      <c r="L75" s="500">
        <v>21905792</v>
      </c>
      <c r="M75" s="500">
        <v>14450000</v>
      </c>
      <c r="N75" s="500">
        <v>7455792</v>
      </c>
      <c r="O75" s="537">
        <v>0.515971764705882</v>
      </c>
      <c r="P75" s="500">
        <v>1005116</v>
      </c>
      <c r="Q75" s="543">
        <v>0.0480901191904032</v>
      </c>
      <c r="R75" s="500"/>
      <c r="S75" s="500"/>
      <c r="T75" s="500"/>
      <c r="U75" s="500"/>
      <c r="V75" s="500"/>
      <c r="W75" s="500"/>
      <c r="X75" s="543"/>
      <c r="Y75" s="539"/>
      <c r="Z75" s="500"/>
      <c r="AA75" s="500"/>
      <c r="AB75" s="500"/>
      <c r="AC75" s="500"/>
      <c r="AD75" s="500"/>
      <c r="AE75" s="500"/>
      <c r="AF75" s="500"/>
      <c r="AG75" s="539"/>
      <c r="AH75" s="500">
        <v>36655505</v>
      </c>
      <c r="AI75" s="500">
        <v>35902320</v>
      </c>
      <c r="AJ75" s="500">
        <v>753185</v>
      </c>
      <c r="AK75" s="500">
        <v>26880899</v>
      </c>
      <c r="AL75" s="500">
        <v>27634084</v>
      </c>
      <c r="AM75" s="500">
        <v>9021421</v>
      </c>
      <c r="AN75" s="537">
        <v>0.335607116413778</v>
      </c>
      <c r="AO75" s="500">
        <v>1462406</v>
      </c>
      <c r="AP75" s="538">
        <v>0.0424625334430278</v>
      </c>
      <c r="AQ75" s="538"/>
      <c r="AR75" s="500">
        <v>8264918</v>
      </c>
      <c r="AS75" s="500">
        <v>6772979</v>
      </c>
      <c r="AT75" s="500">
        <v>1491939</v>
      </c>
      <c r="AU75" s="537">
        <v>0.220278108052601</v>
      </c>
      <c r="AV75" s="500">
        <v>178139</v>
      </c>
      <c r="AW75" s="538">
        <v>0.0220284244196608</v>
      </c>
      <c r="AX75" s="500"/>
      <c r="AY75" s="500">
        <v>18493826</v>
      </c>
      <c r="AZ75" s="500">
        <v>12607920</v>
      </c>
      <c r="BA75" s="500">
        <v>4123470</v>
      </c>
      <c r="BB75" s="537">
        <v>0.327053947042811</v>
      </c>
      <c r="BC75" s="500">
        <v>859379</v>
      </c>
      <c r="BD75" s="538">
        <v>0.0487329713259509</v>
      </c>
      <c r="BE75" s="538"/>
      <c r="BF75" s="500">
        <v>9143576</v>
      </c>
      <c r="BG75" s="500">
        <v>7500000</v>
      </c>
      <c r="BH75" s="500">
        <v>1643576</v>
      </c>
      <c r="BI75" s="544">
        <v>0.219143466666667</v>
      </c>
      <c r="BJ75" s="500">
        <v>424888</v>
      </c>
      <c r="BK75" s="538">
        <v>0.0487330203810482</v>
      </c>
      <c r="BL75" s="500" cm="1">
        <f t="array" ref="BL75">BC75+AV75+P75+BJ75</f>
        <v>2467522</v>
      </c>
      <c r="BM75" s="500" cm="1">
        <f t="array" ref="BM75">SUM(BL$70:BL75)</f>
        <v>6436727</v>
      </c>
      <c r="BN75" s="500" cm="1">
        <f t="array" ref="BN75">B75-C75</f>
        <v>16477213</v>
      </c>
      <c r="BO75" s="500" cm="1">
        <f t="array" ref="BO75">BL75+'net worth - Table 1-2'!E74</f>
        <v>2745698</v>
      </c>
      <c r="BP75" s="500" cm="1">
        <f t="array" ref="BP75">SUM(BO$70:BO75)</f>
        <v>8186460</v>
      </c>
      <c r="BQ75" s="500" cm="1">
        <f t="array" ref="BQ75">B75+'net worth - Table 1-2'!C74-'net worth - Table 1-2'!B74-C75</f>
        <v>23214192.2716727</v>
      </c>
      <c r="BR75" s="500" cm="1">
        <f t="array" ref="BR75">(BF75+AY75)*0.85+('net worth - Table 1-2-1'!D74)+E75+'net worth - Table 1-2'!C74</f>
        <v>50048793.7</v>
      </c>
    </row>
    <row r="76" ht="8.75" customHeight="1" hidden="1">
      <c r="A76" s="400">
        <v>45108</v>
      </c>
      <c r="B76" s="517" cm="1">
        <f t="array" ref="B76">E76+AH76</f>
        <v>64308066</v>
      </c>
      <c r="C76" s="500" cm="1">
        <f t="array" ref="C76">F76+AL76</f>
        <v>43067155</v>
      </c>
      <c r="D76" s="536"/>
      <c r="E76" s="500">
        <v>23745157</v>
      </c>
      <c r="F76" s="500">
        <v>14450000</v>
      </c>
      <c r="G76" s="500">
        <v>9295157</v>
      </c>
      <c r="H76" s="537">
        <v>0.643263460207612</v>
      </c>
      <c r="I76" s="500">
        <v>1839365</v>
      </c>
      <c r="J76" s="538">
        <v>0.0839670622271954</v>
      </c>
      <c r="K76" s="500"/>
      <c r="L76" s="500">
        <v>23745157</v>
      </c>
      <c r="M76" s="500">
        <v>14450000</v>
      </c>
      <c r="N76" s="500">
        <v>9295157</v>
      </c>
      <c r="O76" s="537">
        <v>0.643263460207612</v>
      </c>
      <c r="P76" s="500">
        <v>1839365</v>
      </c>
      <c r="Q76" s="543">
        <v>0.0839670622271954</v>
      </c>
      <c r="R76" s="500"/>
      <c r="S76" s="500"/>
      <c r="T76" s="500"/>
      <c r="U76" s="500"/>
      <c r="V76" s="500"/>
      <c r="W76" s="500"/>
      <c r="X76" s="543"/>
      <c r="Y76" s="539"/>
      <c r="Z76" s="500"/>
      <c r="AA76" s="500"/>
      <c r="AB76" s="500"/>
      <c r="AC76" s="500"/>
      <c r="AD76" s="500"/>
      <c r="AE76" s="500"/>
      <c r="AF76" s="500"/>
      <c r="AG76" s="539"/>
      <c r="AH76" s="500">
        <v>40562909</v>
      </c>
      <c r="AI76" s="500">
        <v>39721143</v>
      </c>
      <c r="AJ76" s="500">
        <v>841766</v>
      </c>
      <c r="AK76" s="500">
        <v>27775389</v>
      </c>
      <c r="AL76" s="500">
        <v>28617155</v>
      </c>
      <c r="AM76" s="500">
        <v>11945754</v>
      </c>
      <c r="AN76" s="537">
        <v>0.430084129514802</v>
      </c>
      <c r="AO76" s="500">
        <v>2924333</v>
      </c>
      <c r="AP76" s="538">
        <v>0.07947245970506681</v>
      </c>
      <c r="AQ76" s="538"/>
      <c r="AR76" s="500">
        <v>9095701</v>
      </c>
      <c r="AS76" s="500">
        <v>7067469</v>
      </c>
      <c r="AT76" s="500">
        <v>2028232</v>
      </c>
      <c r="AU76" s="537">
        <v>0.286981379048143</v>
      </c>
      <c r="AV76" s="500">
        <v>536293</v>
      </c>
      <c r="AW76" s="538">
        <v>0.06265538457799889</v>
      </c>
      <c r="AX76" s="500"/>
      <c r="AY76" s="500">
        <v>20513370</v>
      </c>
      <c r="AZ76" s="500">
        <v>13027920</v>
      </c>
      <c r="BA76" s="500">
        <v>5723014</v>
      </c>
      <c r="BB76" s="537">
        <v>0.439288389858089</v>
      </c>
      <c r="BC76" s="500">
        <v>1599544</v>
      </c>
      <c r="BD76" s="538">
        <v>0.0845700917413537</v>
      </c>
      <c r="BE76" s="538"/>
      <c r="BF76" s="500">
        <v>10112072</v>
      </c>
      <c r="BG76" s="500">
        <v>7680000</v>
      </c>
      <c r="BH76" s="500">
        <v>2432072</v>
      </c>
      <c r="BI76" s="544">
        <v>0.316676041666667</v>
      </c>
      <c r="BJ76" s="500">
        <v>788496</v>
      </c>
      <c r="BK76" s="538">
        <v>0.0845701263120502</v>
      </c>
      <c r="BL76" s="500" cm="1">
        <f t="array" ref="BL76">BC76+AV76+P76+BJ76</f>
        <v>4763698</v>
      </c>
      <c r="BM76" s="500" cm="1">
        <f t="array" ref="BM76">SUM(BL$70:BL76)</f>
        <v>11200425</v>
      </c>
      <c r="BN76" s="500" cm="1">
        <f t="array" ref="BN76">B76-C76</f>
        <v>21240911</v>
      </c>
      <c r="BO76" s="500" cm="1">
        <f t="array" ref="BO76">BL76+'net worth - Table 1-2'!E75</f>
        <v>4733089</v>
      </c>
      <c r="BP76" s="500" cm="1">
        <f t="array" ref="BP76">SUM(BO$70:BO76)</f>
        <v>12919549</v>
      </c>
      <c r="BQ76" s="500" cm="1">
        <f t="array" ref="BQ76">B76+'net worth - Table 1-2'!C75-'net worth - Table 1-2'!B75-C76</f>
        <v>27947281.2716727</v>
      </c>
      <c r="BR76" s="500" cm="1">
        <f t="array" ref="BR76">(BF76+AY76)*0.85+('net worth - Table 1-2-1'!D75)+E76+'net worth - Table 1-2'!C75</f>
        <v>54397383.7</v>
      </c>
    </row>
    <row r="77" ht="8.75" customHeight="1" hidden="1">
      <c r="A77" s="400">
        <v>45139</v>
      </c>
      <c r="B77" s="517" cm="1">
        <f t="array" ref="B77">E77+AH77</f>
        <v>64179430.149703</v>
      </c>
      <c r="C77" s="500" cm="1">
        <f t="array" ref="C77">F77+AL77</f>
        <v>44044062</v>
      </c>
      <c r="D77" s="536"/>
      <c r="E77" s="500">
        <v>23329779.149703</v>
      </c>
      <c r="F77" s="500">
        <v>14450000</v>
      </c>
      <c r="G77" s="500">
        <v>8879779.149703</v>
      </c>
      <c r="H77" s="537">
        <v>0.61451758821474</v>
      </c>
      <c r="I77" s="500">
        <v>-415377.850297</v>
      </c>
      <c r="J77" s="538">
        <v>-0.0174931608284165</v>
      </c>
      <c r="K77" s="500"/>
      <c r="L77" s="500">
        <v>23329779.149703</v>
      </c>
      <c r="M77" s="500">
        <v>14450000</v>
      </c>
      <c r="N77" s="500">
        <v>8879779.149703</v>
      </c>
      <c r="O77" s="537">
        <v>0.61451758821474</v>
      </c>
      <c r="P77" s="500">
        <v>-415377.850297</v>
      </c>
      <c r="Q77" s="543">
        <v>-0.0174931608284165</v>
      </c>
      <c r="R77" s="500"/>
      <c r="S77" s="500"/>
      <c r="T77" s="500"/>
      <c r="U77" s="500"/>
      <c r="V77" s="500"/>
      <c r="W77" s="500"/>
      <c r="X77" s="543"/>
      <c r="Y77" s="539"/>
      <c r="Z77" s="500"/>
      <c r="AA77" s="500"/>
      <c r="AB77" s="500"/>
      <c r="AC77" s="500"/>
      <c r="AD77" s="500"/>
      <c r="AE77" s="500"/>
      <c r="AF77" s="500"/>
      <c r="AG77" s="539"/>
      <c r="AH77" s="500">
        <v>40849651</v>
      </c>
      <c r="AI77" s="500">
        <v>39925138</v>
      </c>
      <c r="AJ77" s="500">
        <v>924513</v>
      </c>
      <c r="AK77" s="500">
        <v>28669549</v>
      </c>
      <c r="AL77" s="500">
        <v>29594062</v>
      </c>
      <c r="AM77" s="500">
        <v>11255589</v>
      </c>
      <c r="AN77" s="537">
        <v>0.392597351287249</v>
      </c>
      <c r="AO77" s="500">
        <v>-690165</v>
      </c>
      <c r="AP77" s="538">
        <v>-0.0169927330100184</v>
      </c>
      <c r="AQ77" s="538"/>
      <c r="AR77" s="500">
        <v>9228463</v>
      </c>
      <c r="AS77" s="500">
        <v>7361629</v>
      </c>
      <c r="AT77" s="500">
        <v>1866834</v>
      </c>
      <c r="AU77" s="537">
        <v>0.253589796497487</v>
      </c>
      <c r="AV77" s="500">
        <v>-161398</v>
      </c>
      <c r="AW77" s="538">
        <v>-0.0171885398516549</v>
      </c>
      <c r="AX77" s="500"/>
      <c r="AY77" s="500">
        <v>20165952</v>
      </c>
      <c r="AZ77" s="500">
        <v>13027920</v>
      </c>
      <c r="BA77" s="500">
        <v>5375596</v>
      </c>
      <c r="BB77" s="537">
        <v>0.4126212012355</v>
      </c>
      <c r="BC77" s="500">
        <v>-347418</v>
      </c>
      <c r="BD77" s="538">
        <v>-0.0169361738222437</v>
      </c>
      <c r="BE77" s="538"/>
      <c r="BF77" s="500">
        <v>10530723</v>
      </c>
      <c r="BG77" s="500">
        <v>8280000</v>
      </c>
      <c r="BH77" s="500">
        <v>2250723</v>
      </c>
      <c r="BI77" s="544">
        <v>0.271826449275362</v>
      </c>
      <c r="BJ77" s="500">
        <v>-181349</v>
      </c>
      <c r="BK77" s="538">
        <v>-0.0169294045073633</v>
      </c>
      <c r="BL77" s="500" cm="1">
        <f t="array" ref="BL77">BC77+AV77+P77+BJ77</f>
        <v>-1105542.850297</v>
      </c>
      <c r="BM77" s="500" cm="1">
        <f t="array" ref="BM77">SUM(BL$70:BL77)</f>
        <v>10094882.149703</v>
      </c>
      <c r="BN77" s="500" cm="1">
        <f t="array" ref="BN77">B77-C77</f>
        <v>20135368.149703</v>
      </c>
      <c r="BO77" s="500" cm="1">
        <f t="array" ref="BO77">BL77+'net worth - Table 1-2'!E76</f>
        <v>-1486352.850297</v>
      </c>
      <c r="BP77" s="500" cm="1">
        <f t="array" ref="BP77">SUM(BO$70:BO77)</f>
        <v>11433196.149703</v>
      </c>
      <c r="BQ77" s="500" cm="1">
        <f t="array" ref="BQ77">B77+'net worth - Table 1-2'!C76-'net worth - Table 1-2'!B76-C77</f>
        <v>26460928.4213757</v>
      </c>
      <c r="BR77" s="500" cm="1">
        <f t="array" ref="BR77">(BF77+AY77)*0.85+('net worth - Table 1-2-1'!D76)+E77+'net worth - Table 1-2'!C76</f>
        <v>53661743.899703</v>
      </c>
    </row>
    <row r="78" ht="8.75" customHeight="1" hidden="1">
      <c r="A78" s="400">
        <v>45170</v>
      </c>
      <c r="B78" s="517" cm="1">
        <f t="array" ref="B78">E78+AH78</f>
        <v>64405715.3785925</v>
      </c>
      <c r="C78" s="500" cm="1">
        <f t="array" ref="C78">F78+AL78</f>
        <v>44425509</v>
      </c>
      <c r="D78" s="536"/>
      <c r="E78" s="500">
        <v>23157780.3785925</v>
      </c>
      <c r="F78" s="500">
        <v>14450000</v>
      </c>
      <c r="G78" s="500">
        <v>8707780.3785925</v>
      </c>
      <c r="H78" s="537">
        <v>0.602614559072145</v>
      </c>
      <c r="I78" s="500">
        <v>-171998.7711105</v>
      </c>
      <c r="J78" s="538">
        <v>-0.00737249889966016</v>
      </c>
      <c r="K78" s="500"/>
      <c r="L78" s="500">
        <v>23157780.3785925</v>
      </c>
      <c r="M78" s="500">
        <v>14450000</v>
      </c>
      <c r="N78" s="500">
        <v>8707780.3785925</v>
      </c>
      <c r="O78" s="537">
        <v>0.602614559072145</v>
      </c>
      <c r="P78" s="500">
        <v>-171998.7711105</v>
      </c>
      <c r="Q78" s="543">
        <v>-0.00737249889966016</v>
      </c>
      <c r="R78" s="500"/>
      <c r="S78" s="500"/>
      <c r="T78" s="500"/>
      <c r="U78" s="500"/>
      <c r="V78" s="500"/>
      <c r="W78" s="500"/>
      <c r="X78" s="543"/>
      <c r="Y78" s="539"/>
      <c r="Z78" s="500"/>
      <c r="AA78" s="500"/>
      <c r="AB78" s="500"/>
      <c r="AC78" s="500"/>
      <c r="AD78" s="500"/>
      <c r="AE78" s="500"/>
      <c r="AF78" s="500"/>
      <c r="AG78" s="539"/>
      <c r="AH78" s="500">
        <v>41247935</v>
      </c>
      <c r="AI78" s="500">
        <v>40236798</v>
      </c>
      <c r="AJ78" s="500">
        <v>1011137</v>
      </c>
      <c r="AK78" s="500">
        <v>28964372</v>
      </c>
      <c r="AL78" s="500">
        <v>29975509</v>
      </c>
      <c r="AM78" s="500">
        <v>11272426</v>
      </c>
      <c r="AN78" s="537">
        <v>0.389182475629025</v>
      </c>
      <c r="AO78" s="500">
        <v>16837</v>
      </c>
      <c r="AP78" s="538">
        <v>0.00041862298175774</v>
      </c>
      <c r="AQ78" s="538"/>
      <c r="AR78" s="500">
        <v>9748313</v>
      </c>
      <c r="AS78" s="500">
        <v>7656452</v>
      </c>
      <c r="AT78" s="500">
        <v>2091861</v>
      </c>
      <c r="AU78" s="537">
        <v>0.273215452797196</v>
      </c>
      <c r="AV78" s="500">
        <v>225027</v>
      </c>
      <c r="AW78" s="538">
        <v>0.0236291338934901</v>
      </c>
      <c r="AX78" s="500"/>
      <c r="AY78" s="500">
        <v>20029183</v>
      </c>
      <c r="AZ78" s="500">
        <v>13027920</v>
      </c>
      <c r="BA78" s="500">
        <v>5238827</v>
      </c>
      <c r="BB78" s="537">
        <v>0.402123055714189</v>
      </c>
      <c r="BC78" s="500">
        <v>-136769</v>
      </c>
      <c r="BD78" s="538">
        <v>-0.00678217423110002</v>
      </c>
      <c r="BE78" s="538"/>
      <c r="BF78" s="500">
        <v>10459302</v>
      </c>
      <c r="BG78" s="500">
        <v>8280000</v>
      </c>
      <c r="BH78" s="500">
        <v>2179302</v>
      </c>
      <c r="BI78" s="544">
        <v>0.263200724637681</v>
      </c>
      <c r="BJ78" s="500">
        <v>-71421</v>
      </c>
      <c r="BK78" s="538">
        <v>-0.0067821554132608</v>
      </c>
      <c r="BL78" s="500" cm="1">
        <f t="array" ref="BL78">BC78+AV78+P78+BJ78</f>
        <v>-155161.7711105</v>
      </c>
      <c r="BM78" s="500" cm="1">
        <f t="array" ref="BM78">SUM(BL$70:BL78)</f>
        <v>9939720.3785925</v>
      </c>
      <c r="BN78" s="500" cm="1">
        <f t="array" ref="BN78">B78-C78</f>
        <v>19980206.3785925</v>
      </c>
      <c r="BO78" s="500" cm="1">
        <f t="array" ref="BO78">BL78+'net worth - Table 1-2'!E77</f>
        <v>285341.2288895</v>
      </c>
      <c r="BP78" s="500" cm="1">
        <f t="array" ref="BP78">SUM(BO$70:BO78)</f>
        <v>11718537.3785925</v>
      </c>
      <c r="BQ78" s="500" cm="1">
        <f t="array" ref="BQ78">B78+'net worth - Table 1-2'!C77-'net worth - Table 1-2'!B77-C78</f>
        <v>26746269.6502652</v>
      </c>
      <c r="BR78" s="500" cm="1">
        <f t="array" ref="BR78">(BF78+AY78)*0.85+('net worth - Table 1-2-1'!D77)+E78+'net worth - Table 1-2'!C77</f>
        <v>53753286.6285925</v>
      </c>
    </row>
    <row r="79" ht="8.75" customHeight="1" hidden="1">
      <c r="A79" s="400">
        <v>45200</v>
      </c>
      <c r="B79" s="517" cm="1">
        <f t="array" ref="B79">E79+AH79</f>
        <v>63032060.5325272</v>
      </c>
      <c r="C79" s="500" cm="1">
        <f t="array" ref="C79">F79+AL79</f>
        <v>44793721</v>
      </c>
      <c r="D79" s="536"/>
      <c r="E79" s="500">
        <v>22298128.5325272</v>
      </c>
      <c r="F79" s="500">
        <v>14450000</v>
      </c>
      <c r="G79" s="500">
        <v>7848128.5325272</v>
      </c>
      <c r="H79" s="537">
        <v>0.5431230818357921</v>
      </c>
      <c r="I79" s="500">
        <v>-859651.8460653001</v>
      </c>
      <c r="J79" s="538">
        <v>-0.0371215130298057</v>
      </c>
      <c r="K79" s="500"/>
      <c r="L79" s="500">
        <v>22298128.5325272</v>
      </c>
      <c r="M79" s="500">
        <v>14450000</v>
      </c>
      <c r="N79" s="500">
        <v>7848128.5325272</v>
      </c>
      <c r="O79" s="537">
        <v>0.5431230818357921</v>
      </c>
      <c r="P79" s="500">
        <v>-859651.8460653001</v>
      </c>
      <c r="Q79" s="543">
        <v>-0.0371215130298057</v>
      </c>
      <c r="R79" s="500"/>
      <c r="S79" s="500"/>
      <c r="T79" s="500"/>
      <c r="U79" s="500"/>
      <c r="V79" s="500"/>
      <c r="W79" s="500"/>
      <c r="X79" s="543"/>
      <c r="Y79" s="539"/>
      <c r="Z79" s="500"/>
      <c r="AA79" s="500"/>
      <c r="AB79" s="500"/>
      <c r="AC79" s="500"/>
      <c r="AD79" s="500"/>
      <c r="AE79" s="500"/>
      <c r="AF79" s="500"/>
      <c r="AG79" s="539"/>
      <c r="AH79" s="500">
        <v>40733932</v>
      </c>
      <c r="AI79" s="500">
        <v>39649955</v>
      </c>
      <c r="AJ79" s="500">
        <v>1083977</v>
      </c>
      <c r="AK79" s="500">
        <v>29259744</v>
      </c>
      <c r="AL79" s="500">
        <v>30343721</v>
      </c>
      <c r="AM79" s="500">
        <v>10390211</v>
      </c>
      <c r="AN79" s="537">
        <v>0.355102594199047</v>
      </c>
      <c r="AO79" s="500">
        <v>-882215</v>
      </c>
      <c r="AP79" s="538">
        <v>-0.0217657973900731</v>
      </c>
      <c r="AQ79" s="538"/>
      <c r="AR79" s="500">
        <v>9783981</v>
      </c>
      <c r="AS79" s="500">
        <v>7951824</v>
      </c>
      <c r="AT79" s="500">
        <v>1832157</v>
      </c>
      <c r="AU79" s="537">
        <v>0.230407136777675</v>
      </c>
      <c r="AV79" s="500">
        <v>-259704</v>
      </c>
      <c r="AW79" s="538">
        <v>-0.0258574417656468</v>
      </c>
      <c r="AX79" s="500"/>
      <c r="AY79" s="500">
        <v>19788947</v>
      </c>
      <c r="AZ79" s="500">
        <v>13027920</v>
      </c>
      <c r="BA79" s="500">
        <v>4621008</v>
      </c>
      <c r="BB79" s="537">
        <v>0.354700366597277</v>
      </c>
      <c r="BC79" s="500">
        <v>-617819</v>
      </c>
      <c r="BD79" s="538">
        <v>-0.0308459411449783</v>
      </c>
      <c r="BE79" s="538"/>
      <c r="BF79" s="500">
        <v>10077027</v>
      </c>
      <c r="BG79" s="500">
        <v>8280000</v>
      </c>
      <c r="BH79" s="500">
        <v>1797027</v>
      </c>
      <c r="BI79" s="544">
        <v>0.217032246376812</v>
      </c>
      <c r="BJ79" s="500">
        <v>-382275</v>
      </c>
      <c r="BK79" s="538">
        <v>-0.0365488060293125</v>
      </c>
      <c r="BL79" s="500" cm="1">
        <f t="array" ref="BL79">BC79+AV79+P79+BJ79</f>
        <v>-2119449.8460653</v>
      </c>
      <c r="BM79" s="500" cm="1">
        <f t="array" ref="BM79">SUM(BL$70:BL79)</f>
        <v>7820270.5325272</v>
      </c>
      <c r="BN79" s="500" cm="1">
        <f t="array" ref="BN79">B79-C79</f>
        <v>18238339.5325272</v>
      </c>
      <c r="BO79" s="500" cm="1">
        <f t="array" ref="BO79">BL79+'net worth - Table 1-2'!E78</f>
        <v>-1518273.8460653</v>
      </c>
      <c r="BP79" s="500" cm="1">
        <f t="array" ref="BP79">SUM(BO$70:BO79)</f>
        <v>10200263.5325272</v>
      </c>
      <c r="BQ79" s="500" cm="1">
        <f t="array" ref="BQ79">B79+'net worth - Table 1-2'!C78-'net worth - Table 1-2'!B78-C79</f>
        <v>25605578.8041999</v>
      </c>
      <c r="BR79" s="500" cm="1">
        <f t="array" ref="BR79">(BF79+AY79)*0.85+('net worth - Table 1-2-1'!D78)+E79+'net worth - Table 1-2'!C78</f>
        <v>52965676.4325272</v>
      </c>
    </row>
    <row r="80" ht="8.75" customHeight="1" hidden="1">
      <c r="A80" s="400">
        <v>45231</v>
      </c>
      <c r="B80" s="517" cm="1">
        <f t="array" ref="B80">E80+AH80</f>
        <v>66990331.9439652</v>
      </c>
      <c r="C80" s="500" cm="1">
        <f t="array" ref="C80">F80+AL80</f>
        <v>45197639</v>
      </c>
      <c r="D80" s="536"/>
      <c r="E80" s="500">
        <v>23791012.9439652</v>
      </c>
      <c r="F80" s="500">
        <v>14450000</v>
      </c>
      <c r="G80" s="500">
        <v>9341012.9439652</v>
      </c>
      <c r="H80" s="537">
        <v>0.646436881935308</v>
      </c>
      <c r="I80" s="500">
        <v>1492884.411438</v>
      </c>
      <c r="J80" s="538">
        <v>0.0669511079936717</v>
      </c>
      <c r="K80" s="500"/>
      <c r="L80" s="500">
        <v>23791012.9439652</v>
      </c>
      <c r="M80" s="500">
        <v>14450000</v>
      </c>
      <c r="N80" s="500">
        <v>9341012.9439652</v>
      </c>
      <c r="O80" s="537">
        <v>0.646436881935308</v>
      </c>
      <c r="P80" s="500">
        <v>1492884.411438</v>
      </c>
      <c r="Q80" s="543">
        <v>0.0669511079936717</v>
      </c>
      <c r="R80" s="500"/>
      <c r="S80" s="500"/>
      <c r="T80" s="500"/>
      <c r="U80" s="500"/>
      <c r="V80" s="500"/>
      <c r="W80" s="500"/>
      <c r="X80" s="543"/>
      <c r="Y80" s="539"/>
      <c r="Z80" s="500"/>
      <c r="AA80" s="500"/>
      <c r="AB80" s="500"/>
      <c r="AC80" s="500"/>
      <c r="AD80" s="500"/>
      <c r="AE80" s="500"/>
      <c r="AF80" s="500"/>
      <c r="AG80" s="539"/>
      <c r="AH80" s="500">
        <v>43199319</v>
      </c>
      <c r="AI80" s="500">
        <v>42008351</v>
      </c>
      <c r="AJ80" s="500">
        <v>1190968</v>
      </c>
      <c r="AK80" s="500">
        <v>29556671</v>
      </c>
      <c r="AL80" s="500">
        <v>30747639</v>
      </c>
      <c r="AM80" s="500">
        <v>12451680</v>
      </c>
      <c r="AN80" s="537">
        <v>0.421281544190142</v>
      </c>
      <c r="AO80" s="500">
        <v>2061469</v>
      </c>
      <c r="AP80" s="538">
        <v>0.0516052541973113</v>
      </c>
      <c r="AQ80" s="538"/>
      <c r="AR80" s="500">
        <v>10258053</v>
      </c>
      <c r="AS80" s="500">
        <v>8248751</v>
      </c>
      <c r="AT80" s="500">
        <v>2009302</v>
      </c>
      <c r="AU80" s="537">
        <v>0.243588635418865</v>
      </c>
      <c r="AV80" s="500">
        <v>177145</v>
      </c>
      <c r="AW80" s="538">
        <v>0.0175723258262053</v>
      </c>
      <c r="AX80" s="500"/>
      <c r="AY80" s="500">
        <v>20992622</v>
      </c>
      <c r="AZ80" s="500">
        <v>13027920</v>
      </c>
      <c r="BA80" s="500">
        <v>5824683</v>
      </c>
      <c r="BB80" s="537">
        <v>0.447092321721349</v>
      </c>
      <c r="BC80" s="500">
        <v>1203675</v>
      </c>
      <c r="BD80" s="538">
        <v>0.0608256214946657</v>
      </c>
      <c r="BE80" s="538"/>
      <c r="BF80" s="500">
        <v>10757676</v>
      </c>
      <c r="BG80" s="500">
        <v>8280000</v>
      </c>
      <c r="BH80" s="500">
        <v>2477676</v>
      </c>
      <c r="BI80" s="544">
        <v>0.299236231884058</v>
      </c>
      <c r="BJ80" s="500">
        <v>680649</v>
      </c>
      <c r="BK80" s="538">
        <v>0.0675446240245263</v>
      </c>
      <c r="BL80" s="500" cm="1">
        <f t="array" ref="BL80">BC80+AV80+P80+BJ80</f>
        <v>3554353.411438</v>
      </c>
      <c r="BM80" s="500" cm="1">
        <f t="array" ref="BM80">SUM(BL$70:BL80)</f>
        <v>11374623.9439652</v>
      </c>
      <c r="BN80" s="500" cm="1">
        <f t="array" ref="BN80">B80-C80</f>
        <v>21792692.9439652</v>
      </c>
      <c r="BO80" s="500" cm="1">
        <f t="array" ref="BO80">BL80+'net worth - Table 1-2'!E79</f>
        <v>3974006.411438</v>
      </c>
      <c r="BP80" s="500" cm="1">
        <f t="array" ref="BP80">SUM(BO$70:BO80)</f>
        <v>14174269.9439652</v>
      </c>
      <c r="BQ80" s="500" cm="1">
        <f t="array" ref="BQ80">B80+'net worth - Table 1-2'!C79-'net worth - Table 1-2'!B79-C80</f>
        <v>29579585.2156379</v>
      </c>
      <c r="BR80" s="500" cm="1">
        <f t="array" ref="BR80">(BF80+AY80)*0.85+('net worth - Table 1-2-1'!D79)+E80+'net worth - Table 1-2'!C79</f>
        <v>56479889.2439652</v>
      </c>
    </row>
    <row r="81" ht="8.75" customHeight="1" hidden="1">
      <c r="A81" s="400">
        <v>45261</v>
      </c>
      <c r="B81" s="517" cm="1">
        <f t="array" ref="B81">E81+AH81</f>
        <v>72501976.1537461</v>
      </c>
      <c r="C81" s="500" cm="1">
        <f t="array" ref="C81">F81+AL81</f>
        <v>45613425</v>
      </c>
      <c r="D81" s="536"/>
      <c r="E81" s="500">
        <v>25673178.1537461</v>
      </c>
      <c r="F81" s="500">
        <v>14450000</v>
      </c>
      <c r="G81" s="500">
        <v>11223178.1537461</v>
      </c>
      <c r="H81" s="537">
        <v>0.77669052967101</v>
      </c>
      <c r="I81" s="500">
        <v>1882165.2097809</v>
      </c>
      <c r="J81" s="538">
        <v>0.0791124452840217</v>
      </c>
      <c r="K81" s="500"/>
      <c r="L81" s="500">
        <v>25673178.1537461</v>
      </c>
      <c r="M81" s="500">
        <v>14450000</v>
      </c>
      <c r="N81" s="500">
        <v>11223178.1537461</v>
      </c>
      <c r="O81" s="537">
        <v>0.77669052967101</v>
      </c>
      <c r="P81" s="500">
        <v>1882165.2097809</v>
      </c>
      <c r="Q81" s="543">
        <v>0.0791124452840217</v>
      </c>
      <c r="R81" s="500"/>
      <c r="S81" s="500"/>
      <c r="T81" s="500"/>
      <c r="U81" s="500"/>
      <c r="V81" s="500"/>
      <c r="W81" s="500"/>
      <c r="X81" s="543"/>
      <c r="Y81" s="539"/>
      <c r="Z81" s="500"/>
      <c r="AA81" s="500"/>
      <c r="AB81" s="500"/>
      <c r="AC81" s="500"/>
      <c r="AD81" s="500"/>
      <c r="AE81" s="500"/>
      <c r="AF81" s="500"/>
      <c r="AG81" s="539"/>
      <c r="AH81" s="500">
        <v>46828798</v>
      </c>
      <c r="AI81" s="500">
        <v>45520405</v>
      </c>
      <c r="AJ81" s="500">
        <v>1308393</v>
      </c>
      <c r="AK81" s="500">
        <v>29855032</v>
      </c>
      <c r="AL81" s="500">
        <v>31163425</v>
      </c>
      <c r="AM81" s="500">
        <v>15665373</v>
      </c>
      <c r="AN81" s="537">
        <v>0.524714661166667</v>
      </c>
      <c r="AO81" s="500">
        <v>3213693</v>
      </c>
      <c r="AP81" s="538">
        <v>0.07596177646705329</v>
      </c>
      <c r="AQ81" s="538"/>
      <c r="AR81" s="500">
        <v>11239859</v>
      </c>
      <c r="AS81" s="500">
        <v>8547112</v>
      </c>
      <c r="AT81" s="500">
        <v>2692747</v>
      </c>
      <c r="AU81" s="537">
        <v>0.315047585664023</v>
      </c>
      <c r="AV81" s="500">
        <v>683445</v>
      </c>
      <c r="AW81" s="538">
        <v>0.06474215581162319</v>
      </c>
      <c r="AX81" s="500"/>
      <c r="AY81" s="500">
        <v>22665568</v>
      </c>
      <c r="AZ81" s="500">
        <v>13027920</v>
      </c>
      <c r="BA81" s="500">
        <v>7497629</v>
      </c>
      <c r="BB81" s="537">
        <v>0.575504685321985</v>
      </c>
      <c r="BC81" s="500">
        <v>1672946</v>
      </c>
      <c r="BD81" s="538">
        <v>0.0796920937270247</v>
      </c>
      <c r="BE81" s="538"/>
      <c r="BF81" s="500">
        <v>11614978</v>
      </c>
      <c r="BG81" s="500">
        <v>8280000</v>
      </c>
      <c r="BH81" s="500">
        <v>3334978</v>
      </c>
      <c r="BI81" s="544">
        <v>0.402775120772947</v>
      </c>
      <c r="BJ81" s="500">
        <v>857302</v>
      </c>
      <c r="BK81" s="538">
        <v>0.0796921193759693</v>
      </c>
      <c r="BL81" s="500" cm="1">
        <f t="array" ref="BL81">BC81+AV81+P81+BJ81</f>
        <v>5095858.2097809</v>
      </c>
      <c r="BM81" s="500" cm="1">
        <f t="array" ref="BM81">SUM(BL$70:BL81)</f>
        <v>16470482.1537461</v>
      </c>
      <c r="BN81" s="500" cm="1">
        <f t="array" ref="BN81">B81-C81</f>
        <v>26888551.1537461</v>
      </c>
      <c r="BO81" s="500" cm="1">
        <f t="array" ref="BO81">BL81+'net worth - Table 1-2'!E80</f>
        <v>5330349.2097809</v>
      </c>
      <c r="BP81" s="500" cm="1">
        <f t="array" ref="BP81">SUM(BO$70:BO81)</f>
        <v>19504619.1537461</v>
      </c>
      <c r="BQ81" s="500" cm="1">
        <f t="array" ref="BQ81">B81+'net worth - Table 1-2'!C80-'net worth - Table 1-2'!B80-C81</f>
        <v>34909934.4254188</v>
      </c>
      <c r="BR81" s="500" cm="1">
        <f t="array" ref="BR81">(BF81+AY81)*0.85+('net worth - Table 1-2-1'!D80)+E81+'net worth - Table 1-2'!C80</f>
        <v>70847256.25374611</v>
      </c>
    </row>
    <row r="82" ht="8.75" customHeight="1" hidden="1">
      <c r="A82" s="400">
        <v>45292</v>
      </c>
      <c r="B82" s="517">
        <v>76530609</v>
      </c>
      <c r="C82" s="500">
        <v>46999530</v>
      </c>
      <c r="D82" s="536"/>
      <c r="E82" s="500">
        <v>26745235</v>
      </c>
      <c r="F82" s="500">
        <v>14450000</v>
      </c>
      <c r="G82" s="500">
        <v>12295235</v>
      </c>
      <c r="H82" s="537">
        <v>0.850881314878893</v>
      </c>
      <c r="I82" s="500">
        <v>1072056.8462539</v>
      </c>
      <c r="J82" s="538">
        <v>0.0417578548255223</v>
      </c>
      <c r="K82" s="500"/>
      <c r="L82" s="500">
        <v>26745235</v>
      </c>
      <c r="M82" s="500">
        <v>14450000</v>
      </c>
      <c r="N82" s="500">
        <v>12295235</v>
      </c>
      <c r="O82" s="537">
        <v>0.850881314878893</v>
      </c>
      <c r="P82" s="500">
        <v>1072056.8462539</v>
      </c>
      <c r="Q82" s="543">
        <v>0.0417578548255223</v>
      </c>
      <c r="R82" s="500"/>
      <c r="S82" s="500"/>
      <c r="T82" s="500"/>
      <c r="U82" s="500"/>
      <c r="V82" s="500"/>
      <c r="W82" s="500"/>
      <c r="X82" s="543"/>
      <c r="Y82" s="539"/>
      <c r="Z82" s="500"/>
      <c r="AA82" s="500"/>
      <c r="AB82" s="500"/>
      <c r="AC82" s="500"/>
      <c r="AD82" s="500"/>
      <c r="AE82" s="500"/>
      <c r="AF82" s="500" cm="1">
        <f t="array" ref="AF82">SUM(AC82)</f>
        <v>0</v>
      </c>
      <c r="AG82" s="539"/>
      <c r="AH82" s="500">
        <v>49785374</v>
      </c>
      <c r="AI82" s="500">
        <v>48393625</v>
      </c>
      <c r="AJ82" s="500">
        <v>1391749</v>
      </c>
      <c r="AK82" s="500">
        <v>31157781</v>
      </c>
      <c r="AL82" s="500">
        <v>32549530</v>
      </c>
      <c r="AM82" s="500">
        <v>17235844</v>
      </c>
      <c r="AN82" s="537">
        <v>0.553179444967535</v>
      </c>
      <c r="AO82" s="500">
        <v>1570471</v>
      </c>
      <c r="AP82" s="538">
        <v>0.0335404787127326</v>
      </c>
      <c r="AQ82" s="538"/>
      <c r="AR82" s="500">
        <v>11583000</v>
      </c>
      <c r="AS82" s="500">
        <v>8849861</v>
      </c>
      <c r="AT82" s="500">
        <v>2733139</v>
      </c>
      <c r="AU82" s="537">
        <v>0.308834116151655</v>
      </c>
      <c r="AV82" s="500">
        <v>40392</v>
      </c>
      <c r="AW82" s="538">
        <v>0.00349938246191848</v>
      </c>
      <c r="AX82" s="500"/>
      <c r="AY82" s="500">
        <v>24702422</v>
      </c>
      <c r="AZ82" s="500">
        <v>14027920</v>
      </c>
      <c r="BA82" s="500">
        <v>8534483</v>
      </c>
      <c r="BB82" s="537">
        <v>0.608392619860963</v>
      </c>
      <c r="BC82" s="500">
        <v>1036854</v>
      </c>
      <c r="BD82" s="538">
        <v>0.0438127662940522</v>
      </c>
      <c r="BE82" s="538"/>
      <c r="BF82" s="500">
        <v>12108203</v>
      </c>
      <c r="BG82" s="500">
        <v>8280000</v>
      </c>
      <c r="BH82" s="500">
        <v>3828203</v>
      </c>
      <c r="BI82" s="544">
        <v>0.462343357487923</v>
      </c>
      <c r="BJ82" s="500">
        <v>493225</v>
      </c>
      <c r="BK82" s="538">
        <v>0.0424645660112314</v>
      </c>
      <c r="BL82" s="500">
        <v>2642527.8462539</v>
      </c>
      <c r="BM82" s="500" cm="1">
        <f t="array" ref="BM82">SUM(BL$82:BL82)</f>
        <v>2642527.8462539</v>
      </c>
      <c r="BN82" s="500">
        <v>29531079</v>
      </c>
      <c r="BO82" s="500">
        <v>2845170.8462539</v>
      </c>
      <c r="BP82" s="500" cm="1">
        <f t="array" ref="BP82">SUM(BO$82:BO82)</f>
        <v>2845170.8462539</v>
      </c>
      <c r="BQ82" s="500" cm="1">
        <f t="array" ref="BQ82">B82+'net worth - Table 1-2'!C81-'net worth - Table 1-2'!B81-C82</f>
        <v>37755105.2716727</v>
      </c>
      <c r="BR82" s="500" cm="1">
        <f t="array" ref="BR82">(BF82+AY82)*0.85+('net worth - Table 1-2-1'!D81)+E82+'net worth - Table 1-2'!C81</f>
        <v>104286523.25</v>
      </c>
    </row>
    <row r="83" ht="8.75" customHeight="1" hidden="1">
      <c r="A83" s="400">
        <v>45323</v>
      </c>
      <c r="B83" s="517" cm="1">
        <f t="array" ref="B83">E83+AH83</f>
        <v>84040723</v>
      </c>
      <c r="C83" s="500" cm="1">
        <f t="array" ref="C83">F83+AL83</f>
        <v>47773983</v>
      </c>
      <c r="D83" s="536"/>
      <c r="E83" s="500">
        <v>29143747</v>
      </c>
      <c r="F83" s="500">
        <v>14450000</v>
      </c>
      <c r="G83" s="500">
        <v>14693747</v>
      </c>
      <c r="H83" s="537">
        <v>1.01686830449827</v>
      </c>
      <c r="I83" s="500">
        <v>2398512</v>
      </c>
      <c r="J83" s="538">
        <v>0.08967997476933739</v>
      </c>
      <c r="K83" s="500"/>
      <c r="L83" s="500">
        <v>29143747</v>
      </c>
      <c r="M83" s="500">
        <v>14450000</v>
      </c>
      <c r="N83" s="500">
        <v>14693747</v>
      </c>
      <c r="O83" s="537">
        <v>1.01686830449827</v>
      </c>
      <c r="P83" s="500">
        <v>2398512</v>
      </c>
      <c r="Q83" s="538" cm="1">
        <f t="array" ref="Q83">P83/(L82+M83-M82)</f>
        <v>0.08967997476933739</v>
      </c>
      <c r="R83" s="500"/>
      <c r="S83" s="500"/>
      <c r="T83" s="500"/>
      <c r="U83" s="500"/>
      <c r="V83" s="500"/>
      <c r="W83" s="500"/>
      <c r="X83" s="543"/>
      <c r="Y83" s="539"/>
      <c r="Z83" s="500"/>
      <c r="AA83" s="500"/>
      <c r="AB83" s="500"/>
      <c r="AC83" s="500"/>
      <c r="AD83" s="500"/>
      <c r="AE83" s="500"/>
      <c r="AF83" s="500" cm="1">
        <f t="array" ref="AF83">SUM(AC$82:AC83)</f>
        <v>0</v>
      </c>
      <c r="AG83" s="539"/>
      <c r="AH83" s="500">
        <v>54896976</v>
      </c>
      <c r="AI83" s="500">
        <v>53390434</v>
      </c>
      <c r="AJ83" s="500">
        <v>1506542</v>
      </c>
      <c r="AK83" s="500">
        <v>31817441</v>
      </c>
      <c r="AL83" s="500">
        <v>33323983</v>
      </c>
      <c r="AM83" s="500">
        <v>21572993</v>
      </c>
      <c r="AN83" s="537">
        <v>0.67802413776771</v>
      </c>
      <c r="AO83" s="500">
        <v>4337149</v>
      </c>
      <c r="AP83" s="538">
        <v>0.0884170958173341</v>
      </c>
      <c r="AQ83" s="538"/>
      <c r="AR83" s="500">
        <v>12884435</v>
      </c>
      <c r="AS83" s="500">
        <v>9159521</v>
      </c>
      <c r="AT83" s="500">
        <v>3724914</v>
      </c>
      <c r="AU83" s="537">
        <v>0.406671265888249</v>
      </c>
      <c r="AV83" s="500">
        <v>991775</v>
      </c>
      <c r="AW83" s="538">
        <v>0.0833938748774454</v>
      </c>
      <c r="AX83" s="500"/>
      <c r="AY83" s="500">
        <v>27304612</v>
      </c>
      <c r="AZ83" s="500">
        <v>14377920</v>
      </c>
      <c r="BA83" s="500">
        <v>10786673</v>
      </c>
      <c r="BB83" s="537">
        <v>0.750224858672186</v>
      </c>
      <c r="BC83" s="500">
        <v>2252190</v>
      </c>
      <c r="BD83" s="538">
        <v>0.08989909239114691</v>
      </c>
      <c r="BE83" s="538"/>
      <c r="BF83" s="500">
        <v>13201387</v>
      </c>
      <c r="BG83" s="500">
        <v>8280000</v>
      </c>
      <c r="BH83" s="500">
        <v>4921387</v>
      </c>
      <c r="BI83" s="544">
        <v>0.594370410628019</v>
      </c>
      <c r="BJ83" s="500">
        <v>1093184</v>
      </c>
      <c r="BK83" s="538">
        <v>0.09028457814921011</v>
      </c>
      <c r="BL83" s="500" cm="1">
        <f t="array" ref="BL83">BC83+AV83+P83+BJ83</f>
        <v>6735661</v>
      </c>
      <c r="BM83" s="500" cm="1">
        <f t="array" ref="BM83">SUM(BL$82:BL83)</f>
        <v>9378188.8462539</v>
      </c>
      <c r="BN83" s="500" cm="1">
        <f t="array" ref="BN83">B83-C83</f>
        <v>36266740</v>
      </c>
      <c r="BO83" s="500" cm="1">
        <f t="array" ref="BO83">BL83+'net worth - Table 1-2'!E82</f>
        <v>10019959</v>
      </c>
      <c r="BP83" s="500" cm="1">
        <f t="array" ref="BP83">SUM(BO$82:BO83)</f>
        <v>12865129.8462539</v>
      </c>
      <c r="BQ83" s="500" cm="1">
        <f t="array" ref="BQ83">B83+'net worth - Table 1-2'!C82-'net worth - Table 1-2'!B82-C83</f>
        <v>47775064.2716727</v>
      </c>
      <c r="BR83" s="500" cm="1">
        <f t="array" ref="BR83">(BF83+AY83)*0.85+('net worth - Table 1-2-1'!D82)+E83+'net worth - Table 1-2'!C82</f>
        <v>125257762.15</v>
      </c>
    </row>
    <row r="84" ht="8.75" customHeight="1" hidden="1">
      <c r="A84" s="400">
        <v>45352</v>
      </c>
      <c r="B84" s="517" cm="1">
        <f t="array" ref="B84">E84+AH84</f>
        <v>87592414</v>
      </c>
      <c r="C84" s="500" cm="1">
        <f t="array" ref="C84">F84+AL84</f>
        <v>48519536</v>
      </c>
      <c r="D84" s="536"/>
      <c r="E84" s="500">
        <v>30214405</v>
      </c>
      <c r="F84" s="500">
        <v>14450000</v>
      </c>
      <c r="G84" s="500">
        <v>15764405</v>
      </c>
      <c r="H84" s="537">
        <v>1.09096228373702</v>
      </c>
      <c r="I84" s="500">
        <v>1070658</v>
      </c>
      <c r="J84" s="538">
        <v>0.0367371429624338</v>
      </c>
      <c r="K84" s="500"/>
      <c r="L84" s="500">
        <v>30214405</v>
      </c>
      <c r="M84" s="500">
        <v>14450000</v>
      </c>
      <c r="N84" s="500">
        <v>15764405</v>
      </c>
      <c r="O84" s="537">
        <v>1.09096228373702</v>
      </c>
      <c r="P84" s="500">
        <v>1070658</v>
      </c>
      <c r="Q84" s="538" cm="1">
        <f t="array" ref="Q84">P84/(L83+M84-M83)</f>
        <v>0.0367371429624338</v>
      </c>
      <c r="R84" s="500"/>
      <c r="S84" s="500"/>
      <c r="T84" s="500"/>
      <c r="U84" s="500"/>
      <c r="V84" s="500"/>
      <c r="W84" s="500"/>
      <c r="X84" s="543"/>
      <c r="Y84" s="539"/>
      <c r="Z84" s="500"/>
      <c r="AA84" s="500" cm="1">
        <f t="array" ref="AA84">SUM('net worth - cash and cash equiv'!H86:I86)</f>
        <v>0</v>
      </c>
      <c r="AB84" s="500"/>
      <c r="AC84" s="500"/>
      <c r="AD84" s="500"/>
      <c r="AE84" s="500"/>
      <c r="AF84" s="500" cm="1">
        <f t="array" ref="AF84">SUM(AC$82:AC84)</f>
        <v>0</v>
      </c>
      <c r="AG84" s="539"/>
      <c r="AH84" s="500">
        <v>57378009</v>
      </c>
      <c r="AI84" s="500">
        <v>55786615</v>
      </c>
      <c r="AJ84" s="500">
        <v>1591394</v>
      </c>
      <c r="AK84" s="500">
        <v>32478142</v>
      </c>
      <c r="AL84" s="500">
        <v>34069536</v>
      </c>
      <c r="AM84" s="500">
        <v>23308473</v>
      </c>
      <c r="AN84" s="537">
        <v>0.717666453949244</v>
      </c>
      <c r="AO84" s="500" cm="1">
        <f t="array" ref="AO84">AV84+BC84+BJ84</f>
        <v>1735480</v>
      </c>
      <c r="AP84" s="538">
        <v>0.0321081139184219</v>
      </c>
      <c r="AQ84" s="538"/>
      <c r="AR84" s="500">
        <v>13413008</v>
      </c>
      <c r="AS84" s="500">
        <v>9470222</v>
      </c>
      <c r="AT84" s="500">
        <v>3942786</v>
      </c>
      <c r="AU84" s="537">
        <v>0.41633511864875</v>
      </c>
      <c r="AV84" s="500">
        <v>217872</v>
      </c>
      <c r="AW84" s="538">
        <v>0.0165115387973265</v>
      </c>
      <c r="AX84" s="500"/>
      <c r="AY84" s="500">
        <v>28679908</v>
      </c>
      <c r="AZ84" s="500">
        <v>14727920</v>
      </c>
      <c r="BA84" s="500">
        <v>11811969</v>
      </c>
      <c r="BB84" s="537">
        <v>0.80201202885404</v>
      </c>
      <c r="BC84" s="500">
        <v>1025296</v>
      </c>
      <c r="BD84" s="538">
        <v>0.0370750455656366</v>
      </c>
      <c r="BE84" s="538"/>
      <c r="BF84" s="500">
        <v>13693699</v>
      </c>
      <c r="BG84" s="500">
        <v>8280000</v>
      </c>
      <c r="BH84" s="500">
        <v>5413699</v>
      </c>
      <c r="BI84" s="544">
        <v>0.653828381642512</v>
      </c>
      <c r="BJ84" s="500">
        <v>492312</v>
      </c>
      <c r="BK84" s="538">
        <v>0.0372924451044424</v>
      </c>
      <c r="BL84" s="500" cm="1">
        <f t="array" ref="BL84">BC84+AV84+P84+BJ84</f>
        <v>2806138</v>
      </c>
      <c r="BM84" s="500" cm="1">
        <f t="array" ref="BM84">SUM(BL$82:BL84)</f>
        <v>12184326.8462539</v>
      </c>
      <c r="BN84" s="500" cm="1">
        <f t="array" ref="BN84">B84-C84</f>
        <v>39072878</v>
      </c>
      <c r="BO84" s="500" cm="1">
        <f t="array" ref="BO84">BL84+'net worth - Table 1-2'!E83</f>
        <v>3622259</v>
      </c>
      <c r="BP84" s="500" cm="1">
        <f t="array" ref="BP84">SUM(BO$82:BO84)</f>
        <v>16487388.8462539</v>
      </c>
      <c r="BQ84" s="500" cm="1">
        <f t="array" ref="BQ84">B84+'net worth - Table 1-2'!C83-'net worth - Table 1-2'!B83-C84</f>
        <v>51397323.2716727</v>
      </c>
      <c r="BR84" s="500" cm="1">
        <f t="array" ref="BR84">(BF84+AY84)*0.85+('net worth - Table 1-2-1'!D83)+E84+'net worth - Table 1-2'!C83</f>
        <v>134370646.95</v>
      </c>
    </row>
    <row r="85" ht="8.75" customHeight="1" hidden="1">
      <c r="A85" s="400">
        <v>45383</v>
      </c>
      <c r="B85" s="517" cm="1">
        <f t="array" ref="B85">E85+AH85</f>
        <v>83243518</v>
      </c>
      <c r="C85" s="500" cm="1">
        <f t="array" ref="C85">F85+AL85</f>
        <v>49603796</v>
      </c>
      <c r="D85" s="536"/>
      <c r="E85" s="500">
        <v>28198430</v>
      </c>
      <c r="F85" s="500">
        <v>14450000</v>
      </c>
      <c r="G85" s="500">
        <v>13748430</v>
      </c>
      <c r="H85" s="537">
        <v>0.951448442906574</v>
      </c>
      <c r="I85" s="500">
        <v>-2015975</v>
      </c>
      <c r="J85" s="538">
        <v>-0.0667223134130889</v>
      </c>
      <c r="K85" s="500"/>
      <c r="L85" s="500">
        <v>28198430</v>
      </c>
      <c r="M85" s="500">
        <v>14450000</v>
      </c>
      <c r="N85" s="500">
        <v>13748430</v>
      </c>
      <c r="O85" s="537">
        <v>0.951448442906574</v>
      </c>
      <c r="P85" s="500">
        <v>-2015975</v>
      </c>
      <c r="Q85" s="538" cm="1">
        <f t="array" ref="Q85">P85/(L84+M85-M84)</f>
        <v>-0.0667223134130889</v>
      </c>
      <c r="R85" s="500"/>
      <c r="S85" s="500"/>
      <c r="T85" s="500"/>
      <c r="U85" s="500"/>
      <c r="V85" s="500"/>
      <c r="W85" s="500"/>
      <c r="X85" s="543"/>
      <c r="Y85" s="539"/>
      <c r="Z85" s="500">
        <v>4070932</v>
      </c>
      <c r="AA85" s="500" cm="1">
        <f t="array" ref="AA85">SUM('net worth - cash and cash equiv'!H87:I87)</f>
        <v>4061628</v>
      </c>
      <c r="AB85" s="500" cm="1">
        <f t="array" ref="AB85">Z85-AA85</f>
        <v>9304</v>
      </c>
      <c r="AC85" s="500" cm="1">
        <f t="array" ref="AC85">AB85-AB84</f>
        <v>9304</v>
      </c>
      <c r="AD85" s="538"/>
      <c r="AE85" s="500"/>
      <c r="AF85" s="500" cm="1">
        <f t="array" ref="AF85">SUM(AC$82:AC85)</f>
        <v>9304</v>
      </c>
      <c r="AG85" s="539"/>
      <c r="AH85" s="500">
        <v>55045088</v>
      </c>
      <c r="AI85" s="500">
        <v>53382133</v>
      </c>
      <c r="AJ85" s="500">
        <v>1662955</v>
      </c>
      <c r="AK85" s="500">
        <v>33490841</v>
      </c>
      <c r="AL85" s="500">
        <v>35153796</v>
      </c>
      <c r="AM85" s="500">
        <v>19891292</v>
      </c>
      <c r="AN85" s="537">
        <v>0.593932293309684</v>
      </c>
      <c r="AO85" s="500" cm="1">
        <f t="array" ref="AO85">AV85+BC85+BJ85</f>
        <v>-3417181</v>
      </c>
      <c r="AP85" s="538">
        <v>-0.0601623639327757</v>
      </c>
      <c r="AQ85" s="538"/>
      <c r="AR85" s="500">
        <v>13111493</v>
      </c>
      <c r="AS85" s="500">
        <v>9782921</v>
      </c>
      <c r="AT85" s="500">
        <v>3328572</v>
      </c>
      <c r="AU85" s="537">
        <v>0.340243164592661</v>
      </c>
      <c r="AV85" s="500">
        <v>-614214</v>
      </c>
      <c r="AW85" s="538">
        <v>-0.0447491702977486</v>
      </c>
      <c r="AX85" s="500"/>
      <c r="AY85" s="500">
        <v>27482302</v>
      </c>
      <c r="AZ85" s="500">
        <v>15427920</v>
      </c>
      <c r="BA85" s="500">
        <v>9914363</v>
      </c>
      <c r="BB85" s="537">
        <v>0.642624734896214</v>
      </c>
      <c r="BC85" s="500">
        <v>-1897606</v>
      </c>
      <c r="BD85" s="538">
        <v>-0.06458856167963491</v>
      </c>
      <c r="BE85" s="538"/>
      <c r="BF85" s="500">
        <v>12788338</v>
      </c>
      <c r="BG85" s="500">
        <v>8280000</v>
      </c>
      <c r="BH85" s="500">
        <v>4508338</v>
      </c>
      <c r="BI85" s="544">
        <v>0.5444852657004829</v>
      </c>
      <c r="BJ85" s="500">
        <v>-905361</v>
      </c>
      <c r="BK85" s="538">
        <v>-0.066115152669852</v>
      </c>
      <c r="BL85" s="500" cm="1">
        <f t="array" ref="BL85">BC85+AV85+P85+BJ85</f>
        <v>-5433156</v>
      </c>
      <c r="BM85" s="500" cm="1">
        <f t="array" ref="BM85">SUM(BL$82:BL85)</f>
        <v>6751170.8462539</v>
      </c>
      <c r="BN85" s="500" cm="1">
        <f t="array" ref="BN85">B85-C85</f>
        <v>33639722</v>
      </c>
      <c r="BO85" s="500" cm="1">
        <f t="array" ref="BO85">BL85+'net worth - Table 1-2'!E84</f>
        <v>-6673023</v>
      </c>
      <c r="BP85" s="500" cm="1">
        <f t="array" ref="BP85">SUM(BO$82:BO85)</f>
        <v>9814365.8462539</v>
      </c>
      <c r="BQ85" s="500" cm="1">
        <f t="array" ref="BQ85">B85+'net worth - Table 1-2'!C84-'net worth - Table 1-2'!B84-C85</f>
        <v>44724300.2716727</v>
      </c>
      <c r="BR85" s="500" cm="1">
        <f t="array" ref="BR85">(BF85+AY85)*0.85+('net worth - Table 1-2-1'!D84)+E85+'net worth - Table 1-2'!C84</f>
        <v>71427283</v>
      </c>
    </row>
    <row r="86" ht="8.75" customHeight="1" hidden="1">
      <c r="A86" s="400">
        <v>45413</v>
      </c>
      <c r="B86" s="517" cm="1">
        <f t="array" ref="B86">E86+AH86</f>
        <v>84397881</v>
      </c>
      <c r="C86" s="500" cm="1">
        <f t="array" ref="C86">F86+AL86</f>
        <v>49999057</v>
      </c>
      <c r="D86" s="536"/>
      <c r="E86" s="500">
        <v>28535192</v>
      </c>
      <c r="F86" s="500">
        <v>14450000</v>
      </c>
      <c r="G86" s="500">
        <v>14085192</v>
      </c>
      <c r="H86" s="537">
        <v>0.9747537716262979</v>
      </c>
      <c r="I86" s="500">
        <v>336762</v>
      </c>
      <c r="J86" s="538">
        <v>0.011942579781924</v>
      </c>
      <c r="K86" s="500"/>
      <c r="L86" s="500">
        <v>28535192</v>
      </c>
      <c r="M86" s="500">
        <v>14450000</v>
      </c>
      <c r="N86" s="500">
        <v>14085192</v>
      </c>
      <c r="O86" s="537">
        <v>0.9747537716262979</v>
      </c>
      <c r="P86" s="500">
        <v>336762</v>
      </c>
      <c r="Q86" s="538" cm="1">
        <f t="array" ref="Q86">P86/(L85+M86-M85)</f>
        <v>0.011942579781924</v>
      </c>
      <c r="R86" s="500"/>
      <c r="S86" s="500"/>
      <c r="T86" s="500"/>
      <c r="U86" s="500"/>
      <c r="V86" s="500"/>
      <c r="W86" s="500"/>
      <c r="X86" s="543"/>
      <c r="Y86" s="539"/>
      <c r="Z86" s="500">
        <v>4092177</v>
      </c>
      <c r="AA86" s="500" cm="1">
        <f t="array" ref="AA86">AA85+SUM('net worth - cash and cash equiv'!H88:I88)</f>
        <v>4061628</v>
      </c>
      <c r="AB86" s="500" cm="1">
        <f t="array" ref="AB86">Z86-AA86</f>
        <v>30549</v>
      </c>
      <c r="AC86" s="500" cm="1">
        <f t="array" ref="AC86">AB86-AB85</f>
        <v>21245</v>
      </c>
      <c r="AD86" s="538" cm="1">
        <f t="array" ref="AD86">AC86/(Z84+AA85-AA84)</f>
        <v>0.00523066120284773</v>
      </c>
      <c r="AE86" s="500"/>
      <c r="AF86" s="500" cm="1">
        <f t="array" ref="AF86">SUM(AC$82:AC86)</f>
        <v>30549</v>
      </c>
      <c r="AG86" s="539"/>
      <c r="AH86" s="500">
        <v>55862689</v>
      </c>
      <c r="AI86" s="500">
        <v>54118592</v>
      </c>
      <c r="AJ86" s="500">
        <v>1744097</v>
      </c>
      <c r="AK86" s="500">
        <v>33804960</v>
      </c>
      <c r="AL86" s="500">
        <v>35549057</v>
      </c>
      <c r="AM86" s="500">
        <v>20313632</v>
      </c>
      <c r="AN86" s="537">
        <v>0.600906849172429</v>
      </c>
      <c r="AO86" s="500" cm="1">
        <f t="array" ref="AO86">AV86+BC86+BJ86</f>
        <v>422340</v>
      </c>
      <c r="AP86" s="538">
        <v>0.00786535343286157</v>
      </c>
      <c r="AQ86" s="538"/>
      <c r="AR86" s="500">
        <v>13342068</v>
      </c>
      <c r="AS86" s="500">
        <v>10097040</v>
      </c>
      <c r="AT86" s="500">
        <v>3245028</v>
      </c>
      <c r="AU86" s="537">
        <v>0.321384088802263</v>
      </c>
      <c r="AV86" s="500">
        <v>-83544</v>
      </c>
      <c r="AW86" s="538">
        <v>-0.00622273308658108</v>
      </c>
      <c r="AX86" s="500"/>
      <c r="AY86" s="500">
        <v>27827538</v>
      </c>
      <c r="AZ86" s="500">
        <v>15427920</v>
      </c>
      <c r="BA86" s="500">
        <v>10259599</v>
      </c>
      <c r="BB86" s="537">
        <v>0.66500208712516</v>
      </c>
      <c r="BC86" s="500">
        <v>345236</v>
      </c>
      <c r="BD86" s="538">
        <v>0.0125621208878354</v>
      </c>
      <c r="BE86" s="538"/>
      <c r="BF86" s="500">
        <v>12948986</v>
      </c>
      <c r="BG86" s="500">
        <v>8280000</v>
      </c>
      <c r="BH86" s="500">
        <v>4668986</v>
      </c>
      <c r="BI86" s="544">
        <v>0.563887198067633</v>
      </c>
      <c r="BJ86" s="500">
        <v>160648</v>
      </c>
      <c r="BK86" s="538">
        <v>0.0125620702236678</v>
      </c>
      <c r="BL86" s="500" cm="1">
        <f t="array" ref="BL86">BC86+AV86+P86+BJ86</f>
        <v>759102</v>
      </c>
      <c r="BM86" s="500" cm="1">
        <f t="array" ref="BM86">SUM(BL$82:BL86)</f>
        <v>7510272.8462539</v>
      </c>
      <c r="BN86" s="500" cm="1">
        <f t="array" ref="BN86">B86-C86</f>
        <v>34398824</v>
      </c>
      <c r="BO86" s="500" cm="1">
        <f t="array" ref="BO86">BL86+'net worth - Table 1-2'!E85</f>
        <v>1615241</v>
      </c>
      <c r="BP86" s="500" cm="1">
        <f t="array" ref="BP86">SUM(BO$82:BO86)</f>
        <v>11429606.8462539</v>
      </c>
      <c r="BQ86" s="500" cm="1">
        <f t="array" ref="BQ86">B86+'net worth - Table 1-2'!C85-'net worth - Table 1-2'!B85-C86</f>
        <v>46339541.2716727</v>
      </c>
      <c r="BR86" s="500" cm="1">
        <f t="array" ref="BR86">(BF86+AY86)*0.85+('net worth - Table 1-2-1'!D85)+E86+'net worth - Table 1-2'!C85</f>
        <v>73050185.40000001</v>
      </c>
    </row>
    <row r="87" ht="8.75" customHeight="1" hidden="1">
      <c r="A87" s="400">
        <v>45444</v>
      </c>
      <c r="B87" s="517" cm="1">
        <f t="array" ref="B87">E87+AH87</f>
        <v>90340063</v>
      </c>
      <c r="C87" s="500" cm="1">
        <f t="array" ref="C87">F87+AL87</f>
        <v>50619229</v>
      </c>
      <c r="D87" s="536"/>
      <c r="E87" s="500">
        <v>30554913</v>
      </c>
      <c r="F87" s="500">
        <v>14450000</v>
      </c>
      <c r="G87" s="500">
        <v>16104913</v>
      </c>
      <c r="H87" s="537">
        <v>1.11452685121107</v>
      </c>
      <c r="I87" s="500">
        <v>2019721</v>
      </c>
      <c r="J87" s="538">
        <v>0.0707800038632997</v>
      </c>
      <c r="K87" s="500"/>
      <c r="L87" s="500">
        <v>30554913</v>
      </c>
      <c r="M87" s="500">
        <v>14450000</v>
      </c>
      <c r="N87" s="500">
        <v>16104913</v>
      </c>
      <c r="O87" s="537">
        <v>1.11452685121107</v>
      </c>
      <c r="P87" s="500">
        <v>2019721</v>
      </c>
      <c r="Q87" s="538" cm="1">
        <f t="array" ref="Q87">P87/(L86+M87-M86)</f>
        <v>0.0707800038632997</v>
      </c>
      <c r="R87" s="500"/>
      <c r="S87" s="500"/>
      <c r="T87" s="500"/>
      <c r="U87" s="500"/>
      <c r="V87" s="500"/>
      <c r="W87" s="500"/>
      <c r="X87" s="543"/>
      <c r="Y87" s="539"/>
      <c r="Z87" s="500">
        <v>4109117</v>
      </c>
      <c r="AA87" s="500" cm="1">
        <f t="array" ref="AA87">AA86+SUM('net worth - cash and cash equiv'!H89:I89)</f>
        <v>4061628</v>
      </c>
      <c r="AB87" s="500" cm="1">
        <f t="array" ref="AB87">Z87-AA87</f>
        <v>47489</v>
      </c>
      <c r="AC87" s="500" cm="1">
        <f t="array" ref="AC87">AB87-AB86</f>
        <v>16940</v>
      </c>
      <c r="AD87" s="538" cm="1">
        <f t="array" ref="AD87">AC87/(Z85+AA86-AA85)</f>
        <v>0.00416120927591028</v>
      </c>
      <c r="AE87" s="538" cm="1">
        <f t="array" ref="AE87">SUM(AD76:AD87)</f>
        <v>0.009391870478758011</v>
      </c>
      <c r="AF87" s="500" cm="1">
        <f t="array" ref="AF87">SUM(AC$82:AC87)</f>
        <v>47489</v>
      </c>
      <c r="AG87" s="539"/>
      <c r="AH87" s="500">
        <v>59785150</v>
      </c>
      <c r="AI87" s="500">
        <v>57936491</v>
      </c>
      <c r="AJ87" s="500">
        <v>1848659</v>
      </c>
      <c r="AK87" s="500">
        <v>34320570</v>
      </c>
      <c r="AL87" s="500">
        <v>36169229</v>
      </c>
      <c r="AM87" s="500">
        <v>23615921</v>
      </c>
      <c r="AN87" s="537">
        <v>0.688098158043412</v>
      </c>
      <c r="AO87" s="500" cm="1">
        <f t="array" ref="AO87">AV87+BC87+BJ87</f>
        <v>3302289</v>
      </c>
      <c r="AP87" s="538">
        <v>0.0604436210123468</v>
      </c>
      <c r="AQ87" s="538"/>
      <c r="AR87" s="500">
        <v>14035230</v>
      </c>
      <c r="AS87" s="500">
        <v>10412650</v>
      </c>
      <c r="AT87" s="500">
        <v>3622580</v>
      </c>
      <c r="AU87" s="537">
        <v>0.347901830946013</v>
      </c>
      <c r="AV87" s="500">
        <v>377552</v>
      </c>
      <c r="AW87" s="538">
        <v>0.0276439377176706</v>
      </c>
      <c r="AX87" s="500"/>
      <c r="AY87" s="500">
        <v>30028318</v>
      </c>
      <c r="AZ87" s="500">
        <v>15627920</v>
      </c>
      <c r="BA87" s="500">
        <v>12260379</v>
      </c>
      <c r="BB87" s="537">
        <v>0.784517645342438</v>
      </c>
      <c r="BC87" s="500">
        <v>2000780</v>
      </c>
      <c r="BD87" s="538">
        <v>0.07138622022383841</v>
      </c>
      <c r="BE87" s="538"/>
      <c r="BF87" s="500">
        <v>13872943</v>
      </c>
      <c r="BG87" s="500">
        <v>8280000</v>
      </c>
      <c r="BH87" s="500">
        <v>5592943</v>
      </c>
      <c r="BI87" s="544">
        <v>0.675476207729469</v>
      </c>
      <c r="BJ87" s="500">
        <v>923957</v>
      </c>
      <c r="BK87" s="538">
        <v>0.0713536179589661</v>
      </c>
      <c r="BL87" s="500" cm="1">
        <f t="array" ref="BL87">BC87+AV87+P87+BJ87</f>
        <v>5322010</v>
      </c>
      <c r="BM87" s="500" cm="1">
        <f t="array" ref="BM87">SUM(BL$82:BL87)</f>
        <v>12832282.8462539</v>
      </c>
      <c r="BN87" s="500" cm="1">
        <f t="array" ref="BN87">B87-C87</f>
        <v>39720834</v>
      </c>
      <c r="BO87" s="500" cm="1">
        <f t="array" ref="BO87">BL87+'net worth - Table 1-2'!E86</f>
        <v>4641516</v>
      </c>
      <c r="BP87" s="500" cm="1">
        <f t="array" ref="BP87">SUM(BO$82:BO87)</f>
        <v>16071122.8462539</v>
      </c>
      <c r="BQ87" s="500" cm="1">
        <f t="array" ref="BQ87">B87+'net worth - Table 1-2'!C86-'net worth - Table 1-2'!B86-C87</f>
        <v>50981057.2716727</v>
      </c>
      <c r="BR87" s="500" cm="1">
        <f t="array" ref="BR87">(BF87+AY87)*0.85+('net worth - Table 1-2-1'!D86)+E87+'net worth - Table 1-2'!C86</f>
        <v>79635618.84999999</v>
      </c>
    </row>
    <row r="88" ht="8.75" customHeight="1" hidden="1">
      <c r="A88" s="400">
        <v>45474</v>
      </c>
      <c r="B88" s="517">
        <v>90902818</v>
      </c>
      <c r="C88" s="500">
        <v>51047754</v>
      </c>
      <c r="D88" s="536"/>
      <c r="E88" s="500">
        <v>30517714</v>
      </c>
      <c r="F88" s="500">
        <v>14450000</v>
      </c>
      <c r="G88" s="500">
        <v>16067714</v>
      </c>
      <c r="H88" s="537">
        <v>1.11195252595156</v>
      </c>
      <c r="I88" s="500">
        <v>-37199</v>
      </c>
      <c r="J88" s="538">
        <v>-0.00121744741999429</v>
      </c>
      <c r="K88" s="500"/>
      <c r="L88" s="500">
        <v>30517714</v>
      </c>
      <c r="M88" s="500">
        <v>14450000</v>
      </c>
      <c r="N88" s="500">
        <v>16067714</v>
      </c>
      <c r="O88" s="537">
        <v>1.11195252595156</v>
      </c>
      <c r="P88" s="500">
        <v>-37199</v>
      </c>
      <c r="Q88" s="538" cm="1">
        <f t="array" ref="Q88">P88/(L87+M88-M87)</f>
        <v>-0.00121744741999429</v>
      </c>
      <c r="R88" s="500"/>
      <c r="S88" s="500"/>
      <c r="T88" s="500"/>
      <c r="U88" s="500"/>
      <c r="V88" s="500"/>
      <c r="W88" s="500"/>
      <c r="X88" s="543"/>
      <c r="Y88" s="539"/>
      <c r="Z88" s="500">
        <v>4126000</v>
      </c>
      <c r="AA88" s="500" cm="1">
        <f t="array" ref="AA88">AA87+SUM('net worth - cash and cash equiv'!H90:I90)</f>
        <v>4061628</v>
      </c>
      <c r="AB88" s="500" cm="1">
        <f t="array" ref="AB88">Z88-AA88</f>
        <v>64372</v>
      </c>
      <c r="AC88" s="500" cm="1">
        <f t="array" ref="AC88">AB88-AB87</f>
        <v>16883</v>
      </c>
      <c r="AD88" s="538" cm="1">
        <f t="array" ref="AD88">AC88/(Z86+AA87-AA86)</f>
        <v>0.00412567687077074</v>
      </c>
      <c r="AE88" s="538" cm="1">
        <f t="array" ref="AE88">SUM(AD77:AD88)</f>
        <v>0.0135175473495288</v>
      </c>
      <c r="AF88" s="500" cm="1">
        <f t="array" ref="AF88">SUM(AC$82:AC88)</f>
        <v>64372</v>
      </c>
      <c r="AG88" s="539"/>
      <c r="AH88" s="500">
        <v>60385104</v>
      </c>
      <c r="AI88" s="500">
        <v>58424651</v>
      </c>
      <c r="AJ88" s="500">
        <v>1960453</v>
      </c>
      <c r="AK88" s="500">
        <v>34637301</v>
      </c>
      <c r="AL88" s="500">
        <v>36597754</v>
      </c>
      <c r="AM88" s="500">
        <v>23787350</v>
      </c>
      <c r="AN88" s="537">
        <v>0.68675529886119</v>
      </c>
      <c r="AO88" s="500" cm="1">
        <f t="array" ref="AO88">AV88+BC88+BJ88</f>
        <v>171429</v>
      </c>
      <c r="AP88" s="538">
        <v>0.00294282434712367</v>
      </c>
      <c r="AQ88" s="538"/>
      <c r="AR88" s="500">
        <v>14550832</v>
      </c>
      <c r="AS88" s="500">
        <v>10729381</v>
      </c>
      <c r="AT88" s="500">
        <v>3821451</v>
      </c>
      <c r="AU88" s="537">
        <v>0.356166958746269</v>
      </c>
      <c r="AV88" s="500">
        <v>198871</v>
      </c>
      <c r="AW88" s="538">
        <v>0.0138567126819812</v>
      </c>
      <c r="AX88" s="500"/>
      <c r="AY88" s="500">
        <v>30009548</v>
      </c>
      <c r="AZ88" s="500">
        <v>15627920</v>
      </c>
      <c r="BA88" s="500">
        <v>12241609</v>
      </c>
      <c r="BB88" s="537">
        <v>0.783316589795699</v>
      </c>
      <c r="BC88" s="500">
        <v>-18770</v>
      </c>
      <c r="BD88" s="538">
        <v>-0.000625076635994064</v>
      </c>
      <c r="BE88" s="538"/>
      <c r="BF88" s="500">
        <v>13864271</v>
      </c>
      <c r="BG88" s="500">
        <v>8280000</v>
      </c>
      <c r="BH88" s="500">
        <v>5584271</v>
      </c>
      <c r="BI88" s="544">
        <v>0.6744288647343</v>
      </c>
      <c r="BJ88" s="500">
        <v>-8672</v>
      </c>
      <c r="BK88" s="538">
        <v>-0.000625101681741214</v>
      </c>
      <c r="BL88" s="500">
        <v>134230</v>
      </c>
      <c r="BM88" s="500" cm="1">
        <f t="array" ref="BM88">SUM(BL$82:BL88)</f>
        <v>12966512.8462539</v>
      </c>
      <c r="BN88" s="500" cm="1">
        <f t="array" ref="BN88">B88-C88</f>
        <v>39855064</v>
      </c>
      <c r="BO88" s="500" cm="1">
        <f t="array" ref="BO88">BL88+'net worth - Table 1-2'!E87</f>
        <v>-58649</v>
      </c>
      <c r="BP88" s="500" cm="1">
        <f t="array" ref="BP88">SUM(BO$82:BO88)</f>
        <v>16012473.8462539</v>
      </c>
      <c r="BQ88" s="500" cm="1">
        <f t="array" ref="BQ88">B88+'net worth - Table 1-2'!C87-'net worth - Table 1-2'!B87-C88</f>
        <v>50922408.2716727</v>
      </c>
      <c r="BR88" s="500" cm="1">
        <f t="array" ref="BR88">(BF88+AY88)*0.85+('net worth - Table 1-2-1'!D87)+E88+'net worth - Table 1-2'!C87</f>
        <v>83382215.15000001</v>
      </c>
    </row>
    <row r="89" ht="8.75" customHeight="1" hidden="1">
      <c r="A89" s="400">
        <v>45505</v>
      </c>
      <c r="B89" s="517" cm="1">
        <f t="array" ref="B89">E89+AH89</f>
        <v>89308898</v>
      </c>
      <c r="C89" s="500" cm="1">
        <f t="array" ref="C89">F89+AL89</f>
        <v>51470839</v>
      </c>
      <c r="D89" s="536"/>
      <c r="E89" s="500">
        <v>29754534</v>
      </c>
      <c r="F89" s="500">
        <v>14450000</v>
      </c>
      <c r="G89" s="500">
        <v>15304534</v>
      </c>
      <c r="H89" s="537">
        <v>1.05913730103806</v>
      </c>
      <c r="I89" s="500">
        <v>-763180</v>
      </c>
      <c r="J89" s="538">
        <v>-0.0250077708966012</v>
      </c>
      <c r="K89" s="500"/>
      <c r="L89" s="500">
        <v>29754534</v>
      </c>
      <c r="M89" s="500">
        <v>14450000</v>
      </c>
      <c r="N89" s="500">
        <v>15304534</v>
      </c>
      <c r="O89" s="537">
        <v>1.05913730103806</v>
      </c>
      <c r="P89" s="500">
        <v>-763180</v>
      </c>
      <c r="Q89" s="538" cm="1">
        <f t="array" ref="Q89">P89/(L88+M89-M88)</f>
        <v>-0.0250077708966012</v>
      </c>
      <c r="R89" s="500"/>
      <c r="S89" s="500"/>
      <c r="T89" s="500"/>
      <c r="U89" s="500"/>
      <c r="V89" s="500"/>
      <c r="W89" s="500"/>
      <c r="X89" s="543"/>
      <c r="Y89" s="539"/>
      <c r="Z89" s="500">
        <v>4440767</v>
      </c>
      <c r="AA89" s="500" cm="1">
        <f t="array" ref="AA89">AA88+SUM('net worth - cash and cash equiv'!H91:I91)</f>
        <v>4357228</v>
      </c>
      <c r="AB89" s="500" cm="1">
        <f t="array" ref="AB89">Z89-AA89</f>
        <v>83539</v>
      </c>
      <c r="AC89" s="500" cm="1">
        <f t="array" ref="AC89">AB89-AB88</f>
        <v>19167</v>
      </c>
      <c r="AD89" s="538" cm="1">
        <f t="array" ref="AD89">AC89/(Z87+AA88-AA87)</f>
        <v>0.00466450578068232</v>
      </c>
      <c r="AE89" s="538" cm="1">
        <f t="array" ref="AE89">SUM(AD78:AD89)</f>
        <v>0.0181820531302111</v>
      </c>
      <c r="AF89" s="500" cm="1">
        <f t="array" ref="AF89">SUM(AC$82:AC89)</f>
        <v>83539</v>
      </c>
      <c r="AG89" s="539"/>
      <c r="AH89" s="500">
        <v>59554364</v>
      </c>
      <c r="AI89" s="500">
        <v>57487617</v>
      </c>
      <c r="AJ89" s="500">
        <v>2066747</v>
      </c>
      <c r="AK89" s="500">
        <v>34954092</v>
      </c>
      <c r="AL89" s="500">
        <v>37020839</v>
      </c>
      <c r="AM89" s="500">
        <v>22533525</v>
      </c>
      <c r="AN89" s="537">
        <v>0.644660573646141</v>
      </c>
      <c r="AO89" s="500" cm="1">
        <f t="array" ref="AO89">AV89+BC89+BJ89</f>
        <v>-1253825</v>
      </c>
      <c r="AP89" s="538">
        <v>-0.0213448113854611</v>
      </c>
      <c r="AQ89" s="538"/>
      <c r="AR89" s="500">
        <v>14686433</v>
      </c>
      <c r="AS89" s="500">
        <v>11046172</v>
      </c>
      <c r="AT89" s="500">
        <v>3640261</v>
      </c>
      <c r="AU89" s="537">
        <v>0.329549548929711</v>
      </c>
      <c r="AV89" s="500">
        <v>-181190</v>
      </c>
      <c r="AW89" s="538">
        <v>-0.012186884211417</v>
      </c>
      <c r="AX89" s="500"/>
      <c r="AY89" s="500">
        <v>29275869</v>
      </c>
      <c r="AZ89" s="500">
        <v>15627920</v>
      </c>
      <c r="BA89" s="500">
        <v>11507930</v>
      </c>
      <c r="BB89" s="537">
        <v>0.736369907191744</v>
      </c>
      <c r="BC89" s="500">
        <v>-733679</v>
      </c>
      <c r="BD89" s="538">
        <v>-0.024448185624122</v>
      </c>
      <c r="BE89" s="538"/>
      <c r="BF89" s="500">
        <v>13525315</v>
      </c>
      <c r="BG89" s="500">
        <v>8280000</v>
      </c>
      <c r="BH89" s="500">
        <v>5245315</v>
      </c>
      <c r="BI89" s="544">
        <v>0.633492149758454</v>
      </c>
      <c r="BJ89" s="500">
        <v>-338956</v>
      </c>
      <c r="BK89" s="538">
        <v>-0.0244481660810006</v>
      </c>
      <c r="BL89" s="500" cm="1">
        <f t="array" ref="BL89">BC89+AV89+P89+BJ89</f>
        <v>-2017005</v>
      </c>
      <c r="BM89" s="500" cm="1">
        <f t="array" ref="BM89">SUM(BL$82:BL89)</f>
        <v>10949507.8462539</v>
      </c>
      <c r="BN89" s="500" cm="1">
        <f t="array" ref="BN89">B89-C89</f>
        <v>37838059</v>
      </c>
      <c r="BO89" s="500" cm="1">
        <f t="array" ref="BO89">BL89+'net worth - Table 1-2'!E88</f>
        <v>-3918168</v>
      </c>
      <c r="BP89" s="500" cm="1">
        <f t="array" ref="BP89">SUM(BO$82:BO89)</f>
        <v>12094305.8462539</v>
      </c>
      <c r="BQ89" s="500" cm="1">
        <f t="array" ref="BQ89">B89+'net worth - Table 1-2'!C88-'net worth - Table 1-2'!B88-C89</f>
        <v>47004240.2716727</v>
      </c>
      <c r="BR89" s="500" cm="1">
        <f t="array" ref="BR89">(BF89+AY89)*0.85+('net worth - Table 1-2-1'!D88)+E89+'net worth - Table 1-2'!C88</f>
        <v>83806132.40000001</v>
      </c>
    </row>
    <row r="90" ht="8.75" customHeight="1" hidden="1">
      <c r="A90" s="400">
        <v>45536</v>
      </c>
      <c r="B90" s="517" cm="1">
        <f t="array" ref="B90">E90+AH90</f>
        <v>90477518</v>
      </c>
      <c r="C90" s="500" cm="1">
        <f t="array" ref="C90">F90+AL90</f>
        <v>51906367</v>
      </c>
      <c r="D90" s="536"/>
      <c r="E90" s="500">
        <v>29922775</v>
      </c>
      <c r="F90" s="500">
        <v>14450000</v>
      </c>
      <c r="G90" s="500">
        <v>15472775</v>
      </c>
      <c r="H90" s="537">
        <v>1.07078027681661</v>
      </c>
      <c r="I90" s="500">
        <v>168241</v>
      </c>
      <c r="J90" s="538">
        <v>0.00565429792985499</v>
      </c>
      <c r="K90" s="500"/>
      <c r="L90" s="500">
        <v>29922775</v>
      </c>
      <c r="M90" s="500">
        <v>14450000</v>
      </c>
      <c r="N90" s="500">
        <v>15472775</v>
      </c>
      <c r="O90" s="537">
        <v>1.07078027681661</v>
      </c>
      <c r="P90" s="500">
        <v>168241</v>
      </c>
      <c r="Q90" s="538" cm="1">
        <f t="array" ref="Q90">P90/(L89+M90-M89)</f>
        <v>0.00565429792985499</v>
      </c>
      <c r="R90" s="500"/>
      <c r="S90" s="500"/>
      <c r="T90" s="500"/>
      <c r="U90" s="500"/>
      <c r="V90" s="500"/>
      <c r="W90" s="500"/>
      <c r="X90" s="543"/>
      <c r="Y90" s="539"/>
      <c r="Z90" s="500" cm="1">
        <f t="array" ref="Z90">'net worth - dap-1'!B42</f>
        <v>12772416</v>
      </c>
      <c r="AA90" s="500" cm="1">
        <f t="array" ref="AA90">AA89+SUM('net worth - cash and cash equiv'!H92:I92)</f>
        <v>12657228</v>
      </c>
      <c r="AB90" s="500" cm="1">
        <f t="array" ref="AB90">Z90-AA90</f>
        <v>115188</v>
      </c>
      <c r="AC90" s="500" cm="1">
        <f t="array" ref="AC90">AB90-AB89</f>
        <v>31649</v>
      </c>
      <c r="AD90" s="538" cm="1">
        <f t="array" ref="AD90">AC90/(Z88+AA89-AA88)</f>
        <v>0.00715781617514022</v>
      </c>
      <c r="AE90" s="538" cm="1">
        <f t="array" ref="AE90">SUM(AD79:AD90)</f>
        <v>0.0253398693053513</v>
      </c>
      <c r="AF90" s="500" cm="1">
        <f t="array" ref="AF90">SUM(AC$82:AC90)</f>
        <v>115188</v>
      </c>
      <c r="AG90" s="539"/>
      <c r="AH90" s="500">
        <v>60554743</v>
      </c>
      <c r="AI90" s="500">
        <v>58370738</v>
      </c>
      <c r="AJ90" s="500">
        <v>2184005</v>
      </c>
      <c r="AK90" s="500">
        <v>35272362</v>
      </c>
      <c r="AL90" s="500">
        <v>37456367</v>
      </c>
      <c r="AM90" s="500">
        <v>23098376</v>
      </c>
      <c r="AN90" s="537">
        <v>0.654857647469143</v>
      </c>
      <c r="AO90" s="500" cm="1">
        <f t="array" ref="AO90">AV90+BC90+BJ90</f>
        <v>564851</v>
      </c>
      <c r="AP90" s="538">
        <v>0.009771513410044209</v>
      </c>
      <c r="AQ90" s="538"/>
      <c r="AR90" s="500">
        <v>15302015</v>
      </c>
      <c r="AS90" s="500">
        <v>11364442</v>
      </c>
      <c r="AT90" s="500">
        <v>3937573</v>
      </c>
      <c r="AU90" s="537">
        <v>0.346481859822066</v>
      </c>
      <c r="AV90" s="500">
        <v>297312</v>
      </c>
      <c r="AW90" s="538">
        <v>0.0198145874663431</v>
      </c>
      <c r="AX90" s="500"/>
      <c r="AY90" s="500">
        <v>29458865</v>
      </c>
      <c r="AZ90" s="500">
        <v>15627920</v>
      </c>
      <c r="BA90" s="500">
        <v>11690926</v>
      </c>
      <c r="BB90" s="537">
        <v>0.748079462909971</v>
      </c>
      <c r="BC90" s="500">
        <v>182996</v>
      </c>
      <c r="BD90" s="538">
        <v>0.00625074528103675</v>
      </c>
      <c r="BE90" s="538"/>
      <c r="BF90" s="500">
        <v>13609858</v>
      </c>
      <c r="BG90" s="500">
        <v>8280000</v>
      </c>
      <c r="BH90" s="500">
        <v>5329858</v>
      </c>
      <c r="BI90" s="544">
        <v>0.643702657004831</v>
      </c>
      <c r="BJ90" s="500">
        <v>84543</v>
      </c>
      <c r="BK90" s="538">
        <v>0.00625072318093885</v>
      </c>
      <c r="BL90" s="500" cm="1">
        <f t="array" ref="BL90">BC90+AV90+P90+BJ90</f>
        <v>733092</v>
      </c>
      <c r="BM90" s="500" cm="1">
        <f t="array" ref="BM90">SUM(BL$82:BL90)</f>
        <v>11682599.8462539</v>
      </c>
      <c r="BN90" s="500" cm="1">
        <f t="array" ref="BN90">B90-C90</f>
        <v>38571151</v>
      </c>
      <c r="BO90" s="500" cm="1">
        <f t="array" ref="BO90">BL90+'net worth - Table 1-2'!E89</f>
        <v>1233738</v>
      </c>
      <c r="BP90" s="500" cm="1">
        <f t="array" ref="BP90">SUM(BO$82:BO90)</f>
        <v>13328043.8462539</v>
      </c>
      <c r="BQ90" s="500" cm="1">
        <f t="array" ref="BQ90">B90+'net worth - Table 1-2'!C89-'net worth - Table 1-2'!B89-C90</f>
        <v>48237978.2716727</v>
      </c>
      <c r="BR90" s="500" cm="1">
        <f t="array" ref="BR90">(BF90+AY90)*0.85+('net worth - Table 1-2-1'!D89)+E90+'net worth - Table 1-2'!C89</f>
        <v>90695216.55</v>
      </c>
    </row>
    <row r="91" ht="8.75" customHeight="1" hidden="1">
      <c r="A91" s="400">
        <v>45566</v>
      </c>
      <c r="B91" s="517" cm="1">
        <f t="array" ref="B91">E91+AH91</f>
        <v>97388893</v>
      </c>
      <c r="C91" s="500" cm="1">
        <f t="array" ref="C91">F91+AL91</f>
        <v>52808944</v>
      </c>
      <c r="D91" s="536"/>
      <c r="E91" s="500">
        <v>32678334</v>
      </c>
      <c r="F91" s="500">
        <v>14900000</v>
      </c>
      <c r="G91" s="500">
        <v>17778334</v>
      </c>
      <c r="H91" s="537">
        <v>1.19317677852349</v>
      </c>
      <c r="I91" s="500">
        <v>2305559</v>
      </c>
      <c r="J91" s="538">
        <v>0.0759087373478386</v>
      </c>
      <c r="K91" s="500"/>
      <c r="L91" s="500">
        <v>32678334</v>
      </c>
      <c r="M91" s="500">
        <v>14900000</v>
      </c>
      <c r="N91" s="500">
        <v>17778334</v>
      </c>
      <c r="O91" s="537">
        <v>1.19317677852349</v>
      </c>
      <c r="P91" s="500">
        <v>2305559</v>
      </c>
      <c r="Q91" s="538" cm="1">
        <f t="array" ref="Q91">P91/(L90+M91-M90)</f>
        <v>0.0759087373478386</v>
      </c>
      <c r="R91" s="500"/>
      <c r="S91" s="500"/>
      <c r="T91" s="500"/>
      <c r="U91" s="500"/>
      <c r="V91" s="500"/>
      <c r="W91" s="500"/>
      <c r="X91" s="543"/>
      <c r="Y91" s="539"/>
      <c r="Z91" s="500" cm="1">
        <f t="array" ref="Z91">'net worth - dap-1'!B72</f>
        <v>19688735</v>
      </c>
      <c r="AA91" s="500" cm="1">
        <f t="array" ref="AA91">AA90+SUM('net worth - cash and cash equiv'!H93:I93)</f>
        <v>19509638</v>
      </c>
      <c r="AB91" s="500" cm="1">
        <f t="array" ref="AB91">Z91-AA91</f>
        <v>179097</v>
      </c>
      <c r="AC91" s="500" cm="1">
        <f t="array" ref="AC91">AB91-AB90</f>
        <v>63909</v>
      </c>
      <c r="AD91" s="538" cm="1">
        <f t="array" ref="AD91">AC91/(Z89+AA90-AA89)</f>
        <v>0.00501610303367136</v>
      </c>
      <c r="AE91" s="538" cm="1">
        <f t="array" ref="AE91">SUM(AD80:AD91)</f>
        <v>0.0303559723390227</v>
      </c>
      <c r="AF91" s="500" cm="1">
        <f t="array" ref="AF91">SUM(AC$82:AC91)</f>
        <v>179097</v>
      </c>
      <c r="AG91" s="539"/>
      <c r="AH91" s="500">
        <v>64710559</v>
      </c>
      <c r="AI91" s="500">
        <v>62443562</v>
      </c>
      <c r="AJ91" s="500">
        <v>2266997</v>
      </c>
      <c r="AK91" s="500">
        <v>35641947</v>
      </c>
      <c r="AL91" s="500">
        <v>37908944</v>
      </c>
      <c r="AM91" s="500">
        <v>26801615</v>
      </c>
      <c r="AN91" s="537">
        <v>0.751968319800262</v>
      </c>
      <c r="AO91" s="500" cm="1">
        <f t="array" ref="AO91">AV91+BC91+BJ91</f>
        <v>3703239</v>
      </c>
      <c r="AP91" s="538">
        <v>0.0630442396443751</v>
      </c>
      <c r="AQ91" s="538"/>
      <c r="AR91" s="500">
        <v>15997286</v>
      </c>
      <c r="AS91" s="500">
        <v>11684027</v>
      </c>
      <c r="AT91" s="500">
        <v>4313259</v>
      </c>
      <c r="AU91" s="537">
        <v>0.369158595747853</v>
      </c>
      <c r="AV91" s="500">
        <v>375686</v>
      </c>
      <c r="AW91" s="538">
        <v>0.0240491370922313</v>
      </c>
      <c r="AX91" s="500"/>
      <c r="AY91" s="500">
        <v>31785466</v>
      </c>
      <c r="AZ91" s="500">
        <v>15677920</v>
      </c>
      <c r="BA91" s="500">
        <v>13967527</v>
      </c>
      <c r="BB91" s="537">
        <v>0.890904341902497</v>
      </c>
      <c r="BC91" s="500">
        <v>2276601</v>
      </c>
      <c r="BD91" s="538">
        <v>0.07714973110622859</v>
      </c>
      <c r="BE91" s="538"/>
      <c r="BF91" s="500">
        <v>14660810</v>
      </c>
      <c r="BG91" s="500">
        <v>8280000</v>
      </c>
      <c r="BH91" s="500">
        <v>6380810</v>
      </c>
      <c r="BI91" s="544">
        <v>0.77062922705314</v>
      </c>
      <c r="BJ91" s="500">
        <v>1050952</v>
      </c>
      <c r="BK91" s="538">
        <v>0.07721990927458609</v>
      </c>
      <c r="BL91" s="500" cm="1">
        <f t="array" ref="BL91">BC91+AV91+P91+BJ91</f>
        <v>6008798</v>
      </c>
      <c r="BM91" s="500" cm="1">
        <f t="array" ref="BM91">SUM(BL$82:BL91)</f>
        <v>17691397.8462539</v>
      </c>
      <c r="BN91" s="500" cm="1">
        <f t="array" ref="BN91">B91-C91</f>
        <v>44579949</v>
      </c>
      <c r="BO91" s="500" cm="1">
        <f t="array" ref="BO91">BL91+'net worth - Table 1-2'!E90</f>
        <v>6675480</v>
      </c>
      <c r="BP91" s="500" cm="1">
        <f t="array" ref="BP91">SUM(BO$82:BO91)</f>
        <v>20003523.8462539</v>
      </c>
      <c r="BQ91" s="500" cm="1">
        <f t="array" ref="BQ91">B91+'net worth - Table 1-2'!C90-'net worth - Table 1-2'!B90-C91</f>
        <v>54913458.2716727</v>
      </c>
      <c r="BR91" s="500" cm="1">
        <f t="array" ref="BR91">(BF91+AY91)*0.85+('net worth - Table 1-2-1'!D90)+E91+'net worth - Table 1-2'!C90</f>
        <v>100094143.6</v>
      </c>
    </row>
    <row r="92" ht="8.75" customHeight="1" hidden="1">
      <c r="A92" s="400">
        <v>45597</v>
      </c>
      <c r="B92" s="517" cm="1">
        <f t="array" ref="B92">E92+AH92</f>
        <v>101516190</v>
      </c>
      <c r="C92" s="500" cm="1">
        <f t="array" ref="C92">F92+AL92</f>
        <v>53287220</v>
      </c>
      <c r="D92" s="536"/>
      <c r="E92" s="500">
        <v>34016988</v>
      </c>
      <c r="F92" s="500">
        <v>14900000</v>
      </c>
      <c r="G92" s="500">
        <v>19116988</v>
      </c>
      <c r="H92" s="537">
        <v>1.28301932885906</v>
      </c>
      <c r="I92" s="500">
        <v>1338654</v>
      </c>
      <c r="J92" s="538">
        <v>0.0409645730409635</v>
      </c>
      <c r="K92" s="500"/>
      <c r="L92" s="500">
        <v>34016988</v>
      </c>
      <c r="M92" s="500">
        <v>14900000</v>
      </c>
      <c r="N92" s="500">
        <v>19116988</v>
      </c>
      <c r="O92" s="537">
        <v>1.28301932885906</v>
      </c>
      <c r="P92" s="500">
        <v>1338654</v>
      </c>
      <c r="Q92" s="538" cm="1">
        <f t="array" ref="Q92">P92/(L91+M92-M91)</f>
        <v>0.0409645730409635</v>
      </c>
      <c r="R92" s="500"/>
      <c r="S92" s="500"/>
      <c r="T92" s="500"/>
      <c r="U92" s="500"/>
      <c r="V92" s="500"/>
      <c r="W92" s="500"/>
      <c r="X92" s="543"/>
      <c r="Y92" s="539"/>
      <c r="Z92" s="500" cm="1">
        <f t="array" ref="Z92">'net worth - dap-1'!B101</f>
        <v>6232241</v>
      </c>
      <c r="AA92" s="500" cm="1">
        <f t="array" ref="AA92">AA91+SUM('net worth - cash and cash equiv'!H94:I94)</f>
        <v>6009638</v>
      </c>
      <c r="AB92" s="500" cm="1">
        <f t="array" ref="AB92">Z92-AA92</f>
        <v>222603</v>
      </c>
      <c r="AC92" s="500" cm="1">
        <f t="array" ref="AC92">AB92-AB91</f>
        <v>43506</v>
      </c>
      <c r="AD92" s="538" cm="1">
        <f t="array" ref="AD92">AC92/(Z90+AA91-AA90)</f>
        <v>0.00221688589748515</v>
      </c>
      <c r="AE92" s="538" cm="1">
        <f t="array" ref="AE92">SUM(AD81:AD92)</f>
        <v>0.0325728582365078</v>
      </c>
      <c r="AF92" s="500" cm="1">
        <f t="array" ref="AF92">SUM(AC$82:AC92)</f>
        <v>222603</v>
      </c>
      <c r="AG92" s="539"/>
      <c r="AH92" s="500">
        <v>67499202</v>
      </c>
      <c r="AI92" s="500">
        <v>65115788</v>
      </c>
      <c r="AJ92" s="500">
        <v>2383414</v>
      </c>
      <c r="AK92" s="500">
        <v>36003806</v>
      </c>
      <c r="AL92" s="500">
        <v>38387220</v>
      </c>
      <c r="AM92" s="500">
        <v>29111982</v>
      </c>
      <c r="AN92" s="537">
        <v>0.808580681720149</v>
      </c>
      <c r="AO92" s="500" cm="1">
        <f t="array" ref="AO92">AV92+BC92+BJ92</f>
        <v>2310367</v>
      </c>
      <c r="AP92" s="538">
        <v>0.0367861080017281</v>
      </c>
      <c r="AQ92" s="538"/>
      <c r="AR92" s="500">
        <v>16701312</v>
      </c>
      <c r="AS92" s="500">
        <v>12004126</v>
      </c>
      <c r="AT92" s="500">
        <v>4697186</v>
      </c>
      <c r="AU92" s="537">
        <v>0.391297625499766</v>
      </c>
      <c r="AV92" s="500">
        <v>383927</v>
      </c>
      <c r="AW92" s="538">
        <v>0.0235287087973962</v>
      </c>
      <c r="AX92" s="500"/>
      <c r="AY92" s="500">
        <v>33145501</v>
      </c>
      <c r="AZ92" s="500">
        <v>15719680</v>
      </c>
      <c r="BA92" s="500">
        <v>15285802</v>
      </c>
      <c r="BB92" s="537">
        <v>0.972399056469343</v>
      </c>
      <c r="BC92" s="500">
        <v>1318275</v>
      </c>
      <c r="BD92" s="538">
        <v>0.0414197266202213</v>
      </c>
      <c r="BE92" s="538"/>
      <c r="BF92" s="500">
        <v>15268975</v>
      </c>
      <c r="BG92" s="500">
        <v>8280000</v>
      </c>
      <c r="BH92" s="500">
        <v>6988975</v>
      </c>
      <c r="BI92" s="544">
        <v>0.844079106280193</v>
      </c>
      <c r="BJ92" s="500">
        <v>608165</v>
      </c>
      <c r="BK92" s="538">
        <v>0.0414823601151642</v>
      </c>
      <c r="BL92" s="500" cm="1">
        <f t="array" ref="BL92">I92+AO92</f>
        <v>3649021</v>
      </c>
      <c r="BM92" s="500" cm="1">
        <f t="array" ref="BM92">SUM(BL$82:BL92)</f>
        <v>21340418.8462539</v>
      </c>
      <c r="BN92" s="500" cm="1">
        <f t="array" ref="BN92">B92-C92</f>
        <v>48228970</v>
      </c>
      <c r="BO92" s="500" cm="1">
        <f t="array" ref="BO92">BL92+'net worth - Table 1-2'!E91</f>
        <v>7176740</v>
      </c>
      <c r="BP92" s="500" cm="1">
        <f t="array" ref="BP92">SUM(BO$82:BO92)</f>
        <v>27180263.8462539</v>
      </c>
      <c r="BQ92" s="500" cm="1">
        <f t="array" ref="BQ92">B92+'net worth - Table 1-2'!C91-'net worth - Table 1-2'!B91-C92</f>
        <v>62090198.2716727</v>
      </c>
      <c r="BR92" s="500" cm="1">
        <f t="array" ref="BR92">(BF92+AY92)*0.85+('net worth - Table 1-2-1'!D91)+E92+'net worth - Table 1-2'!C91</f>
        <v>90676992.59999999</v>
      </c>
    </row>
    <row r="93" ht="8.75" customHeight="1" hidden="1">
      <c r="A93" s="400">
        <v>45627</v>
      </c>
      <c r="B93" s="517" cm="1">
        <f t="array" ref="B93">E93+AH93</f>
        <v>100503182</v>
      </c>
      <c r="C93" s="500" cm="1">
        <f t="array" ref="C93">F93+AL93</f>
        <v>50787786</v>
      </c>
      <c r="D93" s="536"/>
      <c r="E93" s="500">
        <v>31621022</v>
      </c>
      <c r="F93" s="500">
        <v>12000000</v>
      </c>
      <c r="G93" s="500">
        <v>19621022</v>
      </c>
      <c r="H93" s="537">
        <v>1.63508516666667</v>
      </c>
      <c r="I93" s="500" cm="1">
        <f t="array" ref="I93">P93+U93</f>
        <v>504034</v>
      </c>
      <c r="J93" s="538">
        <v>0.0161980330487</v>
      </c>
      <c r="K93" s="500"/>
      <c r="L93" s="500">
        <v>31031547</v>
      </c>
      <c r="M93" s="500">
        <v>11400000</v>
      </c>
      <c r="N93" s="500">
        <v>19631547</v>
      </c>
      <c r="O93" s="537">
        <v>1.72206552631579</v>
      </c>
      <c r="P93" s="500">
        <v>514559</v>
      </c>
      <c r="Q93" s="538">
        <v>0.0168613953644442</v>
      </c>
      <c r="R93" s="500"/>
      <c r="S93" s="500">
        <v>589475</v>
      </c>
      <c r="T93" s="500">
        <v>600000</v>
      </c>
      <c r="U93" s="500">
        <v>-10525</v>
      </c>
      <c r="V93" s="500">
        <v>-0.0175416666666667</v>
      </c>
      <c r="W93" s="500">
        <v>-10525</v>
      </c>
      <c r="X93" s="538">
        <v>-0.0175416666666667</v>
      </c>
      <c r="Y93" s="539"/>
      <c r="Z93" s="500" cm="1">
        <f t="array" ref="Z93">'net worth - dap-1'!B134</f>
        <v>15274709</v>
      </c>
      <c r="AA93" s="500" cm="1">
        <f t="array" ref="AA93">AA92+SUM('net worth - cash and cash equiv'!H95:I95)</f>
        <v>15009638</v>
      </c>
      <c r="AB93" s="500" cm="1">
        <f t="array" ref="AB93">Z93-AA93</f>
        <v>265071</v>
      </c>
      <c r="AC93" s="500" cm="1">
        <f t="array" ref="AC93">AB93-AB92</f>
        <v>42468</v>
      </c>
      <c r="AD93" s="538" cm="1">
        <f t="array" ref="AD93">AC93/(Z91+AA92-AA91)</f>
        <v>0.00686214549500019</v>
      </c>
      <c r="AE93" s="538" cm="1">
        <f t="array" ref="AE93">SUM(AD82:AD93)</f>
        <v>0.039435003731508</v>
      </c>
      <c r="AF93" s="500" cm="1">
        <f t="array" ref="AF93">SUM(AC$82:AC93)</f>
        <v>265071</v>
      </c>
      <c r="AG93" s="539"/>
      <c r="AH93" s="500">
        <v>68882160</v>
      </c>
      <c r="AI93" s="500">
        <v>66420610</v>
      </c>
      <c r="AJ93" s="500">
        <v>2461550</v>
      </c>
      <c r="AK93" s="500">
        <v>36326236</v>
      </c>
      <c r="AL93" s="500">
        <v>38787786</v>
      </c>
      <c r="AM93" s="500">
        <v>30094374</v>
      </c>
      <c r="AN93" s="537">
        <v>0.828447351385373</v>
      </c>
      <c r="AO93" s="500" cm="1">
        <f t="array" ref="AO93">AV93+BC93+BJ93</f>
        <v>581299</v>
      </c>
      <c r="AP93" s="538">
        <v>0.0150125114959579</v>
      </c>
      <c r="AQ93" s="538"/>
      <c r="AR93" s="500">
        <v>16878847</v>
      </c>
      <c r="AS93" s="500">
        <v>12326556</v>
      </c>
      <c r="AT93" s="500">
        <v>4552291</v>
      </c>
      <c r="AU93" s="537">
        <v>0.369307615200872</v>
      </c>
      <c r="AV93" s="500">
        <v>-144895</v>
      </c>
      <c r="AW93" s="538">
        <v>-0.00851134844501285</v>
      </c>
      <c r="AX93" s="500"/>
      <c r="AY93" s="500">
        <v>34045209</v>
      </c>
      <c r="AZ93" s="500">
        <v>15719680</v>
      </c>
      <c r="BA93" s="500">
        <v>15784417</v>
      </c>
      <c r="BB93" s="537">
        <v>1.00411821360231</v>
      </c>
      <c r="BC93" s="500">
        <v>498615</v>
      </c>
      <c r="BD93" s="538">
        <v>0.0150432180825989</v>
      </c>
      <c r="BE93" s="538"/>
      <c r="BF93" s="500">
        <v>15496554</v>
      </c>
      <c r="BG93" s="500">
        <v>8280000</v>
      </c>
      <c r="BH93" s="500">
        <v>7216554</v>
      </c>
      <c r="BI93" s="544">
        <v>0.871564492753623</v>
      </c>
      <c r="BJ93" s="500">
        <v>227579</v>
      </c>
      <c r="BK93" s="538">
        <v>0.0149046677985916</v>
      </c>
      <c r="BL93" s="500" cm="1">
        <f t="array" ref="BL93">I93+AO93</f>
        <v>1085333</v>
      </c>
      <c r="BM93" s="500" cm="1">
        <f t="array" ref="BM93">SUM(BL$82:BL93)</f>
        <v>22425751.8462539</v>
      </c>
      <c r="BN93" s="500" cm="1">
        <f t="array" ref="BN93">B93-C93</f>
        <v>49715396</v>
      </c>
      <c r="BO93" s="500" cm="1">
        <f t="array" ref="BO93">BL93+'net worth - Table 1-2'!E92</f>
        <v>765340</v>
      </c>
      <c r="BP93" s="500" cm="1">
        <f t="array" ref="BP93">SUM(BO$82:BO93)</f>
        <v>27945603.8462539</v>
      </c>
      <c r="BQ93" s="500" cm="1">
        <f t="array" ref="BQ93">B93+'net worth - Table 1-2'!C92-'net worth - Table 1-2'!B92-C93</f>
        <v>63256631.2716727</v>
      </c>
      <c r="BR93" s="500" cm="1">
        <f t="array" ref="BR93">(BF93+AY93)*0.85+('net worth - Table 1-2-1'!D92)+E93+'net worth - Table 1-2'!C92</f>
        <v>98862439.55</v>
      </c>
    </row>
    <row r="94" ht="8.75" customHeight="1" hidden="1">
      <c r="A94" s="400">
        <v>45658</v>
      </c>
      <c r="B94" s="517" cm="1">
        <f t="array" ref="B94">E94+AH94</f>
        <v>97287176</v>
      </c>
      <c r="C94" s="500" cm="1">
        <f t="array" ref="C94">F94+AL94</f>
        <v>47204681</v>
      </c>
      <c r="D94" s="536"/>
      <c r="E94" s="500">
        <v>27651134</v>
      </c>
      <c r="F94" s="500">
        <v>8000000</v>
      </c>
      <c r="G94" s="500">
        <v>19651134</v>
      </c>
      <c r="H94" s="537">
        <v>2.45639175</v>
      </c>
      <c r="I94" s="500">
        <v>30112</v>
      </c>
      <c r="J94" s="538">
        <v>0.00109018413583683</v>
      </c>
      <c r="K94" s="500"/>
      <c r="L94" s="500">
        <v>27053800</v>
      </c>
      <c r="M94" s="500">
        <v>7400000</v>
      </c>
      <c r="N94" s="500">
        <v>19653800</v>
      </c>
      <c r="O94" s="537">
        <v>2.65591891891892</v>
      </c>
      <c r="P94" s="500">
        <v>22253</v>
      </c>
      <c r="Q94" s="538">
        <v>0.000823223324954358</v>
      </c>
      <c r="R94" s="500"/>
      <c r="S94" s="500">
        <v>597334</v>
      </c>
      <c r="T94" s="500">
        <v>600000</v>
      </c>
      <c r="U94" s="500">
        <v>-2666</v>
      </c>
      <c r="V94" s="500">
        <v>-0.00444333333333333</v>
      </c>
      <c r="W94" s="500">
        <v>7859</v>
      </c>
      <c r="X94" s="538">
        <v>0.0133322023834768</v>
      </c>
      <c r="Y94" s="539"/>
      <c r="Z94" s="500" cm="1">
        <f t="array" ref="Z94">'net worth - dap-1'!B164</f>
        <v>35882284</v>
      </c>
      <c r="AA94" s="500" cm="1">
        <f t="array" ref="AA94">AA93+SUM('net worth - cash and cash equiv'!H96:I96)</f>
        <v>35509638</v>
      </c>
      <c r="AB94" s="500" cm="1">
        <f t="array" ref="AB94">Z94-AA94</f>
        <v>372646</v>
      </c>
      <c r="AC94" s="500" cm="1">
        <f t="array" ref="AC94">AB94-AB93</f>
        <v>107575</v>
      </c>
      <c r="AD94" s="538" cm="1">
        <f t="array" ref="AD94">AC94/(Z92+AA93-AA92)</f>
        <v>0.00706232260899759</v>
      </c>
      <c r="AE94" s="538" cm="1">
        <f t="array" ref="AE94">SUM(AD83:AD94)</f>
        <v>0.0464973263405056</v>
      </c>
      <c r="AF94" s="500" cm="1">
        <f t="array" ref="AF94">SUM(AC94)</f>
        <v>107575</v>
      </c>
      <c r="AG94" s="539"/>
      <c r="AH94" s="500">
        <v>69636042</v>
      </c>
      <c r="AI94" s="500">
        <v>67081450</v>
      </c>
      <c r="AJ94" s="500">
        <v>2554592</v>
      </c>
      <c r="AK94" s="500">
        <v>36650089</v>
      </c>
      <c r="AL94" s="500">
        <v>39204681</v>
      </c>
      <c r="AM94" s="500">
        <v>30431361</v>
      </c>
      <c r="AN94" s="537">
        <v>0.830321612588717</v>
      </c>
      <c r="AO94" s="500" cm="1">
        <f t="array" ref="AO94">AV94+BC94+BJ94</f>
        <v>336987</v>
      </c>
      <c r="AP94" s="538">
        <v>0.0050489131959905</v>
      </c>
      <c r="AQ94" s="538"/>
      <c r="AR94" s="500">
        <v>17532836</v>
      </c>
      <c r="AS94" s="500">
        <v>12650409</v>
      </c>
      <c r="AT94" s="500">
        <v>4882427</v>
      </c>
      <c r="AU94" s="537">
        <v>0.385950130149942</v>
      </c>
      <c r="AV94" s="500">
        <v>330136</v>
      </c>
      <c r="AW94" s="538">
        <v>0.0191909409569428</v>
      </c>
      <c r="AX94" s="500"/>
      <c r="AY94" s="500">
        <v>34049917</v>
      </c>
      <c r="AZ94" s="500">
        <v>15719680</v>
      </c>
      <c r="BA94" s="500">
        <v>15789125</v>
      </c>
      <c r="BB94" s="537">
        <v>1.0044177107931</v>
      </c>
      <c r="BC94" s="500">
        <v>4708</v>
      </c>
      <c r="BD94" s="538">
        <v>0.00013828671164862</v>
      </c>
      <c r="BE94" s="538"/>
      <c r="BF94" s="500">
        <v>15498697</v>
      </c>
      <c r="BG94" s="500">
        <v>8280000</v>
      </c>
      <c r="BH94" s="500">
        <v>7218697</v>
      </c>
      <c r="BI94" s="544">
        <v>0.871823309178744</v>
      </c>
      <c r="BJ94" s="500">
        <v>2143</v>
      </c>
      <c r="BK94" s="538">
        <v>0.000138288809241074</v>
      </c>
      <c r="BL94" s="500" cm="1">
        <f t="array" ref="BL94">I94+AO94</f>
        <v>367099</v>
      </c>
      <c r="BM94" s="500" cm="1">
        <f t="array" ref="BM94">SUM(BL$94:BL94)</f>
        <v>367099</v>
      </c>
      <c r="BN94" s="500" cm="1">
        <f t="array" ref="BN94">B94-C94</f>
        <v>50082495</v>
      </c>
      <c r="BO94" s="500" cm="1">
        <f t="array" ref="BO94">BL94+'net worth - Table 1-2'!E93</f>
        <v>570342</v>
      </c>
      <c r="BP94" s="500" cm="1">
        <f t="array" ref="BP94">SUM(BO$94:BO94)</f>
        <v>570342</v>
      </c>
      <c r="BQ94" s="500" cm="1">
        <f t="array" ref="BQ94">B94+'net worth - Table 1-2'!C93-'net worth - Table 1-2'!B93-C94</f>
        <v>63826973.2716727</v>
      </c>
      <c r="BR94" s="500" cm="1">
        <f t="array" ref="BR94">(BF94+AY94)*0.85+('net worth - Table 1-2-1'!D93)+E94+'net worth - Table 1-2'!C93</f>
        <v>115000211.9</v>
      </c>
    </row>
    <row r="95" ht="8.75" customHeight="1" hidden="1">
      <c r="A95" s="400">
        <v>45689</v>
      </c>
      <c r="B95" s="517" cm="1">
        <f t="array" ref="B95">E95+AH95</f>
        <v>83370178</v>
      </c>
      <c r="C95" s="500" cm="1">
        <f t="array" ref="C95">F95+AL95</f>
        <v>37597468</v>
      </c>
      <c r="D95" s="536"/>
      <c r="E95" s="500">
        <v>16524027</v>
      </c>
      <c r="F95" s="500">
        <v>-2000000</v>
      </c>
      <c r="G95" s="500">
        <v>18524027</v>
      </c>
      <c r="H95" s="537">
        <v>-9.2620135</v>
      </c>
      <c r="I95" s="500">
        <v>-1127107</v>
      </c>
      <c r="J95" s="538">
        <v>-0.0638546509249774</v>
      </c>
      <c r="K95" s="500"/>
      <c r="L95" s="500">
        <v>15956487</v>
      </c>
      <c r="M95" s="500">
        <v>-2600000</v>
      </c>
      <c r="N95" s="500">
        <v>18556487</v>
      </c>
      <c r="O95" s="537">
        <v>-7.13711038461538</v>
      </c>
      <c r="P95" s="500">
        <v>-1097313</v>
      </c>
      <c r="Q95" s="538">
        <v>-0.06434419308306651</v>
      </c>
      <c r="R95" s="500"/>
      <c r="S95" s="500">
        <v>567540</v>
      </c>
      <c r="T95" s="500">
        <v>600000</v>
      </c>
      <c r="U95" s="500">
        <v>-32460</v>
      </c>
      <c r="V95" s="500">
        <v>-0.0541</v>
      </c>
      <c r="W95" s="500">
        <v>-29794</v>
      </c>
      <c r="X95" s="538">
        <v>-0.0498782925465485</v>
      </c>
      <c r="Y95" s="539"/>
      <c r="Z95" s="500" cm="1">
        <f t="array" ref="Z95">'net worth - dap-1'!B193</f>
        <v>21000880</v>
      </c>
      <c r="AA95" s="500" cm="1">
        <f t="array" ref="AA95">AA94+SUM('net worth - cash and cash equiv'!H97:I97)</f>
        <v>20509638</v>
      </c>
      <c r="AB95" s="500" cm="1">
        <f t="array" ref="AB95">Z95-AA95</f>
        <v>491242</v>
      </c>
      <c r="AC95" s="500" cm="1">
        <f t="array" ref="AC95">AB95-AB94</f>
        <v>118596</v>
      </c>
      <c r="AD95" s="538" cm="1">
        <f t="array" ref="AD95">AC95/(Z93+AA94-AA93)</f>
        <v>0.003315079376327</v>
      </c>
      <c r="AE95" s="538" cm="1">
        <f t="array" ref="AE95">SUM(AD84:AD95)</f>
        <v>0.0498124057168326</v>
      </c>
      <c r="AF95" s="500" cm="1">
        <f t="array" ref="AF95">SUM(AC$94:AC95)</f>
        <v>226171</v>
      </c>
      <c r="AG95" s="539"/>
      <c r="AH95" s="500">
        <v>66846151</v>
      </c>
      <c r="AI95" s="500">
        <v>64222353</v>
      </c>
      <c r="AJ95" s="500">
        <v>2623798</v>
      </c>
      <c r="AK95" s="500">
        <v>36973670</v>
      </c>
      <c r="AL95" s="500">
        <v>39597468</v>
      </c>
      <c r="AM95" s="500">
        <v>27248683</v>
      </c>
      <c r="AN95" s="537">
        <v>0.736975339478066</v>
      </c>
      <c r="AO95" s="500" cm="1">
        <f t="array" ref="AO95">AV95+BC95+BJ95</f>
        <v>-3182678</v>
      </c>
      <c r="AP95" s="538">
        <v>-0.047217217361713</v>
      </c>
      <c r="AQ95" s="538"/>
      <c r="AR95" s="500">
        <v>17456580</v>
      </c>
      <c r="AS95" s="500">
        <v>12973990</v>
      </c>
      <c r="AT95" s="500">
        <v>4482590</v>
      </c>
      <c r="AU95" s="537">
        <v>0.345505892944268</v>
      </c>
      <c r="AV95" s="500">
        <v>-399837</v>
      </c>
      <c r="AW95" s="538">
        <v>-0.0223917821811621</v>
      </c>
      <c r="AX95" s="500"/>
      <c r="AY95" s="500">
        <v>32137542</v>
      </c>
      <c r="AZ95" s="500">
        <v>15719680</v>
      </c>
      <c r="BA95" s="500">
        <v>13876750</v>
      </c>
      <c r="BB95" s="537">
        <v>0.882762880669327</v>
      </c>
      <c r="BC95" s="500">
        <v>-1912375</v>
      </c>
      <c r="BD95" s="538">
        <v>-0.0561638667136839</v>
      </c>
      <c r="BE95" s="538"/>
      <c r="BF95" s="500">
        <v>14628231</v>
      </c>
      <c r="BG95" s="500">
        <v>8280000</v>
      </c>
      <c r="BH95" s="500">
        <v>6348231</v>
      </c>
      <c r="BI95" s="544">
        <v>0.766694565217391</v>
      </c>
      <c r="BJ95" s="500">
        <v>-870466</v>
      </c>
      <c r="BK95" s="538">
        <v>-0.056163818158391</v>
      </c>
      <c r="BL95" s="500" cm="1">
        <f t="array" ref="BL95">I95+AO95</f>
        <v>-4309785</v>
      </c>
      <c r="BM95" s="500" cm="1">
        <f t="array" ref="BM95">SUM(BL$94:BL95)</f>
        <v>-3942686</v>
      </c>
      <c r="BN95" s="500" cm="1">
        <f t="array" ref="BN95">B95-C95</f>
        <v>45772710</v>
      </c>
      <c r="BO95" s="500" cm="1">
        <f t="array" ref="BO95">BL95+'net worth - Table 1-2'!E94</f>
        <v>-6180822</v>
      </c>
      <c r="BP95" s="500" cm="1">
        <f t="array" ref="BP95">SUM(BO$94:BO95)</f>
        <v>-5610480</v>
      </c>
      <c r="BQ95" s="500" cm="1">
        <f t="array" ref="BQ95">B95+'net worth - Table 1-2'!C94-'net worth - Table 1-2'!B94-C95</f>
        <v>57646151.2716727</v>
      </c>
      <c r="BR95" s="500" cm="1">
        <f t="array" ref="BR95">(BF95+AY95)*0.85+('net worth - Table 1-2-1'!D94)+E95+'net worth - Table 1-2'!C94</f>
        <v>64633852.05</v>
      </c>
    </row>
    <row r="96" ht="8.75" customHeight="1" hidden="1">
      <c r="A96" s="400">
        <v>45717</v>
      </c>
      <c r="B96" s="517" cm="1">
        <f t="array" ref="B96">E96+AH96</f>
        <v>72843198</v>
      </c>
      <c r="C96" s="500" cm="1">
        <f t="array" ref="C96">F96+AL96</f>
        <v>31526230</v>
      </c>
      <c r="D96" s="536"/>
      <c r="E96" s="500">
        <v>8883436</v>
      </c>
      <c r="F96" s="500">
        <v>-8500000</v>
      </c>
      <c r="G96" s="500">
        <v>17383436</v>
      </c>
      <c r="H96" s="537">
        <v>-2.04511011764706</v>
      </c>
      <c r="I96" s="500">
        <v>-1140591</v>
      </c>
      <c r="J96" s="538">
        <v>-0.113785707081595</v>
      </c>
      <c r="K96" s="500"/>
      <c r="L96" s="500">
        <v>8350201</v>
      </c>
      <c r="M96" s="500">
        <v>-9100000</v>
      </c>
      <c r="N96" s="500">
        <v>17450201</v>
      </c>
      <c r="O96" s="537">
        <v>-1.91760450549451</v>
      </c>
      <c r="P96" s="500">
        <v>-1106286</v>
      </c>
      <c r="Q96" s="538">
        <v>-0.116986995276364</v>
      </c>
      <c r="R96" s="500"/>
      <c r="S96" s="500">
        <v>533235</v>
      </c>
      <c r="T96" s="500">
        <v>600000</v>
      </c>
      <c r="U96" s="500">
        <v>-66765</v>
      </c>
      <c r="V96" s="500">
        <v>-0.111275</v>
      </c>
      <c r="W96" s="500">
        <v>-34305</v>
      </c>
      <c r="X96" s="538">
        <v>-0.0604450787609684</v>
      </c>
      <c r="Y96" s="539"/>
      <c r="Z96" s="500" cm="1">
        <f t="array" ref="Z96">'net worth - dap-1'!B224</f>
        <v>17512382</v>
      </c>
      <c r="AA96" s="500" cm="1">
        <f t="array" ref="AA96">AA95+SUM('net worth - cash and cash equiv'!H98:I98)</f>
        <v>16959638</v>
      </c>
      <c r="AB96" s="500" cm="1">
        <f t="array" ref="AB96">Z96-AA96</f>
        <v>552744</v>
      </c>
      <c r="AC96" s="500" cm="1">
        <f t="array" ref="AC96">AB96-AB95</f>
        <v>61502</v>
      </c>
      <c r="AD96" s="538" cm="1">
        <f t="array" ref="AD96">AC96/(Z94+AA95-AA94)</f>
        <v>0.00294517592041177</v>
      </c>
      <c r="AE96" s="538" cm="1">
        <f t="array" ref="AE96">SUM(AD85:AD96)</f>
        <v>0.0527575816372444</v>
      </c>
      <c r="AF96" s="500" cm="1">
        <f t="array" ref="AF96">SUM(AC$94:AC96)</f>
        <v>287673</v>
      </c>
      <c r="AG96" s="539"/>
      <c r="AH96" s="500">
        <v>63959762</v>
      </c>
      <c r="AI96" s="500">
        <v>61246531</v>
      </c>
      <c r="AJ96" s="500">
        <v>2713231</v>
      </c>
      <c r="AK96" s="500">
        <v>37312999</v>
      </c>
      <c r="AL96" s="500">
        <v>40026230</v>
      </c>
      <c r="AM96" s="500">
        <v>23933532</v>
      </c>
      <c r="AN96" s="537">
        <v>0.641426115333158</v>
      </c>
      <c r="AO96" s="500" cm="1">
        <f t="array" ref="AO96">AV96+BC96+BJ96</f>
        <v>-3315151</v>
      </c>
      <c r="AP96" s="538">
        <v>-0.0513485847534146</v>
      </c>
      <c r="AQ96" s="538"/>
      <c r="AR96" s="500">
        <v>17540235</v>
      </c>
      <c r="AS96" s="500">
        <v>13313319</v>
      </c>
      <c r="AT96" s="500">
        <v>4226916</v>
      </c>
      <c r="AU96" s="537">
        <v>0.317495284233781</v>
      </c>
      <c r="AV96" s="500">
        <v>-255674</v>
      </c>
      <c r="AW96" s="538">
        <v>-0.0143670098560293</v>
      </c>
      <c r="AX96" s="500"/>
      <c r="AY96" s="500">
        <v>30035063</v>
      </c>
      <c r="AZ96" s="500">
        <v>15719680</v>
      </c>
      <c r="BA96" s="500">
        <v>11774271</v>
      </c>
      <c r="BB96" s="537">
        <v>0.749014674598974</v>
      </c>
      <c r="BC96" s="500">
        <v>-2102479</v>
      </c>
      <c r="BD96" s="538">
        <v>-0.06542127583995069</v>
      </c>
      <c r="BE96" s="538"/>
      <c r="BF96" s="500">
        <v>13671233</v>
      </c>
      <c r="BG96" s="500">
        <v>8280000</v>
      </c>
      <c r="BH96" s="500">
        <v>5391233</v>
      </c>
      <c r="BI96" s="544">
        <v>0.651115096618357</v>
      </c>
      <c r="BJ96" s="500">
        <v>-956998</v>
      </c>
      <c r="BK96" s="538">
        <v>-0.0654213076071878</v>
      </c>
      <c r="BL96" s="500" cm="1">
        <f t="array" ref="BL96">I96+AO96</f>
        <v>-4455742</v>
      </c>
      <c r="BM96" s="500" cm="1">
        <f t="array" ref="BM96">SUM(BL$94:BL96)</f>
        <v>-8398428</v>
      </c>
      <c r="BN96" s="500" cm="1">
        <f t="array" ref="BN96">B96-C96</f>
        <v>41316968</v>
      </c>
      <c r="BO96" s="500" cm="1">
        <f t="array" ref="BO96">BL96+'net worth - Table 1-2'!E95</f>
        <v>-5082040</v>
      </c>
      <c r="BP96" s="500" cm="1">
        <f t="array" ref="BP96">SUM(BO$94:BO96)</f>
        <v>-10692520</v>
      </c>
      <c r="BQ96" s="500" cm="1">
        <f t="array" ref="BQ96">B96+'net worth - Table 1-2'!C95-'net worth - Table 1-2'!B95-C96</f>
        <v>52564111.2716727</v>
      </c>
      <c r="BR96" s="500" cm="1">
        <f t="array" ref="BR96">(BF96+AY96)*0.85+('net worth - Table 1-2-1'!D95)+E96+'net worth - Table 1-2'!C95</f>
        <v>52532153</v>
      </c>
    </row>
    <row r="97" ht="8.75" customHeight="1" hidden="1">
      <c r="A97" s="400">
        <v>45748</v>
      </c>
      <c r="B97" s="517" cm="1">
        <f t="array" ref="B97">E97+AH97</f>
        <v>72540214</v>
      </c>
      <c r="C97" s="500" cm="1">
        <f t="array" ref="C97">F97+AL97</f>
        <v>30878714</v>
      </c>
      <c r="D97" s="536"/>
      <c r="E97" s="500">
        <v>7768712</v>
      </c>
      <c r="F97" s="500">
        <v>-9600000</v>
      </c>
      <c r="G97" s="500">
        <v>17368712</v>
      </c>
      <c r="H97" s="537">
        <v>-1.80924083333333</v>
      </c>
      <c r="I97" s="500">
        <v>-14724</v>
      </c>
      <c r="J97" s="538">
        <v>-0.00189170952263242</v>
      </c>
      <c r="K97" s="500"/>
      <c r="L97" s="500">
        <v>7237941</v>
      </c>
      <c r="M97" s="500">
        <v>-10200000</v>
      </c>
      <c r="N97" s="500">
        <v>17437941</v>
      </c>
      <c r="O97" s="537">
        <v>-1.70960205882353</v>
      </c>
      <c r="P97" s="500">
        <v>-12260</v>
      </c>
      <c r="Q97" s="538">
        <v>-0.00169098760158511</v>
      </c>
      <c r="R97" s="500"/>
      <c r="S97" s="500">
        <v>530771</v>
      </c>
      <c r="T97" s="500">
        <v>600000</v>
      </c>
      <c r="U97" s="500">
        <v>-69229</v>
      </c>
      <c r="V97" s="544">
        <v>-0.115381666666667</v>
      </c>
      <c r="W97" s="500">
        <v>-2464</v>
      </c>
      <c r="X97" s="538">
        <v>-0.00462085196958189</v>
      </c>
      <c r="Y97" s="539"/>
      <c r="Z97" s="500" cm="1">
        <f t="array" ref="Z97">'net worth - dap-1'!B254</f>
        <v>13867816</v>
      </c>
      <c r="AA97" s="500" cm="1">
        <f t="array" ref="AA97">AA96+SUM('net worth - cash and cash equiv'!H99:I99)</f>
        <v>13259638</v>
      </c>
      <c r="AB97" s="500" cm="1">
        <f t="array" ref="AB97">Z97-AA97</f>
        <v>608178</v>
      </c>
      <c r="AC97" s="500" cm="1">
        <f t="array" ref="AC97">AB97-AB96</f>
        <v>55434</v>
      </c>
      <c r="AD97" s="538" cm="1">
        <f t="array" ref="AD97">AC97/(Z95+AA96-AA95)</f>
        <v>0.00317657333039938</v>
      </c>
      <c r="AE97" s="538" cm="1">
        <f t="array" ref="AE97">SUM(AD86:AD97)</f>
        <v>0.0559341549676437</v>
      </c>
      <c r="AF97" s="500" cm="1">
        <f t="array" ref="AF97">SUM(AC$94:AC97)</f>
        <v>343107</v>
      </c>
      <c r="AG97" s="539"/>
      <c r="AH97" s="500">
        <v>64771502</v>
      </c>
      <c r="AI97" s="500">
        <v>61947277</v>
      </c>
      <c r="AJ97" s="500">
        <v>2824225</v>
      </c>
      <c r="AK97" s="500">
        <v>37654489</v>
      </c>
      <c r="AL97" s="500">
        <v>40478714</v>
      </c>
      <c r="AM97" s="500">
        <v>24292788</v>
      </c>
      <c r="AN97" s="537">
        <v>0.6451498518543169</v>
      </c>
      <c r="AO97" s="500" cm="1">
        <f t="array" ref="AO97">AV97+BC97+BJ97</f>
        <v>359256</v>
      </c>
      <c r="AP97" s="538">
        <v>0.00583321227353612</v>
      </c>
      <c r="AQ97" s="538"/>
      <c r="AR97" s="500">
        <v>17987650</v>
      </c>
      <c r="AS97" s="500">
        <v>13654809</v>
      </c>
      <c r="AT97" s="500">
        <v>4332841</v>
      </c>
      <c r="AU97" s="537">
        <v>0.317312457464619</v>
      </c>
      <c r="AV97" s="500">
        <v>105925</v>
      </c>
      <c r="AW97" s="538">
        <v>0.0059236455095915</v>
      </c>
      <c r="AX97" s="500"/>
      <c r="AY97" s="500">
        <v>30209153</v>
      </c>
      <c r="AZ97" s="500">
        <v>15719680</v>
      </c>
      <c r="BA97" s="500">
        <v>11948361</v>
      </c>
      <c r="BB97" s="537">
        <v>0.760089327518117</v>
      </c>
      <c r="BC97" s="500">
        <v>174090</v>
      </c>
      <c r="BD97" s="538">
        <v>0.00579622556476742</v>
      </c>
      <c r="BE97" s="538"/>
      <c r="BF97" s="500">
        <v>13750474</v>
      </c>
      <c r="BG97" s="500">
        <v>8280000</v>
      </c>
      <c r="BH97" s="500">
        <v>5470474</v>
      </c>
      <c r="BI97" s="544">
        <v>0.660685265700483</v>
      </c>
      <c r="BJ97" s="500">
        <v>79241</v>
      </c>
      <c r="BK97" s="538">
        <v>0.00579618531847127</v>
      </c>
      <c r="BL97" s="500" cm="1">
        <f t="array" ref="BL97">I97+AO97</f>
        <v>344532</v>
      </c>
      <c r="BM97" s="500" cm="1">
        <f t="array" ref="BM97">SUM(BL$94:BL97)</f>
        <v>-8053896</v>
      </c>
      <c r="BN97" s="500" cm="1">
        <f t="array" ref="BN97">B97-C97</f>
        <v>41661500</v>
      </c>
      <c r="BO97" s="500" cm="1">
        <f t="array" ref="BO97">BL97+'net worth - Table 1-2'!E96</f>
        <v>597249</v>
      </c>
      <c r="BP97" s="500" cm="1">
        <f t="array" ref="BP97">SUM(BO$94:BO97)</f>
        <v>-10095271</v>
      </c>
      <c r="BQ97" s="500" cm="1">
        <f t="array" ref="BQ97">B97+'net worth - Table 1-2'!C96-'net worth - Table 1-2'!B96-C97</f>
        <v>53161360.2716727</v>
      </c>
      <c r="BR97" s="500" cm="1">
        <f t="array" ref="BR97">(BF97+AY97)*0.85+('net worth - Table 1-2-1'!D96)+E97+'net worth - Table 1-2'!C96</f>
        <v>53021722.95</v>
      </c>
    </row>
    <row r="98" ht="8.75" customHeight="1" hidden="1">
      <c r="A98" s="400">
        <v>45778</v>
      </c>
      <c r="B98" s="517" cm="1">
        <f t="array" ref="B98">E98+AH98</f>
        <v>76973852</v>
      </c>
      <c r="C98" s="500" cm="1">
        <f t="array" ref="C98">F98+AL98</f>
        <v>31320551</v>
      </c>
      <c r="D98" s="536"/>
      <c r="E98" s="500">
        <v>8245002</v>
      </c>
      <c r="F98" s="500">
        <v>-9600000</v>
      </c>
      <c r="G98" s="500">
        <v>17845002</v>
      </c>
      <c r="H98" s="537">
        <v>-1.858854375</v>
      </c>
      <c r="I98" s="500">
        <v>476290</v>
      </c>
      <c r="J98" s="538">
        <v>0.0613087471900104</v>
      </c>
      <c r="K98" s="500"/>
      <c r="L98" s="500">
        <v>7680617</v>
      </c>
      <c r="M98" s="500">
        <v>-10200000</v>
      </c>
      <c r="N98" s="500">
        <v>17880617</v>
      </c>
      <c r="O98" s="537">
        <v>-1.75300166666667</v>
      </c>
      <c r="P98" s="500">
        <v>442676</v>
      </c>
      <c r="Q98" s="538">
        <v>0.0611604874922302</v>
      </c>
      <c r="R98" s="500"/>
      <c r="S98" s="500">
        <v>564385</v>
      </c>
      <c r="T98" s="500">
        <v>600000</v>
      </c>
      <c r="U98" s="500">
        <v>-35615</v>
      </c>
      <c r="V98" s="544">
        <v>-0.0593583333333333</v>
      </c>
      <c r="W98" s="500">
        <v>33614</v>
      </c>
      <c r="X98" s="538">
        <v>0.0633305135359694</v>
      </c>
      <c r="Y98" s="539"/>
      <c r="Z98" s="500" cm="1">
        <f t="array" ref="Z98">'net worth - dap-1'!B284</f>
        <v>12913339</v>
      </c>
      <c r="AA98" s="500" cm="1">
        <f t="array" ref="AA98">AA97+SUM('net worth - cash and cash equiv'!H100:I100)</f>
        <v>12259638</v>
      </c>
      <c r="AB98" s="500" cm="1">
        <f t="array" ref="AB98">Z98-AA98</f>
        <v>653701</v>
      </c>
      <c r="AC98" s="500" cm="1">
        <f t="array" ref="AC98">AB98-AB97</f>
        <v>45523</v>
      </c>
      <c r="AD98" s="538" cm="1">
        <f t="array" ref="AD98">AC98/(Z96+AA97-AA96)</f>
        <v>0.00329581096149817</v>
      </c>
      <c r="AE98" s="538" cm="1">
        <f t="array" ref="AE98">SUM(AD87:AD98)</f>
        <v>0.0539993047262942</v>
      </c>
      <c r="AF98" s="500" cm="1">
        <f t="array" ref="AF98">SUM(AC$94:AC98)</f>
        <v>388630</v>
      </c>
      <c r="AG98" s="539"/>
      <c r="AH98" s="500">
        <v>68728850</v>
      </c>
      <c r="AI98" s="500">
        <v>65805870</v>
      </c>
      <c r="AJ98" s="500">
        <v>2922980</v>
      </c>
      <c r="AK98" s="500">
        <v>37997571</v>
      </c>
      <c r="AL98" s="500">
        <v>40920551</v>
      </c>
      <c r="AM98" s="500">
        <v>27808299</v>
      </c>
      <c r="AN98" s="537">
        <v>0.731844122351926</v>
      </c>
      <c r="AO98" s="500" cm="1">
        <f t="array" ref="AO98">AV98+BC98+BJ98</f>
        <v>3515511</v>
      </c>
      <c r="AP98" s="538">
        <v>0.0564374817618245</v>
      </c>
      <c r="AQ98" s="538"/>
      <c r="AR98" s="500">
        <v>19129012</v>
      </c>
      <c r="AS98" s="500">
        <v>13997891</v>
      </c>
      <c r="AT98" s="500">
        <v>5131121</v>
      </c>
      <c r="AU98" s="537">
        <v>0.366563863084803</v>
      </c>
      <c r="AV98" s="500">
        <v>798280</v>
      </c>
      <c r="AW98" s="538">
        <v>0.0435487246226719</v>
      </c>
      <c r="AX98" s="500"/>
      <c r="AY98" s="500">
        <v>32076440</v>
      </c>
      <c r="AZ98" s="500">
        <v>15719680</v>
      </c>
      <c r="BA98" s="500">
        <v>13815648</v>
      </c>
      <c r="BB98" s="537">
        <v>0.878875905870857</v>
      </c>
      <c r="BC98" s="500">
        <v>1867287</v>
      </c>
      <c r="BD98" s="538">
        <v>0.061811961427717</v>
      </c>
      <c r="BE98" s="538"/>
      <c r="BF98" s="500">
        <v>14600418</v>
      </c>
      <c r="BG98" s="500">
        <v>8280000</v>
      </c>
      <c r="BH98" s="500">
        <v>6320418</v>
      </c>
      <c r="BI98" s="544">
        <v>0.763335507246377</v>
      </c>
      <c r="BJ98" s="500">
        <v>849944</v>
      </c>
      <c r="BK98" s="538">
        <v>0.0618119782634402</v>
      </c>
      <c r="BL98" s="500" cm="1">
        <f t="array" ref="BL98">I98+AO98</f>
        <v>3991801</v>
      </c>
      <c r="BM98" s="500" cm="1">
        <f t="array" ref="BM98">SUM(BL$94:BL98)</f>
        <v>-4062095</v>
      </c>
      <c r="BN98" s="500" cm="1">
        <f t="array" ref="BN98">B98-C98</f>
        <v>45653301</v>
      </c>
      <c r="BO98" s="500" cm="1">
        <f t="array" ref="BO98">BL98+'net worth - Table 1-2'!E97</f>
        <v>4182086</v>
      </c>
      <c r="BP98" s="500" cm="1">
        <f t="array" ref="BP98">SUM(BO$94:BO98)</f>
        <v>-5913185</v>
      </c>
      <c r="BQ98" s="500" cm="1">
        <f t="array" ref="BQ98">B98+'net worth - Table 1-2'!C97-'net worth - Table 1-2'!B97-C98</f>
        <v>57343446.2716727</v>
      </c>
      <c r="BR98" s="500" cm="1">
        <f t="array" ref="BR98">(BF98+AY98)*0.85+('net worth - Table 1-2-1'!D97)+E98+'net worth - Table 1-2'!C97</f>
        <v>55638235.3</v>
      </c>
    </row>
    <row r="99" ht="8.75" customHeight="1" hidden="1">
      <c r="A99" s="400">
        <v>45809</v>
      </c>
      <c r="B99" s="517" cm="1">
        <f t="array" ref="B99">E99+AH99</f>
        <v>81042962</v>
      </c>
      <c r="C99" s="500" cm="1">
        <f t="array" ref="C99">F99+AL99</f>
        <v>31769176</v>
      </c>
      <c r="D99" s="536"/>
      <c r="E99" s="500">
        <v>8725297</v>
      </c>
      <c r="F99" s="500">
        <v>-9600000</v>
      </c>
      <c r="G99" s="500">
        <v>18325297</v>
      </c>
      <c r="H99" s="537">
        <v>-1.90888510416667</v>
      </c>
      <c r="I99" s="500">
        <v>480295</v>
      </c>
      <c r="J99" s="538">
        <v>0.0582528664031858</v>
      </c>
      <c r="K99" s="500"/>
      <c r="L99" s="500">
        <v>8116222</v>
      </c>
      <c r="M99" s="500">
        <v>-10200000</v>
      </c>
      <c r="N99" s="500">
        <v>18316222</v>
      </c>
      <c r="O99" s="537">
        <v>-1.79570803921569</v>
      </c>
      <c r="P99" s="500">
        <v>435605</v>
      </c>
      <c r="Q99" s="538">
        <v>0.0567148446537563</v>
      </c>
      <c r="R99" s="500"/>
      <c r="S99" s="500">
        <v>609075</v>
      </c>
      <c r="T99" s="500">
        <v>600000</v>
      </c>
      <c r="U99" s="500">
        <v>9075</v>
      </c>
      <c r="V99" s="544">
        <v>0.015125</v>
      </c>
      <c r="W99" s="500">
        <v>44690</v>
      </c>
      <c r="X99" s="538">
        <v>0.0791835360613765</v>
      </c>
      <c r="Y99" s="539"/>
      <c r="Z99" s="500" cm="1">
        <f t="array" ref="Z99">'net worth - dap-1'!B312</f>
        <v>11900951</v>
      </c>
      <c r="AA99" s="500" cm="1">
        <f t="array" ref="AA99">AA98+SUM('net worth - cash and cash equiv'!H101:I101)</f>
        <v>11209638</v>
      </c>
      <c r="AB99" s="500" cm="1">
        <f t="array" ref="AB99">Z99-AA99</f>
        <v>691313</v>
      </c>
      <c r="AC99" s="500" cm="1">
        <f t="array" ref="AC99">AB99-AB98</f>
        <v>37612</v>
      </c>
      <c r="AD99" s="538" cm="1">
        <f t="array" ref="AD99">AC99/(Z97+AA98-AA97)</f>
        <v>0.00292295133844003</v>
      </c>
      <c r="AE99" s="538" cm="1">
        <f t="array" ref="AE99">SUM(AD88:AD99)</f>
        <v>0.0527610467888239</v>
      </c>
      <c r="AF99" s="500" cm="1">
        <f t="array" ref="AF99">SUM(AC$94:AC99)</f>
        <v>426242</v>
      </c>
      <c r="AG99" s="539"/>
      <c r="AH99" s="500">
        <v>72317665</v>
      </c>
      <c r="AI99" s="500">
        <v>69290143</v>
      </c>
      <c r="AJ99" s="500">
        <v>3027522</v>
      </c>
      <c r="AK99" s="500">
        <v>38341654</v>
      </c>
      <c r="AL99" s="500">
        <v>41369176</v>
      </c>
      <c r="AM99" s="500">
        <v>30948489</v>
      </c>
      <c r="AN99" s="537">
        <v>0.807176680484363</v>
      </c>
      <c r="AO99" s="500" cm="1">
        <f t="array" ref="AO99">AV99+BC99+BJ99</f>
        <v>3140190</v>
      </c>
      <c r="AP99" s="538">
        <v>0.0474707820276153</v>
      </c>
      <c r="AQ99" s="538"/>
      <c r="AR99" s="500">
        <v>19939517</v>
      </c>
      <c r="AS99" s="500">
        <v>14341974</v>
      </c>
      <c r="AT99" s="500">
        <v>5597543</v>
      </c>
      <c r="AU99" s="537">
        <v>0.390290973892436</v>
      </c>
      <c r="AV99" s="500">
        <v>466422</v>
      </c>
      <c r="AW99" s="538">
        <v>0.0239521247136113</v>
      </c>
      <c r="AX99" s="500"/>
      <c r="AY99" s="500">
        <v>33913859</v>
      </c>
      <c r="AZ99" s="500">
        <v>15719680</v>
      </c>
      <c r="BA99" s="500">
        <v>15653067</v>
      </c>
      <c r="BB99" s="537">
        <v>0.995762445545965</v>
      </c>
      <c r="BC99" s="500">
        <v>1837419</v>
      </c>
      <c r="BD99" s="538">
        <v>0.0572825101538699</v>
      </c>
      <c r="BE99" s="538"/>
      <c r="BF99" s="500">
        <v>15436767</v>
      </c>
      <c r="BG99" s="500">
        <v>8280000</v>
      </c>
      <c r="BH99" s="500">
        <v>7156767</v>
      </c>
      <c r="BI99" s="544">
        <v>0.86434384057971</v>
      </c>
      <c r="BJ99" s="500">
        <v>836349</v>
      </c>
      <c r="BK99" s="538">
        <v>0.0572825380752798</v>
      </c>
      <c r="BL99" s="500" cm="1">
        <f t="array" ref="BL99">I99+AO99</f>
        <v>3620485</v>
      </c>
      <c r="BM99" s="500" cm="1">
        <f t="array" ref="BM99">SUM(BL$94:BL99)</f>
        <v>-441610</v>
      </c>
      <c r="BN99" s="500" cm="1">
        <f t="array" ref="BN99">B99-C99</f>
        <v>49273786</v>
      </c>
      <c r="BO99" s="500" cm="1">
        <f t="array" ref="BO99">BL99+'net worth - Table 1-2'!E98</f>
        <v>3983865</v>
      </c>
      <c r="BP99" s="500" cm="1">
        <f t="array" ref="BP99">SUM(BO$94:BO99)</f>
        <v>-1929320</v>
      </c>
      <c r="BQ99" s="500" cm="1">
        <f t="array" ref="BQ99">B99+'net worth - Table 1-2'!C98-'net worth - Table 1-2'!B98-C99</f>
        <v>61327311.2716727</v>
      </c>
      <c r="BR99" s="500" cm="1">
        <f t="array" ref="BR99">(BF99+AY99)*0.85+('net worth - Table 1-2-1'!D98)+E99+'net worth - Table 1-2'!C98</f>
        <v>56531885.1</v>
      </c>
    </row>
    <row r="100" ht="8.75" customHeight="1" hidden="1">
      <c r="A100" s="400">
        <v>45839</v>
      </c>
      <c r="B100" s="517" cm="1">
        <f t="array" ref="B100">E100+AH100</f>
        <v>86542140</v>
      </c>
      <c r="C100" s="500" cm="1">
        <f t="array" ref="C100">F100+AL100</f>
        <v>32243646</v>
      </c>
      <c r="D100" s="536"/>
      <c r="E100" s="500">
        <v>9319731</v>
      </c>
      <c r="F100" s="500">
        <v>-9600000</v>
      </c>
      <c r="G100" s="500">
        <v>18919731</v>
      </c>
      <c r="H100" s="537">
        <v>-1.9708053125</v>
      </c>
      <c r="I100" s="500">
        <v>594434</v>
      </c>
      <c r="J100" s="538">
        <v>0.0681276522736132</v>
      </c>
      <c r="K100" s="500"/>
      <c r="L100" s="500">
        <v>8691021</v>
      </c>
      <c r="M100" s="500">
        <v>-10200000</v>
      </c>
      <c r="N100" s="500">
        <v>18891021</v>
      </c>
      <c r="O100" s="537">
        <v>-1.85206088235294</v>
      </c>
      <c r="P100" s="500">
        <v>574799</v>
      </c>
      <c r="Q100" s="538">
        <v>0.0708210051425405</v>
      </c>
      <c r="R100" s="500"/>
      <c r="S100" s="500">
        <v>628710</v>
      </c>
      <c r="T100" s="500">
        <v>600000</v>
      </c>
      <c r="U100" s="500">
        <v>28710</v>
      </c>
      <c r="V100" s="544">
        <v>0.04785</v>
      </c>
      <c r="W100" s="500">
        <v>19635</v>
      </c>
      <c r="X100" s="538">
        <v>0.0322374091860608</v>
      </c>
      <c r="Y100" s="539"/>
      <c r="Z100" s="500" cm="1">
        <f t="array" ref="Z100">'net worth - dap-1'!B346</f>
        <v>7638617</v>
      </c>
      <c r="AA100" s="500" cm="1">
        <f t="array" ref="AA100">AA99+SUM('net worth - cash and cash equiv'!H102:I102)</f>
        <v>6909638</v>
      </c>
      <c r="AB100" s="500" cm="1">
        <f t="array" ref="AB100">Z100-AA100</f>
        <v>728979</v>
      </c>
      <c r="AC100" s="500" cm="1">
        <f t="array" ref="AC100">AB100-AB99</f>
        <v>37666</v>
      </c>
      <c r="AD100" s="538" cm="1">
        <f t="array" ref="AD100">AC100/(Z98+AA99-AA98)</f>
        <v>0.00317499145898132</v>
      </c>
      <c r="AE100" s="538" cm="1">
        <f t="array" ref="AE100">SUM(AD89:AD100)</f>
        <v>0.0518103613770345</v>
      </c>
      <c r="AF100" s="500" cm="1">
        <f t="array" ref="AF100">SUM(AC$94:AC100)</f>
        <v>463908</v>
      </c>
      <c r="AG100" s="539"/>
      <c r="AH100" s="500">
        <v>77222409</v>
      </c>
      <c r="AI100" s="500">
        <v>74065182</v>
      </c>
      <c r="AJ100" s="500">
        <v>3157227</v>
      </c>
      <c r="AK100" s="500">
        <v>38686419</v>
      </c>
      <c r="AL100" s="500">
        <v>41843646</v>
      </c>
      <c r="AM100" s="500">
        <v>35378763</v>
      </c>
      <c r="AN100" s="537">
        <v>0.91450084847605</v>
      </c>
      <c r="AO100" s="500" cm="1">
        <f t="array" ref="AO100">AV100+BC100+BJ100</f>
        <v>4430274</v>
      </c>
      <c r="AP100" s="538">
        <v>0.0636214526197119</v>
      </c>
      <c r="AQ100" s="538"/>
      <c r="AR100" s="500">
        <v>21187056</v>
      </c>
      <c r="AS100" s="500">
        <v>14686739</v>
      </c>
      <c r="AT100" s="500">
        <v>6500317</v>
      </c>
      <c r="AU100" s="537">
        <v>0.442597706679475</v>
      </c>
      <c r="AV100" s="500">
        <v>902774</v>
      </c>
      <c r="AW100" s="538">
        <v>0.0445060860423849</v>
      </c>
      <c r="AX100" s="500"/>
      <c r="AY100" s="500">
        <v>36337965</v>
      </c>
      <c r="AZ100" s="500">
        <v>15719680</v>
      </c>
      <c r="BA100" s="500">
        <v>18077173</v>
      </c>
      <c r="BB100" s="537">
        <v>1.14997080093233</v>
      </c>
      <c r="BC100" s="500">
        <v>2424106</v>
      </c>
      <c r="BD100" s="538">
        <v>0.0714783298473937</v>
      </c>
      <c r="BE100" s="538"/>
      <c r="BF100" s="500">
        <v>16540161</v>
      </c>
      <c r="BG100" s="500">
        <v>8280000</v>
      </c>
      <c r="BH100" s="500">
        <v>8260161</v>
      </c>
      <c r="BI100" s="544">
        <v>0.997603985507246</v>
      </c>
      <c r="BJ100" s="500">
        <v>1103394</v>
      </c>
      <c r="BK100" s="538">
        <v>0.0714783088971933</v>
      </c>
      <c r="BL100" s="500" cm="1">
        <f t="array" ref="BL100">I100+AO100</f>
        <v>5024708</v>
      </c>
      <c r="BM100" s="500" cm="1">
        <f t="array" ref="BM100">SUM(BL$94:BL100)</f>
        <v>4583098</v>
      </c>
      <c r="BN100" s="500" cm="1">
        <f t="array" ref="BN100">B100-C100</f>
        <v>54298494</v>
      </c>
      <c r="BO100" s="500" cm="1">
        <f t="array" ref="BO100">BL100+'net worth - Table 1-2'!E99</f>
        <v>4976964</v>
      </c>
      <c r="BP100" s="500" cm="1">
        <f t="array" ref="BP100">SUM(BO$94:BO100)</f>
        <v>3047644</v>
      </c>
      <c r="BQ100" s="500" cm="1">
        <f t="array" ref="BQ100">B100+'net worth - Table 1-2'!C99-'net worth - Table 1-2'!B99-C100</f>
        <v>66304275.2716727</v>
      </c>
      <c r="BR100" s="500" cm="1">
        <f t="array" ref="BR100">(BF100+AY100)*0.85+('net worth - Table 1-2-1'!D99)+E100+'net worth - Table 1-2'!C99</f>
        <v>57359166.1</v>
      </c>
    </row>
    <row r="101" ht="8.75" customHeight="1" hidden="1">
      <c r="A101" s="400">
        <v>45870</v>
      </c>
      <c r="B101" s="517" cm="1">
        <f t="array" ref="B101">E101+AH101</f>
        <v>88232242</v>
      </c>
      <c r="C101" s="500" cm="1">
        <f t="array" ref="C101">F101+AL101</f>
        <v>32700935</v>
      </c>
      <c r="D101" s="536"/>
      <c r="E101" s="500">
        <v>9399360</v>
      </c>
      <c r="F101" s="500">
        <v>-9600000</v>
      </c>
      <c r="G101" s="500">
        <v>18999360</v>
      </c>
      <c r="H101" s="537">
        <v>-1.9791</v>
      </c>
      <c r="I101" s="500">
        <v>79629</v>
      </c>
      <c r="J101" s="538">
        <v>0.0085441307265199</v>
      </c>
      <c r="K101" s="500"/>
      <c r="L101" s="500">
        <v>8759793</v>
      </c>
      <c r="M101" s="500">
        <v>-10200000</v>
      </c>
      <c r="N101" s="500">
        <v>18959793</v>
      </c>
      <c r="O101" s="537">
        <v>-1.85880323529412</v>
      </c>
      <c r="P101" s="500">
        <v>68772</v>
      </c>
      <c r="Q101" s="538">
        <v>0.007912994342091679</v>
      </c>
      <c r="R101" s="500"/>
      <c r="S101" s="500">
        <v>639567</v>
      </c>
      <c r="T101" s="500">
        <v>600000</v>
      </c>
      <c r="U101" s="500">
        <v>39567</v>
      </c>
      <c r="V101" s="544">
        <v>0.065945</v>
      </c>
      <c r="W101" s="500">
        <v>10857</v>
      </c>
      <c r="X101" s="538">
        <v>0.0172686930381257</v>
      </c>
      <c r="Y101" s="539"/>
      <c r="Z101" s="500" cm="1">
        <f t="array" ref="Z101">'net worth - dap-1'!B373</f>
        <v>3252088</v>
      </c>
      <c r="AA101" s="500" cm="1">
        <f t="array" ref="AA101">AA100+SUM('net worth - cash and cash equiv'!H103:I103)</f>
        <v>2509638</v>
      </c>
      <c r="AB101" s="500" cm="1">
        <f t="array" ref="AB101">Z101-AA101</f>
        <v>742450</v>
      </c>
      <c r="AC101" s="500" cm="1">
        <f t="array" ref="AC101">AB101-AB100</f>
        <v>13471</v>
      </c>
      <c r="AD101" s="538" cm="1">
        <f t="array" ref="AD101">AC101/(Z99+AA100-AA99)</f>
        <v>0.00177227823202649</v>
      </c>
      <c r="AE101" s="538" cm="1">
        <f t="array" ref="AE101">SUM(AD90:AD101)</f>
        <v>0.0489181338283787</v>
      </c>
      <c r="AF101" s="500" cm="1">
        <f t="array" ref="AF101">SUM(AC$94:AC101)</f>
        <v>477379</v>
      </c>
      <c r="AG101" s="539"/>
      <c r="AH101" s="500">
        <v>78832882</v>
      </c>
      <c r="AI101" s="500">
        <v>75562358</v>
      </c>
      <c r="AJ101" s="500">
        <v>3270524</v>
      </c>
      <c r="AK101" s="500">
        <v>39030411</v>
      </c>
      <c r="AL101" s="500">
        <v>42300935</v>
      </c>
      <c r="AM101" s="500">
        <v>36531947</v>
      </c>
      <c r="AN101" s="537">
        <v>0.9359867360863811</v>
      </c>
      <c r="AO101" s="500">
        <v>1153184</v>
      </c>
      <c r="AP101" s="538">
        <v>0.0154978739583912</v>
      </c>
      <c r="AQ101" s="538"/>
      <c r="AR101" s="500">
        <v>22234111</v>
      </c>
      <c r="AS101" s="500">
        <v>15030731</v>
      </c>
      <c r="AT101" s="500">
        <v>7203380</v>
      </c>
      <c r="AU101" s="537">
        <v>0.479243491218092</v>
      </c>
      <c r="AV101" s="500">
        <v>703063</v>
      </c>
      <c r="AW101" s="538">
        <v>0.0326534500317867</v>
      </c>
      <c r="AX101" s="500"/>
      <c r="AY101" s="500">
        <v>36647289</v>
      </c>
      <c r="AZ101" s="500">
        <v>15719680</v>
      </c>
      <c r="BA101" s="500">
        <v>18386497</v>
      </c>
      <c r="BB101" s="537">
        <v>1.16964830072877</v>
      </c>
      <c r="BC101" s="500">
        <v>309324</v>
      </c>
      <c r="BD101" s="538">
        <v>0.0085124194489152</v>
      </c>
      <c r="BE101" s="538"/>
      <c r="BF101" s="500">
        <v>16680958</v>
      </c>
      <c r="BG101" s="500">
        <v>8280000</v>
      </c>
      <c r="BH101" s="500">
        <v>8400958</v>
      </c>
      <c r="BI101" s="544">
        <v>1.01460845410628</v>
      </c>
      <c r="BJ101" s="500">
        <v>140797</v>
      </c>
      <c r="BK101" s="538">
        <v>0.008512432255042741</v>
      </c>
      <c r="BL101" s="500" cm="1">
        <f t="array" ref="BL101">I101+AO101</f>
        <v>1232813</v>
      </c>
      <c r="BM101" s="500" cm="1">
        <f t="array" ref="BM101">SUM(BL$94:BL101)</f>
        <v>5815911</v>
      </c>
      <c r="BN101" s="500" cm="1">
        <f t="array" ref="BN101">B101-C101</f>
        <v>55531307</v>
      </c>
      <c r="BO101" s="500" cm="1">
        <f t="array" ref="BO101">BL101+'net worth - Table 1-2'!E100</f>
        <v>1120071</v>
      </c>
      <c r="BP101" s="500" cm="1">
        <f t="array" ref="BP101">SUM(BO$94:BO101)</f>
        <v>4167715</v>
      </c>
      <c r="BQ101" s="500" cm="1">
        <f t="array" ref="BQ101">B101+'net worth - Table 1-2'!C100-'net worth - Table 1-2'!B100-C101</f>
        <v>67424346.2716727</v>
      </c>
      <c r="BR101" s="500" cm="1">
        <f t="array" ref="BR101">(BF101+AY101)*0.85+('net worth - Table 1-2-1'!D100)+E101+'net worth - Table 1-2'!C100</f>
        <v>58490812.95</v>
      </c>
    </row>
    <row r="102" ht="8.75" customHeight="1" hidden="1">
      <c r="A102" s="400">
        <v>45901</v>
      </c>
      <c r="B102" s="517" cm="1">
        <f t="array" ref="B102">E102+AH102</f>
        <v>92358164</v>
      </c>
      <c r="C102" s="500" cm="1">
        <f t="array" ref="C102">F102+AL102</f>
        <v>33141328</v>
      </c>
      <c r="D102" s="536"/>
      <c r="E102" s="500">
        <v>9865241</v>
      </c>
      <c r="F102" s="500">
        <v>-9600000</v>
      </c>
      <c r="G102" s="500">
        <v>19465241</v>
      </c>
      <c r="H102" s="537">
        <v>-2.02762927083333</v>
      </c>
      <c r="I102" s="500">
        <v>465881</v>
      </c>
      <c r="J102" s="538">
        <v>0.0495651831614067</v>
      </c>
      <c r="K102" s="500"/>
      <c r="L102" s="500">
        <v>9214074</v>
      </c>
      <c r="M102" s="500">
        <v>-10200000</v>
      </c>
      <c r="N102" s="500">
        <v>19414074</v>
      </c>
      <c r="O102" s="537">
        <v>-1.90334058823529</v>
      </c>
      <c r="P102" s="500">
        <v>454281</v>
      </c>
      <c r="Q102" s="538">
        <v>0.0518597870977088</v>
      </c>
      <c r="R102" s="500"/>
      <c r="S102" s="500">
        <v>651167</v>
      </c>
      <c r="T102" s="500">
        <v>600000</v>
      </c>
      <c r="U102" s="500">
        <v>51167</v>
      </c>
      <c r="V102" s="544">
        <v>0.0852783333333333</v>
      </c>
      <c r="W102" s="500">
        <v>11600</v>
      </c>
      <c r="X102" s="538">
        <v>0.0181372709974092</v>
      </c>
      <c r="Y102" s="539"/>
      <c r="Z102" s="500">
        <v>5015591</v>
      </c>
      <c r="AA102" s="500">
        <v>4259638</v>
      </c>
      <c r="AB102" s="500">
        <v>755953</v>
      </c>
      <c r="AC102" s="500">
        <v>13503</v>
      </c>
      <c r="AD102" s="538" cm="1">
        <f t="array" ref="AD102">AC102/(Z100+AA101-AA100)</f>
        <v>0.00416937229687858</v>
      </c>
      <c r="AE102" s="538" cm="1">
        <f t="array" ref="AE102">SUM(AD91:AD102)</f>
        <v>0.045929689950117</v>
      </c>
      <c r="AF102" s="500">
        <v>490882</v>
      </c>
      <c r="AG102" s="539"/>
      <c r="AH102" s="500">
        <v>82492923</v>
      </c>
      <c r="AI102" s="500">
        <v>79131248</v>
      </c>
      <c r="AJ102" s="500">
        <v>3361675</v>
      </c>
      <c r="AK102" s="500">
        <v>39379653</v>
      </c>
      <c r="AL102" s="500">
        <v>42741328</v>
      </c>
      <c r="AM102" s="500">
        <v>39751595</v>
      </c>
      <c r="AN102" s="537">
        <v>1.00944502989907</v>
      </c>
      <c r="AO102" s="500">
        <v>3219648</v>
      </c>
      <c r="AP102" s="538">
        <v>0.0424131226321142</v>
      </c>
      <c r="AQ102" s="538"/>
      <c r="AR102" s="500">
        <v>23005130</v>
      </c>
      <c r="AS102" s="500">
        <v>15379973</v>
      </c>
      <c r="AT102" s="500">
        <v>7625157</v>
      </c>
      <c r="AU102" s="537">
        <v>0.495784810545506</v>
      </c>
      <c r="AV102" s="500">
        <v>421777</v>
      </c>
      <c r="AW102" s="538">
        <v>0.0186764560603556</v>
      </c>
      <c r="AX102" s="500"/>
      <c r="AY102" s="500">
        <v>38569992</v>
      </c>
      <c r="AZ102" s="500">
        <v>15719680</v>
      </c>
      <c r="BA102" s="500">
        <v>20309200</v>
      </c>
      <c r="BB102" s="537">
        <v>1.29196014168227</v>
      </c>
      <c r="BC102" s="500">
        <v>1922703</v>
      </c>
      <c r="BD102" s="538">
        <v>0.052465081387057</v>
      </c>
      <c r="BE102" s="538"/>
      <c r="BF102" s="500">
        <v>17556126</v>
      </c>
      <c r="BG102" s="500">
        <v>8280000</v>
      </c>
      <c r="BH102" s="500">
        <v>9276126</v>
      </c>
      <c r="BI102" s="544">
        <v>1.12030507246377</v>
      </c>
      <c r="BJ102" s="500">
        <v>875168</v>
      </c>
      <c r="BK102" s="538">
        <v>0.0524650922327123</v>
      </c>
      <c r="BL102" s="500" cm="1">
        <f t="array" ref="BL102">BC102+AV102+P102+BJ102</f>
        <v>3673929</v>
      </c>
      <c r="BM102" s="500" cm="1">
        <f t="array" ref="BM102">SUM(BL$94:BL102)</f>
        <v>9489840</v>
      </c>
      <c r="BN102" s="500" cm="1">
        <f t="array" ref="BN102">B102-C102</f>
        <v>59216836</v>
      </c>
      <c r="BO102" s="500" cm="1">
        <f t="array" ref="BO102">BL102+'net worth - Table 1-2'!E101</f>
        <v>3757118</v>
      </c>
      <c r="BP102" s="500" cm="1">
        <f t="array" ref="BP102">SUM(BO$94:BO102)</f>
        <v>7924833</v>
      </c>
      <c r="BQ102" s="500" cm="1">
        <f t="array" ref="BQ102">B102+'net worth - Table 1-2'!C101-'net worth - Table 1-2'!B101-C102</f>
        <v>71193064.2716727</v>
      </c>
      <c r="BR102" s="500" cm="1">
        <f t="array" ref="BR102">(BF102+AY102)*0.85+('net worth - Table 1-2-1'!D101)+E102+'net worth - Table 1-2'!C101</f>
        <v>63108923.3</v>
      </c>
    </row>
    <row r="103" ht="20.55" customHeight="1">
      <c r="A103" s="177">
        <v>45931</v>
      </c>
      <c r="B103" s="518" cm="1">
        <f t="array" ref="B103">E103+AH103</f>
        <v>94634736</v>
      </c>
      <c r="C103" s="184" cm="1">
        <f t="array" ref="C103">F103+AL103</f>
        <v>33596312</v>
      </c>
      <c r="D103" s="545"/>
      <c r="E103" s="184">
        <v>10062691</v>
      </c>
      <c r="F103" s="184">
        <v>-9600000</v>
      </c>
      <c r="G103" s="184">
        <v>19662691</v>
      </c>
      <c r="H103" s="546">
        <v>-2.04819697916667</v>
      </c>
      <c r="I103" s="184">
        <v>197450</v>
      </c>
      <c r="J103" s="547">
        <v>0.0200147163155974</v>
      </c>
      <c r="K103" s="184"/>
      <c r="L103" s="184">
        <v>9410243</v>
      </c>
      <c r="M103" s="184">
        <v>-10200000</v>
      </c>
      <c r="N103" s="184">
        <v>19610243</v>
      </c>
      <c r="O103" s="546">
        <v>-1.92257284313725</v>
      </c>
      <c r="P103" s="184">
        <v>196169</v>
      </c>
      <c r="Q103" s="547">
        <v>0.0212901480930151</v>
      </c>
      <c r="R103" s="184"/>
      <c r="S103" s="184">
        <v>652448</v>
      </c>
      <c r="T103" s="184">
        <v>600000</v>
      </c>
      <c r="U103" s="184">
        <v>52448</v>
      </c>
      <c r="V103" s="548">
        <v>0.0874133333333333</v>
      </c>
      <c r="W103" s="184">
        <v>1281</v>
      </c>
      <c r="X103" s="547">
        <v>0.00196723728321613</v>
      </c>
      <c r="Y103" s="549"/>
      <c r="Z103" s="184">
        <v>4981601</v>
      </c>
      <c r="AA103" s="184">
        <v>4209638</v>
      </c>
      <c r="AB103" s="184">
        <v>771963</v>
      </c>
      <c r="AC103" s="184">
        <v>16010</v>
      </c>
      <c r="AD103" s="547" cm="1">
        <f t="array" ref="AD103">AC103/(Z101+AA102-AA101)</f>
        <v>0.00320066340296292</v>
      </c>
      <c r="AE103" s="547" cm="1">
        <f t="array" ref="AE103">SUM(AD92:AD103)</f>
        <v>0.0441142503194086</v>
      </c>
      <c r="AF103" s="184">
        <v>506892</v>
      </c>
      <c r="AG103" s="549"/>
      <c r="AH103" s="184">
        <v>84572045</v>
      </c>
      <c r="AI103" s="184">
        <v>81105537</v>
      </c>
      <c r="AJ103" s="184">
        <v>3466508</v>
      </c>
      <c r="AK103" s="184">
        <v>39729804</v>
      </c>
      <c r="AL103" s="184">
        <v>43196312</v>
      </c>
      <c r="AM103" s="184">
        <v>41375733</v>
      </c>
      <c r="AN103" s="546">
        <v>1.04142806745284</v>
      </c>
      <c r="AO103" s="184">
        <v>1624138</v>
      </c>
      <c r="AP103" s="547">
        <v>0.0204341898913984</v>
      </c>
      <c r="AQ103" s="547"/>
      <c r="AR103" s="184">
        <v>23748195</v>
      </c>
      <c r="AS103" s="184">
        <v>15730124</v>
      </c>
      <c r="AT103" s="184">
        <v>8018071</v>
      </c>
      <c r="AU103" s="546">
        <v>0.509727132475243</v>
      </c>
      <c r="AV103" s="184">
        <v>392914</v>
      </c>
      <c r="AW103" s="547">
        <v>0.0168233471479106</v>
      </c>
      <c r="AX103" s="184"/>
      <c r="AY103" s="184">
        <v>39416092</v>
      </c>
      <c r="AZ103" s="184">
        <v>15719680</v>
      </c>
      <c r="BA103" s="184">
        <v>21155300</v>
      </c>
      <c r="BB103" s="546">
        <v>1.34578439255761</v>
      </c>
      <c r="BC103" s="184">
        <v>846100</v>
      </c>
      <c r="BD103" s="547">
        <v>0.0219367429477299</v>
      </c>
      <c r="BE103" s="547"/>
      <c r="BF103" s="184">
        <v>17941250</v>
      </c>
      <c r="BG103" s="184">
        <v>8280000</v>
      </c>
      <c r="BH103" s="184">
        <v>9661250</v>
      </c>
      <c r="BI103" s="548">
        <v>1.16681763285024</v>
      </c>
      <c r="BJ103" s="184">
        <v>385124</v>
      </c>
      <c r="BK103" s="547">
        <v>0.0219367302330822</v>
      </c>
      <c r="BL103" s="184" cm="1">
        <f t="array" ref="BL103">BC103+AV103+P103+BJ103</f>
        <v>1820307</v>
      </c>
      <c r="BM103" s="184" cm="1">
        <f t="array" ref="BM103">SUM(BL$94:BL103)</f>
        <v>11310147</v>
      </c>
      <c r="BN103" s="184" cm="1">
        <f t="array" ref="BN103">B103-C103</f>
        <v>61038424</v>
      </c>
      <c r="BO103" s="184" cm="1">
        <f t="array" ref="BO103">BL103+'net worth - Table 1-2'!E102</f>
        <v>1639763</v>
      </c>
      <c r="BP103" s="184" cm="1">
        <f t="array" ref="BP103">SUM(BO$94:BO103)</f>
        <v>9564596</v>
      </c>
      <c r="BQ103" s="184" cm="1">
        <f t="array" ref="BQ103">B103+'net worth - Table 1-2'!C102-'net worth - Table 1-2'!B102-C103</f>
        <v>72834108.2716727</v>
      </c>
      <c r="BR103" s="184" cm="1">
        <f t="array" ref="BR103">(BF103+AY103)*0.85+('net worth - Table 1-2-1'!D102)+E103+'net worth - Table 1-2'!C102</f>
        <v>60020366.7</v>
      </c>
    </row>
    <row r="104" ht="20.35" customHeight="1">
      <c r="A104" s="186">
        <v>45962</v>
      </c>
      <c r="B104" s="519" cm="1">
        <f t="array" ref="B104">E104+AH104</f>
        <v>93675379</v>
      </c>
      <c r="C104" s="316" cm="1">
        <f t="array" ref="C104">F104+AL104</f>
        <v>34040481</v>
      </c>
      <c r="D104" s="550"/>
      <c r="E104" s="316">
        <v>9804175</v>
      </c>
      <c r="F104" s="316">
        <v>-9600000</v>
      </c>
      <c r="G104" s="316">
        <v>19404175</v>
      </c>
      <c r="H104" s="551">
        <v>-2.02126822916667</v>
      </c>
      <c r="I104" s="316">
        <v>-258516</v>
      </c>
      <c r="J104" s="552">
        <v>-0.0256905434142815</v>
      </c>
      <c r="K104" s="316"/>
      <c r="L104" s="316">
        <v>9156056</v>
      </c>
      <c r="M104" s="316">
        <v>-10200000</v>
      </c>
      <c r="N104" s="316">
        <v>19356056</v>
      </c>
      <c r="O104" s="551">
        <v>-1.89765254901961</v>
      </c>
      <c r="P104" s="316">
        <v>-254187</v>
      </c>
      <c r="Q104" s="552">
        <v>-0.0270117360412478</v>
      </c>
      <c r="R104" s="316"/>
      <c r="S104" s="316">
        <v>648119</v>
      </c>
      <c r="T104" s="316">
        <v>600000</v>
      </c>
      <c r="U104" s="316">
        <v>48119</v>
      </c>
      <c r="V104" s="553">
        <v>0.0801983333333333</v>
      </c>
      <c r="W104" s="316">
        <v>-4329</v>
      </c>
      <c r="X104" s="552">
        <v>-0.00663501152582275</v>
      </c>
      <c r="Y104" s="193"/>
      <c r="Z104" s="316">
        <v>5095564</v>
      </c>
      <c r="AA104" s="316">
        <v>4309638</v>
      </c>
      <c r="AB104" s="316" cm="1">
        <f t="array" ref="AB104">Z104-AA104</f>
        <v>785926</v>
      </c>
      <c r="AC104" s="316" cm="1">
        <f t="array" ref="AC104">AB104-AB103</f>
        <v>13963</v>
      </c>
      <c r="AD104" s="552" cm="1">
        <f t="array" ref="AD104">AC104/(Z102+AA103-AA102)</f>
        <v>0.00281195128636249</v>
      </c>
      <c r="AE104" s="552" cm="1">
        <f t="array" ref="AE104">SUM(AD93:AD104)</f>
        <v>0.0447093157082859</v>
      </c>
      <c r="AF104" s="316" cm="1">
        <f t="array" ref="AF104">SUM(AC94:AC$104)</f>
        <v>520855</v>
      </c>
      <c r="AG104" s="193"/>
      <c r="AH104" s="316">
        <v>83871204</v>
      </c>
      <c r="AI104" s="316">
        <v>80311671</v>
      </c>
      <c r="AJ104" s="316">
        <v>3559533</v>
      </c>
      <c r="AK104" s="316">
        <v>40080948</v>
      </c>
      <c r="AL104" s="316">
        <v>43640481</v>
      </c>
      <c r="AM104" s="316">
        <v>40230723</v>
      </c>
      <c r="AN104" s="551">
        <v>1.00373681281191</v>
      </c>
      <c r="AO104" s="316">
        <v>-1145010</v>
      </c>
      <c r="AP104" s="552">
        <v>-0.0140566738779843</v>
      </c>
      <c r="AQ104" s="552"/>
      <c r="AR104" s="316">
        <v>24044745</v>
      </c>
      <c r="AS104" s="316">
        <v>16081268</v>
      </c>
      <c r="AT104" s="316">
        <v>7963477</v>
      </c>
      <c r="AU104" s="551">
        <v>0.495202057449699</v>
      </c>
      <c r="AV104" s="316">
        <v>-54594</v>
      </c>
      <c r="AW104" s="552">
        <v>-0.00226537333658819</v>
      </c>
      <c r="AX104" s="316"/>
      <c r="AY104" s="316">
        <v>38800923</v>
      </c>
      <c r="AZ104" s="316">
        <v>15719680</v>
      </c>
      <c r="BA104" s="316">
        <v>20123447</v>
      </c>
      <c r="BB104" s="551">
        <v>1.28014355254051</v>
      </c>
      <c r="BC104" s="316">
        <v>-1031853</v>
      </c>
      <c r="BD104" s="552">
        <v>-0.0261784704582078</v>
      </c>
      <c r="BE104" s="552"/>
      <c r="BF104" s="316">
        <v>17466003</v>
      </c>
      <c r="BG104" s="316">
        <v>8280000</v>
      </c>
      <c r="BH104" s="316">
        <v>9186003</v>
      </c>
      <c r="BI104" s="553">
        <v>1.10942065217391</v>
      </c>
      <c r="BJ104" s="316">
        <v>-475247</v>
      </c>
      <c r="BK104" s="552">
        <v>-0.0264890684874242</v>
      </c>
      <c r="BL104" s="316" cm="1">
        <f t="array" ref="BL104">BC104+AV104+P104+BJ104</f>
        <v>-1815881</v>
      </c>
      <c r="BM104" s="316" cm="1">
        <f t="array" ref="BM104">SUM(BL$94:BL104)</f>
        <v>9494266</v>
      </c>
      <c r="BN104" s="316" cm="1">
        <f t="array" ref="BN104">B104-C104</f>
        <v>59634898</v>
      </c>
      <c r="BO104" s="316" cm="1">
        <f t="array" ref="BO104">BL104+'net worth - Table 1-2'!E103</f>
        <v>-2364364</v>
      </c>
      <c r="BP104" s="316" cm="1">
        <f t="array" ref="BP104">SUM(BO$94:BO104)</f>
        <v>7200232</v>
      </c>
      <c r="BQ104" s="316" cm="1">
        <f t="array" ref="BQ104">B104+'net worth - Table 1-2'!C103-'net worth - Table 1-2'!B103-C104</f>
        <v>70882099.2716727</v>
      </c>
      <c r="BR104" s="316" cm="1">
        <f t="array" ref="BR104">(BF104+AY104)*0.85+('net worth - Table 1-2-1'!D103)+E104+'net worth - Table 1-2'!C103</f>
        <v>59461790.1</v>
      </c>
    </row>
    <row r="105" ht="20.35" customHeight="1">
      <c r="A105" s="186">
        <v>45992</v>
      </c>
      <c r="B105" s="519" cm="1">
        <f t="array" ref="B105">E105+AH105</f>
        <v>93417908</v>
      </c>
      <c r="C105" s="316" cm="1">
        <f t="array" ref="C105">F105+AL105</f>
        <v>34476792</v>
      </c>
      <c r="D105" s="550"/>
      <c r="E105" s="316">
        <v>9693331</v>
      </c>
      <c r="F105" s="316">
        <v>-9600000</v>
      </c>
      <c r="G105" s="316">
        <v>19293331</v>
      </c>
      <c r="H105" s="551">
        <v>-2.00972197916667</v>
      </c>
      <c r="I105" s="316">
        <v>-110844</v>
      </c>
      <c r="J105" s="552">
        <v>-0.01130579574518</v>
      </c>
      <c r="K105" s="316"/>
      <c r="L105" s="316">
        <v>9061731</v>
      </c>
      <c r="M105" s="316">
        <v>-10200000</v>
      </c>
      <c r="N105" s="316">
        <v>19261731</v>
      </c>
      <c r="O105" s="551">
        <v>-1.888405</v>
      </c>
      <c r="P105" s="316">
        <v>-94325</v>
      </c>
      <c r="Q105" s="552">
        <v>-0.01030192475887</v>
      </c>
      <c r="R105" s="316"/>
      <c r="S105" s="316">
        <v>631600</v>
      </c>
      <c r="T105" s="316">
        <v>600000</v>
      </c>
      <c r="U105" s="316">
        <v>31600</v>
      </c>
      <c r="V105" s="553">
        <v>0.0526666666666667</v>
      </c>
      <c r="W105" s="316">
        <v>-16519</v>
      </c>
      <c r="X105" s="552">
        <v>-0.025487603356791</v>
      </c>
      <c r="Y105" s="193"/>
      <c r="Z105" s="316">
        <v>5113006</v>
      </c>
      <c r="AA105" s="316">
        <v>4309638</v>
      </c>
      <c r="AB105" s="316" cm="1">
        <f t="array" ref="AB105">Z105-AA105</f>
        <v>803368</v>
      </c>
      <c r="AC105" s="316" cm="1">
        <f t="array" ref="AC105">AB105-AB104</f>
        <v>17442</v>
      </c>
      <c r="AD105" s="552" cm="1">
        <f t="array" ref="AD105">AC105/(Z103+AA104-AA103)</f>
        <v>0.00343238282580628</v>
      </c>
      <c r="AE105" s="552" cm="1">
        <f t="array" ref="AE105">SUM(AD94:AD105)</f>
        <v>0.041279553039092</v>
      </c>
      <c r="AF105" s="316" cm="1">
        <f t="array" ref="AF105">SUM(AC94:AC$105)</f>
        <v>538297</v>
      </c>
      <c r="AG105" s="193"/>
      <c r="AH105" s="316">
        <v>83724577</v>
      </c>
      <c r="AI105" s="316">
        <v>80080285</v>
      </c>
      <c r="AJ105" s="316">
        <v>3644292</v>
      </c>
      <c r="AK105" s="316">
        <v>40432500</v>
      </c>
      <c r="AL105" s="316">
        <v>44076792</v>
      </c>
      <c r="AM105" s="316">
        <v>39647785</v>
      </c>
      <c r="AN105" s="551">
        <v>0.980591974278118</v>
      </c>
      <c r="AO105" s="316">
        <v>-582938</v>
      </c>
      <c r="AP105" s="552">
        <v>-0.0072268126454605</v>
      </c>
      <c r="AQ105" s="552"/>
      <c r="AR105" s="316">
        <v>24358831</v>
      </c>
      <c r="AS105" s="316">
        <v>16432820</v>
      </c>
      <c r="AT105" s="316">
        <v>7926011</v>
      </c>
      <c r="AU105" s="551">
        <v>0.482328109235055</v>
      </c>
      <c r="AV105" s="316">
        <v>-37466</v>
      </c>
      <c r="AW105" s="552">
        <v>-0.00153572486840933</v>
      </c>
      <c r="AX105" s="316"/>
      <c r="AY105" s="316">
        <v>38424773</v>
      </c>
      <c r="AZ105" s="316">
        <v>15719680</v>
      </c>
      <c r="BA105" s="316">
        <v>19747297</v>
      </c>
      <c r="BB105" s="551">
        <v>1.2562149483959</v>
      </c>
      <c r="BC105" s="316">
        <v>-376150</v>
      </c>
      <c r="BD105" s="552">
        <v>-0.00969435701310507</v>
      </c>
      <c r="BE105" s="552"/>
      <c r="BF105" s="316">
        <v>17296681</v>
      </c>
      <c r="BG105" s="316">
        <v>8280000</v>
      </c>
      <c r="BH105" s="316">
        <v>9016681</v>
      </c>
      <c r="BI105" s="553">
        <v>1.0889711352657</v>
      </c>
      <c r="BJ105" s="316">
        <v>-169322</v>
      </c>
      <c r="BK105" s="552">
        <v>-0.009694375982873701</v>
      </c>
      <c r="BL105" s="316" cm="1">
        <f t="array" ref="BL105">BC105+AV105+P105+BJ105</f>
        <v>-677263</v>
      </c>
      <c r="BM105" s="316" cm="1">
        <f t="array" ref="BM105">SUM(BL$94:BL105)</f>
        <v>8817003</v>
      </c>
      <c r="BN105" s="316" cm="1">
        <f t="array" ref="BN105">B105-C105</f>
        <v>58941116</v>
      </c>
      <c r="BO105" s="316" cm="1">
        <f t="array" ref="BO105">BL105+'net worth - Table 1-2'!E104</f>
        <v>-726448</v>
      </c>
      <c r="BP105" s="316" cm="1">
        <f t="array" ref="BP105">SUM(BO$94:BO105)</f>
        <v>6473784</v>
      </c>
      <c r="BQ105" s="316" cm="1">
        <f t="array" ref="BQ105">B105+'net worth - Table 1-2'!C104-'net worth - Table 1-2'!B104-C105</f>
        <v>70139132.2716727</v>
      </c>
      <c r="BR105" s="316" cm="1">
        <f t="array" ref="BR105">(BF105+AY105)*0.85+('net worth - Table 1-2-1'!D104)+E105+'net worth - Table 1-2'!C104</f>
        <v>57333604.9</v>
      </c>
    </row>
    <row r="106" ht="20.35" customHeight="1">
      <c r="A106" s="186">
        <v>46023</v>
      </c>
      <c r="B106" s="519" cm="1">
        <f t="array" ref="B106">E106+AH106</f>
        <v>92875310</v>
      </c>
      <c r="C106" s="316" cm="1">
        <f t="array" ref="C106">F106+AL106</f>
        <v>34917049</v>
      </c>
      <c r="D106" s="550"/>
      <c r="E106" s="316">
        <v>9477852</v>
      </c>
      <c r="F106" s="316">
        <v>-9600000</v>
      </c>
      <c r="G106" s="316">
        <v>19077852</v>
      </c>
      <c r="H106" s="551">
        <v>-1.98727625</v>
      </c>
      <c r="I106" s="316">
        <v>-215479</v>
      </c>
      <c r="J106" s="552">
        <v>-0.0222296133289991</v>
      </c>
      <c r="K106" s="316"/>
      <c r="L106" s="316">
        <v>8860473</v>
      </c>
      <c r="M106" s="316">
        <v>-10200000</v>
      </c>
      <c r="N106" s="316">
        <v>19060473</v>
      </c>
      <c r="O106" s="551">
        <v>-1.86867382352941</v>
      </c>
      <c r="P106" s="316">
        <v>-201258</v>
      </c>
      <c r="Q106" s="552">
        <v>-0.0222096639152056</v>
      </c>
      <c r="R106" s="316"/>
      <c r="S106" s="316">
        <v>617379</v>
      </c>
      <c r="T106" s="316">
        <v>600000</v>
      </c>
      <c r="U106" s="316">
        <v>17379</v>
      </c>
      <c r="V106" s="553">
        <v>0.028965</v>
      </c>
      <c r="W106" s="316">
        <v>-14221</v>
      </c>
      <c r="X106" s="552">
        <v>-0.0225158328055731</v>
      </c>
      <c r="Y106" s="193"/>
      <c r="Z106" s="316">
        <v>4928542</v>
      </c>
      <c r="AA106" s="316">
        <v>4109638</v>
      </c>
      <c r="AB106" s="316">
        <v>818904</v>
      </c>
      <c r="AC106" s="316">
        <v>15536</v>
      </c>
      <c r="AD106" s="552" cm="1">
        <f t="array" ref="AD106">AC106/(Z104+AA105-AA104)</f>
        <v>0.00304892647801107</v>
      </c>
      <c r="AE106" s="552" cm="1">
        <f t="array" ref="AE106">SUM(AD95:AD106)</f>
        <v>0.0372661569081055</v>
      </c>
      <c r="AF106" s="316" cm="1">
        <f t="array" ref="AF106">SUM(AC$106:AC106)</f>
        <v>15536</v>
      </c>
      <c r="AG106" s="193"/>
      <c r="AH106" s="316">
        <v>83397458</v>
      </c>
      <c r="AI106" s="316">
        <v>79665209</v>
      </c>
      <c r="AJ106" s="316">
        <v>3732249</v>
      </c>
      <c r="AK106" s="316">
        <v>40784800</v>
      </c>
      <c r="AL106" s="316">
        <v>44517049</v>
      </c>
      <c r="AM106" s="316">
        <v>38880409</v>
      </c>
      <c r="AN106" s="551">
        <v>0.953306354328083</v>
      </c>
      <c r="AO106" s="316">
        <v>-767376</v>
      </c>
      <c r="AP106" s="552">
        <v>-0.00954061093523228</v>
      </c>
      <c r="AQ106" s="552"/>
      <c r="AR106" s="316">
        <v>25148903</v>
      </c>
      <c r="AS106" s="316">
        <v>16785120</v>
      </c>
      <c r="AT106" s="316">
        <v>8363783</v>
      </c>
      <c r="AU106" s="551">
        <v>0.498285564833615</v>
      </c>
      <c r="AV106" s="316">
        <v>437772</v>
      </c>
      <c r="AW106" s="552">
        <v>0.0177155792666876</v>
      </c>
      <c r="AX106" s="316"/>
      <c r="AY106" s="316">
        <v>37593719</v>
      </c>
      <c r="AZ106" s="316">
        <v>15719680</v>
      </c>
      <c r="BA106" s="316">
        <v>18916243</v>
      </c>
      <c r="BB106" s="551">
        <v>1.20334784168634</v>
      </c>
      <c r="BC106" s="316">
        <v>-831054</v>
      </c>
      <c r="BD106" s="552">
        <v>-0.0216280783233254</v>
      </c>
      <c r="BE106" s="552"/>
      <c r="BF106" s="316">
        <v>16922587</v>
      </c>
      <c r="BG106" s="316">
        <v>8280000</v>
      </c>
      <c r="BH106" s="316">
        <v>8642587</v>
      </c>
      <c r="BI106" s="553">
        <v>1.04379070048309</v>
      </c>
      <c r="BJ106" s="316">
        <v>-374094</v>
      </c>
      <c r="BK106" s="552">
        <v>-0.0216280799767308</v>
      </c>
      <c r="BL106" s="316" cm="1">
        <f t="array" ref="BL106">BC106+AV106+P106+BJ106</f>
        <v>-968634</v>
      </c>
      <c r="BM106" s="316" cm="1">
        <f t="array" ref="BM106">SUM(BL$106:BL106)</f>
        <v>-968634</v>
      </c>
      <c r="BN106" s="316" cm="1">
        <f t="array" ref="BN106">B106-C106</f>
        <v>57958261</v>
      </c>
      <c r="BO106" s="316" cm="1">
        <f t="array" ref="BO106">BL106+'net worth - Table 1-2'!E105</f>
        <v>-1237152</v>
      </c>
      <c r="BP106" s="316" cm="1">
        <f t="array" ref="BP106">SUM(BO$106:BO106)</f>
        <v>-1237152</v>
      </c>
      <c r="BQ106" s="316" cm="1">
        <f t="array" ref="BQ106">B106+'net worth - Table 1-2'!C105-'net worth - Table 1-2'!B105-C106</f>
        <v>68887759.2716727</v>
      </c>
      <c r="BR106" s="316" cm="1">
        <f t="array" ref="BR106">(BF106+AY106)*0.85+('net worth - Table 1-2-1'!D105)+E106+'net worth - Table 1-2'!C105</f>
        <v>57489470.1</v>
      </c>
    </row>
    <row r="107" ht="20.35" customHeight="1">
      <c r="A107" s="186">
        <v>46054</v>
      </c>
      <c r="B107" s="519" cm="1">
        <f t="array" ref="B107">E107+AH107</f>
        <v>93851016</v>
      </c>
      <c r="C107" s="316" cm="1">
        <f t="array" ref="C107">F107+AL107</f>
        <v>35364233</v>
      </c>
      <c r="D107" s="550"/>
      <c r="E107" s="316">
        <v>9501503</v>
      </c>
      <c r="F107" s="316">
        <v>-9600000</v>
      </c>
      <c r="G107" s="316">
        <v>19101503</v>
      </c>
      <c r="H107" s="551">
        <v>-1.98973989583333</v>
      </c>
      <c r="I107" s="316">
        <v>23651</v>
      </c>
      <c r="J107" s="552">
        <v>0.00249539663628426</v>
      </c>
      <c r="K107" s="316"/>
      <c r="L107" s="316">
        <v>8887501</v>
      </c>
      <c r="M107" s="316">
        <v>-10200000</v>
      </c>
      <c r="N107" s="316">
        <v>19087501</v>
      </c>
      <c r="O107" s="551">
        <v>-1.87132362745098</v>
      </c>
      <c r="P107" s="316">
        <v>27028</v>
      </c>
      <c r="Q107" s="552">
        <v>0.00305040148533831</v>
      </c>
      <c r="R107" s="316"/>
      <c r="S107" s="316">
        <v>614002</v>
      </c>
      <c r="T107" s="316">
        <v>600000</v>
      </c>
      <c r="U107" s="316">
        <v>14002</v>
      </c>
      <c r="V107" s="553">
        <v>0.0233366666666667</v>
      </c>
      <c r="W107" s="316">
        <v>-3377</v>
      </c>
      <c r="X107" s="552">
        <v>-0.0054698977451452</v>
      </c>
      <c r="Y107" s="193"/>
      <c r="Z107" s="316">
        <v>5845655</v>
      </c>
      <c r="AA107" s="316" cm="1">
        <f t="array" ref="AA107">4109638+900000</f>
        <v>5009638</v>
      </c>
      <c r="AB107" s="316" cm="1">
        <f t="array" ref="AB107">Z107-AA107</f>
        <v>836017</v>
      </c>
      <c r="AC107" s="316" cm="1">
        <f t="array" ref="AC107">AB107-AB106</f>
        <v>17113</v>
      </c>
      <c r="AD107" s="552" cm="1">
        <f t="array" ref="AD107">AC107/(Z105+AA106-AA105)</f>
        <v>0.00348320356213691</v>
      </c>
      <c r="AE107" s="552" cm="1">
        <f t="array" ref="AE107">SUM(AD96:AD107)</f>
        <v>0.0374342810939154</v>
      </c>
      <c r="AF107" s="316" cm="1">
        <f t="array" ref="AF107">SUM(AC$106:AC107)</f>
        <v>32649</v>
      </c>
      <c r="AG107" s="193"/>
      <c r="AH107" s="316">
        <v>84349513</v>
      </c>
      <c r="AI107" s="316">
        <v>80530608</v>
      </c>
      <c r="AJ107" s="316">
        <v>3818905</v>
      </c>
      <c r="AK107" s="316">
        <v>41145328</v>
      </c>
      <c r="AL107" s="316">
        <v>44964233</v>
      </c>
      <c r="AM107" s="316">
        <v>39385280</v>
      </c>
      <c r="AN107" s="551">
        <v>0.95722362451455</v>
      </c>
      <c r="AO107" s="316">
        <v>504871</v>
      </c>
      <c r="AP107" s="552">
        <v>0.00630885786156521</v>
      </c>
      <c r="AQ107" s="552"/>
      <c r="AR107" s="316">
        <v>25818638</v>
      </c>
      <c r="AS107" s="316">
        <v>17145648</v>
      </c>
      <c r="AT107" s="316">
        <v>8672990</v>
      </c>
      <c r="AU107" s="551">
        <v>0.505842065578391</v>
      </c>
      <c r="AV107" s="316">
        <v>309207</v>
      </c>
      <c r="AW107" s="552">
        <v>0.0121212817330187</v>
      </c>
      <c r="AX107" s="316"/>
      <c r="AY107" s="316">
        <v>37728646</v>
      </c>
      <c r="AZ107" s="316">
        <v>15719680</v>
      </c>
      <c r="BA107" s="316">
        <v>19051170</v>
      </c>
      <c r="BB107" s="551">
        <v>1.211931158904</v>
      </c>
      <c r="BC107" s="316">
        <v>134927</v>
      </c>
      <c r="BD107" s="552">
        <v>0.00358908359133078</v>
      </c>
      <c r="BE107" s="552"/>
      <c r="BF107" s="316">
        <v>16983324</v>
      </c>
      <c r="BG107" s="316">
        <v>8280000</v>
      </c>
      <c r="BH107" s="316">
        <v>8703324</v>
      </c>
      <c r="BI107" s="553">
        <v>1.05112608695652</v>
      </c>
      <c r="BJ107" s="316">
        <v>60737</v>
      </c>
      <c r="BK107" s="552">
        <v>0.00358910845014418</v>
      </c>
      <c r="BL107" s="316" cm="1">
        <f t="array" ref="BL107">BC107+AV107+P107+BJ107</f>
        <v>531899</v>
      </c>
      <c r="BM107" s="316" cm="1">
        <f t="array" ref="BM107">SUM(BL$106:BL107)</f>
        <v>-436735</v>
      </c>
      <c r="BN107" s="316" cm="1">
        <f t="array" ref="BN107">B107-C107</f>
        <v>58486783</v>
      </c>
      <c r="BO107" s="316" cm="1">
        <f t="array" ref="BO107">BL107+'net worth - Table 1-2'!E106</f>
        <v>286540</v>
      </c>
      <c r="BP107" s="316" cm="1">
        <f t="array" ref="BP107">SUM(BO$106:BO107)</f>
        <v>-950612</v>
      </c>
      <c r="BQ107" s="316" cm="1">
        <f t="array" ref="BQ107">B107+'net worth - Table 1-2'!C106-'net worth - Table 1-2'!B106-C107</f>
        <v>69170922.2716727</v>
      </c>
      <c r="BR107" s="316" cm="1">
        <f t="array" ref="BR107">(BF107+AY107)*0.85+('net worth - Table 1-2-1'!D106)+E107+'net worth - Table 1-2'!C106</f>
        <v>57661343.5</v>
      </c>
    </row>
    <row r="108" ht="20.35" customHeight="1">
      <c r="A108" s="186">
        <v>46082</v>
      </c>
      <c r="B108" s="519" cm="1">
        <f t="array" ref="B108">E108+AH108</f>
        <v>94164395</v>
      </c>
      <c r="C108" s="316" cm="1">
        <f t="array" ref="C108">F108+AL108</f>
        <v>36263787</v>
      </c>
      <c r="D108" s="550"/>
      <c r="E108" s="316">
        <v>9862963</v>
      </c>
      <c r="F108" s="316">
        <v>-9200000</v>
      </c>
      <c r="G108" s="316">
        <v>19062963</v>
      </c>
      <c r="H108" s="551">
        <v>-2.07206119565217</v>
      </c>
      <c r="I108" s="316">
        <v>-38540</v>
      </c>
      <c r="J108" s="552">
        <v>-0.00389233836519567</v>
      </c>
      <c r="K108" s="316"/>
      <c r="L108" s="316">
        <v>8880779</v>
      </c>
      <c r="M108" s="316">
        <v>-10200000</v>
      </c>
      <c r="N108" s="316">
        <v>19080779</v>
      </c>
      <c r="O108" s="551">
        <v>-1.87066460784314</v>
      </c>
      <c r="P108" s="316">
        <v>-6722</v>
      </c>
      <c r="Q108" s="552">
        <v>-0.000756343093519764</v>
      </c>
      <c r="R108" s="316"/>
      <c r="S108" s="316">
        <v>982184</v>
      </c>
      <c r="T108" s="316">
        <v>1000000</v>
      </c>
      <c r="U108" s="316">
        <v>-17816</v>
      </c>
      <c r="V108" s="553">
        <v>-0.017816</v>
      </c>
      <c r="W108" s="316">
        <v>-31818</v>
      </c>
      <c r="X108" s="552">
        <v>-0.0313786363340506</v>
      </c>
      <c r="Y108" s="193"/>
      <c r="Z108" s="316">
        <v>6966795</v>
      </c>
      <c r="AA108" s="316">
        <v>6109638</v>
      </c>
      <c r="AB108" s="316" cm="1">
        <f t="array" ref="AB108">Z108-AA108</f>
        <v>857157</v>
      </c>
      <c r="AC108" s="316" cm="1">
        <f t="array" ref="AC108">AB108-AB107</f>
        <v>21140</v>
      </c>
      <c r="AD108" s="552" cm="1">
        <f t="array" ref="AD108">AC108/(Z106+AA107-AA106)</f>
        <v>0.0036269790970023</v>
      </c>
      <c r="AE108" s="552" cm="1">
        <f t="array" ref="AE108">SUM(AD97:AD108)</f>
        <v>0.0381160842705059</v>
      </c>
      <c r="AF108" s="316" cm="1">
        <f t="array" ref="AF108">SUM(AC$106:AC108)</f>
        <v>53789</v>
      </c>
      <c r="AG108" s="193"/>
      <c r="AH108" s="316">
        <v>84301432</v>
      </c>
      <c r="AI108" s="316">
        <v>80344749</v>
      </c>
      <c r="AJ108" s="316">
        <v>3956683</v>
      </c>
      <c r="AK108" s="316">
        <v>41507104</v>
      </c>
      <c r="AL108" s="316">
        <v>45463787</v>
      </c>
      <c r="AM108" s="316">
        <v>38837645</v>
      </c>
      <c r="AN108" s="551">
        <v>0.935686695944868</v>
      </c>
      <c r="AO108" s="316">
        <v>-547635</v>
      </c>
      <c r="AP108" s="552">
        <v>-0.00676992039201119</v>
      </c>
      <c r="AQ108" s="552"/>
      <c r="AR108" s="316">
        <v>25642700</v>
      </c>
      <c r="AS108" s="316">
        <v>17507424</v>
      </c>
      <c r="AT108" s="316">
        <v>8135276</v>
      </c>
      <c r="AU108" s="551">
        <v>0.464675785541037</v>
      </c>
      <c r="AV108" s="316">
        <v>-537714</v>
      </c>
      <c r="AW108" s="552">
        <v>-0.0205387890351925</v>
      </c>
      <c r="AX108" s="316"/>
      <c r="AY108" s="316">
        <v>37721805</v>
      </c>
      <c r="AZ108" s="316">
        <v>15719680</v>
      </c>
      <c r="BA108" s="316">
        <v>19044329</v>
      </c>
      <c r="BB108" s="551">
        <v>1.21149597192818</v>
      </c>
      <c r="BC108" s="316">
        <v>-6841</v>
      </c>
      <c r="BD108" s="552">
        <v>-0.000181321110754942</v>
      </c>
      <c r="BE108" s="552"/>
      <c r="BF108" s="316">
        <v>16980244</v>
      </c>
      <c r="BG108" s="316">
        <v>8280000</v>
      </c>
      <c r="BH108" s="316">
        <v>8700244</v>
      </c>
      <c r="BI108" s="553">
        <v>1.05075410628019</v>
      </c>
      <c r="BJ108" s="316">
        <v>-3080</v>
      </c>
      <c r="BK108" s="552">
        <v>-0.000181354368555885</v>
      </c>
      <c r="BL108" s="316" cm="1">
        <f t="array" ref="BL108">BC108+AV108+P108+BJ108</f>
        <v>-554357</v>
      </c>
      <c r="BM108" s="316" cm="1">
        <f t="array" ref="BM108">SUM(BL$106:BL108)</f>
        <v>-991092</v>
      </c>
      <c r="BN108" s="316" cm="1">
        <f t="array" ref="BN108">B108-C108</f>
        <v>57900608</v>
      </c>
      <c r="BO108" s="316" cm="1">
        <f t="array" ref="BO108">BL108+'net worth - Table 1-2'!E107</f>
        <v>-438835</v>
      </c>
      <c r="BP108" s="316" cm="1">
        <f t="array" ref="BP108">SUM(BO$106:BO108)</f>
        <v>-1389447</v>
      </c>
      <c r="BQ108" s="316" cm="1">
        <f t="array" ref="BQ108">B108+'net worth - Table 1-2'!C107-'net worth - Table 1-2'!B107-C108</f>
        <v>68700269.2716727</v>
      </c>
      <c r="BR108" s="316" cm="1">
        <f t="array" ref="BR108">(BF108+AY108)*0.85+('net worth - Table 1-2-1'!D107)+E108+'net worth - Table 1-2'!C107</f>
        <v>59764942.65</v>
      </c>
    </row>
    <row r="109" ht="20.35" customHeight="1">
      <c r="A109" s="186">
        <v>46113</v>
      </c>
      <c r="B109" s="519" cm="1">
        <f t="array" ref="B109">E109+AH109</f>
        <v>103650177</v>
      </c>
      <c r="C109" s="316" cm="1">
        <f t="array" ref="C109">F109+AL109</f>
        <v>36724579</v>
      </c>
      <c r="D109" s="550"/>
      <c r="E109" s="316">
        <v>10970244</v>
      </c>
      <c r="F109" s="316">
        <v>-9200000</v>
      </c>
      <c r="G109" s="316">
        <v>20170244</v>
      </c>
      <c r="H109" s="551">
        <v>-2.19241782608696</v>
      </c>
      <c r="I109" s="316">
        <v>1107281</v>
      </c>
      <c r="J109" s="552">
        <v>0.112266567359119</v>
      </c>
      <c r="K109" s="316"/>
      <c r="L109" s="316">
        <v>9913972</v>
      </c>
      <c r="M109" s="316">
        <v>-10200000</v>
      </c>
      <c r="N109" s="316">
        <v>20113972</v>
      </c>
      <c r="O109" s="551">
        <v>-1.97195803921569</v>
      </c>
      <c r="P109" s="316">
        <v>1033193</v>
      </c>
      <c r="Q109" s="552">
        <v>0.116340357079036</v>
      </c>
      <c r="R109" s="316"/>
      <c r="S109" s="316">
        <v>1056272</v>
      </c>
      <c r="T109" s="316">
        <v>1000000</v>
      </c>
      <c r="U109" s="316">
        <v>56272</v>
      </c>
      <c r="V109" s="553">
        <v>0.056272</v>
      </c>
      <c r="W109" s="316">
        <v>74088</v>
      </c>
      <c r="X109" s="552">
        <v>0.0754318946348138</v>
      </c>
      <c r="Y109" s="193"/>
      <c r="Z109" s="316">
        <v>30010849</v>
      </c>
      <c r="AA109" s="316">
        <v>29109638</v>
      </c>
      <c r="AB109" s="316">
        <v>901211</v>
      </c>
      <c r="AC109" s="316">
        <v>44054</v>
      </c>
      <c r="AD109" s="552">
        <v>0.00634267034570534</v>
      </c>
      <c r="AE109" s="552">
        <v>0.0412821812858119</v>
      </c>
      <c r="AF109" s="316">
        <v>97843</v>
      </c>
      <c r="AG109" s="193"/>
      <c r="AH109" s="316">
        <v>92679933</v>
      </c>
      <c r="AI109" s="316">
        <v>88624700</v>
      </c>
      <c r="AJ109" s="316">
        <v>4055233</v>
      </c>
      <c r="AK109" s="316">
        <v>41869346</v>
      </c>
      <c r="AL109" s="316">
        <v>45924579</v>
      </c>
      <c r="AM109" s="316">
        <v>46755354</v>
      </c>
      <c r="AN109" s="551">
        <v>1.11669654453165</v>
      </c>
      <c r="AO109" s="316">
        <v>7917709</v>
      </c>
      <c r="AP109" s="552">
        <v>0.098104376112845</v>
      </c>
      <c r="AQ109" s="552"/>
      <c r="AR109" s="316">
        <v>27519927</v>
      </c>
      <c r="AS109" s="316">
        <v>17869666</v>
      </c>
      <c r="AT109" s="316">
        <v>9650261</v>
      </c>
      <c r="AU109" s="551">
        <v>0.540035890989792</v>
      </c>
      <c r="AV109" s="316">
        <v>1514985</v>
      </c>
      <c r="AW109" s="552">
        <v>0.0582575804245208</v>
      </c>
      <c r="AX109" s="316"/>
      <c r="AY109" s="316">
        <v>42137038</v>
      </c>
      <c r="AZ109" s="316">
        <v>15719680</v>
      </c>
      <c r="BA109" s="316">
        <v>23459562</v>
      </c>
      <c r="BB109" s="551">
        <v>1.49236892862959</v>
      </c>
      <c r="BC109" s="316">
        <v>4415233</v>
      </c>
      <c r="BD109" s="552">
        <v>0.117047235677084</v>
      </c>
      <c r="BE109" s="552"/>
      <c r="BF109" s="316">
        <v>18967735</v>
      </c>
      <c r="BG109" s="316">
        <v>8280000</v>
      </c>
      <c r="BH109" s="316">
        <v>10687735</v>
      </c>
      <c r="BI109" s="553">
        <v>1.29078925120773</v>
      </c>
      <c r="BJ109" s="316">
        <v>1987491</v>
      </c>
      <c r="BK109" s="552">
        <v>0.117047257978154</v>
      </c>
      <c r="BL109" s="316" cm="1">
        <f t="array" ref="BL109">BC109+AV109+P109+BJ109</f>
        <v>8950902</v>
      </c>
      <c r="BM109" s="316" cm="1">
        <f t="array" ref="BM109">SUM(BL$106:BL109)</f>
        <v>7959810</v>
      </c>
      <c r="BN109" s="316" cm="1">
        <f t="array" ref="BN109">B109-C109</f>
        <v>66925598</v>
      </c>
      <c r="BO109" s="316" cm="1">
        <f t="array" ref="BO109">BL109+'net worth - Table 1-2'!E108</f>
        <v>9120048</v>
      </c>
      <c r="BP109" s="316" cm="1">
        <f t="array" ref="BP109">SUM(BO$106:BO109)</f>
        <v>7730601</v>
      </c>
      <c r="BQ109" s="316" cm="1">
        <f t="array" ref="BQ109">B109+'net worth - Table 1-2'!C108-'net worth - Table 1-2'!B108-C109</f>
        <v>77894405.2716727</v>
      </c>
      <c r="BR109" s="316" cm="1">
        <f t="array" ref="BR109">(BF109+AY109)*0.85+(Z109-'net worth - cash'!$B$11)+E109+'net worth - Table 1-2'!C108</f>
        <v>84493219.05</v>
      </c>
    </row>
    <row r="110" ht="20.35" customHeight="1">
      <c r="A110" s="186">
        <v>46143</v>
      </c>
      <c r="B110" s="519" cm="1">
        <f t="array" ref="B110">E110+AH110</f>
        <v>104701642</v>
      </c>
      <c r="C110" s="316" cm="1">
        <f t="array" ref="C110">F110+AL110</f>
        <v>33963421</v>
      </c>
      <c r="D110" s="550"/>
      <c r="E110" s="316" cm="1">
        <f t="array" ref="E110">'net worth - brokerage'!$B$117</f>
        <v>11447471</v>
      </c>
      <c r="F110" s="316" cm="1">
        <f t="array" ref="F110">'net worth - brokerage'!B$116</f>
        <v>-9200000</v>
      </c>
      <c r="G110" s="316" cm="1">
        <f t="array" ref="G110">'net worth - brokerage'!B$118</f>
        <v>20647471</v>
      </c>
      <c r="H110" s="551" cm="1">
        <f t="array" ref="H110">G110/F110</f>
        <v>-2.24429032608696</v>
      </c>
      <c r="I110" s="316" cm="1">
        <f t="array" ref="I110">G110-G109</f>
        <v>477227</v>
      </c>
      <c r="J110" s="552" cm="1">
        <f t="array" ref="J110">I110/(E109+F110-F109)</f>
        <v>0.0435019494552719</v>
      </c>
      <c r="K110" s="316"/>
      <c r="L110" s="316" cm="1">
        <f t="array" ref="L110">'net worth - brokerage'!D$117</f>
        <v>10361465</v>
      </c>
      <c r="M110" s="316" cm="1">
        <f t="array" ref="M110">'net worth - brokerage'!D$116</f>
        <v>-10200000</v>
      </c>
      <c r="N110" s="316" cm="1">
        <f t="array" ref="N110">L110-M110</f>
        <v>20561465</v>
      </c>
      <c r="O110" s="551" cm="1">
        <f t="array" ref="O110">N110/M110</f>
        <v>-2.01582990196078</v>
      </c>
      <c r="P110" s="316" cm="1">
        <f t="array" ref="P110">N110-N109</f>
        <v>447493</v>
      </c>
      <c r="Q110" s="552" cm="1">
        <f t="array" ref="Q110">P110/(L109+M110-M109)</f>
        <v>0.0451376098298442</v>
      </c>
      <c r="R110" s="316"/>
      <c r="S110" s="316" cm="1">
        <f t="array" ref="S110">'net worth - brokerage'!J$117</f>
        <v>1086006</v>
      </c>
      <c r="T110" s="316" cm="1">
        <f t="array" ref="T110">'net worth - brokerage'!J$116</f>
        <v>1000000</v>
      </c>
      <c r="U110" s="316" cm="1">
        <f t="array" ref="U110">'net worth - brokerage'!J$118</f>
        <v>86006</v>
      </c>
      <c r="V110" s="553" cm="1">
        <f t="array" ref="V110">'net worth - brokerage'!J$119</f>
        <v>0.086006</v>
      </c>
      <c r="W110" s="316" cm="1">
        <f t="array" ref="W110">U110-U109</f>
        <v>29734</v>
      </c>
      <c r="X110" s="552" cm="1">
        <f t="array" ref="X110">W110/(S109+T110-T109)</f>
        <v>0.0281499462259721</v>
      </c>
      <c r="Y110" s="193"/>
      <c r="Z110" s="316" cm="1">
        <f t="array" ref="Z110">'net worth - cash and cash equiv'!H$118</f>
        <v>27351662</v>
      </c>
      <c r="AA110" s="316" cm="1">
        <f t="array" ref="AA110">SUM('net worth - cash and cash equiv'!H$117:I$117)</f>
        <v>26409638</v>
      </c>
      <c r="AB110" s="316" cm="1">
        <f t="array" ref="AB110">Z110-AA110</f>
        <v>942024</v>
      </c>
      <c r="AC110" s="316" cm="1">
        <f t="array" ref="AC110">AB110-AB109</f>
        <v>40813</v>
      </c>
      <c r="AD110" s="552" cm="1">
        <f t="array" ref="AD110">AC110/(Z108+AA109-AA108)</f>
        <v>0.00136194077478089</v>
      </c>
      <c r="AE110" s="552" cm="1">
        <f t="array" ref="AE110">SUM(AD99:AD110)</f>
        <v>0.0393483110990946</v>
      </c>
      <c r="AF110" s="316" cm="1">
        <f t="array" ref="AF110">SUM(AC$106:AC110)</f>
        <v>138656</v>
      </c>
      <c r="AG110" s="193"/>
      <c r="AH110" s="316" cm="1">
        <f t="array" ref="AH110">SUM(AI110:AJ110)</f>
        <v>93254171</v>
      </c>
      <c r="AI110" s="316" cm="1">
        <f t="array" ref="AI110">AR110+AY110+BF110</f>
        <v>91960096</v>
      </c>
      <c r="AJ110" s="316" cm="1">
        <f t="array" ref="AJ110">'net worth - retiro'!$O$118</f>
        <v>1294075</v>
      </c>
      <c r="AK110" s="316" cm="1">
        <f t="array" ref="AK110">AS110+AZ110+BG110</f>
        <v>41869346</v>
      </c>
      <c r="AL110" s="316" cm="1">
        <f t="array" ref="AL110">AK110+AJ110</f>
        <v>43163421</v>
      </c>
      <c r="AM110" s="316" cm="1">
        <f t="array" ref="AM110">AI110-AK110</f>
        <v>50090750</v>
      </c>
      <c r="AN110" s="551" cm="1">
        <f t="array" ref="AN110">AM110/AK110</f>
        <v>1.19635854832793</v>
      </c>
      <c r="AO110" s="316" cm="1">
        <f t="array" ref="AO110">AM110-AM109</f>
        <v>3335396</v>
      </c>
      <c r="AP110" s="552" cm="1">
        <f t="array" ref="AP110">AO110/(AI109+AK110-AK109)</f>
        <v>0.0376350611059896</v>
      </c>
      <c r="AQ110" s="552"/>
      <c r="AR110" s="316" cm="1">
        <f t="array" ref="AR110">'net worth - retiro'!D$118</f>
        <v>28084955</v>
      </c>
      <c r="AS110" s="316" cm="1">
        <f t="array" ref="AS110">'net worth - retiro'!D$117</f>
        <v>17869666</v>
      </c>
      <c r="AT110" s="316" cm="1">
        <f t="array" ref="AT110">'net worth - retiro'!D$119</f>
        <v>10215289</v>
      </c>
      <c r="AU110" s="551" cm="1">
        <f t="array" ref="AU110">AT110/AS110</f>
        <v>0.5716552844356459</v>
      </c>
      <c r="AV110" s="316" cm="1">
        <f t="array" ref="AV110">AT110-AT109</f>
        <v>565028</v>
      </c>
      <c r="AW110" s="552" cm="1">
        <f t="array" ref="AW110">AV110/(AR109+AS110-AS109)</f>
        <v>0.020531595160118</v>
      </c>
      <c r="AX110" s="316"/>
      <c r="AY110" s="316" cm="1">
        <f t="array" ref="AY110">'net worth - retiro'!F$118</f>
        <v>44047447</v>
      </c>
      <c r="AZ110" s="316" cm="1">
        <f t="array" ref="AZ110">'net worth - retiro'!$F$117</f>
        <v>15719680</v>
      </c>
      <c r="BA110" s="316" cm="1">
        <f t="array" ref="BA110">'net worth - retiro'!H$119</f>
        <v>25369971</v>
      </c>
      <c r="BB110" s="551" cm="1">
        <f t="array" ref="BB110">BA110/AZ110</f>
        <v>1.61389869259425</v>
      </c>
      <c r="BC110" s="316" cm="1">
        <f t="array" ref="BC110">BA110-BA109</f>
        <v>1910409</v>
      </c>
      <c r="BD110" s="552" cm="1">
        <f t="array" ref="BD110">BC110/(AY109+AZ110-AZ109)</f>
        <v>0.0453379993154716</v>
      </c>
      <c r="BE110" s="552"/>
      <c r="BF110" s="316" cm="1">
        <f t="array" ref="BF110">'net worth - retiro'!K$118</f>
        <v>19827694</v>
      </c>
      <c r="BG110" s="316" cm="1">
        <f t="array" ref="BG110">'net worth - retiro'!M$117</f>
        <v>8280000</v>
      </c>
      <c r="BH110" s="316" cm="1">
        <f t="array" ref="BH110">'net worth - retiro'!M$119</f>
        <v>11547694</v>
      </c>
      <c r="BI110" s="553" cm="1">
        <f t="array" ref="BI110">'net worth - retiro'!M$120</f>
        <v>1.39464903381643</v>
      </c>
      <c r="BJ110" s="316" cm="1">
        <f t="array" ref="BJ110">BH110-BH109</f>
        <v>859959</v>
      </c>
      <c r="BK110" s="552" cm="1">
        <f t="array" ref="BK110">BJ110/(BF109+BG110-BG109)</f>
        <v>0.0453379910674627</v>
      </c>
      <c r="BL110" s="316" cm="1">
        <f t="array" ref="BL110">BC110+AV110+P110+BJ110</f>
        <v>3782889</v>
      </c>
      <c r="BM110" s="316" cm="1">
        <f t="array" ref="BM110">SUM(BL$106:BL110)</f>
        <v>11742699</v>
      </c>
      <c r="BN110" s="316" cm="1">
        <f t="array" ref="BN110">B110-C110</f>
        <v>70738221</v>
      </c>
      <c r="BO110" s="316" cm="1">
        <f t="array" ref="BO110">BL110+'net worth - Table 1-2'!E109</f>
        <v>3782889</v>
      </c>
      <c r="BP110" s="316" cm="1">
        <f t="array" ref="BP110">SUM(BO$106:BO110)</f>
        <v>11513490</v>
      </c>
      <c r="BQ110" s="316" cm="1">
        <f t="array" ref="BQ110">B110+'net worth - Table 1-2'!C109-'net worth - Table 1-2'!B109-C110</f>
        <v>81707028.2716727</v>
      </c>
      <c r="BR110" s="316" cm="1">
        <f t="array" ref="BR110">(BF110+AY110)*0.85+(Z110-'net worth - cash'!$B$11)+E110+'net worth - Table 1-2'!C109</f>
        <v>84666071.84999999</v>
      </c>
    </row>
    <row r="111" ht="20.35" customHeight="1">
      <c r="A111" s="186">
        <v>46174</v>
      </c>
      <c r="B111" s="519" cm="1">
        <f t="array" ref="B111">E111+AH111</f>
        <v>104701642</v>
      </c>
      <c r="C111" s="316" cm="1">
        <f t="array" ref="C111">F111+AL111</f>
        <v>33963421</v>
      </c>
      <c r="D111" s="550"/>
      <c r="E111" s="316" cm="1">
        <f t="array" ref="E111">'net worth - brokerage'!$B$117</f>
        <v>11447471</v>
      </c>
      <c r="F111" s="316" cm="1">
        <f t="array" ref="F111">'net worth - brokerage'!B$116</f>
        <v>-9200000</v>
      </c>
      <c r="G111" s="316" cm="1">
        <f t="array" ref="G111">'net worth - brokerage'!B$118</f>
        <v>20647471</v>
      </c>
      <c r="H111" s="551" cm="1">
        <f t="array" ref="H111">G111/F111</f>
        <v>-2.24429032608696</v>
      </c>
      <c r="I111" s="316" cm="1">
        <f t="array" ref="I111">G111-G110</f>
        <v>0</v>
      </c>
      <c r="J111" s="552" cm="1">
        <f t="array" ref="J111">I111/(E110+F111-F110)</f>
        <v>0</v>
      </c>
      <c r="K111" s="316"/>
      <c r="L111" s="316" cm="1">
        <f t="array" ref="L111">'net worth - brokerage'!D$117</f>
        <v>10361465</v>
      </c>
      <c r="M111" s="316" cm="1">
        <f t="array" ref="M111">'net worth - brokerage'!D$116</f>
        <v>-10200000</v>
      </c>
      <c r="N111" s="316" cm="1">
        <f t="array" ref="N111">L111-M111</f>
        <v>20561465</v>
      </c>
      <c r="O111" s="551" cm="1">
        <f t="array" ref="O111">N111/M111</f>
        <v>-2.01582990196078</v>
      </c>
      <c r="P111" s="316" cm="1">
        <f t="array" ref="P111">N111-N110</f>
        <v>0</v>
      </c>
      <c r="Q111" s="552" cm="1">
        <f t="array" ref="Q111">P111/(L110+M111-M110)</f>
        <v>0</v>
      </c>
      <c r="R111" s="316"/>
      <c r="S111" s="316" cm="1">
        <f t="array" ref="S111">'net worth - brokerage'!J$117</f>
        <v>1086006</v>
      </c>
      <c r="T111" s="316" cm="1">
        <f t="array" ref="T111">'net worth - brokerage'!J$116</f>
        <v>1000000</v>
      </c>
      <c r="U111" s="316" cm="1">
        <f t="array" ref="U111">'net worth - brokerage'!J$118</f>
        <v>86006</v>
      </c>
      <c r="V111" s="553" cm="1">
        <f t="array" ref="V111">'net worth - brokerage'!J$119</f>
        <v>0.086006</v>
      </c>
      <c r="W111" s="316" cm="1">
        <f t="array" ref="W111">U111-U110</f>
        <v>0</v>
      </c>
      <c r="X111" s="552" cm="1">
        <f t="array" ref="X111">W111/(S110+T111-T110)</f>
        <v>0</v>
      </c>
      <c r="Y111" s="193"/>
      <c r="Z111" s="316" cm="1">
        <f t="array" ref="Z111">Z110-3500000</f>
        <v>23851662</v>
      </c>
      <c r="AA111" s="316" cm="1">
        <f t="array" ref="AA111">AA110-3500000</f>
        <v>22909638</v>
      </c>
      <c r="AB111" s="316" cm="1">
        <f t="array" ref="AB111">Z111-AA111</f>
        <v>942024</v>
      </c>
      <c r="AC111" s="316" cm="1">
        <f t="array" ref="AC111">AB111-AB110</f>
        <v>0</v>
      </c>
      <c r="AD111" s="552" cm="1">
        <f t="array" ref="AD111">AC111/(Z109+AA110-AA109)</f>
        <v>0</v>
      </c>
      <c r="AE111" s="552" cm="1">
        <f t="array" ref="AE111">SUM(AD100:AD111)</f>
        <v>0.0364253597606546</v>
      </c>
      <c r="AF111" s="316" cm="1">
        <f t="array" ref="AF111">SUM(AC$106:AC111)</f>
        <v>138656</v>
      </c>
      <c r="AG111" s="193"/>
      <c r="AH111" s="316" cm="1">
        <f t="array" ref="AH111">SUM(AI111:AJ111)</f>
        <v>93254171</v>
      </c>
      <c r="AI111" s="316" cm="1">
        <f t="array" ref="AI111">AR111+AY111+BF111</f>
        <v>91960096</v>
      </c>
      <c r="AJ111" s="316" cm="1">
        <f t="array" ref="AJ111">'net worth - retiro'!$O$118</f>
        <v>1294075</v>
      </c>
      <c r="AK111" s="316" cm="1">
        <f t="array" ref="AK111">AS111+AZ111+BG111</f>
        <v>41869346</v>
      </c>
      <c r="AL111" s="316" cm="1">
        <f t="array" ref="AL111">AK111+AJ111</f>
        <v>43163421</v>
      </c>
      <c r="AM111" s="316" cm="1">
        <f t="array" ref="AM111">AI111-AK111</f>
        <v>50090750</v>
      </c>
      <c r="AN111" s="551" cm="1">
        <f t="array" ref="AN111">AM111/AK111</f>
        <v>1.19635854832793</v>
      </c>
      <c r="AO111" s="316" cm="1">
        <f t="array" ref="AO111">AM111-AM110</f>
        <v>0</v>
      </c>
      <c r="AP111" s="552" cm="1">
        <f t="array" ref="AP111">AO111/(AI110+AK111-AK110)</f>
        <v>0</v>
      </c>
      <c r="AQ111" s="552"/>
      <c r="AR111" s="316" cm="1">
        <f t="array" ref="AR111">'net worth - retiro'!D$118</f>
        <v>28084955</v>
      </c>
      <c r="AS111" s="316" cm="1">
        <f t="array" ref="AS111">'net worth - retiro'!D$117</f>
        <v>17869666</v>
      </c>
      <c r="AT111" s="316" cm="1">
        <f t="array" ref="AT111">'net worth - retiro'!D$119</f>
        <v>10215289</v>
      </c>
      <c r="AU111" s="551" cm="1">
        <f t="array" ref="AU111">AT111/AS111</f>
        <v>0.5716552844356459</v>
      </c>
      <c r="AV111" s="316" cm="1">
        <f t="array" ref="AV111">AT111-AT110</f>
        <v>0</v>
      </c>
      <c r="AW111" s="552" cm="1">
        <f t="array" ref="AW111">AV111/(AR110+AS111-AS110)</f>
        <v>0</v>
      </c>
      <c r="AX111" s="316"/>
      <c r="AY111" s="316" cm="1">
        <f t="array" ref="AY111">'net worth - retiro'!F$118</f>
        <v>44047447</v>
      </c>
      <c r="AZ111" s="316" cm="1">
        <f t="array" ref="AZ111">'net worth - retiro'!$F$117</f>
        <v>15719680</v>
      </c>
      <c r="BA111" s="316" cm="1">
        <f t="array" ref="BA111">'net worth - retiro'!H$119</f>
        <v>25369971</v>
      </c>
      <c r="BB111" s="551" cm="1">
        <f t="array" ref="BB111">BA111/AZ111</f>
        <v>1.61389869259425</v>
      </c>
      <c r="BC111" s="316" cm="1">
        <f t="array" ref="BC111">BA111-BA110</f>
        <v>0</v>
      </c>
      <c r="BD111" s="552" cm="1">
        <f t="array" ref="BD111">BC111/(AY110+AZ111-AZ110)</f>
        <v>0</v>
      </c>
      <c r="BE111" s="552"/>
      <c r="BF111" s="316" cm="1">
        <f t="array" ref="BF111">'net worth - retiro'!K$118</f>
        <v>19827694</v>
      </c>
      <c r="BG111" s="316" cm="1">
        <f t="array" ref="BG111">'net worth - retiro'!M$117</f>
        <v>8280000</v>
      </c>
      <c r="BH111" s="316" cm="1">
        <f t="array" ref="BH111">'net worth - retiro'!M$119</f>
        <v>11547694</v>
      </c>
      <c r="BI111" s="553" cm="1">
        <f t="array" ref="BI111">'net worth - retiro'!M$120</f>
        <v>1.39464903381643</v>
      </c>
      <c r="BJ111" s="316" cm="1">
        <f t="array" ref="BJ111">BH111-BH110</f>
        <v>0</v>
      </c>
      <c r="BK111" s="552" cm="1">
        <f t="array" ref="BK111">BJ111/(BF110+BG111-BG110)</f>
        <v>0</v>
      </c>
      <c r="BL111" s="316" cm="1">
        <f t="array" ref="BL111">BC111+AV111+P111+BJ111</f>
        <v>0</v>
      </c>
      <c r="BM111" s="316" cm="1">
        <f t="array" ref="BM111">SUM(BL$106:BL111)</f>
        <v>11742699</v>
      </c>
      <c r="BN111" s="316" cm="1">
        <f t="array" ref="BN111">B111-C111</f>
        <v>70738221</v>
      </c>
      <c r="BO111" s="316" cm="1">
        <f t="array" ref="BO111">BL111+'net worth - Table 1-2'!E110</f>
        <v>0</v>
      </c>
      <c r="BP111" s="316" cm="1">
        <f t="array" ref="BP111">SUM(BO$106:BO111)</f>
        <v>11513490</v>
      </c>
      <c r="BQ111" s="316" cm="1">
        <f t="array" ref="BQ111">B111+'net worth - Table 1-2'!C110-'net worth - Table 1-2'!B110-C111</f>
        <v>81707028.2716727</v>
      </c>
      <c r="BR111" s="316" cm="1">
        <f t="array" ref="BR111">(BF111+AY111)*0.85+(Z111-'net worth - cash'!$B$11)+E111+'net worth - Table 1-2'!C110</f>
        <v>81166071.84999999</v>
      </c>
    </row>
    <row r="112" ht="20.35" customHeight="1">
      <c r="A112" s="186">
        <v>46204</v>
      </c>
      <c r="B112" s="519" cm="1">
        <f t="array" ref="B112">E112+AH112</f>
        <v>104701642</v>
      </c>
      <c r="C112" s="316" cm="1">
        <f t="array" ref="C112">F112+AL112</f>
        <v>33963421</v>
      </c>
      <c r="D112" s="550"/>
      <c r="E112" s="316" cm="1">
        <f t="array" ref="E112">'net worth - brokerage'!$B$117</f>
        <v>11447471</v>
      </c>
      <c r="F112" s="316" cm="1">
        <f t="array" ref="F112">'net worth - brokerage'!B$116</f>
        <v>-9200000</v>
      </c>
      <c r="G112" s="316" cm="1">
        <f t="array" ref="G112">'net worth - brokerage'!B$118</f>
        <v>20647471</v>
      </c>
      <c r="H112" s="551" cm="1">
        <f t="array" ref="H112">G112/F112</f>
        <v>-2.24429032608696</v>
      </c>
      <c r="I112" s="316" cm="1">
        <f t="array" ref="I112">G112-G111</f>
        <v>0</v>
      </c>
      <c r="J112" s="552" cm="1">
        <f t="array" ref="J112">I112/(E111+F112-F111)</f>
        <v>0</v>
      </c>
      <c r="K112" s="316"/>
      <c r="L112" s="316" cm="1">
        <f t="array" ref="L112">'net worth - brokerage'!D$117</f>
        <v>10361465</v>
      </c>
      <c r="M112" s="316" cm="1">
        <f t="array" ref="M112">'net worth - brokerage'!D$116</f>
        <v>-10200000</v>
      </c>
      <c r="N112" s="316" cm="1">
        <f t="array" ref="N112">L112-M112</f>
        <v>20561465</v>
      </c>
      <c r="O112" s="551" cm="1">
        <f t="array" ref="O112">N112/M112</f>
        <v>-2.01582990196078</v>
      </c>
      <c r="P112" s="316" cm="1">
        <f t="array" ref="P112">N112-N111</f>
        <v>0</v>
      </c>
      <c r="Q112" s="552" cm="1">
        <f t="array" ref="Q112">P112/(L111+M112-M111)</f>
        <v>0</v>
      </c>
      <c r="R112" s="316"/>
      <c r="S112" s="316" cm="1">
        <f t="array" ref="S112">'net worth - brokerage'!J$117</f>
        <v>1086006</v>
      </c>
      <c r="T112" s="316" cm="1">
        <f t="array" ref="T112">'net worth - brokerage'!J$116</f>
        <v>1000000</v>
      </c>
      <c r="U112" s="316" cm="1">
        <f t="array" ref="U112">'net worth - brokerage'!J$118</f>
        <v>86006</v>
      </c>
      <c r="V112" s="553" cm="1">
        <f t="array" ref="V112">'net worth - brokerage'!J$119</f>
        <v>0.086006</v>
      </c>
      <c r="W112" s="316" cm="1">
        <f t="array" ref="W112">U112-U111</f>
        <v>0</v>
      </c>
      <c r="X112" s="552" cm="1">
        <f t="array" ref="X112">W112/(S111+T112-T111)</f>
        <v>0</v>
      </c>
      <c r="Y112" s="193"/>
      <c r="Z112" s="316" cm="1">
        <f t="array" ref="Z112">Z111-3500000</f>
        <v>20351662</v>
      </c>
      <c r="AA112" s="316" cm="1">
        <f t="array" ref="AA112">AA111-3500000</f>
        <v>19409638</v>
      </c>
      <c r="AB112" s="316" cm="1">
        <f t="array" ref="AB112">Z112-AA112</f>
        <v>942024</v>
      </c>
      <c r="AC112" s="316" cm="1">
        <f t="array" ref="AC112">AB112-AB111</f>
        <v>0</v>
      </c>
      <c r="AD112" s="552" cm="1">
        <f t="array" ref="AD112">AC112/(Z110+AA111-AA110)</f>
        <v>0</v>
      </c>
      <c r="AE112" s="552" cm="1">
        <f t="array" ref="AE112">SUM(AD101:AD112)</f>
        <v>0.0332503683016733</v>
      </c>
      <c r="AF112" s="316" cm="1">
        <f t="array" ref="AF112">SUM(AC$106:AC112)</f>
        <v>138656</v>
      </c>
      <c r="AG112" s="193"/>
      <c r="AH112" s="316" cm="1">
        <f t="array" ref="AH112">SUM(AI112:AJ112)</f>
        <v>93254171</v>
      </c>
      <c r="AI112" s="316" cm="1">
        <f t="array" ref="AI112">AR112+AY112+BF112</f>
        <v>91960096</v>
      </c>
      <c r="AJ112" s="316" cm="1">
        <f t="array" ref="AJ112">'net worth - retiro'!$O$118</f>
        <v>1294075</v>
      </c>
      <c r="AK112" s="316" cm="1">
        <f t="array" ref="AK112">AS112+AZ112+BG112</f>
        <v>41869346</v>
      </c>
      <c r="AL112" s="316" cm="1">
        <f t="array" ref="AL112">AK112+AJ112</f>
        <v>43163421</v>
      </c>
      <c r="AM112" s="316" cm="1">
        <f t="array" ref="AM112">AI112-AK112</f>
        <v>50090750</v>
      </c>
      <c r="AN112" s="551" cm="1">
        <f t="array" ref="AN112">AM112/AK112</f>
        <v>1.19635854832793</v>
      </c>
      <c r="AO112" s="316" cm="1">
        <f t="array" ref="AO112">AM112-AM111</f>
        <v>0</v>
      </c>
      <c r="AP112" s="552" cm="1">
        <f t="array" ref="AP112">AO112/(AI111+AK112-AK111)</f>
        <v>0</v>
      </c>
      <c r="AQ112" s="552"/>
      <c r="AR112" s="316" cm="1">
        <f t="array" ref="AR112">'net worth - retiro'!D$118</f>
        <v>28084955</v>
      </c>
      <c r="AS112" s="316" cm="1">
        <f t="array" ref="AS112">'net worth - retiro'!D$117</f>
        <v>17869666</v>
      </c>
      <c r="AT112" s="316" cm="1">
        <f t="array" ref="AT112">'net worth - retiro'!D$119</f>
        <v>10215289</v>
      </c>
      <c r="AU112" s="551" cm="1">
        <f t="array" ref="AU112">AT112/AS112</f>
        <v>0.5716552844356459</v>
      </c>
      <c r="AV112" s="316" cm="1">
        <f t="array" ref="AV112">AT112-AT111</f>
        <v>0</v>
      </c>
      <c r="AW112" s="552" cm="1">
        <f t="array" ref="AW112">AV112/(AR111+AS112-AS111)</f>
        <v>0</v>
      </c>
      <c r="AX112" s="316"/>
      <c r="AY112" s="316" cm="1">
        <f t="array" ref="AY112">'net worth - retiro'!F$118</f>
        <v>44047447</v>
      </c>
      <c r="AZ112" s="316" cm="1">
        <f t="array" ref="AZ112">'net worth - retiro'!$F$117</f>
        <v>15719680</v>
      </c>
      <c r="BA112" s="316" cm="1">
        <f t="array" ref="BA112">'net worth - retiro'!H$119</f>
        <v>25369971</v>
      </c>
      <c r="BB112" s="551" cm="1">
        <f t="array" ref="BB112">BA112/AZ112</f>
        <v>1.61389869259425</v>
      </c>
      <c r="BC112" s="316" cm="1">
        <f t="array" ref="BC112">BA112-BA111</f>
        <v>0</v>
      </c>
      <c r="BD112" s="552" cm="1">
        <f t="array" ref="BD112">BC112/(AY111+AZ112-AZ111)</f>
        <v>0</v>
      </c>
      <c r="BE112" s="552"/>
      <c r="BF112" s="316" cm="1">
        <f t="array" ref="BF112">'net worth - retiro'!K$118</f>
        <v>19827694</v>
      </c>
      <c r="BG112" s="316" cm="1">
        <f t="array" ref="BG112">'net worth - retiro'!M$117</f>
        <v>8280000</v>
      </c>
      <c r="BH112" s="316" cm="1">
        <f t="array" ref="BH112">'net worth - retiro'!M$119</f>
        <v>11547694</v>
      </c>
      <c r="BI112" s="553" cm="1">
        <f t="array" ref="BI112">'net worth - retiro'!M$120</f>
        <v>1.39464903381643</v>
      </c>
      <c r="BJ112" s="316" cm="1">
        <f t="array" ref="BJ112">BH112-BH111</f>
        <v>0</v>
      </c>
      <c r="BK112" s="552" cm="1">
        <f t="array" ref="BK112">BJ112/(BF111+BG112-BG111)</f>
        <v>0</v>
      </c>
      <c r="BL112" s="316" cm="1">
        <f t="array" ref="BL112">BC112+AV112+P112+BJ112</f>
        <v>0</v>
      </c>
      <c r="BM112" s="316" cm="1">
        <f t="array" ref="BM112">SUM(BL$106:BL112)</f>
        <v>11742699</v>
      </c>
      <c r="BN112" s="316" cm="1">
        <f t="array" ref="BN112">B112-C112</f>
        <v>70738221</v>
      </c>
      <c r="BO112" s="316" cm="1">
        <f t="array" ref="BO112">BL112+'net worth - Table 1-2'!E111</f>
        <v>0</v>
      </c>
      <c r="BP112" s="316" cm="1">
        <f t="array" ref="BP112">SUM(BO$106:BO112)</f>
        <v>11513490</v>
      </c>
      <c r="BQ112" s="316" cm="1">
        <f t="array" ref="BQ112">B112+'net worth - Table 1-2'!C111-'net worth - Table 1-2'!B111-C112</f>
        <v>81707028.2716727</v>
      </c>
      <c r="BR112" s="316" cm="1">
        <f t="array" ref="BR112">(BF112+AY112)*0.85+(Z112-'net worth - cash'!$B$11)+E112+'net worth - Table 1-2'!C111</f>
        <v>77666071.84999999</v>
      </c>
    </row>
    <row r="113" ht="20.35" customHeight="1">
      <c r="A113" s="186">
        <v>46235</v>
      </c>
      <c r="B113" s="519" cm="1">
        <f t="array" ref="B113">E113+AH113</f>
        <v>104701642</v>
      </c>
      <c r="C113" s="316" cm="1">
        <f t="array" ref="C113">F113+AL113</f>
        <v>33963421</v>
      </c>
      <c r="D113" s="550"/>
      <c r="E113" s="316" cm="1">
        <f t="array" ref="E113">'net worth - brokerage'!$B$117</f>
        <v>11447471</v>
      </c>
      <c r="F113" s="316" cm="1">
        <f t="array" ref="F113">'net worth - brokerage'!B$116</f>
        <v>-9200000</v>
      </c>
      <c r="G113" s="316" cm="1">
        <f t="array" ref="G113">'net worth - brokerage'!B$118</f>
        <v>20647471</v>
      </c>
      <c r="H113" s="551" cm="1">
        <f t="array" ref="H113">G113/F113</f>
        <v>-2.24429032608696</v>
      </c>
      <c r="I113" s="316" cm="1">
        <f t="array" ref="I113">G113-G112</f>
        <v>0</v>
      </c>
      <c r="J113" s="552" cm="1">
        <f t="array" ref="J113">I113/(E112+F113-F112)</f>
        <v>0</v>
      </c>
      <c r="K113" s="316"/>
      <c r="L113" s="316" cm="1">
        <f t="array" ref="L113">'net worth - brokerage'!D$117</f>
        <v>10361465</v>
      </c>
      <c r="M113" s="316" cm="1">
        <f t="array" ref="M113">'net worth - brokerage'!D$116</f>
        <v>-10200000</v>
      </c>
      <c r="N113" s="316" cm="1">
        <f t="array" ref="N113">L113-M113</f>
        <v>20561465</v>
      </c>
      <c r="O113" s="551" cm="1">
        <f t="array" ref="O113">N113/M113</f>
        <v>-2.01582990196078</v>
      </c>
      <c r="P113" s="316" cm="1">
        <f t="array" ref="P113">N113-N112</f>
        <v>0</v>
      </c>
      <c r="Q113" s="552" cm="1">
        <f t="array" ref="Q113">P113/(L112+M113-M112)</f>
        <v>0</v>
      </c>
      <c r="R113" s="316"/>
      <c r="S113" s="316" cm="1">
        <f t="array" ref="S113">'net worth - brokerage'!J$117</f>
        <v>1086006</v>
      </c>
      <c r="T113" s="316" cm="1">
        <f t="array" ref="T113">'net worth - brokerage'!J$116</f>
        <v>1000000</v>
      </c>
      <c r="U113" s="316" cm="1">
        <f t="array" ref="U113">'net worth - brokerage'!J$118</f>
        <v>86006</v>
      </c>
      <c r="V113" s="553" cm="1">
        <f t="array" ref="V113">'net worth - brokerage'!J$119</f>
        <v>0.086006</v>
      </c>
      <c r="W113" s="316" cm="1">
        <f t="array" ref="W113">U113-U112</f>
        <v>0</v>
      </c>
      <c r="X113" s="552" cm="1">
        <f t="array" ref="X113">W113/(S112+T113-T112)</f>
        <v>0</v>
      </c>
      <c r="Y113" s="193"/>
      <c r="Z113" s="316" cm="1">
        <f t="array" ref="Z113">Z112-3500000</f>
        <v>16851662</v>
      </c>
      <c r="AA113" s="316" cm="1">
        <f t="array" ref="AA113">AA112-3500000</f>
        <v>15909638</v>
      </c>
      <c r="AB113" s="316" cm="1">
        <f t="array" ref="AB113">Z113-AA113</f>
        <v>942024</v>
      </c>
      <c r="AC113" s="316" cm="1">
        <f t="array" ref="AC113">AB113-AB112</f>
        <v>0</v>
      </c>
      <c r="AD113" s="552" cm="1">
        <f t="array" ref="AD113">AC113/(Z111+AA112-AA111)</f>
        <v>0</v>
      </c>
      <c r="AE113" s="552" cm="1">
        <f t="array" ref="AE113">SUM(AD102:AD113)</f>
        <v>0.0314780900696468</v>
      </c>
      <c r="AF113" s="316" cm="1">
        <f t="array" ref="AF113">SUM(AC$106:AC113)</f>
        <v>138656</v>
      </c>
      <c r="AG113" s="193"/>
      <c r="AH113" s="316" cm="1">
        <f t="array" ref="AH113">SUM(AI113:AJ113)</f>
        <v>93254171</v>
      </c>
      <c r="AI113" s="316" cm="1">
        <f t="array" ref="AI113">AR113+AY113+BF113</f>
        <v>91960096</v>
      </c>
      <c r="AJ113" s="316" cm="1">
        <f t="array" ref="AJ113">'net worth - retiro'!$O$118</f>
        <v>1294075</v>
      </c>
      <c r="AK113" s="316" cm="1">
        <f t="array" ref="AK113">AS113+AZ113+BG113</f>
        <v>41869346</v>
      </c>
      <c r="AL113" s="316" cm="1">
        <f t="array" ref="AL113">AK113+AJ113</f>
        <v>43163421</v>
      </c>
      <c r="AM113" s="316" cm="1">
        <f t="array" ref="AM113">AI113-AK113</f>
        <v>50090750</v>
      </c>
      <c r="AN113" s="551" cm="1">
        <f t="array" ref="AN113">AM113/AK113</f>
        <v>1.19635854832793</v>
      </c>
      <c r="AO113" s="316" cm="1">
        <f t="array" ref="AO113">AM113-AM112</f>
        <v>0</v>
      </c>
      <c r="AP113" s="552" cm="1">
        <f t="array" ref="AP113">AO113/(AI112+AK113-AK112)</f>
        <v>0</v>
      </c>
      <c r="AQ113" s="552"/>
      <c r="AR113" s="316" cm="1">
        <f t="array" ref="AR113">'net worth - retiro'!D$118</f>
        <v>28084955</v>
      </c>
      <c r="AS113" s="316" cm="1">
        <f t="array" ref="AS113">'net worth - retiro'!D$117</f>
        <v>17869666</v>
      </c>
      <c r="AT113" s="316" cm="1">
        <f t="array" ref="AT113">'net worth - retiro'!D$119</f>
        <v>10215289</v>
      </c>
      <c r="AU113" s="551" cm="1">
        <f t="array" ref="AU113">AT113/AS113</f>
        <v>0.5716552844356459</v>
      </c>
      <c r="AV113" s="316" cm="1">
        <f t="array" ref="AV113">AT113-AT112</f>
        <v>0</v>
      </c>
      <c r="AW113" s="552" cm="1">
        <f t="array" ref="AW113">AV113/(AR112+AS113-AS112)</f>
        <v>0</v>
      </c>
      <c r="AX113" s="316"/>
      <c r="AY113" s="316" cm="1">
        <f t="array" ref="AY113">'net worth - retiro'!F$118</f>
        <v>44047447</v>
      </c>
      <c r="AZ113" s="316" cm="1">
        <f t="array" ref="AZ113">'net worth - retiro'!$F$117</f>
        <v>15719680</v>
      </c>
      <c r="BA113" s="316" cm="1">
        <f t="array" ref="BA113">'net worth - retiro'!H$119</f>
        <v>25369971</v>
      </c>
      <c r="BB113" s="551" cm="1">
        <f t="array" ref="BB113">BA113/AZ113</f>
        <v>1.61389869259425</v>
      </c>
      <c r="BC113" s="316" cm="1">
        <f t="array" ref="BC113">BA113-BA112</f>
        <v>0</v>
      </c>
      <c r="BD113" s="552" cm="1">
        <f t="array" ref="BD113">BC113/(AY112+AZ113-AZ112)</f>
        <v>0</v>
      </c>
      <c r="BE113" s="552"/>
      <c r="BF113" s="316" cm="1">
        <f t="array" ref="BF113">'net worth - retiro'!K$118</f>
        <v>19827694</v>
      </c>
      <c r="BG113" s="316" cm="1">
        <f t="array" ref="BG113">'net worth - retiro'!M$117</f>
        <v>8280000</v>
      </c>
      <c r="BH113" s="316" cm="1">
        <f t="array" ref="BH113">'net worth - retiro'!M$119</f>
        <v>11547694</v>
      </c>
      <c r="BI113" s="553" cm="1">
        <f t="array" ref="BI113">'net worth - retiro'!M$120</f>
        <v>1.39464903381643</v>
      </c>
      <c r="BJ113" s="316" cm="1">
        <f t="array" ref="BJ113">BH113-BH112</f>
        <v>0</v>
      </c>
      <c r="BK113" s="552" cm="1">
        <f t="array" ref="BK113">BJ113/(BF112+BG113-BG112)</f>
        <v>0</v>
      </c>
      <c r="BL113" s="316" cm="1">
        <f t="array" ref="BL113">BC113+AV113+P113+BJ113</f>
        <v>0</v>
      </c>
      <c r="BM113" s="316" cm="1">
        <f t="array" ref="BM113">SUM(BL$106:BL113)</f>
        <v>11742699</v>
      </c>
      <c r="BN113" s="316" cm="1">
        <f t="array" ref="BN113">B113-C113</f>
        <v>70738221</v>
      </c>
      <c r="BO113" s="316" cm="1">
        <f t="array" ref="BO113">BL113+'net worth - Table 1-2'!E112</f>
        <v>0</v>
      </c>
      <c r="BP113" s="316" cm="1">
        <f t="array" ref="BP113">SUM(BO$106:BO113)</f>
        <v>11513490</v>
      </c>
      <c r="BQ113" s="316" cm="1">
        <f t="array" ref="BQ113">B113+'net worth - Table 1-2'!C112-'net worth - Table 1-2'!B112-C113</f>
        <v>81707028.2716727</v>
      </c>
      <c r="BR113" s="316" cm="1">
        <f t="array" ref="BR113">(BF113+AY113)*0.85+(Z113-'net worth - cash'!$B$11)+E113+'net worth - Table 1-2'!C112</f>
        <v>74166071.84999999</v>
      </c>
    </row>
    <row r="114" ht="20.35" customHeight="1">
      <c r="A114" s="186">
        <v>46266</v>
      </c>
      <c r="B114" s="519" cm="1">
        <f t="array" ref="B114">E114+AH114</f>
        <v>104701642</v>
      </c>
      <c r="C114" s="316" cm="1">
        <f t="array" ref="C114">F114+AL114</f>
        <v>33963421</v>
      </c>
      <c r="D114" s="550"/>
      <c r="E114" s="316" cm="1">
        <f t="array" ref="E114">'net worth - brokerage'!$B$117</f>
        <v>11447471</v>
      </c>
      <c r="F114" s="316" cm="1">
        <f t="array" ref="F114">'net worth - brokerage'!B$116</f>
        <v>-9200000</v>
      </c>
      <c r="G114" s="316" cm="1">
        <f t="array" ref="G114">'net worth - brokerage'!B$118</f>
        <v>20647471</v>
      </c>
      <c r="H114" s="551" cm="1">
        <f t="array" ref="H114">G114/F114</f>
        <v>-2.24429032608696</v>
      </c>
      <c r="I114" s="316" cm="1">
        <f t="array" ref="I114">G114-G113</f>
        <v>0</v>
      </c>
      <c r="J114" s="552" cm="1">
        <f t="array" ref="J114">I114/(E113+F114-F113)</f>
        <v>0</v>
      </c>
      <c r="K114" s="316"/>
      <c r="L114" s="316" cm="1">
        <f t="array" ref="L114">'net worth - brokerage'!D$117</f>
        <v>10361465</v>
      </c>
      <c r="M114" s="316" cm="1">
        <f t="array" ref="M114">'net worth - brokerage'!D$116</f>
        <v>-10200000</v>
      </c>
      <c r="N114" s="316" cm="1">
        <f t="array" ref="N114">L114-M114</f>
        <v>20561465</v>
      </c>
      <c r="O114" s="551" cm="1">
        <f t="array" ref="O114">N114/M114</f>
        <v>-2.01582990196078</v>
      </c>
      <c r="P114" s="316" cm="1">
        <f t="array" ref="P114">N114-N113</f>
        <v>0</v>
      </c>
      <c r="Q114" s="552" cm="1">
        <f t="array" ref="Q114">P114/(L113+M114-M113)</f>
        <v>0</v>
      </c>
      <c r="R114" s="316"/>
      <c r="S114" s="316" cm="1">
        <f t="array" ref="S114">'net worth - brokerage'!J$117</f>
        <v>1086006</v>
      </c>
      <c r="T114" s="316" cm="1">
        <f t="array" ref="T114">'net worth - brokerage'!J$116</f>
        <v>1000000</v>
      </c>
      <c r="U114" s="316" cm="1">
        <f t="array" ref="U114">'net worth - brokerage'!J$118</f>
        <v>86006</v>
      </c>
      <c r="V114" s="553" cm="1">
        <f t="array" ref="V114">'net worth - brokerage'!J$119</f>
        <v>0.086006</v>
      </c>
      <c r="W114" s="316" cm="1">
        <f t="array" ref="W114">U114-U113</f>
        <v>0</v>
      </c>
      <c r="X114" s="552" cm="1">
        <f t="array" ref="X114">W114/(S113+T114-T113)</f>
        <v>0</v>
      </c>
      <c r="Y114" s="193"/>
      <c r="Z114" s="316" cm="1">
        <f t="array" ref="Z114">Z113-3500000</f>
        <v>13351662</v>
      </c>
      <c r="AA114" s="316" cm="1">
        <f t="array" ref="AA114">AA113-3500000</f>
        <v>12409638</v>
      </c>
      <c r="AB114" s="316" cm="1">
        <f t="array" ref="AB114">Z114-AA114</f>
        <v>942024</v>
      </c>
      <c r="AC114" s="316" cm="1">
        <f t="array" ref="AC114">AB114-AB113</f>
        <v>0</v>
      </c>
      <c r="AD114" s="552" cm="1">
        <f t="array" ref="AD114">AC114/(Z112+AA113-AA112)</f>
        <v>0</v>
      </c>
      <c r="AE114" s="552" cm="1">
        <f t="array" ref="AE114">SUM(AD103:AD114)</f>
        <v>0.0273087177727682</v>
      </c>
      <c r="AF114" s="316" cm="1">
        <f t="array" ref="AF114">SUM(AC$106:AC114)</f>
        <v>138656</v>
      </c>
      <c r="AG114" s="193"/>
      <c r="AH114" s="316" cm="1">
        <f t="array" ref="AH114">SUM(AI114:AJ114)</f>
        <v>93254171</v>
      </c>
      <c r="AI114" s="316" cm="1">
        <f t="array" ref="AI114">AR114+AY114+BF114</f>
        <v>91960096</v>
      </c>
      <c r="AJ114" s="316" cm="1">
        <f t="array" ref="AJ114">'net worth - retiro'!$O$118</f>
        <v>1294075</v>
      </c>
      <c r="AK114" s="316" cm="1">
        <f t="array" ref="AK114">AS114+AZ114+BG114</f>
        <v>41869346</v>
      </c>
      <c r="AL114" s="316" cm="1">
        <f t="array" ref="AL114">AK114+AJ114</f>
        <v>43163421</v>
      </c>
      <c r="AM114" s="316" cm="1">
        <f t="array" ref="AM114">AI114-AK114</f>
        <v>50090750</v>
      </c>
      <c r="AN114" s="551" cm="1">
        <f t="array" ref="AN114">AM114/AK114</f>
        <v>1.19635854832793</v>
      </c>
      <c r="AO114" s="316" cm="1">
        <f t="array" ref="AO114">AM114-AM113</f>
        <v>0</v>
      </c>
      <c r="AP114" s="552" cm="1">
        <f t="array" ref="AP114">AO114/(AI113+AK114-AK113)</f>
        <v>0</v>
      </c>
      <c r="AQ114" s="552"/>
      <c r="AR114" s="316" cm="1">
        <f t="array" ref="AR114">'net worth - retiro'!D$118</f>
        <v>28084955</v>
      </c>
      <c r="AS114" s="316" cm="1">
        <f t="array" ref="AS114">'net worth - retiro'!D$117</f>
        <v>17869666</v>
      </c>
      <c r="AT114" s="316" cm="1">
        <f t="array" ref="AT114">'net worth - retiro'!D$119</f>
        <v>10215289</v>
      </c>
      <c r="AU114" s="551" cm="1">
        <f t="array" ref="AU114">AT114/AS114</f>
        <v>0.5716552844356459</v>
      </c>
      <c r="AV114" s="316" cm="1">
        <f t="array" ref="AV114">AT114-AT113</f>
        <v>0</v>
      </c>
      <c r="AW114" s="552" cm="1">
        <f t="array" ref="AW114">AV114/(AR113+AS114-AS113)</f>
        <v>0</v>
      </c>
      <c r="AX114" s="316"/>
      <c r="AY114" s="316" cm="1">
        <f t="array" ref="AY114">'net worth - retiro'!F$118</f>
        <v>44047447</v>
      </c>
      <c r="AZ114" s="316" cm="1">
        <f t="array" ref="AZ114">'net worth - retiro'!$F$117</f>
        <v>15719680</v>
      </c>
      <c r="BA114" s="316" cm="1">
        <f t="array" ref="BA114">'net worth - retiro'!H$119</f>
        <v>25369971</v>
      </c>
      <c r="BB114" s="551" cm="1">
        <f t="array" ref="BB114">BA114/AZ114</f>
        <v>1.61389869259425</v>
      </c>
      <c r="BC114" s="316" cm="1">
        <f t="array" ref="BC114">BA114-BA113</f>
        <v>0</v>
      </c>
      <c r="BD114" s="552" cm="1">
        <f t="array" ref="BD114">BC114/(AY113+AZ114-AZ113)</f>
        <v>0</v>
      </c>
      <c r="BE114" s="552"/>
      <c r="BF114" s="316" cm="1">
        <f t="array" ref="BF114">'net worth - retiro'!K$118</f>
        <v>19827694</v>
      </c>
      <c r="BG114" s="316" cm="1">
        <f t="array" ref="BG114">'net worth - retiro'!M$117</f>
        <v>8280000</v>
      </c>
      <c r="BH114" s="316" cm="1">
        <f t="array" ref="BH114">'net worth - retiro'!M$119</f>
        <v>11547694</v>
      </c>
      <c r="BI114" s="553" cm="1">
        <f t="array" ref="BI114">'net worth - retiro'!M$120</f>
        <v>1.39464903381643</v>
      </c>
      <c r="BJ114" s="316" cm="1">
        <f t="array" ref="BJ114">BH114-BH113</f>
        <v>0</v>
      </c>
      <c r="BK114" s="552" cm="1">
        <f t="array" ref="BK114">BJ114/(BF113+BG114-BG113)</f>
        <v>0</v>
      </c>
      <c r="BL114" s="316" cm="1">
        <f t="array" ref="BL114">BC114+AV114+P114+BJ114</f>
        <v>0</v>
      </c>
      <c r="BM114" s="316" cm="1">
        <f t="array" ref="BM114">SUM(BL$106:BL114)</f>
        <v>11742699</v>
      </c>
      <c r="BN114" s="316" cm="1">
        <f t="array" ref="BN114">B114-C114</f>
        <v>70738221</v>
      </c>
      <c r="BO114" s="316" cm="1">
        <f t="array" ref="BO114">BL114+'net worth - Table 1-2'!E113</f>
        <v>0</v>
      </c>
      <c r="BP114" s="316" cm="1">
        <f t="array" ref="BP114">SUM(BO$106:BO114)</f>
        <v>11513490</v>
      </c>
      <c r="BQ114" s="316" cm="1">
        <f t="array" ref="BQ114">B114+'net worth - Table 1-2'!C113-'net worth - Table 1-2'!B113-C114</f>
        <v>81707028.2716727</v>
      </c>
      <c r="BR114" s="316" cm="1">
        <f t="array" ref="BR114">(BF114+AY114)*0.85+(Z114-'net worth - cash'!$B$11)+E114+'net worth - Table 1-2'!C113</f>
        <v>70666071.84999999</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8.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49.xml><?xml version="1.0" encoding="utf-8"?>
<worksheet xmlns:r="http://schemas.openxmlformats.org/officeDocument/2006/relationships" xmlns="http://schemas.openxmlformats.org/spreadsheetml/2006/main">
  <sheetPr>
    <pageSetUpPr fitToPage="1"/>
  </sheetPr>
  <dimension ref="A1:J23"/>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3516" style="554" customWidth="1"/>
    <col min="2" max="2" width="3.42969" style="554" customWidth="1"/>
    <col min="3" max="3" width="6.17188" style="554" customWidth="1"/>
    <col min="4" max="10" width="16.3516" style="554" customWidth="1"/>
    <col min="11" max="16384" width="16.3516" style="554" customWidth="1"/>
  </cols>
  <sheetData>
    <row r="1" ht="20.55" customHeight="1">
      <c r="A1" s="7"/>
      <c r="B1" s="7"/>
      <c r="C1" s="7"/>
      <c r="D1" s="7"/>
      <c r="E1" s="7"/>
      <c r="F1" s="7"/>
      <c r="G1" s="7"/>
      <c r="H1" s="7"/>
      <c r="I1" s="7"/>
      <c r="J1" s="7"/>
    </row>
    <row r="2" ht="20.55" customHeight="1">
      <c r="A2" t="s" s="10">
        <v>891</v>
      </c>
      <c r="B2" s="524"/>
      <c r="C2" s="555">
        <v>45323</v>
      </c>
      <c r="D2" s="556">
        <v>5400</v>
      </c>
      <c r="E2" s="48" cm="1">
        <f t="array" ref="E2">'depto - dividendos'!F5*D2</f>
        <v>200459664</v>
      </c>
      <c r="F2" s="49" cm="1">
        <f t="array" ref="F2">E2/'variables - Table 1-1'!B84</f>
        <v>212906.157996474</v>
      </c>
      <c r="G2" s="49"/>
      <c r="H2" s="82"/>
      <c r="I2" s="82"/>
      <c r="J2" s="82"/>
    </row>
    <row r="3" ht="20.35" customHeight="1">
      <c r="A3" t="s" s="17">
        <v>892</v>
      </c>
      <c r="B3" s="29"/>
      <c r="C3" s="32"/>
      <c r="D3" s="557">
        <v>5400</v>
      </c>
      <c r="E3" s="26" cm="1">
        <f t="array" ref="E3">'depto - Table 2'!$B$1*D3</f>
        <v>219297726</v>
      </c>
      <c r="F3" s="54" cm="1">
        <f t="array" ref="F3">E3/'variables - Table 1'!$B$13</f>
        <v>247252.04185176</v>
      </c>
      <c r="G3" s="54"/>
      <c r="H3" s="32"/>
      <c r="I3" s="32"/>
      <c r="J3" s="32"/>
    </row>
    <row r="4" ht="20.35" customHeight="1">
      <c r="A4" t="s" s="17">
        <v>893</v>
      </c>
      <c r="B4" s="29"/>
      <c r="C4" s="558">
        <v>45323</v>
      </c>
      <c r="D4" s="557" cm="1">
        <f t="array" ref="D4">D2-D7</f>
        <v>3564.5265</v>
      </c>
      <c r="E4" s="26" cm="1">
        <f t="array" ref="E4">'depto - Table 2'!$B$1*D4</f>
        <v>144757880.688285</v>
      </c>
      <c r="F4" s="54" cm="1">
        <f t="array" ref="F4">E4/'variables - Table 1-1'!B84</f>
        <v>153745.863891375</v>
      </c>
      <c r="G4" s="125" cm="1">
        <f t="array" ref="G4">D4/D2</f>
        <v>0.6600975</v>
      </c>
      <c r="H4" s="32"/>
      <c r="I4" s="557"/>
      <c r="J4" s="26"/>
    </row>
    <row r="5" ht="20.35" customHeight="1">
      <c r="A5" t="s" s="17">
        <v>894</v>
      </c>
      <c r="B5" s="29"/>
      <c r="C5" s="32"/>
      <c r="D5" s="557" cm="1">
        <f t="array" ref="D5">D3-D7</f>
        <v>3564.5265</v>
      </c>
      <c r="E5" s="26" cm="1">
        <f t="array" ref="E5">E3-E7</f>
        <v>144757880.688285</v>
      </c>
      <c r="F5" s="54" cm="1">
        <f t="array" ref="F5">E5/'variables - Table 1'!$B$13</f>
        <v>163210.454696242</v>
      </c>
      <c r="G5" s="125" cm="1">
        <f t="array" ref="G5">D5/D3</f>
        <v>0.6600975</v>
      </c>
      <c r="H5" s="32"/>
      <c r="I5" s="557"/>
      <c r="J5" s="26"/>
    </row>
    <row r="6" ht="20.35" customHeight="1">
      <c r="A6" s="28"/>
      <c r="B6" s="29"/>
      <c r="C6" s="32"/>
      <c r="D6" s="32"/>
      <c r="E6" s="32"/>
      <c r="F6" s="32"/>
      <c r="G6" s="32"/>
      <c r="H6" s="26"/>
      <c r="I6" s="32"/>
      <c r="J6" s="32"/>
    </row>
    <row r="7" ht="20.35" customHeight="1">
      <c r="A7" t="s" s="17">
        <v>895</v>
      </c>
      <c r="B7" s="29"/>
      <c r="C7" s="32"/>
      <c r="D7" s="557" cm="1">
        <f t="array" ref="D7">'depto - dividendos'!A$163</f>
        <v>1835.4735</v>
      </c>
      <c r="E7" s="26" cm="1">
        <f t="array" ref="E7">'depto - Table 2'!$B$1*D7</f>
        <v>74539845.31171501</v>
      </c>
      <c r="F7" s="125"/>
      <c r="G7" t="s" s="50">
        <v>896</v>
      </c>
      <c r="H7" s="125" cm="1">
        <f t="array" ref="H7">D7/D3</f>
        <v>0.3399025</v>
      </c>
      <c r="I7" s="32"/>
      <c r="J7" s="32"/>
    </row>
    <row r="8" ht="20.35" customHeight="1">
      <c r="A8" t="s" s="17">
        <v>141</v>
      </c>
      <c r="B8" s="29"/>
      <c r="C8" s="32"/>
      <c r="D8" s="559">
        <v>0.0495</v>
      </c>
      <c r="E8" s="26" cm="1">
        <f t="array" ref="E8">ROUND(E7/'variables - Table 1'!B13,0)</f>
        <v>84042</v>
      </c>
      <c r="F8" s="125"/>
      <c r="G8" t="s" s="50">
        <v>897</v>
      </c>
      <c r="H8" s="125" cm="1">
        <f t="array" ref="H8">D7/'depto - dividendos'!K5</f>
        <v>0.464676835443038</v>
      </c>
      <c r="I8" s="557"/>
      <c r="J8" s="26"/>
    </row>
    <row r="9" ht="20.35" customHeight="1">
      <c r="A9" s="28"/>
      <c r="B9" s="29"/>
      <c r="C9" s="32"/>
      <c r="D9" s="557"/>
      <c r="E9" s="26"/>
      <c r="F9" s="26"/>
      <c r="G9" t="s" s="50">
        <v>898</v>
      </c>
      <c r="H9" s="125" cm="1">
        <f t="array" ref="H9">E7/'depto - dividendos'!M5</f>
        <v>0.508344528291409</v>
      </c>
      <c r="I9" s="557"/>
      <c r="J9" s="26"/>
    </row>
    <row r="10" ht="20.35" customHeight="1">
      <c r="A10" t="s" s="17">
        <v>899</v>
      </c>
      <c r="B10" s="29"/>
      <c r="C10" s="32"/>
      <c r="D10" s="32"/>
      <c r="E10" s="32"/>
      <c r="F10" s="26"/>
      <c r="G10" s="26"/>
      <c r="H10" s="32"/>
      <c r="I10" s="557"/>
      <c r="J10" s="26"/>
    </row>
    <row r="11" ht="20.35" customHeight="1">
      <c r="A11" t="s" s="17">
        <v>900</v>
      </c>
      <c r="B11" s="29"/>
      <c r="C11" s="32"/>
      <c r="D11" s="557"/>
      <c r="E11" s="26">
        <v>88465217</v>
      </c>
      <c r="F11" s="26"/>
      <c r="G11" s="26"/>
      <c r="H11" s="26"/>
      <c r="I11" s="557"/>
      <c r="J11" s="26"/>
    </row>
    <row r="12" ht="20.35" customHeight="1">
      <c r="A12" t="s" s="17">
        <v>901</v>
      </c>
      <c r="B12" s="29"/>
      <c r="C12" s="32"/>
      <c r="D12" s="557" cm="1">
        <f t="array" ref="D12">ROUND(E12/'depto - dividendos'!F27,0)</f>
        <v>2198</v>
      </c>
      <c r="E12" s="26">
        <v>87157844</v>
      </c>
      <c r="F12" s="26"/>
      <c r="G12" s="26"/>
      <c r="H12" s="26"/>
      <c r="I12" s="557"/>
      <c r="J12" s="26"/>
    </row>
    <row r="13" ht="20.35" customHeight="1">
      <c r="A13" t="s" s="17">
        <v>902</v>
      </c>
      <c r="B13" s="29"/>
      <c r="C13" s="32"/>
      <c r="D13" s="557" cm="1">
        <f t="array" ref="D13">ROUND(E13/'depto - dividendos'!F7,0)</f>
        <v>2233</v>
      </c>
      <c r="E13" s="26">
        <v>83773484</v>
      </c>
      <c r="F13" s="26"/>
      <c r="G13" s="26"/>
      <c r="H13" s="26"/>
      <c r="I13" s="557"/>
      <c r="J13" s="26"/>
    </row>
    <row r="14" ht="20.35" customHeight="1">
      <c r="A14" t="s" s="17">
        <v>903</v>
      </c>
      <c r="B14" s="29"/>
      <c r="C14" s="32"/>
      <c r="D14" s="557" cm="1">
        <f t="array" ref="D14">ROUND(E14/27792.24,0)</f>
        <v>2042</v>
      </c>
      <c r="E14" s="26">
        <v>56758554</v>
      </c>
      <c r="F14" s="26"/>
      <c r="G14" s="26"/>
      <c r="H14" s="26"/>
      <c r="I14" s="557"/>
      <c r="J14" s="26"/>
    </row>
    <row r="15" ht="20.35" customHeight="1">
      <c r="A15" s="28"/>
      <c r="B15" s="29"/>
      <c r="C15" s="32"/>
      <c r="D15" s="32"/>
      <c r="E15" s="26"/>
      <c r="F15" s="32"/>
      <c r="G15" s="32"/>
      <c r="H15" s="32"/>
      <c r="I15" s="32"/>
      <c r="J15" s="32"/>
    </row>
    <row r="16" ht="20.35" customHeight="1">
      <c r="A16" t="s" s="17">
        <v>904</v>
      </c>
      <c r="B16" t="b" s="18">
        <v>0</v>
      </c>
      <c r="C16" s="560">
        <v>1</v>
      </c>
      <c r="D16" s="26" cm="1">
        <f t="array" ref="D16">E7*0.01</f>
        <v>745398.45311715</v>
      </c>
      <c r="E16" s="557" cm="1">
        <f t="array" ref="E16">ROUND(D16*C16/'depto - Table 2'!$B$1,4)</f>
        <v>18.3547</v>
      </c>
      <c r="F16" s="561" cm="1">
        <f t="array" ref="F16">E16/D$7</f>
        <v>0.00999998093135096</v>
      </c>
      <c r="G16" s="557"/>
      <c r="H16" s="26"/>
      <c r="I16" s="32"/>
      <c r="J16" s="32"/>
    </row>
    <row r="17" ht="20.35" customHeight="1">
      <c r="A17" t="s" s="17">
        <v>905</v>
      </c>
      <c r="B17" t="b" s="18">
        <v>0</v>
      </c>
      <c r="C17" s="560">
        <v>0.85</v>
      </c>
      <c r="D17" s="26" cm="1">
        <f t="array" ref="D17">SUM('net worth - balances'!B9:B10)</f>
        <v>63875141</v>
      </c>
      <c r="E17" s="557" cm="1">
        <f t="array" ref="E17">ROUND(D17*C17/'depto - Table 2'!$B$1,4)</f>
        <v>1336.9354</v>
      </c>
      <c r="F17" s="561" cm="1">
        <f t="array" ref="F17">E17/D$7</f>
        <v>0.728387198180742</v>
      </c>
      <c r="G17" s="32"/>
      <c r="H17" t="s" s="56">
        <v>906</v>
      </c>
      <c r="I17" s="562" cm="1">
        <f t="array" ref="I17">E21</f>
        <v>431.217</v>
      </c>
      <c r="J17" s="563" cm="1">
        <f t="array" ref="J17">(E$21)/D7</f>
        <v>0.234935018130199</v>
      </c>
    </row>
    <row r="18" ht="20.35" customHeight="1">
      <c r="A18" t="s" s="17">
        <v>715</v>
      </c>
      <c r="B18" t="b" s="18">
        <v>1</v>
      </c>
      <c r="C18" s="564">
        <v>0.9</v>
      </c>
      <c r="D18" s="26" cm="1">
        <f t="array" ref="D18">SUM('net worth - retiro'!O$118)</f>
        <v>1294075</v>
      </c>
      <c r="E18" s="557" cm="1">
        <f t="array" ref="E18">ROUND(D18*C18/'depto - Table 2'!$B$1,4)</f>
        <v>28.6788</v>
      </c>
      <c r="F18" s="561" cm="1">
        <f t="array" ref="F18">E18/D$7</f>
        <v>0.0156247420624705</v>
      </c>
      <c r="G18" s="32"/>
      <c r="H18" t="s" s="565">
        <v>907</v>
      </c>
      <c r="I18" s="557" cm="1">
        <f t="array" ref="I18">'depto - Table 5'!$A20</f>
        <v>183.54735</v>
      </c>
      <c r="J18" s="26" cm="1">
        <f t="array" ref="J18">'depto - Table 2'!$B$1*I18</f>
        <v>7453984.5311715</v>
      </c>
    </row>
    <row r="19" ht="20.35" customHeight="1">
      <c r="A19" t="s" s="17">
        <v>908</v>
      </c>
      <c r="B19" t="b" s="18">
        <v>1</v>
      </c>
      <c r="C19" s="560">
        <v>1</v>
      </c>
      <c r="D19" s="26" cm="1">
        <f t="array" ref="D19">'net worth - brokerage'!B$117*C19</f>
        <v>11447471</v>
      </c>
      <c r="E19" s="557" cm="1">
        <f t="array" ref="E19">ROUND(D19*C19/'depto - Table 2'!$B$1,4)</f>
        <v>281.8832</v>
      </c>
      <c r="F19" s="561" cm="1">
        <f t="array" ref="F19">E19/D$7</f>
        <v>0.153575194629615</v>
      </c>
      <c r="G19" s="32"/>
      <c r="H19" t="s" s="565">
        <v>598</v>
      </c>
      <c r="I19" s="557" cm="1">
        <f t="array" ref="I19">I18-I17</f>
        <v>-247.66965</v>
      </c>
      <c r="J19" s="26" cm="1">
        <f t="array" ref="J19">'depto - Table 2'!$B$1*I19</f>
        <v>-10058035.3785585</v>
      </c>
    </row>
    <row r="20" ht="20.35" customHeight="1">
      <c r="A20" t="s" s="17">
        <v>690</v>
      </c>
      <c r="B20" t="b" s="18">
        <v>1</v>
      </c>
      <c r="C20" s="560">
        <v>1</v>
      </c>
      <c r="D20" s="26" cm="1">
        <f t="array" ref="D20">'net worth - resumen | depósitos'!N$116*C20</f>
        <v>1693457</v>
      </c>
      <c r="E20" s="557" cm="1">
        <f t="array" ref="E20">ROUND(D20*C20/'depto - Table 2'!$B$1,4)</f>
        <v>41.6998</v>
      </c>
      <c r="F20" s="561" cm="1">
        <f t="array" ref="F20">E20/D$7</f>
        <v>0.0227188243251673</v>
      </c>
      <c r="G20" s="32"/>
      <c r="H20" s="32"/>
      <c r="I20" s="32"/>
      <c r="J20" s="32"/>
    </row>
    <row r="21" ht="20.55" customHeight="1">
      <c r="A21" t="s" s="41">
        <v>705</v>
      </c>
      <c r="B21" t="b" s="42">
        <v>1</v>
      </c>
      <c r="C21" s="566">
        <v>1</v>
      </c>
      <c r="D21" s="44" cm="1">
        <f t="array" ref="D21">'net worth - net worth'!B12</f>
        <v>17512018</v>
      </c>
      <c r="E21" s="567" cm="1">
        <f t="array" ref="E21">ROUND(D21*C21/'depto - Table 2'!$B$1,4)</f>
        <v>431.217</v>
      </c>
      <c r="F21" s="568" cm="1">
        <f t="array" ref="F21">E21/D$7</f>
        <v>0.234935018130199</v>
      </c>
      <c r="G21" s="73"/>
      <c r="H21" t="s" s="569">
        <v>909</v>
      </c>
      <c r="I21" s="567" cm="1">
        <f t="array" ref="I21">D7-I17</f>
        <v>1404.2565</v>
      </c>
      <c r="J21" s="44" cm="1">
        <f t="array" ref="J21">I21*'depto - Table 2'!B1</f>
        <v>57027825.401985</v>
      </c>
    </row>
    <row r="22" ht="20.55" customHeight="1">
      <c r="A22" t="s" s="45">
        <v>599</v>
      </c>
      <c r="B22" s="46"/>
      <c r="C22" s="46"/>
      <c r="D22" s="79">
        <v>31817613.5</v>
      </c>
      <c r="E22" s="570" cm="1">
        <f t="array" ref="E22">SUMIF(B16:B21,"=TRUE",E16:E21)</f>
        <v>783.4788</v>
      </c>
      <c r="F22" s="571" cm="1">
        <f t="array" ref="F22">E$22/D7</f>
        <v>0.426853779147452</v>
      </c>
      <c r="G22" s="46"/>
      <c r="H22" s="46"/>
      <c r="I22" s="46"/>
      <c r="J22" s="46"/>
    </row>
    <row r="23" ht="20.35" customHeight="1">
      <c r="A23" s="293"/>
      <c r="B23" s="51"/>
      <c r="C23" s="51"/>
      <c r="D23" t="s" s="56">
        <v>910</v>
      </c>
      <c r="E23" s="572" cm="1">
        <f t="array" ref="E23">D7-E$22</f>
        <v>1051.9947</v>
      </c>
      <c r="F23" s="88" cm="1">
        <f t="array" ref="F23">E$23*'depto - Table 2'!B1</f>
        <v>42722230.643343</v>
      </c>
      <c r="G23" s="573" cm="1">
        <f t="array" ref="G23">E$23/'depto - dividendos'!K5</f>
        <v>0.266327772151899</v>
      </c>
      <c r="H23" s="574" cm="1">
        <f t="array" ref="H23">F$23/'depto - dividendos'!M5</f>
        <v>0.291355745281293</v>
      </c>
      <c r="I23" s="51"/>
      <c r="J23" s="51"/>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5" width="16.3516" style="575" customWidth="1"/>
    <col min="6" max="16384" width="16.3516" style="575" customWidth="1"/>
  </cols>
  <sheetData>
    <row r="1" ht="20.55" customHeight="1">
      <c r="A1" s="7"/>
      <c r="B1" t="s" s="111">
        <v>912</v>
      </c>
      <c r="C1" s="576"/>
      <c r="D1" s="576"/>
      <c r="E1" s="576"/>
    </row>
    <row r="2" ht="20.55" customHeight="1">
      <c r="A2" t="s" s="10">
        <v>130</v>
      </c>
      <c r="B2" s="577">
        <v>0.0495</v>
      </c>
      <c r="C2" s="47"/>
      <c r="D2" s="484">
        <v>0.045</v>
      </c>
      <c r="E2" s="47"/>
    </row>
    <row r="3" ht="20.35" customHeight="1">
      <c r="A3" t="s" s="17">
        <v>913</v>
      </c>
      <c r="B3" s="18">
        <v>360</v>
      </c>
      <c r="C3" s="32"/>
      <c r="D3" s="68" cm="1">
        <f t="array" ref="D3">360-'depto - dividendos'!D$165-3</f>
        <v>333</v>
      </c>
      <c r="E3" s="32"/>
    </row>
    <row r="4" ht="20.35" customHeight="1">
      <c r="A4" s="28"/>
      <c r="B4" s="29"/>
      <c r="C4" s="32"/>
      <c r="D4" s="32"/>
      <c r="E4" s="32"/>
    </row>
    <row r="5" ht="20.35" customHeight="1">
      <c r="A5" t="s" s="17">
        <v>914</v>
      </c>
      <c r="B5" s="578" cm="1">
        <f t="array" ref="B5">'depto - Departamento'!$D$3</f>
        <v>5400</v>
      </c>
      <c r="C5" s="164"/>
      <c r="D5" s="164" cm="1">
        <f t="array" ref="D5">'depto - Departamento'!$D$3</f>
        <v>5400</v>
      </c>
      <c r="E5" s="164"/>
    </row>
    <row r="6" ht="20.35" customHeight="1">
      <c r="A6" t="s" s="17">
        <v>915</v>
      </c>
      <c r="B6" s="579" cm="1">
        <f t="array" ref="B6">'depto - Departamento'!D7</f>
        <v>1835.4735</v>
      </c>
      <c r="C6" s="32"/>
      <c r="D6" s="557" cm="1">
        <f t="array" ref="D6">'depto - Departamento'!D7</f>
        <v>1835.4735</v>
      </c>
      <c r="E6" s="32"/>
    </row>
    <row r="7" ht="20.35" customHeight="1">
      <c r="A7" t="s" s="17">
        <v>916</v>
      </c>
      <c r="B7" s="580" cm="1">
        <f t="array" ref="B7">(B6)*(B$2/12*(1+B$2/12)^(B$3))/((1+B$2/12)^(B$3)-1)</f>
        <v>9.79720685957767</v>
      </c>
      <c r="C7" s="123"/>
      <c r="D7" s="123" cm="1">
        <f t="array" ref="D7">(D6)*(D$2/12*(1+D$2/12)^(D$3))/((1+D$2/12)^(D$3)-1)</f>
        <v>9.660846813943159</v>
      </c>
      <c r="E7" s="123"/>
    </row>
    <row r="8" ht="20.35" customHeight="1">
      <c r="A8" t="s" s="17">
        <v>917</v>
      </c>
      <c r="B8" s="581">
        <v>0.1605</v>
      </c>
      <c r="C8" s="32"/>
      <c r="D8" s="582">
        <v>0.1605</v>
      </c>
      <c r="E8" s="32"/>
    </row>
    <row r="9" ht="20.35" customHeight="1">
      <c r="A9" t="s" s="17">
        <v>918</v>
      </c>
      <c r="B9" s="18">
        <v>1.2474</v>
      </c>
      <c r="C9" s="32"/>
      <c r="D9" s="68">
        <v>1.2474</v>
      </c>
      <c r="E9" s="32"/>
    </row>
    <row r="10" ht="20.55" customHeight="1">
      <c r="A10" s="84"/>
      <c r="B10" s="85"/>
      <c r="C10" s="73"/>
      <c r="D10" s="73"/>
      <c r="E10" s="73"/>
    </row>
    <row r="11" ht="20.55" customHeight="1">
      <c r="A11" t="s" s="45">
        <v>916</v>
      </c>
      <c r="B11" s="583" cm="1">
        <f t="array" ref="B11">SUM(B7:B9)</f>
        <v>11.2051068595777</v>
      </c>
      <c r="C11" s="583"/>
      <c r="D11" s="583" cm="1">
        <f t="array" ref="D11">SUM(D7:D9)</f>
        <v>11.0687468139432</v>
      </c>
      <c r="E11" s="583"/>
    </row>
    <row r="12" ht="20.35" customHeight="1">
      <c r="A12" t="s" s="50">
        <v>919</v>
      </c>
      <c r="B12" s="88" cm="1">
        <f t="array" ref="B12">'depto - Table 2'!$B$1*B$11</f>
        <v>455047.121091184</v>
      </c>
      <c r="C12" s="88"/>
      <c r="D12" s="88" cm="1">
        <f t="array" ref="D12">'depto - Table 2'!$B$1*D$11</f>
        <v>449509.445549535</v>
      </c>
      <c r="E12" s="88"/>
    </row>
    <row r="13" ht="20.35" customHeight="1">
      <c r="A13" t="s" s="50">
        <v>920</v>
      </c>
      <c r="B13" s="584" cm="1">
        <f t="array" ref="B13">B$12/'presupuesto - Ingreso líquido'!$B$35</f>
        <v>0.143972456678644</v>
      </c>
      <c r="C13" s="584"/>
      <c r="D13" s="584" cm="1">
        <f t="array" ref="D13">D$12/'presupuesto - Ingreso líquido'!$B$35</f>
        <v>0.14222039032097</v>
      </c>
      <c r="E13" s="584"/>
    </row>
    <row r="14" ht="20.35" customHeight="1">
      <c r="A14" t="s" s="50">
        <v>921</v>
      </c>
      <c r="B14" s="585" cm="1">
        <f t="array" ref="B14">B$11*B3</f>
        <v>4033.838469447970</v>
      </c>
      <c r="C14" s="585"/>
      <c r="D14" s="585" cm="1">
        <f t="array" ref="D14">D$11*D3</f>
        <v>3685.892689043090</v>
      </c>
      <c r="E14" s="585"/>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F35"/>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1" width="27.2578" style="586" customWidth="1"/>
    <col min="2" max="2" width="3.42969" style="586" customWidth="1"/>
    <col min="3" max="3" width="16.3516" style="586" customWidth="1"/>
    <col min="4" max="4" width="18.7422" style="586" customWidth="1"/>
    <col min="5" max="5" width="3.41406" style="586" customWidth="1"/>
    <col min="6" max="6" width="16.3516" style="586" customWidth="1"/>
    <col min="7" max="16384" width="16.3516" style="586" customWidth="1"/>
  </cols>
  <sheetData>
    <row r="1" ht="20.55" customHeight="1">
      <c r="A1" t="s" s="8">
        <v>924</v>
      </c>
      <c r="B1" s="9"/>
      <c r="C1" s="9"/>
      <c r="D1" s="7"/>
      <c r="E1" s="9"/>
      <c r="F1" s="9"/>
    </row>
    <row r="2" ht="20.55" customHeight="1">
      <c r="A2" t="s" s="15">
        <v>18</v>
      </c>
      <c r="B2" t="b" s="64">
        <v>0</v>
      </c>
      <c r="C2" s="59"/>
      <c r="D2" t="s" s="15">
        <v>925</v>
      </c>
      <c r="E2" t="b" s="64">
        <v>1</v>
      </c>
      <c r="F2" s="48"/>
    </row>
    <row r="3" ht="20.35" customHeight="1">
      <c r="A3" t="s" s="23">
        <v>926</v>
      </c>
      <c r="B3" t="b" s="68">
        <v>1</v>
      </c>
      <c r="C3" s="30"/>
      <c r="D3" t="s" s="23">
        <v>927</v>
      </c>
      <c r="E3" t="b" s="68">
        <v>1</v>
      </c>
      <c r="F3" s="26"/>
    </row>
    <row r="4" ht="32.35" customHeight="1">
      <c r="A4" t="s" s="23">
        <v>928</v>
      </c>
      <c r="B4" t="b" s="68">
        <v>1</v>
      </c>
      <c r="C4" s="26"/>
      <c r="D4" t="s" s="23">
        <v>929</v>
      </c>
      <c r="E4" t="b" s="68">
        <v>0</v>
      </c>
      <c r="F4" s="26"/>
    </row>
    <row r="5" ht="20.35" customHeight="1">
      <c r="A5" t="s" s="23">
        <v>930</v>
      </c>
      <c r="B5" t="b" s="68">
        <v>1</v>
      </c>
      <c r="C5" s="32"/>
      <c r="D5" t="s" s="587">
        <v>931</v>
      </c>
      <c r="E5" t="b" s="68">
        <v>0</v>
      </c>
      <c r="F5" s="26"/>
    </row>
    <row r="6" ht="20.35" customHeight="1">
      <c r="A6" t="s" s="23">
        <v>932</v>
      </c>
      <c r="B6" t="b" s="68">
        <v>1</v>
      </c>
      <c r="C6" s="32"/>
      <c r="D6" t="s" s="23">
        <v>933</v>
      </c>
      <c r="E6" t="b" s="68">
        <v>0</v>
      </c>
      <c r="F6" s="26"/>
    </row>
    <row r="7" ht="20.35" customHeight="1">
      <c r="A7" t="s" s="23">
        <v>934</v>
      </c>
      <c r="B7" t="b" s="68">
        <v>0</v>
      </c>
      <c r="C7" s="32"/>
      <c r="D7" s="32"/>
      <c r="E7" t="b" s="68">
        <v>0</v>
      </c>
      <c r="F7" s="26"/>
    </row>
    <row r="8" ht="20.35" customHeight="1">
      <c r="A8" t="s" s="23">
        <v>935</v>
      </c>
      <c r="B8" t="b" s="68">
        <v>1</v>
      </c>
      <c r="C8" s="32"/>
      <c r="D8" t="s" s="23">
        <v>936</v>
      </c>
      <c r="E8" t="b" s="68">
        <v>0</v>
      </c>
      <c r="F8" s="26"/>
    </row>
    <row r="9" ht="20.35" customHeight="1">
      <c r="A9" t="s" s="23">
        <v>937</v>
      </c>
      <c r="B9" t="b" s="68">
        <v>1</v>
      </c>
      <c r="C9" s="32"/>
      <c r="D9" s="32"/>
      <c r="E9" t="b" s="68">
        <v>0</v>
      </c>
      <c r="F9" s="26"/>
    </row>
    <row r="10" ht="32.35" customHeight="1">
      <c r="A10" t="s" s="23">
        <v>938</v>
      </c>
      <c r="B10" t="b" s="68">
        <v>1</v>
      </c>
      <c r="C10" s="32"/>
      <c r="D10" s="32"/>
      <c r="E10" t="b" s="68">
        <v>0</v>
      </c>
      <c r="F10" s="26"/>
    </row>
    <row r="11" ht="32.35" customHeight="1">
      <c r="A11" t="s" s="23">
        <v>939</v>
      </c>
      <c r="B11" t="b" s="68">
        <v>0</v>
      </c>
      <c r="C11" s="32"/>
      <c r="D11" s="32"/>
      <c r="E11" t="b" s="68">
        <v>0</v>
      </c>
      <c r="F11" s="26"/>
    </row>
    <row r="12" ht="32.35" customHeight="1">
      <c r="A12" t="s" s="23">
        <v>940</v>
      </c>
      <c r="B12" t="b" s="68">
        <v>0</v>
      </c>
      <c r="C12" s="32"/>
      <c r="D12" s="32"/>
      <c r="E12" t="b" s="68">
        <v>0</v>
      </c>
      <c r="F12" s="26"/>
    </row>
    <row r="13" ht="20.35" customHeight="1">
      <c r="A13" s="32"/>
      <c r="B13" t="b" s="68">
        <v>0</v>
      </c>
      <c r="C13" s="32"/>
      <c r="D13" s="32"/>
      <c r="E13" t="b" s="68">
        <v>0</v>
      </c>
      <c r="F13" s="26"/>
    </row>
    <row r="14" ht="20.35" customHeight="1">
      <c r="A14" s="32"/>
      <c r="B14" t="b" s="68">
        <v>0</v>
      </c>
      <c r="C14" s="32"/>
      <c r="D14" s="32"/>
      <c r="E14" t="b" s="68">
        <v>0</v>
      </c>
      <c r="F14" s="26"/>
    </row>
    <row r="15" ht="20.35" customHeight="1">
      <c r="A15" t="s" s="23">
        <v>941</v>
      </c>
      <c r="B15" t="b" s="68">
        <v>1</v>
      </c>
      <c r="C15" s="26"/>
      <c r="D15" s="26"/>
      <c r="E15" t="b" s="68">
        <v>0</v>
      </c>
      <c r="F15" s="26"/>
    </row>
    <row r="16" ht="20.35" customHeight="1">
      <c r="A16" t="s" s="23">
        <v>942</v>
      </c>
      <c r="B16" t="b" s="68">
        <v>1</v>
      </c>
      <c r="C16" s="26"/>
      <c r="D16" s="26"/>
      <c r="E16" t="b" s="68">
        <v>0</v>
      </c>
      <c r="F16" s="26"/>
    </row>
    <row r="17" ht="20.35" customHeight="1">
      <c r="A17" t="s" s="23">
        <v>943</v>
      </c>
      <c r="B17" t="b" s="68">
        <v>1</v>
      </c>
      <c r="C17" s="26"/>
      <c r="D17" s="26"/>
      <c r="E17" t="b" s="68">
        <v>0</v>
      </c>
      <c r="F17" s="26"/>
    </row>
    <row r="18" ht="20.35" customHeight="1">
      <c r="A18" t="s" s="23">
        <v>944</v>
      </c>
      <c r="B18" t="b" s="68">
        <v>1</v>
      </c>
      <c r="C18" s="26"/>
      <c r="D18" s="26"/>
      <c r="E18" t="b" s="68">
        <v>0</v>
      </c>
      <c r="F18" s="26"/>
    </row>
    <row r="19" ht="32.35" customHeight="1">
      <c r="A19" t="s" s="23">
        <v>945</v>
      </c>
      <c r="B19" t="b" s="68">
        <v>0</v>
      </c>
      <c r="C19" s="26"/>
      <c r="D19" s="26"/>
      <c r="E19" t="b" s="68">
        <v>0</v>
      </c>
      <c r="F19" s="26"/>
    </row>
    <row r="20" ht="20.35" customHeight="1">
      <c r="A20" s="32"/>
      <c r="B20" t="b" s="68">
        <v>0</v>
      </c>
      <c r="C20" s="26"/>
      <c r="D20" s="26"/>
      <c r="E20" t="b" s="68">
        <v>0</v>
      </c>
      <c r="F20" s="26"/>
    </row>
    <row r="21" ht="20.35" customHeight="1">
      <c r="A21" s="32"/>
      <c r="B21" t="b" s="68">
        <v>0</v>
      </c>
      <c r="C21" s="26"/>
      <c r="D21" s="26"/>
      <c r="E21" t="b" s="68">
        <v>0</v>
      </c>
      <c r="F21" s="26"/>
    </row>
    <row r="22" ht="20.35" customHeight="1">
      <c r="A22" t="s" s="23">
        <v>946</v>
      </c>
      <c r="B22" t="b" s="68">
        <v>0</v>
      </c>
      <c r="C22" s="26"/>
      <c r="D22" s="26"/>
      <c r="E22" t="b" s="68">
        <v>0</v>
      </c>
      <c r="F22" s="26"/>
    </row>
    <row r="23" ht="120" customHeight="1">
      <c r="A23" s="32"/>
      <c r="B23" t="b" s="68">
        <v>0</v>
      </c>
      <c r="C23" s="26"/>
      <c r="D23" s="26"/>
      <c r="E23" t="b" s="68">
        <v>0</v>
      </c>
      <c r="F23" s="26"/>
    </row>
    <row r="24" ht="20.35" customHeight="1">
      <c r="A24" t="s" s="23">
        <v>947</v>
      </c>
      <c r="B24" t="b" s="68">
        <v>0</v>
      </c>
      <c r="C24" s="26"/>
      <c r="D24" s="26"/>
      <c r="E24" t="b" s="68">
        <v>0</v>
      </c>
      <c r="F24" s="26"/>
    </row>
    <row r="25" ht="36" customHeight="1">
      <c r="A25" s="32"/>
      <c r="B25" t="b" s="68">
        <v>0</v>
      </c>
      <c r="C25" s="26"/>
      <c r="D25" s="26"/>
      <c r="E25" t="b" s="68">
        <v>0</v>
      </c>
      <c r="F25" s="26"/>
    </row>
    <row r="26" ht="68.35" customHeight="1">
      <c r="A26" t="s" s="23">
        <v>948</v>
      </c>
      <c r="B26" t="b" s="68">
        <v>0</v>
      </c>
      <c r="C26" s="26"/>
      <c r="D26" s="26"/>
      <c r="E26" t="b" s="68">
        <v>0</v>
      </c>
      <c r="F26" s="26"/>
    </row>
    <row r="27" ht="20.35" customHeight="1">
      <c r="A27" s="32"/>
      <c r="B27" t="b" s="68">
        <v>0</v>
      </c>
      <c r="C27" s="26"/>
      <c r="D27" s="26"/>
      <c r="E27" t="b" s="68">
        <v>0</v>
      </c>
      <c r="F27" s="26"/>
    </row>
    <row r="28" ht="44.35" customHeight="1">
      <c r="A28" t="s" s="23">
        <v>949</v>
      </c>
      <c r="B28" t="b" s="68">
        <v>0</v>
      </c>
      <c r="C28" s="26"/>
      <c r="D28" s="26"/>
      <c r="E28" t="b" s="68">
        <v>0</v>
      </c>
      <c r="F28" s="26"/>
    </row>
    <row r="29" ht="20.35" customHeight="1">
      <c r="A29" t="s" s="23">
        <v>950</v>
      </c>
      <c r="B29" t="b" s="68">
        <v>0</v>
      </c>
      <c r="C29" s="26"/>
      <c r="D29" s="26"/>
      <c r="E29" t="b" s="68">
        <v>0</v>
      </c>
      <c r="F29" s="26"/>
    </row>
    <row r="30" ht="20.35" customHeight="1">
      <c r="A30" t="s" s="23">
        <v>951</v>
      </c>
      <c r="B30" t="b" s="68">
        <v>0</v>
      </c>
      <c r="C30" s="26"/>
      <c r="D30" s="26"/>
      <c r="E30" t="b" s="68">
        <v>0</v>
      </c>
      <c r="F30" s="26"/>
    </row>
    <row r="31" ht="20.35" customHeight="1">
      <c r="A31" s="32"/>
      <c r="B31" t="b" s="68">
        <v>0</v>
      </c>
      <c r="C31" s="26"/>
      <c r="D31" s="26"/>
      <c r="E31" t="b" s="68">
        <v>0</v>
      </c>
      <c r="F31" s="26"/>
    </row>
    <row r="32" ht="32.35" customHeight="1">
      <c r="A32" t="s" s="23">
        <v>952</v>
      </c>
      <c r="B32" t="b" s="68">
        <v>0</v>
      </c>
      <c r="C32" s="26"/>
      <c r="D32" s="26"/>
      <c r="E32" t="b" s="68">
        <v>0</v>
      </c>
      <c r="F32" s="26"/>
    </row>
    <row r="33" ht="20.35" customHeight="1">
      <c r="A33" t="s" s="23">
        <v>953</v>
      </c>
      <c r="B33" t="b" s="68">
        <v>0</v>
      </c>
      <c r="C33" s="26"/>
      <c r="D33" s="26"/>
      <c r="E33" t="b" s="68">
        <v>0</v>
      </c>
      <c r="F33" s="26"/>
    </row>
    <row r="34" ht="20.35" customHeight="1">
      <c r="A34" s="32"/>
      <c r="B34" t="b" s="68">
        <v>0</v>
      </c>
      <c r="C34" s="26"/>
      <c r="D34" s="26"/>
      <c r="E34" t="b" s="68">
        <v>0</v>
      </c>
      <c r="F34" s="26"/>
    </row>
    <row r="35" ht="20.35" customHeight="1">
      <c r="A35" t="s" s="23">
        <v>954</v>
      </c>
      <c r="B35" t="b" s="68">
        <v>0</v>
      </c>
      <c r="C35" s="26"/>
      <c r="D35" s="26"/>
      <c r="E35" t="b" s="68">
        <v>0</v>
      </c>
      <c r="F35" s="26"/>
    </row>
  </sheetData>
  <mergeCells count="2">
    <mergeCell ref="A22:A23"/>
    <mergeCell ref="A24:A25"/>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P8"/>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1" width="10.1719" style="588" customWidth="1"/>
    <col min="2" max="2" width="11.3516" style="588" customWidth="1"/>
    <col min="3" max="3" width="5.5" style="588" customWidth="1"/>
    <col min="4" max="4" width="16.3516" style="588" customWidth="1"/>
    <col min="5" max="5" width="4.79688" style="588" customWidth="1"/>
    <col min="6" max="8" width="16.3516" style="588" customWidth="1"/>
    <col min="9" max="9" width="4.0625" style="588" customWidth="1"/>
    <col min="10" max="11" width="16.3516" style="588" customWidth="1"/>
    <col min="12" max="12" width="4.0625" style="588" customWidth="1"/>
    <col min="13" max="13" width="13.6719" style="588" customWidth="1"/>
    <col min="14" max="14" width="5.5" style="588" customWidth="1"/>
    <col min="15" max="16" width="16.3516" style="588" customWidth="1"/>
    <col min="17" max="16384" width="16.3516" style="588" customWidth="1"/>
  </cols>
  <sheetData>
    <row r="1" ht="20.55" customHeight="1">
      <c r="A1" t="s" s="8">
        <v>957</v>
      </c>
      <c r="B1" t="s" s="8">
        <v>958</v>
      </c>
      <c r="C1" t="s" s="8">
        <v>959</v>
      </c>
      <c r="D1" t="s" s="8">
        <v>960</v>
      </c>
      <c r="E1" s="7"/>
      <c r="F1" t="s" s="8">
        <v>961</v>
      </c>
      <c r="G1" s="7"/>
      <c r="H1" s="7"/>
      <c r="I1" s="7"/>
      <c r="J1" t="s" s="8">
        <v>962</v>
      </c>
      <c r="K1" s="7"/>
      <c r="L1" s="7"/>
      <c r="M1" t="s" s="8">
        <v>963</v>
      </c>
      <c r="N1" t="s" s="8">
        <v>964</v>
      </c>
      <c r="O1" t="s" s="8">
        <v>965</v>
      </c>
      <c r="P1" t="s" s="8">
        <v>966</v>
      </c>
    </row>
    <row r="2" ht="20.55" customHeight="1">
      <c r="A2" s="589">
        <v>30</v>
      </c>
      <c r="B2" s="236" cm="1">
        <f t="array" ref="B2">A2*12</f>
        <v>360</v>
      </c>
      <c r="C2" s="590">
        <v>5.56</v>
      </c>
      <c r="D2" s="591">
        <v>8127.23</v>
      </c>
      <c r="E2" s="591"/>
      <c r="F2" s="592">
        <v>22.5757</v>
      </c>
      <c r="G2" s="234" cm="1">
        <f t="array" ref="G2">F2*'depto - Table 2'!$B$1</f>
        <v>916814.754233</v>
      </c>
      <c r="H2" s="234" cm="1">
        <f t="array" ref="H2">F2*'depto - dividendos'!$F$5</f>
        <v>838058.747512</v>
      </c>
      <c r="I2" s="591"/>
      <c r="J2" s="591" cm="1">
        <f t="array" ref="J2">F2*12</f>
        <v>270.9084</v>
      </c>
      <c r="K2" s="234" cm="1">
        <f t="array" ref="K2">J2*'depto - Table 2'!$B$1</f>
        <v>11001777.050796</v>
      </c>
      <c r="L2" s="591"/>
      <c r="M2" s="593" cm="1">
        <f t="array" ref="M2">O2/F2</f>
        <v>251.686752570241</v>
      </c>
      <c r="N2" s="593" cm="1">
        <f t="array" ref="N2">M2/12</f>
        <v>20.9738960475201</v>
      </c>
      <c r="O2" s="591" cm="1">
        <f t="array" ref="O2">D2-'depto - dividendos'!$D$162</f>
        <v>5682.00462</v>
      </c>
      <c r="P2" s="593" cm="1">
        <f t="array" ref="P2">B2-M2</f>
        <v>108.313247429759</v>
      </c>
    </row>
    <row r="3" ht="20.35" customHeight="1">
      <c r="A3" s="594">
        <v>25</v>
      </c>
      <c r="B3" s="249" cm="1">
        <f t="array" ref="B3">A3*12</f>
        <v>300</v>
      </c>
      <c r="C3" s="595">
        <v>5.62</v>
      </c>
      <c r="D3" s="596">
        <v>7363.28</v>
      </c>
      <c r="E3" s="596"/>
      <c r="F3" s="597">
        <v>24.5443</v>
      </c>
      <c r="G3" s="247" cm="1">
        <f t="array" ref="G3">F3*'depto - Table 2'!$B$1</f>
        <v>996760.958567</v>
      </c>
      <c r="H3" s="247" cm="1">
        <f t="array" ref="H3">F3*'depto - dividendos'!$F$5</f>
        <v>911137.431688</v>
      </c>
      <c r="I3" s="596"/>
      <c r="J3" s="596" cm="1">
        <f t="array" ref="J3">F3*12</f>
        <v>294.5316</v>
      </c>
      <c r="K3" s="247" cm="1">
        <f t="array" ref="K3">J3*'depto - Table 2'!$B$1</f>
        <v>11961131.502804</v>
      </c>
      <c r="L3" s="596"/>
      <c r="M3" s="598" cm="1">
        <f t="array" ref="M3">O3/F3</f>
        <v>200.374613250327</v>
      </c>
      <c r="N3" s="598" cm="1">
        <f t="array" ref="N3">M3/12</f>
        <v>16.6978844375273</v>
      </c>
      <c r="O3" s="596" cm="1">
        <f t="array" ref="O3">D3-'depto - dividendos'!$D$162</f>
        <v>4918.05462</v>
      </c>
      <c r="P3" s="598" cm="1">
        <f t="array" ref="P3">B3-M3</f>
        <v>99.625386749673</v>
      </c>
    </row>
    <row r="4" ht="20.35" customHeight="1">
      <c r="A4" s="594">
        <v>20</v>
      </c>
      <c r="B4" s="249" cm="1">
        <f t="array" ref="B4">A4*12</f>
        <v>240</v>
      </c>
      <c r="C4" s="595">
        <v>5.71</v>
      </c>
      <c r="D4" s="596">
        <v>6636.57</v>
      </c>
      <c r="E4" s="596"/>
      <c r="F4" s="597">
        <v>27.6524</v>
      </c>
      <c r="G4" s="247" cm="1">
        <f t="array" ref="G4">F4*'depto - Table 2'!$B$1</f>
        <v>1122983.044156</v>
      </c>
      <c r="H4" s="247" cm="1">
        <f t="array" ref="H4">F4*'depto - dividendos'!$F$5</f>
        <v>1026516.817184</v>
      </c>
      <c r="I4" s="596"/>
      <c r="J4" s="596" cm="1">
        <f t="array" ref="J4">F4*12</f>
        <v>331.8288</v>
      </c>
      <c r="K4" s="247" cm="1">
        <f t="array" ref="K4">J4*'depto - Table 2'!$B$1</f>
        <v>13475796.529872</v>
      </c>
      <c r="L4" s="596"/>
      <c r="M4" s="598" cm="1">
        <f t="array" ref="M4">O4/F4</f>
        <v>151.572544155299</v>
      </c>
      <c r="N4" s="598" cm="1">
        <f t="array" ref="N4">M4/12</f>
        <v>12.6310453462749</v>
      </c>
      <c r="O4" s="596" cm="1">
        <f t="array" ref="O4">D4-'depto - dividendos'!$D$162</f>
        <v>4191.34462</v>
      </c>
      <c r="P4" s="598" cm="1">
        <f t="array" ref="P4">B4-M4</f>
        <v>88.427455844701</v>
      </c>
    </row>
    <row r="5" ht="20.35" customHeight="1">
      <c r="A5" s="594">
        <v>15</v>
      </c>
      <c r="B5" s="249" cm="1">
        <f t="array" ref="B5">A5*12</f>
        <v>180</v>
      </c>
      <c r="C5" s="249">
        <v>5.88</v>
      </c>
      <c r="D5" s="596">
        <v>5952.35</v>
      </c>
      <c r="E5" s="596"/>
      <c r="F5" s="597">
        <v>33.0686</v>
      </c>
      <c r="G5" s="247" cm="1">
        <f t="array" ref="G5">F5*'depto - Table 2'!$B$1</f>
        <v>1342938.663334</v>
      </c>
      <c r="H5" s="247" cm="1">
        <f t="array" ref="H5">F5*'depto - dividendos'!$F$5</f>
        <v>1227577.860176</v>
      </c>
      <c r="I5" s="596"/>
      <c r="J5" s="596" cm="1">
        <f t="array" ref="J5">F5*12</f>
        <v>396.8232</v>
      </c>
      <c r="K5" s="247" cm="1">
        <f t="array" ref="K5">J5*'depto - Table 2'!$B$1</f>
        <v>16115263.960008</v>
      </c>
      <c r="L5" s="596"/>
      <c r="M5" s="598" cm="1">
        <f t="array" ref="M5">O5/F5</f>
        <v>106.056035635013</v>
      </c>
      <c r="N5" s="598" cm="1">
        <f t="array" ref="N5">M5/12</f>
        <v>8.838002969584419</v>
      </c>
      <c r="O5" s="596" cm="1">
        <f t="array" ref="O5">D5-'depto - dividendos'!$D$162</f>
        <v>3507.12462</v>
      </c>
      <c r="P5" s="598" cm="1">
        <f t="array" ref="P5">B5-M5</f>
        <v>73.943964364987</v>
      </c>
    </row>
    <row r="6" ht="20.35" customHeight="1">
      <c r="A6" s="594">
        <v>12</v>
      </c>
      <c r="B6" s="249" cm="1">
        <f t="array" ref="B6">A6*12</f>
        <v>144</v>
      </c>
      <c r="C6" s="249">
        <v>6.05</v>
      </c>
      <c r="D6" s="596">
        <v>5566.52</v>
      </c>
      <c r="E6" s="596"/>
      <c r="F6" s="597">
        <v>38.6564</v>
      </c>
      <c r="G6" s="247" cm="1">
        <f t="array" ref="G6">F6*'depto - Table 2'!$B$1</f>
        <v>1569863.076916</v>
      </c>
      <c r="H6" s="247" cm="1">
        <f t="array" ref="H6">F6*'depto - dividendos'!$F$5</f>
        <v>1435009.065824</v>
      </c>
      <c r="I6" s="596"/>
      <c r="J6" s="596" cm="1">
        <f t="array" ref="J6">F6*12</f>
        <v>463.8768</v>
      </c>
      <c r="K6" s="247" cm="1">
        <f t="array" ref="K6">J6*'depto - Table 2'!$B$1</f>
        <v>18838356.922992</v>
      </c>
      <c r="L6" s="596"/>
      <c r="M6" s="598" cm="1">
        <f t="array" ref="M6">O6/F6</f>
        <v>80.74457580116101</v>
      </c>
      <c r="N6" s="598" cm="1">
        <f t="array" ref="N6">M6/12</f>
        <v>6.72871465009675</v>
      </c>
      <c r="O6" s="596" cm="1">
        <f t="array" ref="O6">D6-'depto - dividendos'!$D$162</f>
        <v>3121.29462</v>
      </c>
      <c r="P6" s="598" cm="1">
        <f t="array" ref="P6">B6-M6</f>
        <v>63.255424198839</v>
      </c>
    </row>
    <row r="7" ht="20.35" customHeight="1">
      <c r="A7" s="594">
        <v>10</v>
      </c>
      <c r="B7" s="249" cm="1">
        <f t="array" ref="B7">A7*12</f>
        <v>120</v>
      </c>
      <c r="C7" s="249">
        <v>6.25</v>
      </c>
      <c r="D7" s="596">
        <v>5322.76</v>
      </c>
      <c r="E7" s="596"/>
      <c r="F7" s="597">
        <v>44.3563</v>
      </c>
      <c r="G7" s="247" cm="1">
        <f t="array" ref="G7">F7*'depto - Table 2'!$B$1</f>
        <v>1801339.948847</v>
      </c>
      <c r="H7" s="247" cm="1">
        <f t="array" ref="H7">F7*'depto - dividendos'!$F$5</f>
        <v>1646601.665608</v>
      </c>
      <c r="I7" s="596"/>
      <c r="J7" s="596" cm="1">
        <f t="array" ref="J7">F7*12</f>
        <v>532.2756000000001</v>
      </c>
      <c r="K7" s="247" cm="1">
        <f t="array" ref="K7">J7*'depto - Table 2'!$B$1</f>
        <v>21616079.386164</v>
      </c>
      <c r="L7" s="596"/>
      <c r="M7" s="598" cm="1">
        <f t="array" ref="M7">O7/F7</f>
        <v>64.8731887014922</v>
      </c>
      <c r="N7" s="598" cm="1">
        <f t="array" ref="N7">M7/12</f>
        <v>5.40609905845768</v>
      </c>
      <c r="O7" s="596" cm="1">
        <f t="array" ref="O7">D7-'depto - dividendos'!$D$162</f>
        <v>2877.53462</v>
      </c>
      <c r="P7" s="598" cm="1">
        <f t="array" ref="P7">B7-M7</f>
        <v>55.1268112985078</v>
      </c>
    </row>
    <row r="8" ht="20.35" customHeight="1">
      <c r="A8" s="594">
        <v>5</v>
      </c>
      <c r="B8" s="249" cm="1">
        <f t="array" ref="B8">A8*12</f>
        <v>60</v>
      </c>
      <c r="C8" s="249">
        <v>7.99</v>
      </c>
      <c r="D8" s="596">
        <v>4804.43</v>
      </c>
      <c r="E8" s="596"/>
      <c r="F8" s="597">
        <v>80.07559999999999</v>
      </c>
      <c r="G8" s="247" cm="1">
        <f t="array" ref="G8">F8*'depto - Table 2'!$B$1</f>
        <v>3251925.368164</v>
      </c>
      <c r="H8" s="247" cm="1">
        <f t="array" ref="H8">F8*'depto - dividendos'!$F$5</f>
        <v>2972579.235296</v>
      </c>
      <c r="I8" s="596"/>
      <c r="J8" s="596" cm="1">
        <f t="array" ref="J8">F8*12</f>
        <v>960.9072</v>
      </c>
      <c r="K8" s="247" cm="1">
        <f t="array" ref="K8">J8*'depto - Table 2'!$B$1</f>
        <v>39023104.417968</v>
      </c>
      <c r="L8" s="596"/>
      <c r="M8" s="598" cm="1">
        <f t="array" ref="M8">O8/F8</f>
        <v>29.4622159559217</v>
      </c>
      <c r="N8" s="598" cm="1">
        <f t="array" ref="N8">M8/12</f>
        <v>2.45518466299348</v>
      </c>
      <c r="O8" s="596" cm="1">
        <f t="array" ref="O8">D8-'depto - dividendos'!$D$162</f>
        <v>2359.20462</v>
      </c>
      <c r="P8" s="598" cm="1">
        <f t="array" ref="P8">B8-M8</f>
        <v>30.5377840440783</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2:G30"/>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7" width="16.3516" style="599" customWidth="1"/>
    <col min="8" max="16384" width="16.3516" style="599" customWidth="1"/>
  </cols>
  <sheetData>
    <row r="1" ht="28" customHeight="1">
      <c r="A1" t="s" s="90">
        <v>967</v>
      </c>
      <c r="B1" s="90"/>
      <c r="C1" s="90"/>
      <c r="D1" s="90"/>
      <c r="E1" s="90"/>
      <c r="F1" s="90"/>
      <c r="G1" s="90"/>
    </row>
    <row r="2" ht="20.55" customHeight="1">
      <c r="A2" s="7"/>
      <c r="B2" t="s" s="8">
        <v>969</v>
      </c>
      <c r="C2" t="s" s="8">
        <v>970</v>
      </c>
      <c r="D2" t="s" s="8">
        <v>971</v>
      </c>
      <c r="E2" t="s" s="8">
        <v>972</v>
      </c>
      <c r="F2" s="7"/>
      <c r="G2" s="7"/>
    </row>
    <row r="3" ht="20.55" customHeight="1">
      <c r="A3" s="224"/>
      <c r="B3" s="11"/>
      <c r="C3" s="64"/>
      <c r="D3" s="64"/>
      <c r="E3" s="64"/>
      <c r="F3" s="600"/>
      <c r="G3" s="600"/>
    </row>
    <row r="4" ht="20.35" customHeight="1">
      <c r="A4" t="s" s="17">
        <v>973</v>
      </c>
      <c r="B4" s="18"/>
      <c r="C4" s="68"/>
      <c r="D4" s="68"/>
      <c r="E4" s="68"/>
      <c r="F4" s="164"/>
      <c r="G4" s="164"/>
    </row>
    <row r="5" ht="20.35" customHeight="1">
      <c r="A5" t="s" s="17">
        <v>794</v>
      </c>
      <c r="B5" s="18">
        <v>8</v>
      </c>
      <c r="C5" s="68">
        <v>85</v>
      </c>
      <c r="D5" s="68">
        <v>59.5</v>
      </c>
      <c r="E5" s="68">
        <v>47</v>
      </c>
      <c r="F5" t="s" s="23">
        <v>974</v>
      </c>
      <c r="G5" s="164"/>
    </row>
    <row r="6" ht="20.35" customHeight="1">
      <c r="A6" t="s" s="17">
        <v>975</v>
      </c>
      <c r="B6" s="18">
        <v>12.5</v>
      </c>
      <c r="C6" s="68">
        <v>85</v>
      </c>
      <c r="D6" s="68">
        <v>60</v>
      </c>
      <c r="E6" s="164">
        <v>60</v>
      </c>
      <c r="F6" t="s" s="23">
        <v>974</v>
      </c>
      <c r="G6" s="164"/>
    </row>
    <row r="7" ht="20.35" customHeight="1">
      <c r="A7" t="s" s="17">
        <v>976</v>
      </c>
      <c r="B7" s="18">
        <v>10.5</v>
      </c>
      <c r="C7" s="68">
        <v>85</v>
      </c>
      <c r="D7" s="68">
        <v>60</v>
      </c>
      <c r="E7" s="164">
        <v>55</v>
      </c>
      <c r="F7" t="s" s="23">
        <v>974</v>
      </c>
      <c r="G7" s="164"/>
    </row>
    <row r="8" ht="20.35" customHeight="1">
      <c r="A8" s="28"/>
      <c r="B8" s="18"/>
      <c r="C8" s="68"/>
      <c r="D8" s="68"/>
      <c r="E8" s="68"/>
      <c r="F8" s="164"/>
      <c r="G8" s="164"/>
    </row>
    <row r="9" ht="20.35" customHeight="1">
      <c r="A9" t="s" s="17">
        <v>977</v>
      </c>
      <c r="B9" s="18">
        <v>12</v>
      </c>
      <c r="C9" s="68">
        <v>85</v>
      </c>
      <c r="D9" s="68">
        <v>60</v>
      </c>
      <c r="E9" s="68">
        <v>62</v>
      </c>
      <c r="F9" t="s" s="23">
        <v>974</v>
      </c>
      <c r="G9" s="164"/>
    </row>
    <row r="10" ht="20.35" customHeight="1">
      <c r="A10" s="28"/>
      <c r="B10" s="18"/>
      <c r="C10" s="68"/>
      <c r="D10" s="68"/>
      <c r="E10" s="68"/>
      <c r="F10" s="164"/>
      <c r="G10" s="164"/>
    </row>
    <row r="11" ht="20.35" customHeight="1">
      <c r="A11" s="28"/>
      <c r="B11" s="18"/>
      <c r="C11" s="68"/>
      <c r="D11" s="68"/>
      <c r="E11" s="68"/>
      <c r="F11" s="164"/>
      <c r="G11" s="164"/>
    </row>
    <row r="12" ht="20.35" customHeight="1">
      <c r="A12" t="s" s="17">
        <v>978</v>
      </c>
      <c r="B12" s="18">
        <v>13</v>
      </c>
      <c r="C12" s="68">
        <v>105.9</v>
      </c>
      <c r="D12" s="68">
        <v>61</v>
      </c>
      <c r="E12" s="601">
        <v>67.5</v>
      </c>
      <c r="F12" t="s" s="23">
        <v>979</v>
      </c>
      <c r="G12" s="164"/>
    </row>
    <row r="13" ht="20.35" customHeight="1">
      <c r="A13" s="28"/>
      <c r="B13" s="18"/>
      <c r="C13" s="68"/>
      <c r="D13" s="68"/>
      <c r="E13" s="164"/>
      <c r="F13" s="68"/>
      <c r="G13" s="164"/>
    </row>
    <row r="14" ht="20.35" customHeight="1">
      <c r="A14" s="28"/>
      <c r="B14" s="18"/>
      <c r="C14" s="68"/>
      <c r="D14" s="68"/>
      <c r="E14" s="164"/>
      <c r="F14" s="68"/>
      <c r="G14" s="164"/>
    </row>
    <row r="15" ht="20.35" customHeight="1">
      <c r="A15" s="28"/>
      <c r="B15" s="18"/>
      <c r="C15" s="68"/>
      <c r="D15" s="68"/>
      <c r="E15" s="164"/>
      <c r="F15" s="68"/>
      <c r="G15" s="164"/>
    </row>
    <row r="16" ht="20.35" customHeight="1">
      <c r="A16" t="s" s="17">
        <v>980</v>
      </c>
      <c r="B16" s="18"/>
      <c r="C16" s="68"/>
      <c r="D16" s="68"/>
      <c r="E16" s="164"/>
      <c r="F16" s="68"/>
      <c r="G16" s="164"/>
    </row>
    <row r="17" ht="20.35" customHeight="1">
      <c r="A17" t="s" s="17">
        <v>794</v>
      </c>
      <c r="B17" s="18">
        <v>11.2</v>
      </c>
      <c r="C17" s="68">
        <v>55.7</v>
      </c>
      <c r="D17" s="68">
        <v>32.8</v>
      </c>
      <c r="E17" s="601">
        <v>10.1</v>
      </c>
      <c r="F17" t="s" s="23">
        <v>981</v>
      </c>
      <c r="G17" s="164"/>
    </row>
    <row r="18" ht="56.35" customHeight="1">
      <c r="A18" t="s" s="17">
        <v>982</v>
      </c>
      <c r="B18" s="18"/>
      <c r="C18" s="68">
        <v>57.3</v>
      </c>
      <c r="D18" s="68">
        <v>33.3</v>
      </c>
      <c r="E18" s="164">
        <v>18</v>
      </c>
      <c r="F18" t="s" s="23">
        <v>983</v>
      </c>
      <c r="G18" t="s" s="23">
        <v>984</v>
      </c>
    </row>
    <row r="19" ht="20.35" customHeight="1">
      <c r="A19" s="28"/>
      <c r="B19" s="18"/>
      <c r="C19" s="68">
        <v>55</v>
      </c>
      <c r="D19" s="68">
        <v>36</v>
      </c>
      <c r="E19" s="164">
        <v>11</v>
      </c>
      <c r="F19" s="68"/>
      <c r="G19" t="s" s="23">
        <v>984</v>
      </c>
    </row>
    <row r="20" ht="20.35" customHeight="1">
      <c r="A20" s="28"/>
      <c r="B20" s="18"/>
      <c r="C20" s="68"/>
      <c r="D20" s="68"/>
      <c r="E20" s="164"/>
      <c r="F20" s="68"/>
      <c r="G20" s="32"/>
    </row>
    <row r="21" ht="20.35" customHeight="1">
      <c r="A21" s="28"/>
      <c r="B21" s="18"/>
      <c r="C21" s="68"/>
      <c r="D21" s="68"/>
      <c r="E21" s="164"/>
      <c r="F21" s="68"/>
      <c r="G21" s="32"/>
    </row>
    <row r="22" ht="20.35" customHeight="1">
      <c r="A22" s="28"/>
      <c r="B22" s="18"/>
      <c r="C22" s="68"/>
      <c r="D22" s="68"/>
      <c r="E22" s="164"/>
      <c r="F22" s="68"/>
      <c r="G22" s="32"/>
    </row>
    <row r="23" ht="20.35" customHeight="1">
      <c r="A23" s="28"/>
      <c r="B23" s="18"/>
      <c r="C23" s="68"/>
      <c r="D23" s="68"/>
      <c r="E23" s="164"/>
      <c r="F23" s="68"/>
      <c r="G23" s="32"/>
    </row>
    <row r="24" ht="20.35" customHeight="1">
      <c r="A24" t="s" s="17">
        <v>985</v>
      </c>
      <c r="B24" t="s" s="602">
        <v>984</v>
      </c>
      <c r="C24" t="s" s="23">
        <v>986</v>
      </c>
      <c r="D24" s="68"/>
      <c r="E24" s="164"/>
      <c r="F24" s="68"/>
      <c r="G24" s="32"/>
    </row>
    <row r="25" ht="20.35" customHeight="1">
      <c r="A25" s="28"/>
      <c r="B25" s="18"/>
      <c r="C25" s="68"/>
      <c r="D25" s="68"/>
      <c r="E25" s="164"/>
      <c r="F25" s="68"/>
      <c r="G25" s="32"/>
    </row>
    <row r="26" ht="20.35" customHeight="1">
      <c r="A26" s="28"/>
      <c r="B26" s="18"/>
      <c r="C26" s="68"/>
      <c r="D26" s="68"/>
      <c r="E26" s="164"/>
      <c r="F26" s="68">
        <v>146486</v>
      </c>
      <c r="G26" s="164">
        <v>1415589</v>
      </c>
    </row>
    <row r="27" ht="20.35" customHeight="1">
      <c r="A27" s="28"/>
      <c r="B27" s="18"/>
      <c r="C27" s="68"/>
      <c r="D27" s="68"/>
      <c r="E27" s="164"/>
      <c r="F27" s="68"/>
      <c r="G27" s="32"/>
    </row>
    <row r="28" ht="20.35" customHeight="1">
      <c r="A28" s="28"/>
      <c r="B28" s="18"/>
      <c r="C28" s="68"/>
      <c r="D28" s="68"/>
      <c r="E28" s="164"/>
      <c r="F28" s="164" cm="1">
        <f t="array" ref="F28">ROUND(F26*1.19,0)</f>
        <v>174318</v>
      </c>
      <c r="G28" s="164" cm="1">
        <f t="array" ref="G28">ROUND(G26*1.19,0)</f>
        <v>1684551</v>
      </c>
    </row>
    <row r="29" ht="20.35" customHeight="1">
      <c r="A29" s="28"/>
      <c r="B29" s="18"/>
      <c r="C29" s="68"/>
      <c r="D29" s="68"/>
      <c r="E29" s="164"/>
      <c r="F29" s="68"/>
      <c r="G29" s="32"/>
    </row>
    <row r="30" ht="20.35" customHeight="1">
      <c r="A30" s="28"/>
      <c r="B30" s="18"/>
      <c r="C30" s="68"/>
      <c r="D30" s="68"/>
      <c r="E30" s="164"/>
      <c r="F30" s="68"/>
      <c r="G30" s="164" cm="1">
        <f t="array" ref="G30">G28-F28</f>
        <v>1510233</v>
      </c>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54.xml><?xml version="1.0" encoding="utf-8"?>
<worksheet xmlns:r="http://schemas.openxmlformats.org/officeDocument/2006/relationships" xmlns="http://schemas.openxmlformats.org/spreadsheetml/2006/main">
  <sheetPr>
    <pageSetUpPr fitToPage="1"/>
  </sheetPr>
  <dimension ref="A1:C14"/>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1" width="16.3516" style="603" customWidth="1"/>
    <col min="2" max="2" width="40.2656" style="603" customWidth="1"/>
    <col min="3" max="3" width="16.3516" style="603" customWidth="1"/>
    <col min="4" max="16384" width="16.3516" style="603" customWidth="1"/>
  </cols>
  <sheetData>
    <row r="1" ht="20.55" customHeight="1">
      <c r="A1" s="7"/>
      <c r="B1" s="7"/>
      <c r="C1" s="7"/>
    </row>
    <row r="2" ht="20.55" customHeight="1">
      <c r="A2" t="s" s="15">
        <v>988</v>
      </c>
      <c r="B2" s="82"/>
      <c r="C2" s="82"/>
    </row>
    <row r="3" ht="32.35" customHeight="1">
      <c r="A3" t="s" s="23">
        <v>989</v>
      </c>
      <c r="B3" t="s" s="23">
        <v>990</v>
      </c>
      <c r="C3" s="32"/>
    </row>
    <row r="4" ht="20.35" customHeight="1">
      <c r="A4" t="s" s="23">
        <v>991</v>
      </c>
      <c r="B4" t="s" s="23">
        <v>992</v>
      </c>
      <c r="C4" s="32"/>
    </row>
    <row r="5" ht="20.35" customHeight="1">
      <c r="A5" t="s" s="23">
        <v>993</v>
      </c>
      <c r="B5" t="s" s="23">
        <v>994</v>
      </c>
      <c r="C5" s="32"/>
    </row>
    <row r="6" ht="20.35" customHeight="1">
      <c r="A6" t="s" s="23">
        <v>995</v>
      </c>
      <c r="B6" t="s" s="23">
        <v>996</v>
      </c>
      <c r="C6" s="32"/>
    </row>
    <row r="7" ht="44.35" customHeight="1">
      <c r="A7" t="s" s="23">
        <v>997</v>
      </c>
      <c r="B7" t="s" s="23">
        <v>998</v>
      </c>
      <c r="C7" s="32"/>
    </row>
    <row r="8" ht="32.35" customHeight="1">
      <c r="A8" t="s" s="23">
        <v>999</v>
      </c>
      <c r="B8" t="s" s="23">
        <v>1000</v>
      </c>
      <c r="C8" s="32"/>
    </row>
    <row r="9" ht="20.35" customHeight="1">
      <c r="A9" t="s" s="23">
        <v>1001</v>
      </c>
      <c r="B9" t="s" s="23">
        <v>1002</v>
      </c>
      <c r="C9" s="32"/>
    </row>
    <row r="10" ht="20.35" customHeight="1">
      <c r="A10" t="s" s="23">
        <v>1003</v>
      </c>
      <c r="B10" t="s" s="23">
        <v>1004</v>
      </c>
      <c r="C10" s="32"/>
    </row>
    <row r="11" ht="20.35" customHeight="1">
      <c r="A11" t="s" s="23">
        <v>1005</v>
      </c>
      <c r="B11" t="s" s="23">
        <v>1006</v>
      </c>
      <c r="C11" s="32"/>
    </row>
    <row r="12" ht="20.35" customHeight="1">
      <c r="A12" t="s" s="23">
        <v>1007</v>
      </c>
      <c r="B12" t="s" s="23">
        <v>1008</v>
      </c>
      <c r="C12" s="32"/>
    </row>
    <row r="13" ht="20.35" customHeight="1">
      <c r="A13" t="s" s="23">
        <v>1009</v>
      </c>
      <c r="B13" t="s" s="23">
        <v>1010</v>
      </c>
      <c r="C13" s="32"/>
    </row>
    <row r="14" ht="20.35" customHeight="1">
      <c r="A14" t="s" s="23">
        <v>1011</v>
      </c>
      <c r="B14" t="s" s="23">
        <v>1012</v>
      </c>
      <c r="C14" s="32"/>
    </row>
  </sheetData>
  <hyperlinks>
    <hyperlink ref="B3" r:id="rId1" location="" tooltip="" display="https://fvb.cl/"/>
    <hyperlink ref="B4" r:id="rId2" location="" tooltip="" display="http://elnidopropiedades.cl/"/>
    <hyperlink ref="B5" r:id="rId3" location="" tooltip="" display="http://www.mcclure.cl/"/>
    <hyperlink ref="B6" r:id="rId4" location="" tooltip="" display="https://alonsoascui.com"/>
    <hyperlink ref="B7" r:id="rId5" location="" tooltip="" display="http://www.realtycorp.cl"/>
    <hyperlink ref="B8" r:id="rId6" location="" tooltip="" display="http://www.makler.cl"/>
    <hyperlink ref="B9" r:id="rId7" location="" tooltip="" display="http://www.chilesir.com"/>
    <hyperlink ref="B10" r:id="rId8" location="" tooltip="" display="http://www.m4propiedades.cl"/>
    <hyperlink ref="B11" r:id="rId9" location="" tooltip="" display="https://lacasadejuana.cl/la-casa/"/>
    <hyperlink ref="B12" r:id="rId10" location="" tooltip="" display="https://www.casalab.cl"/>
    <hyperlink ref="B13" r:id="rId11" location="" tooltip="" display="https://mandaat.cl"/>
    <hyperlink ref="B14" r:id="rId12" location="" tooltip="" display="https://romopropiedades.cl/"/>
  </hyperlink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G18"/>
  <sheetViews>
    <sheetView workbookViewId="0" showGridLines="0" defaultGridColor="1">
      <pane topLeftCell="B1" xSplit="1" ySplit="0" activePane="topRight" state="frozen"/>
    </sheetView>
  </sheetViews>
  <sheetFormatPr defaultColWidth="16.3333" defaultRowHeight="18" customHeight="1" outlineLevelRow="0" outlineLevelCol="0"/>
  <cols>
    <col min="1" max="7" width="16.3516" style="604" customWidth="1"/>
    <col min="8" max="16384" width="16.3516" style="604" customWidth="1"/>
  </cols>
  <sheetData>
    <row r="1" ht="20.35" customHeight="1">
      <c r="A1" t="s" s="17">
        <v>1014</v>
      </c>
      <c r="B1" s="605">
        <v>550</v>
      </c>
      <c r="C1" s="26" cm="1">
        <f t="array" ref="C1">B1*'depto - Table 2'!$B$1</f>
        <v>22335879.5</v>
      </c>
      <c r="D1" s="164"/>
      <c r="E1" s="164"/>
      <c r="F1" s="164"/>
      <c r="G1" t="s" s="23">
        <v>1015</v>
      </c>
    </row>
    <row r="2" ht="20.35" customHeight="1">
      <c r="A2" t="s" s="17">
        <v>1016</v>
      </c>
      <c r="B2" s="605">
        <v>4.3051</v>
      </c>
      <c r="C2" s="26" cm="1">
        <f t="array" ref="C2">B2*'depto - Table 2'!$B$1</f>
        <v>174833.081519</v>
      </c>
      <c r="D2" s="164"/>
      <c r="E2" s="164"/>
      <c r="F2" s="164"/>
      <c r="G2" t="s" s="23">
        <v>1017</v>
      </c>
    </row>
    <row r="3" ht="20.35" customHeight="1">
      <c r="A3" t="s" s="17">
        <v>1018</v>
      </c>
      <c r="B3" s="605">
        <v>400</v>
      </c>
      <c r="C3" s="26" cm="1">
        <f t="array" ref="C3">B3*E3</f>
        <v>15356836</v>
      </c>
      <c r="D3" s="164"/>
      <c r="E3" s="123">
        <v>38392.09</v>
      </c>
      <c r="F3" s="164"/>
      <c r="G3" s="23"/>
    </row>
    <row r="4" ht="20.35" customHeight="1">
      <c r="A4" t="s" s="17">
        <v>1016</v>
      </c>
      <c r="B4" s="605" cm="1">
        <f t="array" ref="B4">2.4319+0.5372</f>
        <v>2.9691</v>
      </c>
      <c r="C4" s="26" cm="1">
        <f t="array" ref="C4">B4*E3</f>
        <v>113989.954419</v>
      </c>
      <c r="D4" s="164"/>
      <c r="E4" s="164"/>
      <c r="F4" s="164"/>
      <c r="G4" s="23"/>
    </row>
    <row r="5" ht="20.35" customHeight="1">
      <c r="A5" t="s" s="17">
        <v>1019</v>
      </c>
      <c r="B5" s="605" cm="1">
        <f t="array" ref="B5">'depto - dividendos'!D30</f>
        <v>301.6938</v>
      </c>
      <c r="C5" s="26">
        <v>12020000</v>
      </c>
      <c r="D5" s="164"/>
      <c r="E5" s="164"/>
      <c r="F5" s="164"/>
      <c r="G5" s="23"/>
    </row>
    <row r="6" ht="20.35" customHeight="1">
      <c r="A6" s="28"/>
      <c r="B6" s="605"/>
      <c r="C6" s="26" cm="1">
        <f t="array" ref="C6">B6*'depto - Table 2'!$B$1</f>
        <v>0</v>
      </c>
      <c r="D6" s="164"/>
      <c r="E6" s="164"/>
      <c r="F6" s="164"/>
      <c r="G6" s="23"/>
    </row>
    <row r="7" ht="20.35" customHeight="1">
      <c r="A7" s="28"/>
      <c r="B7" s="605"/>
      <c r="C7" s="26"/>
      <c r="D7" s="164"/>
      <c r="E7" s="164"/>
      <c r="F7" s="164"/>
      <c r="G7" s="23"/>
    </row>
    <row r="8" ht="20.35" customHeight="1">
      <c r="A8" s="28"/>
      <c r="B8" s="605"/>
      <c r="C8" s="26"/>
      <c r="D8" s="164"/>
      <c r="E8" s="164"/>
      <c r="F8" s="164"/>
      <c r="G8" s="164"/>
    </row>
    <row r="9" ht="20.35" customHeight="1">
      <c r="A9" t="s" s="17">
        <v>1020</v>
      </c>
      <c r="B9" s="605">
        <v>3643.2967</v>
      </c>
      <c r="C9" s="26" cm="1">
        <f t="array" ref="C9">B9*'depto - Table 2'!$B$1</f>
        <v>147956792.861723</v>
      </c>
      <c r="D9" s="164"/>
      <c r="E9" s="164"/>
      <c r="F9" s="164"/>
      <c r="G9" s="164"/>
    </row>
    <row r="10" ht="20.35" customHeight="1">
      <c r="A10" t="s" s="17">
        <v>1021</v>
      </c>
      <c r="B10" s="605">
        <v>22.134</v>
      </c>
      <c r="C10" s="26" cm="1">
        <f t="array" ref="C10">B10*'depto - Table 2'!$B$1</f>
        <v>898877.01246</v>
      </c>
      <c r="D10" s="164"/>
      <c r="E10" s="164"/>
      <c r="F10" s="164"/>
      <c r="G10" s="164"/>
    </row>
    <row r="11" ht="20.35" customHeight="1">
      <c r="A11" t="s" s="17">
        <v>1022</v>
      </c>
      <c r="B11" s="605">
        <v>8.300000000000001</v>
      </c>
      <c r="C11" s="26" cm="1">
        <f t="array" ref="C11">B11*'depto - Table 2'!$B$1</f>
        <v>337068.727</v>
      </c>
      <c r="D11" s="164"/>
      <c r="E11" s="164"/>
      <c r="F11" s="164"/>
      <c r="G11" s="164"/>
    </row>
    <row r="12" ht="20.35" customHeight="1">
      <c r="A12" t="s" s="17">
        <v>1023</v>
      </c>
      <c r="B12" s="605">
        <v>1.4</v>
      </c>
      <c r="C12" s="26" cm="1">
        <f t="array" ref="C12">B12*'depto - Table 2'!$B$1</f>
        <v>56854.966</v>
      </c>
      <c r="D12" s="164"/>
      <c r="E12" s="164"/>
      <c r="F12" s="164"/>
      <c r="G12" s="164"/>
    </row>
    <row r="13" ht="20.35" customHeight="1">
      <c r="A13" s="28"/>
      <c r="B13" s="578"/>
      <c r="C13" s="164"/>
      <c r="D13" s="164"/>
      <c r="E13" s="164"/>
      <c r="F13" s="164"/>
      <c r="G13" s="164"/>
    </row>
    <row r="14" ht="20.35" customHeight="1">
      <c r="A14" t="s" s="17">
        <v>1024</v>
      </c>
      <c r="B14" s="605" cm="1">
        <f t="array" ref="B14">ROUND(C14/'depto - Table 2'!B1,0)</f>
        <v>37</v>
      </c>
      <c r="C14" s="26">
        <v>1500000</v>
      </c>
      <c r="D14" s="164"/>
      <c r="E14" s="164"/>
      <c r="F14" s="164"/>
      <c r="G14" s="164"/>
    </row>
    <row r="15" ht="20.35" customHeight="1">
      <c r="A15" s="28"/>
      <c r="B15" s="605"/>
      <c r="C15" s="26" cm="1">
        <f t="array" ref="C15">B15*'depto - Table 2'!$B$1</f>
        <v>0</v>
      </c>
      <c r="D15" s="164"/>
      <c r="E15" s="164"/>
      <c r="F15" s="164"/>
      <c r="G15" s="164"/>
    </row>
    <row r="16" ht="20.35" customHeight="1">
      <c r="A16" s="28"/>
      <c r="B16" s="578"/>
      <c r="C16" s="164"/>
      <c r="D16" s="164"/>
      <c r="E16" s="164"/>
      <c r="F16" s="164"/>
      <c r="G16" s="164"/>
    </row>
    <row r="17" ht="20.35" customHeight="1">
      <c r="A17" t="s" s="17">
        <v>1025</v>
      </c>
      <c r="B17" s="605" cm="1">
        <f t="array" ref="B17">'depto - Table 3'!B$14-'depto - Table 3'!D$14</f>
        <v>347.945780404880</v>
      </c>
      <c r="C17" s="26" cm="1">
        <f t="array" ref="C17">B17*'depto - Table 2'!$B$1</f>
        <v>14130318.2248307</v>
      </c>
      <c r="D17" s="164"/>
      <c r="E17" s="164"/>
      <c r="F17" s="164"/>
      <c r="G17" s="164"/>
    </row>
    <row r="18" ht="20.35" customHeight="1">
      <c r="A18" t="s" s="17">
        <v>1026</v>
      </c>
      <c r="B18" s="605" cm="1">
        <f t="array" ref="B18">'depto - Table 3'!B$11-'depto - Table 3'!D$11</f>
        <v>0.1363600456345</v>
      </c>
      <c r="C18" s="26" cm="1">
        <f t="array" ref="C18">B18*'depto - Table 2'!$B$1</f>
        <v>5537.675541648530</v>
      </c>
      <c r="D18" s="164"/>
      <c r="E18" s="164"/>
      <c r="F18" s="164"/>
      <c r="G18" s="164"/>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B2"/>
  <sheetViews>
    <sheetView workbookViewId="0" showGridLines="0" defaultGridColor="1">
      <pane topLeftCell="B1" xSplit="1" ySplit="0" activePane="topRight" state="frozen"/>
    </sheetView>
  </sheetViews>
  <sheetFormatPr defaultColWidth="16.3333" defaultRowHeight="18" customHeight="1" outlineLevelRow="0" outlineLevelCol="0"/>
  <cols>
    <col min="1" max="2" width="16.3516" style="606" customWidth="1"/>
    <col min="3" max="16384" width="16.3516" style="606" customWidth="1"/>
  </cols>
  <sheetData>
    <row r="1" ht="20.35" customHeight="1">
      <c r="A1" t="s" s="17">
        <v>1028</v>
      </c>
      <c r="B1" s="83" cm="1">
        <f t="array" ref="B1">B2</f>
        <v>40610.69</v>
      </c>
    </row>
    <row r="2" ht="20.35" customHeight="1">
      <c r="A2" s="28"/>
      <c r="B2" s="607" cm="1">
        <f t="array" ref="B2">'variables - Table 1'!$B$2</f>
        <v>40610.69</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E15"/>
  <sheetViews>
    <sheetView workbookViewId="0" showGridLines="0" defaultGridColor="1">
      <pane topLeftCell="B1" xSplit="1" ySplit="0" activePane="topRight" state="frozen"/>
    </sheetView>
  </sheetViews>
  <sheetFormatPr defaultColWidth="16.3333" defaultRowHeight="18" customHeight="1" outlineLevelRow="0" outlineLevelCol="0"/>
  <cols>
    <col min="1" max="5" width="16.3516" style="608" customWidth="1"/>
    <col min="6" max="16384" width="16.3516" style="608" customWidth="1"/>
  </cols>
  <sheetData>
    <row r="1" ht="20.35" customHeight="1">
      <c r="A1" t="s" s="17">
        <v>1030</v>
      </c>
      <c r="B1" t="s" s="609">
        <v>1031</v>
      </c>
      <c r="C1" s="99"/>
      <c r="D1" s="99"/>
      <c r="E1" t="s" s="23">
        <v>1032</v>
      </c>
    </row>
    <row r="2" ht="20.35" customHeight="1">
      <c r="A2" s="28"/>
      <c r="B2" s="29"/>
      <c r="C2" s="99"/>
      <c r="D2" s="99"/>
      <c r="E2" t="s" s="23">
        <v>1033</v>
      </c>
    </row>
    <row r="3" ht="20.35" customHeight="1">
      <c r="A3" t="s" s="17">
        <v>1034</v>
      </c>
      <c r="B3" s="18">
        <v>42442</v>
      </c>
      <c r="C3" s="99"/>
      <c r="D3" s="99"/>
      <c r="E3" t="s" s="23">
        <v>1035</v>
      </c>
    </row>
    <row r="4" ht="20.35" customHeight="1">
      <c r="A4" t="s" s="17">
        <v>1036</v>
      </c>
      <c r="B4" s="18">
        <v>59561</v>
      </c>
      <c r="C4" s="99"/>
      <c r="D4" s="99"/>
      <c r="E4" s="32"/>
    </row>
    <row r="5" ht="20.35" customHeight="1">
      <c r="A5" t="s" s="17">
        <v>1037</v>
      </c>
      <c r="B5" s="18">
        <v>2024</v>
      </c>
      <c r="C5" s="99"/>
      <c r="D5" s="99"/>
      <c r="E5" s="32"/>
    </row>
    <row r="6" ht="20.35" customHeight="1">
      <c r="A6" s="28"/>
      <c r="B6" s="29"/>
      <c r="C6" s="99"/>
      <c r="D6" s="99"/>
      <c r="E6" s="32"/>
    </row>
    <row r="7" ht="20.35" customHeight="1">
      <c r="A7" t="s" s="17">
        <v>642</v>
      </c>
      <c r="B7" t="s" s="609">
        <v>1038</v>
      </c>
      <c r="C7" s="99"/>
      <c r="D7" s="99"/>
      <c r="E7" s="99"/>
    </row>
    <row r="8" ht="20.35" customHeight="1">
      <c r="A8" t="s" s="17">
        <v>641</v>
      </c>
      <c r="B8" s="610">
        <v>441002653</v>
      </c>
      <c r="C8" s="99"/>
      <c r="D8" t="s" s="565">
        <v>1039</v>
      </c>
      <c r="E8" s="611">
        <v>52269474</v>
      </c>
    </row>
    <row r="9" ht="20.35" customHeight="1">
      <c r="A9" t="s" s="17">
        <v>160</v>
      </c>
      <c r="B9" t="s" s="609">
        <v>1040</v>
      </c>
      <c r="C9" s="99"/>
      <c r="D9" t="s" s="565">
        <v>1041</v>
      </c>
      <c r="E9" s="99"/>
    </row>
    <row r="10" ht="20.35" customHeight="1">
      <c r="A10" s="28"/>
      <c r="B10" s="29"/>
      <c r="C10" s="99"/>
      <c r="D10" s="99"/>
      <c r="E10" s="99"/>
    </row>
    <row r="11" ht="20.35" customHeight="1">
      <c r="A11" s="28"/>
      <c r="B11" s="29"/>
      <c r="C11" s="99"/>
      <c r="D11" s="99"/>
      <c r="E11" s="611" cm="1">
        <f t="array" ref="E11">322246/2</f>
        <v>161123</v>
      </c>
    </row>
    <row r="12" ht="20.35" customHeight="1">
      <c r="A12" s="28"/>
      <c r="B12" s="29"/>
      <c r="C12" s="99"/>
      <c r="D12" s="99"/>
      <c r="E12" s="99"/>
    </row>
    <row r="13" ht="20.35" customHeight="1">
      <c r="A13" t="s" s="17">
        <v>158</v>
      </c>
      <c r="B13" s="612">
        <v>90000</v>
      </c>
      <c r="C13" s="99"/>
      <c r="D13" s="99"/>
      <c r="E13" s="99"/>
    </row>
    <row r="14" ht="20.35" customHeight="1">
      <c r="A14" s="28"/>
      <c r="B14" s="29"/>
      <c r="C14" s="99"/>
      <c r="D14" s="99"/>
      <c r="E14" s="99"/>
    </row>
    <row r="15" ht="20.35" customHeight="1">
      <c r="A15" s="28"/>
      <c r="B15" s="613"/>
      <c r="C15" s="99"/>
      <c r="D15" s="99"/>
      <c r="E15" s="99"/>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5" width="16.3516" style="614" customWidth="1"/>
    <col min="6" max="16384" width="16.3516" style="614" customWidth="1"/>
  </cols>
  <sheetData>
    <row r="1" ht="28" customHeight="1">
      <c r="A1" t="s" s="90">
        <v>1042</v>
      </c>
      <c r="B1" s="90"/>
      <c r="C1" s="90"/>
      <c r="D1" s="90"/>
      <c r="E1" s="90"/>
    </row>
    <row r="2" ht="20.55" customHeight="1">
      <c r="A2" s="7"/>
      <c r="B2" s="7"/>
      <c r="C2" s="7"/>
      <c r="D2" s="7"/>
      <c r="E2" s="7"/>
    </row>
    <row r="3" ht="20.55" customHeight="1">
      <c r="A3" t="s" s="10">
        <v>1044</v>
      </c>
      <c r="B3" s="81">
        <v>1200000</v>
      </c>
      <c r="C3" s="48" cm="1">
        <f t="array" ref="C3">'depto - dividendos'!J31</f>
        <v>822265</v>
      </c>
      <c r="D3" s="48"/>
      <c r="E3" s="48"/>
    </row>
    <row r="4" ht="20.35" customHeight="1">
      <c r="A4" t="s" s="17">
        <v>158</v>
      </c>
      <c r="B4" s="83">
        <v>82000</v>
      </c>
      <c r="C4" s="26">
        <v>82000</v>
      </c>
      <c r="D4" s="26"/>
      <c r="E4" s="26"/>
    </row>
    <row r="5" ht="20.35" customHeight="1">
      <c r="A5" s="28"/>
      <c r="B5" s="83"/>
      <c r="C5" s="26"/>
      <c r="D5" s="26"/>
      <c r="E5" s="26"/>
    </row>
    <row r="6" ht="20.35" customHeight="1">
      <c r="A6" t="s" s="17">
        <v>630</v>
      </c>
      <c r="B6" s="83" cm="1">
        <f t="array" ref="B6">SUM(B3:B4)</f>
        <v>1282000</v>
      </c>
      <c r="C6" s="26" cm="1">
        <f t="array" ref="C6">SUM(C3:C4)</f>
        <v>904265</v>
      </c>
      <c r="D6" s="26"/>
      <c r="E6" s="26"/>
    </row>
    <row r="7" ht="20.35" customHeight="1">
      <c r="A7" s="28"/>
      <c r="B7" s="83"/>
      <c r="C7" s="26"/>
      <c r="D7" s="26"/>
      <c r="E7" s="26"/>
    </row>
    <row r="8" ht="20.35" customHeight="1">
      <c r="A8" s="615">
        <v>1</v>
      </c>
      <c r="B8" s="83" cm="1">
        <f t="array" ref="B8">B$6*$A8</f>
        <v>1282000</v>
      </c>
      <c r="C8" s="26" cm="1">
        <f t="array" ref="C8">C$6*$A8</f>
        <v>904265</v>
      </c>
      <c r="D8" s="32"/>
      <c r="E8" s="26" cm="1">
        <f t="array" ref="E8">B8-C8</f>
        <v>377735</v>
      </c>
    </row>
    <row r="9" ht="20.35" customHeight="1">
      <c r="A9" s="615">
        <v>3</v>
      </c>
      <c r="B9" s="83" cm="1">
        <f t="array" ref="B9">B$6*$A9</f>
        <v>3846000</v>
      </c>
      <c r="C9" s="26" cm="1">
        <f t="array" ref="C9">C$6*$A9</f>
        <v>2712795</v>
      </c>
      <c r="D9" s="32"/>
      <c r="E9" s="26" cm="1">
        <f t="array" ref="E9">B9-C9</f>
        <v>1133205</v>
      </c>
    </row>
    <row r="10" ht="20.35" customHeight="1">
      <c r="A10" s="615">
        <v>6</v>
      </c>
      <c r="B10" s="83" cm="1">
        <f t="array" ref="B10">B$6*$A10</f>
        <v>7692000</v>
      </c>
      <c r="C10" s="26" cm="1">
        <f t="array" ref="C10">C$6*$A10</f>
        <v>5425590</v>
      </c>
      <c r="D10" s="32"/>
      <c r="E10" s="26" cm="1">
        <f t="array" ref="E10">B10-C10</f>
        <v>2266410</v>
      </c>
    </row>
    <row r="11" ht="20.35" customHeight="1">
      <c r="A11" s="615">
        <v>12</v>
      </c>
      <c r="B11" s="83" cm="1">
        <f t="array" ref="B11">B$6*$A11</f>
        <v>15384000</v>
      </c>
      <c r="C11" s="26" cm="1">
        <f t="array" ref="C11">C$6*$A11</f>
        <v>10851180</v>
      </c>
      <c r="D11" s="32"/>
      <c r="E11" s="26" cm="1">
        <f t="array" ref="E11">B11-C11</f>
        <v>4532820</v>
      </c>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G26"/>
  <sheetViews>
    <sheetView workbookViewId="0" showGridLines="0" defaultGridColor="1"/>
  </sheetViews>
  <sheetFormatPr defaultColWidth="16.3333" defaultRowHeight="18" customHeight="1" outlineLevelRow="0" outlineLevelCol="0"/>
  <cols>
    <col min="1" max="7" width="16.3516" style="616" customWidth="1"/>
    <col min="8" max="16384" width="16.3516" style="616" customWidth="1"/>
  </cols>
  <sheetData>
    <row r="1" ht="20.35" customHeight="1">
      <c r="A1" t="s" s="287">
        <v>1046</v>
      </c>
      <c r="B1" s="285"/>
      <c r="C1" s="32"/>
      <c r="D1" s="32"/>
      <c r="E1" s="32"/>
      <c r="F1" s="32"/>
      <c r="G1" s="32"/>
    </row>
    <row r="2" ht="20.35" customHeight="1">
      <c r="A2" s="287"/>
      <c r="B2" s="293"/>
      <c r="C2" s="247"/>
      <c r="D2" s="247"/>
      <c r="E2" s="247"/>
      <c r="F2" s="247"/>
      <c r="G2" s="247"/>
    </row>
    <row r="3" ht="20.35" customHeight="1">
      <c r="A3" t="s" s="287">
        <v>650</v>
      </c>
      <c r="B3" s="294">
        <v>1933</v>
      </c>
      <c r="C3" s="247">
        <v>1991</v>
      </c>
      <c r="D3" s="247" cm="1">
        <f t="array" ref="D3">B3*5</f>
        <v>9665</v>
      </c>
      <c r="E3" s="247" cm="1">
        <f t="array" ref="E3">D2-$D$12</f>
        <v>-50304</v>
      </c>
      <c r="F3" s="288" cm="1">
        <f t="array" ref="F3">ROUND(E3/B3,1)</f>
        <v>-26</v>
      </c>
      <c r="G3" s="288" cm="1">
        <f t="array" ref="G3">-F3</f>
        <v>26</v>
      </c>
    </row>
    <row r="4" ht="20.35" customHeight="1">
      <c r="A4" t="s" s="287">
        <v>651</v>
      </c>
      <c r="B4" s="294">
        <v>1557</v>
      </c>
      <c r="C4" s="247">
        <v>1604</v>
      </c>
      <c r="D4" s="247" cm="1">
        <f t="array" ref="D4">D3+5*B4</f>
        <v>17450</v>
      </c>
      <c r="E4" s="247" cm="1">
        <f t="array" ref="E4">D3-$D$12</f>
        <v>-40639</v>
      </c>
      <c r="F4" s="289" cm="1">
        <f t="array" ref="F4">ROUND(E4/B4,1)</f>
        <v>-26.1</v>
      </c>
      <c r="G4" s="289" cm="1">
        <f t="array" ref="G4">5-F4</f>
        <v>31.1</v>
      </c>
    </row>
    <row r="5" ht="20.35" customHeight="1">
      <c r="A5" t="s" s="287">
        <v>652</v>
      </c>
      <c r="B5" s="294">
        <v>1556</v>
      </c>
      <c r="C5" s="247">
        <v>1603</v>
      </c>
      <c r="D5" s="247" cm="1">
        <f t="array" ref="D5">B5*15+D4</f>
        <v>40790</v>
      </c>
      <c r="E5" s="247" cm="1">
        <f t="array" ref="E5">D4-$D$12</f>
        <v>-32854</v>
      </c>
      <c r="F5" s="289" cm="1">
        <f t="array" ref="F5">ROUND(E5/B5,1)</f>
        <v>-21.1</v>
      </c>
      <c r="G5" s="289" cm="1">
        <f t="array" ref="G5">10-F5</f>
        <v>31.1</v>
      </c>
    </row>
    <row r="6" ht="20.35" customHeight="1">
      <c r="A6" t="s" s="287">
        <v>653</v>
      </c>
      <c r="B6" s="294">
        <v>1242</v>
      </c>
      <c r="C6" s="247">
        <v>1279</v>
      </c>
      <c r="D6" s="247" cm="1">
        <f t="array" ref="D6">B6*15+D5</f>
        <v>59420</v>
      </c>
      <c r="E6" s="247" cm="1">
        <f t="array" ref="E6">D5-$D$12</f>
        <v>-9514</v>
      </c>
      <c r="F6" s="289" cm="1">
        <f t="array" ref="F6">ROUND(E6/B6,1)</f>
        <v>-7.7</v>
      </c>
      <c r="G6" s="289" cm="1">
        <f t="array" ref="G6">25-F6</f>
        <v>32.7</v>
      </c>
    </row>
    <row r="7" ht="20.35" customHeight="1">
      <c r="A7" t="s" s="287">
        <v>654</v>
      </c>
      <c r="B7" s="294">
        <v>805</v>
      </c>
      <c r="C7" s="247">
        <v>829</v>
      </c>
      <c r="D7" s="247" cm="1">
        <f t="array" ref="D7">B7*20+D6</f>
        <v>75520</v>
      </c>
      <c r="E7" s="247" cm="1">
        <f t="array" ref="E7">D6-$D$12</f>
        <v>9116</v>
      </c>
      <c r="F7" s="289" cm="1">
        <f t="array" ref="F7">ROUND(E7/B7,1)</f>
        <v>11.3</v>
      </c>
      <c r="G7" s="289" cm="1">
        <f t="array" ref="G7">40-F7</f>
        <v>28.7</v>
      </c>
    </row>
    <row r="8" ht="20.35" customHeight="1">
      <c r="A8" s="287"/>
      <c r="B8" s="294"/>
      <c r="C8" s="247"/>
      <c r="D8" s="247"/>
      <c r="E8" s="247" cm="1">
        <f t="array" ref="E8">D7-$D$12</f>
        <v>25216</v>
      </c>
      <c r="F8" s="288" cm="1">
        <f t="array" ref="F8">ROUND(E8/B8,1)</f>
      </c>
      <c r="G8" s="288" cm="1">
        <f t="array" ref="G8">10-F8</f>
      </c>
    </row>
    <row r="9" ht="20.35" customHeight="1">
      <c r="A9" s="287"/>
      <c r="B9" s="294"/>
      <c r="C9" s="247"/>
      <c r="D9" s="247"/>
      <c r="E9" s="247"/>
      <c r="F9" s="247"/>
      <c r="G9" s="247"/>
    </row>
    <row r="10" ht="20.35" customHeight="1">
      <c r="A10" s="287"/>
      <c r="B10" s="294"/>
      <c r="C10" s="247"/>
      <c r="D10" s="247"/>
      <c r="E10" s="247"/>
      <c r="F10" s="247"/>
      <c r="G10" s="247"/>
    </row>
    <row r="11" ht="20.35" customHeight="1">
      <c r="A11" s="287"/>
      <c r="B11" s="294"/>
      <c r="C11" s="247"/>
      <c r="D11" s="247"/>
      <c r="E11" s="247"/>
      <c r="F11" s="247"/>
      <c r="G11" s="247"/>
    </row>
    <row r="12" ht="20.35" customHeight="1">
      <c r="A12" s="287"/>
      <c r="B12" s="294"/>
      <c r="C12" s="247"/>
      <c r="D12" s="247">
        <v>50304</v>
      </c>
      <c r="E12" s="247"/>
      <c r="F12" s="247"/>
      <c r="G12" s="247"/>
    </row>
    <row r="13" ht="20.35" customHeight="1">
      <c r="A13" s="287"/>
      <c r="B13" s="294"/>
      <c r="C13" s="247"/>
      <c r="D13" s="247"/>
      <c r="E13" s="247"/>
      <c r="F13" s="247"/>
      <c r="G13" s="247"/>
    </row>
    <row r="14" ht="20.35" customHeight="1">
      <c r="A14" s="287"/>
      <c r="B14" s="294"/>
      <c r="C14" s="247"/>
      <c r="D14" s="247"/>
      <c r="E14" s="247"/>
      <c r="F14" s="247"/>
      <c r="G14" s="247"/>
    </row>
    <row r="15" ht="20.35" customHeight="1">
      <c r="A15" s="287"/>
      <c r="B15" s="294"/>
      <c r="C15" s="247"/>
      <c r="D15" s="247"/>
      <c r="E15" s="247"/>
      <c r="F15" s="247"/>
      <c r="G15" s="247"/>
    </row>
    <row r="16" ht="20.35" customHeight="1">
      <c r="A16" s="287"/>
      <c r="B16" s="294"/>
      <c r="C16" s="247"/>
      <c r="D16" s="247"/>
      <c r="E16" s="247"/>
      <c r="F16" s="247"/>
      <c r="G16" s="247"/>
    </row>
    <row r="17" ht="20.35" customHeight="1">
      <c r="A17" s="287"/>
      <c r="B17" s="294"/>
      <c r="C17" s="247"/>
      <c r="D17" s="247"/>
      <c r="E17" s="247"/>
      <c r="F17" s="247"/>
      <c r="G17" s="247"/>
    </row>
    <row r="18" ht="20.35" customHeight="1">
      <c r="A18" s="287"/>
      <c r="B18" s="294"/>
      <c r="C18" s="247"/>
      <c r="D18" s="247"/>
      <c r="E18" s="247"/>
      <c r="F18" s="247"/>
      <c r="G18" s="247"/>
    </row>
    <row r="19" ht="20.35" customHeight="1">
      <c r="A19" s="287"/>
      <c r="B19" s="294"/>
      <c r="C19" s="247"/>
      <c r="D19" s="247"/>
      <c r="E19" s="247"/>
      <c r="F19" s="247"/>
      <c r="G19" s="247"/>
    </row>
    <row r="20" ht="20.35" customHeight="1">
      <c r="A20" s="287"/>
      <c r="B20" s="294"/>
      <c r="C20" s="247"/>
      <c r="D20" s="247"/>
      <c r="E20" s="247"/>
      <c r="F20" s="247"/>
      <c r="G20" s="247"/>
    </row>
    <row r="21" ht="20.35" customHeight="1">
      <c r="A21" s="287"/>
      <c r="B21" s="294"/>
      <c r="C21" s="247"/>
      <c r="D21" s="247"/>
      <c r="E21" s="247"/>
      <c r="F21" s="247"/>
      <c r="G21" s="247"/>
    </row>
    <row r="22" ht="20.35" customHeight="1">
      <c r="A22" s="287"/>
      <c r="B22" s="294"/>
      <c r="C22" s="247"/>
      <c r="D22" s="247"/>
      <c r="E22" s="247"/>
      <c r="F22" s="247"/>
      <c r="G22" s="247"/>
    </row>
    <row r="23" ht="20.35" customHeight="1">
      <c r="A23" s="287"/>
      <c r="B23" s="294"/>
      <c r="C23" s="247"/>
      <c r="D23" s="247"/>
      <c r="E23" s="247"/>
      <c r="F23" s="247"/>
      <c r="G23" s="247"/>
    </row>
    <row r="24" ht="20.35" customHeight="1">
      <c r="A24" s="287"/>
      <c r="B24" s="294"/>
      <c r="C24" s="247"/>
      <c r="D24" s="247"/>
      <c r="E24" s="247"/>
      <c r="F24" s="247"/>
      <c r="G24" s="247"/>
    </row>
    <row r="25" ht="20.35" customHeight="1">
      <c r="A25" s="287"/>
      <c r="B25" s="294"/>
      <c r="C25" s="247"/>
      <c r="D25" s="247"/>
      <c r="E25" s="247"/>
      <c r="F25" s="247"/>
      <c r="G25" s="247"/>
    </row>
    <row r="26" ht="20.35" customHeight="1">
      <c r="A26" s="287"/>
      <c r="B26" s="294"/>
      <c r="C26" s="247"/>
      <c r="D26" s="247"/>
      <c r="E26" s="247"/>
      <c r="F26" s="247"/>
      <c r="G26" s="247"/>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O58"/>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2" width="16.3516" style="617" customWidth="1"/>
    <col min="3" max="3" width="20" style="617" customWidth="1"/>
    <col min="4" max="15" width="16.3516" style="617" customWidth="1"/>
    <col min="16" max="16384" width="16.3516" style="617" customWidth="1"/>
  </cols>
  <sheetData>
    <row r="1" ht="20.55" customHeight="1">
      <c r="A1" s="7"/>
      <c r="B1" t="s" s="8">
        <v>1049</v>
      </c>
      <c r="C1" s="7"/>
      <c r="D1" s="220">
        <v>2024</v>
      </c>
      <c r="E1" s="220">
        <v>2025</v>
      </c>
      <c r="F1" s="220">
        <v>2026</v>
      </c>
      <c r="G1" s="220">
        <v>2027</v>
      </c>
      <c r="H1" s="220">
        <v>2028</v>
      </c>
      <c r="I1" s="220">
        <v>2029</v>
      </c>
      <c r="J1" s="220">
        <v>2030</v>
      </c>
      <c r="K1" s="220">
        <v>2031</v>
      </c>
      <c r="L1" s="220">
        <v>2032</v>
      </c>
      <c r="M1" s="220">
        <v>2033</v>
      </c>
      <c r="N1" s="220">
        <v>2034</v>
      </c>
      <c r="O1" s="220">
        <v>2035</v>
      </c>
    </row>
    <row r="2" ht="20.55" customHeight="1">
      <c r="A2" s="618"/>
      <c r="B2" s="225"/>
      <c r="C2" s="82"/>
      <c r="D2" s="484" cm="1">
        <f t="array" ref="D2">'depto - dividendos'!H14</f>
        <v>0.042</v>
      </c>
      <c r="E2" s="484" cm="1">
        <f t="array" ref="E2">'depto - dividendos'!H27</f>
        <v>0.0337187557061995</v>
      </c>
      <c r="F2" s="47">
        <v>0.05</v>
      </c>
      <c r="G2" s="47">
        <v>0.05</v>
      </c>
      <c r="H2" s="484">
        <v>0.045</v>
      </c>
      <c r="I2" s="47">
        <v>0.04</v>
      </c>
      <c r="J2" s="47">
        <v>0.03</v>
      </c>
      <c r="K2" s="47">
        <v>0.03</v>
      </c>
      <c r="L2" s="47">
        <v>0.03</v>
      </c>
      <c r="M2" s="47">
        <v>0.03</v>
      </c>
      <c r="N2" s="47">
        <v>0.03</v>
      </c>
      <c r="O2" s="47">
        <v>0.03</v>
      </c>
    </row>
    <row r="3" ht="20.35" customHeight="1">
      <c r="A3" s="619">
        <v>1</v>
      </c>
      <c r="B3" s="238" cm="1">
        <f t="array" ref="B3">A3*'depto - Table 2'!$B$2</f>
        <v>40610.69</v>
      </c>
      <c r="C3" s="32"/>
      <c r="D3" s="26" cm="1">
        <f t="array" ref="D3">'depto - dividendos'!F14</f>
        <v>38367.21</v>
      </c>
      <c r="E3" s="26" cm="1">
        <f t="array" ref="E3">'depto - dividendos'!F27</f>
        <v>39651.25</v>
      </c>
      <c r="F3" s="26" cm="1">
        <f t="array" ref="F3">'depto - dividendos'!F40</f>
        <v>41672.2718797779</v>
      </c>
      <c r="G3" s="26" cm="1">
        <f t="array" ref="G3">'depto - dividendos'!F52</f>
        <v>43799.1504218424</v>
      </c>
      <c r="H3" s="26" cm="1">
        <f t="array" ref="H3">'depto - dividendos'!F64</f>
        <v>45804.5921427555</v>
      </c>
      <c r="I3" s="26" cm="1">
        <f t="array" ref="I3">'depto - dividendos'!F76</f>
        <v>47661.338013374</v>
      </c>
      <c r="J3" s="26" cm="1">
        <f t="array" ref="J3">'depto - dividendos'!F88</f>
        <v>49092.8109299114</v>
      </c>
      <c r="K3" s="26" cm="1">
        <f t="array" ref="K3">'depto - dividendos'!F100</f>
        <v>50567.2770731644</v>
      </c>
      <c r="L3" s="26" cm="1">
        <f t="array" ref="L3">'depto - dividendos'!F112</f>
        <v>52086.0277127909</v>
      </c>
      <c r="M3" s="26" cm="1">
        <f t="array" ref="M3">'depto - dividendos'!F124</f>
        <v>53650.3929007751</v>
      </c>
      <c r="N3" s="26" cm="1">
        <f t="array" ref="N3">'depto - dividendos'!F136</f>
        <v>55261.7426362249</v>
      </c>
      <c r="O3" s="26" cm="1">
        <f t="array" ref="O3">'depto - dividendos'!F148</f>
        <v>56921.4880651555</v>
      </c>
    </row>
    <row r="4" ht="20.35" customHeight="1">
      <c r="A4" s="619">
        <v>5</v>
      </c>
      <c r="B4" s="238" cm="1">
        <f t="array" ref="B4">A4*'depto - Table 2'!$B$2</f>
        <v>203053.45</v>
      </c>
      <c r="C4" s="32"/>
      <c r="D4" s="26" cm="1">
        <f t="array" ref="D4">$A4*D$3</f>
        <v>191836.05</v>
      </c>
      <c r="E4" s="26" cm="1">
        <f t="array" ref="E4">$A4*E$3</f>
        <v>198256.25</v>
      </c>
      <c r="F4" s="26" cm="1">
        <f t="array" ref="F4">$A4*F$3</f>
        <v>208361.35939889</v>
      </c>
      <c r="G4" s="26" cm="1">
        <f t="array" ref="G4">$A4*G$3</f>
        <v>218995.752109212</v>
      </c>
      <c r="H4" s="26" cm="1">
        <f t="array" ref="H4">$A4*H$3</f>
        <v>229022.960713778</v>
      </c>
      <c r="I4" s="26" cm="1">
        <f t="array" ref="I4">$A4*I$3</f>
        <v>238306.69006687</v>
      </c>
      <c r="J4" s="26" cm="1">
        <f t="array" ref="J4">$A4*J$3</f>
        <v>245464.054649557</v>
      </c>
      <c r="K4" s="26" cm="1">
        <f t="array" ref="K4">$A4*K$3</f>
        <v>252836.385365822</v>
      </c>
      <c r="L4" s="26" cm="1">
        <f t="array" ref="L4">$A4*L$3</f>
        <v>260430.138563955</v>
      </c>
      <c r="M4" s="26" cm="1">
        <f t="array" ref="M4">$A4*M$3</f>
        <v>268251.964503876</v>
      </c>
      <c r="N4" s="26" cm="1">
        <f t="array" ref="N4">$A4*N$3</f>
        <v>276308.713181125</v>
      </c>
      <c r="O4" s="26" cm="1">
        <f t="array" ref="O4">$A4*O$3</f>
        <v>284607.440325778</v>
      </c>
    </row>
    <row r="5" ht="20.35" customHeight="1">
      <c r="A5" s="619">
        <v>10</v>
      </c>
      <c r="B5" s="238" cm="1">
        <f t="array" ref="B5">A5*'depto - Table 2'!$B$2</f>
        <v>406106.9</v>
      </c>
      <c r="C5" s="32"/>
      <c r="D5" s="26" cm="1">
        <f t="array" ref="D5">$A5*D$3</f>
        <v>383672.1</v>
      </c>
      <c r="E5" s="26" cm="1">
        <f t="array" ref="E5">$A5*E$3</f>
        <v>396512.5</v>
      </c>
      <c r="F5" s="26" cm="1">
        <f t="array" ref="F5">$A5*F$3</f>
        <v>416722.718797779</v>
      </c>
      <c r="G5" s="26" cm="1">
        <f t="array" ref="G5">$A5*G$3</f>
        <v>437991.504218424</v>
      </c>
      <c r="H5" s="26" cm="1">
        <f t="array" ref="H5">$A5*H$3</f>
        <v>458045.921427555</v>
      </c>
      <c r="I5" s="26" cm="1">
        <f t="array" ref="I5">$A5*I$3</f>
        <v>476613.38013374</v>
      </c>
      <c r="J5" s="26" cm="1">
        <f t="array" ref="J5">$A5*J$3</f>
        <v>490928.109299114</v>
      </c>
      <c r="K5" s="26" cm="1">
        <f t="array" ref="K5">$A5*K$3</f>
        <v>505672.770731644</v>
      </c>
      <c r="L5" s="26" cm="1">
        <f t="array" ref="L5">$A5*L$3</f>
        <v>520860.277127909</v>
      </c>
      <c r="M5" s="26" cm="1">
        <f t="array" ref="M5">$A5*M$3</f>
        <v>536503.9290077511</v>
      </c>
      <c r="N5" s="26" cm="1">
        <f t="array" ref="N5">$A5*N$3</f>
        <v>552617.426362249</v>
      </c>
      <c r="O5" s="26" cm="1">
        <f t="array" ref="O5">$A5*O$3</f>
        <v>569214.880651555</v>
      </c>
    </row>
    <row r="6" ht="20.35" customHeight="1">
      <c r="A6" s="620" cm="1">
        <f t="array" ref="A6">'depto - dividendos'!Y40</f>
        <v>10.4792042246168</v>
      </c>
      <c r="B6" s="238" cm="1">
        <f t="array" ref="B6">A6*'depto - Table 2'!$B$2</f>
        <v>425567.714212603</v>
      </c>
      <c r="C6" t="s" s="23">
        <v>1050</v>
      </c>
      <c r="D6" s="26" cm="1">
        <f t="array" ref="D6">$A6*D$3</f>
        <v>402057.82911876</v>
      </c>
      <c r="E6" s="26" cm="1">
        <f t="array" ref="E6">$A6*E$3</f>
        <v>415513.546511337</v>
      </c>
      <c r="F6" s="26" cm="1">
        <f t="array" ref="F6">$A6*F$3</f>
        <v>436692.247531948</v>
      </c>
      <c r="G6" s="26" cm="1">
        <f t="array" ref="G6">$A6*G$3</f>
        <v>458980.242135198</v>
      </c>
      <c r="H6" s="26" cm="1">
        <f t="array" ref="H6">$A6*H$3</f>
        <v>479995.675489213</v>
      </c>
      <c r="I6" s="26" cm="1">
        <f t="array" ref="I6">$A6*I$3</f>
        <v>499452.894660638</v>
      </c>
      <c r="J6" s="26" cm="1">
        <f t="array" ref="J6">$A6*J$3</f>
        <v>514453.591695041</v>
      </c>
      <c r="K6" s="26" cm="1">
        <f t="array" ref="K6">$A6*K$3</f>
        <v>529904.8235324729</v>
      </c>
      <c r="L6" s="26" cm="1">
        <f t="array" ref="L6">$A6*L$3</f>
        <v>545820.121651386</v>
      </c>
      <c r="M6" s="26" cm="1">
        <f t="array" ref="M6">$A6*M$3</f>
        <v>562213.423938154</v>
      </c>
      <c r="N6" s="26" cm="1">
        <f t="array" ref="N6">$A6*N$3</f>
        <v>579099.086893214</v>
      </c>
      <c r="O6" s="26" cm="1">
        <f t="array" ref="O6">$A6*O$3</f>
        <v>596491.898203852</v>
      </c>
    </row>
    <row r="7" ht="20.35" customHeight="1">
      <c r="A7" s="620" cm="1">
        <f t="array" ref="A7">'depto - dividendos'!Y33</f>
        <v>11.5896</v>
      </c>
      <c r="B7" s="238" cm="1">
        <f t="array" ref="B7">A7*'depto - Table 2'!$B$2</f>
        <v>470661.652824</v>
      </c>
      <c r="C7" t="s" s="23">
        <v>1051</v>
      </c>
      <c r="D7" s="26" cm="1">
        <f t="array" ref="D7">$A7*D$3</f>
        <v>444660.617016</v>
      </c>
      <c r="E7" s="26" cm="1">
        <f t="array" ref="E7">$A7*E$3</f>
        <v>459542.127</v>
      </c>
      <c r="F7" s="26" cm="1">
        <f t="array" ref="F7">$A7*F$3</f>
        <v>482964.962177874</v>
      </c>
      <c r="G7" s="26" cm="1">
        <f t="array" ref="G7">$A7*G$3</f>
        <v>507614.633728985</v>
      </c>
      <c r="H7" s="26" cm="1">
        <f t="array" ref="H7">$A7*H$3</f>
        <v>530856.901097679</v>
      </c>
      <c r="I7" s="26" cm="1">
        <f t="array" ref="I7">$A7*I$3</f>
        <v>552375.843039799</v>
      </c>
      <c r="J7" s="26" cm="1">
        <f t="array" ref="J7">$A7*J$3</f>
        <v>568966.041553301</v>
      </c>
      <c r="K7" s="26" cm="1">
        <f t="array" ref="K7">$A7*K$3</f>
        <v>586054.514367146</v>
      </c>
      <c r="L7" s="26" cm="1">
        <f t="array" ref="L7">$A7*L$3</f>
        <v>603656.226780161</v>
      </c>
      <c r="M7" s="26" cm="1">
        <f t="array" ref="M7">$A7*M$3</f>
        <v>621786.593562823</v>
      </c>
      <c r="N7" s="26" cm="1">
        <f t="array" ref="N7">$A7*N$3</f>
        <v>640461.492456792</v>
      </c>
      <c r="O7" s="26" cm="1">
        <f t="array" ref="O7">$A7*O$3</f>
        <v>659697.278079926</v>
      </c>
    </row>
    <row r="8" ht="20.35" customHeight="1">
      <c r="A8" s="620" cm="1">
        <f t="array" ref="A8">'depto - dividendos'!BH33*2+'depto - dividendos'!$P$163</f>
        <v>16.6107</v>
      </c>
      <c r="B8" s="238" cm="1">
        <f t="array" ref="B8">A8*'depto - Table 2'!$B$2</f>
        <v>674571.988383</v>
      </c>
      <c r="C8" t="s" s="23">
        <v>1052</v>
      </c>
      <c r="D8" s="26" cm="1">
        <f t="array" ref="D8">$A8*D$3</f>
        <v>637306.215147</v>
      </c>
      <c r="E8" s="26" cm="1">
        <f t="array" ref="E8">$A8*E$3</f>
        <v>658635.018375</v>
      </c>
      <c r="F8" s="26" cm="1">
        <f t="array" ref="F8">$A8*F$3</f>
        <v>692205.606513427</v>
      </c>
      <c r="G8" s="26" cm="1">
        <f t="array" ref="G8">$A8*G$3</f>
        <v>727534.547912098</v>
      </c>
      <c r="H8" s="26" cm="1">
        <f t="array" ref="H8">$A8*H$3</f>
        <v>760846.338705669</v>
      </c>
      <c r="I8" s="26" cm="1">
        <f t="array" ref="I8">$A8*I$3</f>
        <v>791688.187338752</v>
      </c>
      <c r="J8" s="26" cm="1">
        <f t="array" ref="J8">$A8*J$3</f>
        <v>815465.954513479</v>
      </c>
      <c r="K8" s="26" cm="1">
        <f t="array" ref="K8">$A8*K$3</f>
        <v>839957.869279212</v>
      </c>
      <c r="L8" s="26" cm="1">
        <f t="array" ref="L8">$A8*L$3</f>
        <v>865185.380528856</v>
      </c>
      <c r="M8" s="26" cm="1">
        <f t="array" ref="M8">$A8*M$3</f>
        <v>891170.5813569051</v>
      </c>
      <c r="N8" s="26" cm="1">
        <f t="array" ref="N8">$A8*N$3</f>
        <v>917936.2284075411</v>
      </c>
      <c r="O8" s="26" cm="1">
        <f t="array" ref="O8">$A8*O$3</f>
        <v>945505.761803878</v>
      </c>
    </row>
    <row r="9" ht="20.35" customHeight="1">
      <c r="A9" s="619">
        <v>20</v>
      </c>
      <c r="B9" s="238" cm="1">
        <f t="array" ref="B9">A9*'depto - Table 2'!$B$2</f>
        <v>812213.8</v>
      </c>
      <c r="C9" s="32"/>
      <c r="D9" s="26" cm="1">
        <f t="array" ref="D9">$A9*D$3</f>
        <v>767344.2</v>
      </c>
      <c r="E9" s="26" cm="1">
        <f t="array" ref="E9">$A9*E$3</f>
        <v>793025</v>
      </c>
      <c r="F9" s="26" cm="1">
        <f t="array" ref="F9">$A9*F$3</f>
        <v>833445.437595558</v>
      </c>
      <c r="G9" s="26" cm="1">
        <f t="array" ref="G9">$A9*G$3</f>
        <v>875983.0084368479</v>
      </c>
      <c r="H9" s="26" cm="1">
        <f t="array" ref="H9">$A9*H$3</f>
        <v>916091.8428551099</v>
      </c>
      <c r="I9" s="26" cm="1">
        <f t="array" ref="I9">$A9*I$3</f>
        <v>953226.76026748</v>
      </c>
      <c r="J9" s="26" cm="1">
        <f t="array" ref="J9">$A9*J$3</f>
        <v>981856.2185982279</v>
      </c>
      <c r="K9" s="26" cm="1">
        <f t="array" ref="K9">$A9*K$3</f>
        <v>1011345.54146329</v>
      </c>
      <c r="L9" s="26" cm="1">
        <f t="array" ref="L9">$A9*L$3</f>
        <v>1041720.55425582</v>
      </c>
      <c r="M9" s="26" cm="1">
        <f t="array" ref="M9">$A9*M$3</f>
        <v>1073007.8580155</v>
      </c>
      <c r="N9" s="26" cm="1">
        <f t="array" ref="N9">$A9*N$3</f>
        <v>1105234.8527245</v>
      </c>
      <c r="O9" s="26" cm="1">
        <f t="array" ref="O9">$A9*O$3</f>
        <v>1138429.76130311</v>
      </c>
    </row>
    <row r="10" ht="20.35" customHeight="1">
      <c r="A10" s="620" cm="1">
        <f t="array" ref="A10">'depto - dividendos'!Y8</f>
        <v>22.47</v>
      </c>
      <c r="B10" s="238" cm="1">
        <f t="array" ref="B10">A10*'depto - Table 2'!$B$2</f>
        <v>912522.2043</v>
      </c>
      <c r="C10" s="32"/>
      <c r="D10" s="26" cm="1">
        <f t="array" ref="D10">$A10*D$3</f>
        <v>862111.2087</v>
      </c>
      <c r="E10" s="26" cm="1">
        <f t="array" ref="E10">$A10*E$3</f>
        <v>890963.5875</v>
      </c>
      <c r="F10" s="26" cm="1">
        <f t="array" ref="F10">$A10*F$3</f>
        <v>936375.949138609</v>
      </c>
      <c r="G10" s="26" cm="1">
        <f t="array" ref="G10">$A10*G$3</f>
        <v>984166.9099787991</v>
      </c>
      <c r="H10" s="26" cm="1">
        <f t="array" ref="H10">$A10*H$3</f>
        <v>1029229.18544772</v>
      </c>
      <c r="I10" s="26" cm="1">
        <f t="array" ref="I10">$A10*I$3</f>
        <v>1070950.26516051</v>
      </c>
      <c r="J10" s="26" cm="1">
        <f t="array" ref="J10">$A10*J$3</f>
        <v>1103115.46159511</v>
      </c>
      <c r="K10" s="26" cm="1">
        <f t="array" ref="K10">$A10*K$3</f>
        <v>1136246.715834</v>
      </c>
      <c r="L10" s="26" cm="1">
        <f t="array" ref="L10">$A10*L$3</f>
        <v>1170373.04270641</v>
      </c>
      <c r="M10" s="26" cm="1">
        <f t="array" ref="M10">$A10*M$3</f>
        <v>1205524.32848042</v>
      </c>
      <c r="N10" s="26" cm="1">
        <f t="array" ref="N10">$A10*N$3</f>
        <v>1241731.35703597</v>
      </c>
      <c r="O10" s="26" cm="1">
        <f t="array" ref="O10">$A10*O$3</f>
        <v>1279025.83682404</v>
      </c>
    </row>
    <row r="11" ht="20.35" customHeight="1">
      <c r="A11" s="621">
        <v>25</v>
      </c>
      <c r="B11" s="238" cm="1">
        <f t="array" ref="B11">A11*'depto - Table 2'!$B$2</f>
        <v>1015267.25</v>
      </c>
      <c r="C11" t="s" s="23">
        <v>1053</v>
      </c>
      <c r="D11" s="26" cm="1">
        <f t="array" ref="D11">$A11*D$3</f>
        <v>959180.25</v>
      </c>
      <c r="E11" s="26" cm="1">
        <f t="array" ref="E11">$A11*E$3</f>
        <v>991281.25</v>
      </c>
      <c r="F11" s="26" cm="1">
        <f t="array" ref="F11">$A11*F$3</f>
        <v>1041806.79699445</v>
      </c>
      <c r="G11" s="26" cm="1">
        <f t="array" ref="G11">$A11*G$3</f>
        <v>1094978.76054606</v>
      </c>
      <c r="H11" s="26" cm="1">
        <f t="array" ref="H11">$A11*H$3</f>
        <v>1145114.80356889</v>
      </c>
      <c r="I11" s="26" cm="1">
        <f t="array" ref="I11">$A11*I$3</f>
        <v>1191533.45033435</v>
      </c>
      <c r="J11" s="26" cm="1">
        <f t="array" ref="J11">$A11*J$3</f>
        <v>1227320.27324779</v>
      </c>
      <c r="K11" s="26" cm="1">
        <f t="array" ref="K11">$A11*K$3</f>
        <v>1264181.92682911</v>
      </c>
      <c r="L11" s="26" cm="1">
        <f t="array" ref="L11">$A11*L$3</f>
        <v>1302150.69281977</v>
      </c>
      <c r="M11" s="26" cm="1">
        <f t="array" ref="M11">$A11*M$3</f>
        <v>1341259.82251938</v>
      </c>
      <c r="N11" s="26" cm="1">
        <f t="array" ref="N11">$A11*N$3</f>
        <v>1381543.56590562</v>
      </c>
      <c r="O11" s="26" cm="1">
        <f t="array" ref="O11">$A11*O$3</f>
        <v>1423037.20162889</v>
      </c>
    </row>
    <row r="12" ht="20.35" customHeight="1">
      <c r="A12" s="620" cm="1">
        <f t="array" ref="A12">B12/B3</f>
        <v>30.3066789275715</v>
      </c>
      <c r="B12" s="238" cm="1">
        <f t="array" ref="B12">AVERAGE('depto - dividendos'!BL28:BL34)*2</f>
        <v>1230775.14285714</v>
      </c>
      <c r="C12" t="s" s="23">
        <v>1054</v>
      </c>
      <c r="D12" s="26" cm="1">
        <f t="array" ref="D12">$A12*D$3</f>
        <v>1162782.71481671</v>
      </c>
      <c r="E12" s="26" cm="1">
        <f t="array" ref="E12">$A12*E$3</f>
        <v>1201697.70282687</v>
      </c>
      <c r="F12" s="26" cm="1">
        <f t="array" ref="F12">$A12*F$3</f>
        <v>1262948.1640429</v>
      </c>
      <c r="G12" s="26" cm="1">
        <f t="array" ref="G12">$A12*G$3</f>
        <v>1327406.78913519</v>
      </c>
      <c r="H12" s="26" cm="1">
        <f t="array" ref="H12">$A12*H$3</f>
        <v>1388185.06747886</v>
      </c>
      <c r="I12" s="26" cm="1">
        <f t="array" ref="I12">$A12*I$3</f>
        <v>1444456.86842978</v>
      </c>
      <c r="J12" s="26" cm="1">
        <f t="array" ref="J12">$A12*J$3</f>
        <v>1487840.0585048</v>
      </c>
      <c r="K12" s="26" cm="1">
        <f t="array" ref="K12">$A12*K$3</f>
        <v>1532526.23049794</v>
      </c>
      <c r="L12" s="26" cm="1">
        <f t="array" ref="L12">$A12*L$3</f>
        <v>1578554.51850415</v>
      </c>
      <c r="M12" s="26" cm="1">
        <f t="array" ref="M12">$A12*M$3</f>
        <v>1625965.23198185</v>
      </c>
      <c r="N12" s="26" cm="1">
        <f t="array" ref="N12">$A12*N$3</f>
        <v>1674799.89105416</v>
      </c>
      <c r="O12" s="26" cm="1">
        <f t="array" ref="O12">$A12*O$3</f>
        <v>1725101.26287026</v>
      </c>
    </row>
    <row r="13" ht="20.35" customHeight="1">
      <c r="A13" s="620" cm="1">
        <f t="array" ref="A13">'depto - dividendos'!AD33</f>
        <v>25.198954829413</v>
      </c>
      <c r="B13" s="238" cm="1">
        <f t="array" ref="B13">A13*'depto - Table 2'!$B$2</f>
        <v>1023346.94290129</v>
      </c>
      <c r="C13" t="s" s="23">
        <v>1055</v>
      </c>
      <c r="D13" s="26" cm="1">
        <f t="array" ref="D13">$A13*D$3</f>
        <v>966813.5917206031</v>
      </c>
      <c r="E13" s="26" cm="1">
        <f t="array" ref="E13">$A13*E$3</f>
        <v>999170.057679762</v>
      </c>
      <c r="F13" s="26" cm="1">
        <f t="array" ref="F13">$A13*F$3</f>
        <v>1050097.69673754</v>
      </c>
      <c r="G13" s="26" cm="1">
        <f t="array" ref="G13">$A13*G$3</f>
        <v>1103692.81304667</v>
      </c>
      <c r="H13" s="26" cm="1">
        <f t="array" ref="H13">$A13*H$3</f>
        <v>1154227.84838498</v>
      </c>
      <c r="I13" s="26" cm="1">
        <f t="array" ref="I13">$A13*I$3</f>
        <v>1201015.9037084</v>
      </c>
      <c r="J13" s="26" cm="1">
        <f t="array" ref="J13">$A13*J$3</f>
        <v>1237087.52507175</v>
      </c>
      <c r="K13" s="26" cm="1">
        <f t="array" ref="K13">$A13*K$3</f>
        <v>1274242.53081308</v>
      </c>
      <c r="L13" s="26" cm="1">
        <f t="array" ref="L13">$A13*L$3</f>
        <v>1312513.45957817</v>
      </c>
      <c r="M13" s="26" cm="1">
        <f t="array" ref="M13">$A13*M$3</f>
        <v>1351933.82728689</v>
      </c>
      <c r="N13" s="26" cm="1">
        <f t="array" ref="N13">$A13*N$3</f>
        <v>1392538.15648488</v>
      </c>
      <c r="O13" s="26" cm="1">
        <f t="array" ref="O13">$A13*O$3</f>
        <v>1434362.00657682</v>
      </c>
    </row>
    <row r="14" ht="20.35" customHeight="1">
      <c r="A14" s="619">
        <v>40</v>
      </c>
      <c r="B14" s="238" cm="1">
        <f t="array" ref="B14">A14*'depto - Table 2'!$B$2</f>
        <v>1624427.6</v>
      </c>
      <c r="C14" s="32"/>
      <c r="D14" s="26" cm="1">
        <f t="array" ref="D14">$A14*D$3</f>
        <v>1534688.4</v>
      </c>
      <c r="E14" s="26" cm="1">
        <f t="array" ref="E14">$A14*E$3</f>
        <v>1586050</v>
      </c>
      <c r="F14" s="26" cm="1">
        <f t="array" ref="F14">$A14*F$3</f>
        <v>1666890.87519112</v>
      </c>
      <c r="G14" s="26" cm="1">
        <f t="array" ref="G14">$A14*G$3</f>
        <v>1751966.0168737</v>
      </c>
      <c r="H14" s="26" cm="1">
        <f t="array" ref="H14">$A14*H$3</f>
        <v>1832183.68571022</v>
      </c>
      <c r="I14" s="26" cm="1">
        <f t="array" ref="I14">$A14*I$3</f>
        <v>1906453.52053496</v>
      </c>
      <c r="J14" s="26" cm="1">
        <f t="array" ref="J14">$A14*J$3</f>
        <v>1963712.43719646</v>
      </c>
      <c r="K14" s="26" cm="1">
        <f t="array" ref="K14">$A14*K$3</f>
        <v>2022691.08292658</v>
      </c>
      <c r="L14" s="26" cm="1">
        <f t="array" ref="L14">$A14*L$3</f>
        <v>2083441.10851164</v>
      </c>
      <c r="M14" s="26" cm="1">
        <f t="array" ref="M14">$A14*M$3</f>
        <v>2146015.716031</v>
      </c>
      <c r="N14" s="26" cm="1">
        <f t="array" ref="N14">$A14*N$3</f>
        <v>2210469.705449</v>
      </c>
      <c r="O14" s="26" cm="1">
        <f t="array" ref="O14">$A14*O$3</f>
        <v>2276859.52260622</v>
      </c>
    </row>
    <row r="15" ht="20.35" customHeight="1">
      <c r="A15" s="619">
        <v>50</v>
      </c>
      <c r="B15" s="238" cm="1">
        <f t="array" ref="B15">A15*'depto - Table 2'!$B$2</f>
        <v>2030534.5</v>
      </c>
      <c r="C15" s="32"/>
      <c r="D15" s="26" cm="1">
        <f t="array" ref="D15">$A15*D$3</f>
        <v>1918360.5</v>
      </c>
      <c r="E15" s="26" cm="1">
        <f t="array" ref="E15">$A15*E$3</f>
        <v>1982562.5</v>
      </c>
      <c r="F15" s="26" cm="1">
        <f t="array" ref="F15">$A15*F$3</f>
        <v>2083613.5939889</v>
      </c>
      <c r="G15" s="26" cm="1">
        <f t="array" ref="G15">$A15*G$3</f>
        <v>2189957.52109212</v>
      </c>
      <c r="H15" s="26" cm="1">
        <f t="array" ref="H15">$A15*H$3</f>
        <v>2290229.60713778</v>
      </c>
      <c r="I15" s="26" cm="1">
        <f t="array" ref="I15">$A15*I$3</f>
        <v>2383066.9006687</v>
      </c>
      <c r="J15" s="26" cm="1">
        <f t="array" ref="J15">$A15*J$3</f>
        <v>2454640.54649557</v>
      </c>
      <c r="K15" s="26" cm="1">
        <f t="array" ref="K15">$A15*K$3</f>
        <v>2528363.85365822</v>
      </c>
      <c r="L15" s="26" cm="1">
        <f t="array" ref="L15">$A15*L$3</f>
        <v>2604301.38563955</v>
      </c>
      <c r="M15" s="26" cm="1">
        <f t="array" ref="M15">$A15*M$3</f>
        <v>2682519.64503876</v>
      </c>
      <c r="N15" s="26" cm="1">
        <f t="array" ref="N15">$A15*N$3</f>
        <v>2763087.13181125</v>
      </c>
      <c r="O15" s="26" cm="1">
        <f t="array" ref="O15">$A15*O$3</f>
        <v>2846074.40325778</v>
      </c>
    </row>
    <row r="16" ht="20.35" customHeight="1">
      <c r="A16" s="619">
        <v>80</v>
      </c>
      <c r="B16" s="238" cm="1">
        <f t="array" ref="B16">A16*'depto - Table 2'!$B$2</f>
        <v>3248855.2</v>
      </c>
      <c r="C16" s="32"/>
      <c r="D16" s="26" cm="1">
        <f t="array" ref="D16">$A16*D$3</f>
        <v>3069376.8</v>
      </c>
      <c r="E16" s="26" cm="1">
        <f t="array" ref="E16">$A16*E$3</f>
        <v>3172100</v>
      </c>
      <c r="F16" s="26" cm="1">
        <f t="array" ref="F16">$A16*F$3</f>
        <v>3333781.75038223</v>
      </c>
      <c r="G16" s="26" cm="1">
        <f t="array" ref="G16">$A16*G$3</f>
        <v>3503932.03374739</v>
      </c>
      <c r="H16" s="26" cm="1">
        <f t="array" ref="H16">$A16*H$3</f>
        <v>3664367.37142044</v>
      </c>
      <c r="I16" s="26" cm="1">
        <f t="array" ref="I16">$A16*I$3</f>
        <v>3812907.04106992</v>
      </c>
      <c r="J16" s="26" cm="1">
        <f t="array" ref="J16">$A16*J$3</f>
        <v>3927424.87439291</v>
      </c>
      <c r="K16" s="26" cm="1">
        <f t="array" ref="K16">$A16*K$3</f>
        <v>4045382.16585315</v>
      </c>
      <c r="L16" s="26" cm="1">
        <f t="array" ref="L16">$A16*L$3</f>
        <v>4166882.21702327</v>
      </c>
      <c r="M16" s="26" cm="1">
        <f t="array" ref="M16">$A16*M$3</f>
        <v>4292031.43206201</v>
      </c>
      <c r="N16" s="26" cm="1">
        <f t="array" ref="N16">$A16*N$3</f>
        <v>4420939.41089799</v>
      </c>
      <c r="O16" s="26" cm="1">
        <f t="array" ref="O16">$A16*O$3</f>
        <v>4553719.04521244</v>
      </c>
    </row>
    <row r="17" ht="20.35" customHeight="1">
      <c r="A17" s="620" cm="1">
        <f t="array" ref="A17">'depto - dividendos'!AF33</f>
        <v>79.7641</v>
      </c>
      <c r="B17" s="238" cm="1">
        <f t="array" ref="B17">A17*'depto - Table 2'!$B$2</f>
        <v>3239275.138229</v>
      </c>
      <c r="C17" t="s" s="23">
        <v>1056</v>
      </c>
      <c r="D17" s="26" cm="1">
        <f t="array" ref="D17">$A17*D$3</f>
        <v>3060325.975161</v>
      </c>
      <c r="E17" s="26" cm="1">
        <f t="array" ref="E17">$A17*E$3</f>
        <v>3162746.270125</v>
      </c>
      <c r="F17" s="26" cm="1">
        <f t="array" ref="F17">$A17*F$3</f>
        <v>3323951.26144579</v>
      </c>
      <c r="G17" s="26" cm="1">
        <f t="array" ref="G17">$A17*G$3</f>
        <v>3493599.81416288</v>
      </c>
      <c r="H17" s="26" cm="1">
        <f t="array" ref="H17">$A17*H$3</f>
        <v>3653562.06813396</v>
      </c>
      <c r="I17" s="26" cm="1">
        <f t="array" ref="I17">$A17*I$3</f>
        <v>3801663.73143257</v>
      </c>
      <c r="J17" s="26" cm="1">
        <f t="array" ref="J17">$A17*J$3</f>
        <v>3915843.88029455</v>
      </c>
      <c r="K17" s="26" cm="1">
        <f t="array" ref="K17">$A17*K$3</f>
        <v>4033453.34519159</v>
      </c>
      <c r="L17" s="26" cm="1">
        <f t="array" ref="L17">$A17*L$3</f>
        <v>4154595.12308582</v>
      </c>
      <c r="M17" s="26" cm="1">
        <f t="array" ref="M17">$A17*M$3</f>
        <v>4279375.30437672</v>
      </c>
      <c r="N17" s="26" cm="1">
        <f t="array" ref="N17">$A17*N$3</f>
        <v>4407903.16581011</v>
      </c>
      <c r="O17" s="26" cm="1">
        <f t="array" ref="O17">$A17*O$3</f>
        <v>4540291.26617787</v>
      </c>
    </row>
    <row r="18" ht="20.35" customHeight="1">
      <c r="A18" s="619">
        <v>100</v>
      </c>
      <c r="B18" s="238" cm="1">
        <f t="array" ref="B18">A18*'depto - Table 2'!$B$2</f>
        <v>4061069</v>
      </c>
      <c r="C18" s="32"/>
      <c r="D18" s="26" cm="1">
        <f t="array" ref="D18">$A18*D$3</f>
        <v>3836721</v>
      </c>
      <c r="E18" s="26" cm="1">
        <f t="array" ref="E18">$A18*E$3</f>
        <v>3965125</v>
      </c>
      <c r="F18" s="26" cm="1">
        <f t="array" ref="F18">$A18*F$3</f>
        <v>4167227.18797779</v>
      </c>
      <c r="G18" s="26" cm="1">
        <f t="array" ref="G18">$A18*G$3</f>
        <v>4379915.04218424</v>
      </c>
      <c r="H18" s="26" cm="1">
        <f t="array" ref="H18">$A18*H$3</f>
        <v>4580459.21427555</v>
      </c>
      <c r="I18" s="26" cm="1">
        <f t="array" ref="I18">$A18*I$3</f>
        <v>4766133.8013374</v>
      </c>
      <c r="J18" s="26" cm="1">
        <f t="array" ref="J18">$A18*J$3</f>
        <v>4909281.09299114</v>
      </c>
      <c r="K18" s="26" cm="1">
        <f t="array" ref="K18">$A18*K$3</f>
        <v>5056727.70731644</v>
      </c>
      <c r="L18" s="26" cm="1">
        <f t="array" ref="L18">$A18*L$3</f>
        <v>5208602.77127909</v>
      </c>
      <c r="M18" s="26" cm="1">
        <f t="array" ref="M18">$A18*M$3</f>
        <v>5365039.29007751</v>
      </c>
      <c r="N18" s="26" cm="1">
        <f t="array" ref="N18">$A18*N$3</f>
        <v>5526174.26362249</v>
      </c>
      <c r="O18" s="26" cm="1">
        <f t="array" ref="O18">$A18*O$3</f>
        <v>5692148.80651555</v>
      </c>
    </row>
    <row r="19" ht="20.35" customHeight="1">
      <c r="A19" s="619">
        <v>150</v>
      </c>
      <c r="B19" s="238" cm="1">
        <f t="array" ref="B19">A19*'depto - Table 2'!$B$2</f>
        <v>6091603.5</v>
      </c>
      <c r="C19" s="32"/>
      <c r="D19" s="26" cm="1">
        <f t="array" ref="D19">$A19*D$3</f>
        <v>5755081.5</v>
      </c>
      <c r="E19" s="26" cm="1">
        <f t="array" ref="E19">$A19*E$3</f>
        <v>5947687.5</v>
      </c>
      <c r="F19" s="26" cm="1">
        <f t="array" ref="F19">$A19*F$3</f>
        <v>6250840.78196669</v>
      </c>
      <c r="G19" s="26" cm="1">
        <f t="array" ref="G19">$A19*G$3</f>
        <v>6569872.56327636</v>
      </c>
      <c r="H19" s="26" cm="1">
        <f t="array" ref="H19">$A19*H$3</f>
        <v>6870688.82141333</v>
      </c>
      <c r="I19" s="26" cm="1">
        <f t="array" ref="I19">$A19*I$3</f>
        <v>7149200.7020061</v>
      </c>
      <c r="J19" s="26" cm="1">
        <f t="array" ref="J19">$A19*J$3</f>
        <v>7363921.63948671</v>
      </c>
      <c r="K19" s="26" cm="1">
        <f t="array" ref="K19">$A19*K$3</f>
        <v>7585091.56097466</v>
      </c>
      <c r="L19" s="26" cm="1">
        <f t="array" ref="L19">$A19*L$3</f>
        <v>7812904.15691864</v>
      </c>
      <c r="M19" s="26" cm="1">
        <f t="array" ref="M19">$A19*M$3</f>
        <v>8047558.93511627</v>
      </c>
      <c r="N19" s="26" cm="1">
        <f t="array" ref="N19">$A19*N$3</f>
        <v>8289261.39543374</v>
      </c>
      <c r="O19" s="26" cm="1">
        <f t="array" ref="O19">$A19*O$3</f>
        <v>8538223.20977333</v>
      </c>
    </row>
    <row r="20" ht="20.35" customHeight="1">
      <c r="A20" s="621" cm="1">
        <f t="array" ref="A20">'depto - dividendos'!A$163/10</f>
        <v>183.54735</v>
      </c>
      <c r="B20" s="238" cm="1">
        <f t="array" ref="B20">A20*'depto - Table 2'!$B$2</f>
        <v>7453984.5311715</v>
      </c>
      <c r="C20" t="s" s="23">
        <v>1057</v>
      </c>
      <c r="D20" s="26" cm="1">
        <f t="array" ref="D20">$A20*D$3</f>
        <v>7042199.7223935</v>
      </c>
      <c r="E20" s="26" cm="1">
        <f t="array" ref="E20">$A20*E$3</f>
        <v>7277881.8616875</v>
      </c>
      <c r="F20" s="26" cm="1">
        <f t="array" ref="F20">$A20*F$3</f>
        <v>7648835.07201275</v>
      </c>
      <c r="G20" s="26" cm="1">
        <f t="array" ref="G20">$A20*G$3</f>
        <v>8039217.99218055</v>
      </c>
      <c r="H20" s="26" cm="1">
        <f t="array" ref="H20">$A20*H$3</f>
        <v>8407311.505633591</v>
      </c>
      <c r="I20" s="26" cm="1">
        <f t="array" ref="I20">$A20*I$3</f>
        <v>8748112.289809059</v>
      </c>
      <c r="J20" s="26" cm="1">
        <f t="array" ref="J20">$A20*J$3</f>
        <v>9010855.350236271</v>
      </c>
      <c r="K20" s="26" cm="1">
        <f t="array" ref="K20">$A20*K$3</f>
        <v>9281489.70349508</v>
      </c>
      <c r="L20" s="26" cm="1">
        <f t="array" ref="L20">$A20*L$3</f>
        <v>9560252.35870933</v>
      </c>
      <c r="M20" s="26" cm="1">
        <f t="array" ref="M20">$A20*M$3</f>
        <v>9847387.44339608</v>
      </c>
      <c r="N20" s="26" cm="1">
        <f t="array" ref="N20">$A20*N$3</f>
        <v>10143146.4172611</v>
      </c>
      <c r="O20" s="26" cm="1">
        <f t="array" ref="O20">$A20*O$3</f>
        <v>10447788.2924159</v>
      </c>
    </row>
    <row r="21" ht="20.35" customHeight="1">
      <c r="A21" s="619">
        <v>200</v>
      </c>
      <c r="B21" s="238" cm="1">
        <f t="array" ref="B21">A21*'depto - Table 2'!$B$2</f>
        <v>8122138</v>
      </c>
      <c r="C21" s="32"/>
      <c r="D21" s="26" cm="1">
        <f t="array" ref="D21">$A21*D$3</f>
        <v>7673442</v>
      </c>
      <c r="E21" s="26" cm="1">
        <f t="array" ref="E21">$A21*E$3</f>
        <v>7930250</v>
      </c>
      <c r="F21" s="26" cm="1">
        <f t="array" ref="F21">$A21*F$3</f>
        <v>8334454.37595558</v>
      </c>
      <c r="G21" s="26" cm="1">
        <f t="array" ref="G21">$A21*G$3</f>
        <v>8759830.08436848</v>
      </c>
      <c r="H21" s="26" cm="1">
        <f t="array" ref="H21">$A21*H$3</f>
        <v>9160918.4285511</v>
      </c>
      <c r="I21" s="26" cm="1">
        <f t="array" ref="I21">$A21*I$3</f>
        <v>9532267.602674801</v>
      </c>
      <c r="J21" s="26" cm="1">
        <f t="array" ref="J21">$A21*J$3</f>
        <v>9818562.185982279</v>
      </c>
      <c r="K21" s="26" cm="1">
        <f t="array" ref="K21">$A21*K$3</f>
        <v>10113455.4146329</v>
      </c>
      <c r="L21" s="26" cm="1">
        <f t="array" ref="L21">$A21*L$3</f>
        <v>10417205.5425582</v>
      </c>
      <c r="M21" s="26" cm="1">
        <f t="array" ref="M21">$A21*M$3</f>
        <v>10730078.580155</v>
      </c>
      <c r="N21" s="26" cm="1">
        <f t="array" ref="N21">$A21*N$3</f>
        <v>11052348.527245</v>
      </c>
      <c r="O21" s="26" cm="1">
        <f t="array" ref="O21">$A21*O$3</f>
        <v>11384297.6130311</v>
      </c>
    </row>
    <row r="22" ht="20.35" customHeight="1">
      <c r="A22" s="622" cm="1">
        <f t="array" ref="A22">B22/'depto - Table 2'!B1</f>
        <v>218.400623087172</v>
      </c>
      <c r="B22" s="238" cm="1">
        <f t="array" ref="B22">C22*'variables - Table 1'!B13</f>
        <v>8869400</v>
      </c>
      <c r="C22" s="54" cm="1">
        <f t="array" ref="C22">10000</f>
        <v>10000</v>
      </c>
      <c r="D22" s="314"/>
      <c r="E22" s="314"/>
      <c r="F22" s="314"/>
      <c r="G22" s="314"/>
      <c r="H22" s="623"/>
      <c r="I22" s="623"/>
      <c r="J22" s="314"/>
      <c r="K22" s="623"/>
      <c r="L22" s="623"/>
      <c r="M22" s="623"/>
      <c r="N22" s="623"/>
      <c r="O22" s="314"/>
    </row>
    <row r="23" ht="20.35" customHeight="1">
      <c r="A23" s="619">
        <v>225</v>
      </c>
      <c r="B23" s="238" cm="1">
        <f t="array" ref="B23">A23*'depto - Table 2'!$B$2</f>
        <v>9137405.25</v>
      </c>
      <c r="C23" s="32"/>
      <c r="D23" s="26" cm="1">
        <f t="array" ref="D23">$A23*D$3</f>
        <v>8632622.25</v>
      </c>
      <c r="E23" s="26" cm="1">
        <f t="array" ref="E23">$A23*E$3</f>
        <v>8921531.25</v>
      </c>
      <c r="F23" s="26" cm="1">
        <f t="array" ref="F23">$A23*F$3</f>
        <v>9376261.172950029</v>
      </c>
      <c r="G23" s="26" cm="1">
        <f t="array" ref="G23">$A23*G$3</f>
        <v>9854808.844914541</v>
      </c>
      <c r="H23" s="26" cm="1">
        <f t="array" ref="H23">$A23*H$3</f>
        <v>10306033.23212</v>
      </c>
      <c r="I23" s="26" cm="1">
        <f t="array" ref="I23">$A23*I$3</f>
        <v>10723801.0530092</v>
      </c>
      <c r="J23" s="26" cm="1">
        <f t="array" ref="J23">$A23*J$3</f>
        <v>11045882.4592301</v>
      </c>
      <c r="K23" s="26" cm="1">
        <f t="array" ref="K23">$A23*K$3</f>
        <v>11377637.341462</v>
      </c>
      <c r="L23" s="26" cm="1">
        <f t="array" ref="L23">$A23*L$3</f>
        <v>11719356.235378</v>
      </c>
      <c r="M23" s="26" cm="1">
        <f t="array" ref="M23">$A23*M$3</f>
        <v>12071338.4026744</v>
      </c>
      <c r="N23" s="26" cm="1">
        <f t="array" ref="N23">$A23*N$3</f>
        <v>12433892.0931506</v>
      </c>
      <c r="O23" s="26" cm="1">
        <f t="array" ref="O23">$A23*O$3</f>
        <v>12807334.81466</v>
      </c>
    </row>
    <row r="24" ht="20.35" customHeight="1">
      <c r="A24" s="619">
        <v>250</v>
      </c>
      <c r="B24" s="238" cm="1">
        <f t="array" ref="B24">A24*'depto - Table 2'!$B$2</f>
        <v>10152672.5</v>
      </c>
      <c r="C24" s="32"/>
      <c r="D24" s="26" cm="1">
        <f t="array" ref="D24">$A24*D$3</f>
        <v>9591802.5</v>
      </c>
      <c r="E24" s="26" cm="1">
        <f t="array" ref="E24">$A24*E$3</f>
        <v>9912812.5</v>
      </c>
      <c r="F24" s="26" cm="1">
        <f t="array" ref="F24">$A24*F$3</f>
        <v>10418067.9699445</v>
      </c>
      <c r="G24" s="26" cm="1">
        <f t="array" ref="G24">$A24*G$3</f>
        <v>10949787.6054606</v>
      </c>
      <c r="H24" s="26" cm="1">
        <f t="array" ref="H24">$A24*H$3</f>
        <v>11451148.0356889</v>
      </c>
      <c r="I24" s="26" cm="1">
        <f t="array" ref="I24">$A24*I$3</f>
        <v>11915334.5033435</v>
      </c>
      <c r="J24" s="26" cm="1">
        <f t="array" ref="J24">$A24*J$3</f>
        <v>12273202.7324779</v>
      </c>
      <c r="K24" s="26" cm="1">
        <f t="array" ref="K24">$A24*K$3</f>
        <v>12641819.2682911</v>
      </c>
      <c r="L24" s="26" cm="1">
        <f t="array" ref="L24">$A24*L$3</f>
        <v>13021506.9281977</v>
      </c>
      <c r="M24" s="26" cm="1">
        <f t="array" ref="M24">$A24*M$3</f>
        <v>13412598.2251938</v>
      </c>
      <c r="N24" s="26" cm="1">
        <f t="array" ref="N24">$A24*N$3</f>
        <v>13815435.6590562</v>
      </c>
      <c r="O24" s="26" cm="1">
        <f t="array" ref="O24">$A24*O$3</f>
        <v>14230372.0162889</v>
      </c>
    </row>
    <row r="25" ht="20.35" customHeight="1">
      <c r="A25" s="619">
        <v>300</v>
      </c>
      <c r="B25" s="238" cm="1">
        <f t="array" ref="B25">A25*'depto - Table 2'!$B$2</f>
        <v>12183207</v>
      </c>
      <c r="C25" s="32"/>
      <c r="D25" s="26" cm="1">
        <f t="array" ref="D25">$A25*D$3</f>
        <v>11510163</v>
      </c>
      <c r="E25" s="26" cm="1">
        <f t="array" ref="E25">$A25*E$3</f>
        <v>11895375</v>
      </c>
      <c r="F25" s="26" cm="1">
        <f t="array" ref="F25">$A25*F$3</f>
        <v>12501681.5639334</v>
      </c>
      <c r="G25" s="26" cm="1">
        <f t="array" ref="G25">$A25*G$3</f>
        <v>13139745.1265527</v>
      </c>
      <c r="H25" s="26" cm="1">
        <f t="array" ref="H25">$A25*H$3</f>
        <v>13741377.6428267</v>
      </c>
      <c r="I25" s="26" cm="1">
        <f t="array" ref="I25">$A25*I$3</f>
        <v>14298401.4040122</v>
      </c>
      <c r="J25" s="26" cm="1">
        <f t="array" ref="J25">$A25*J$3</f>
        <v>14727843.2789734</v>
      </c>
      <c r="K25" s="26" cm="1">
        <f t="array" ref="K25">$A25*K$3</f>
        <v>15170183.1219493</v>
      </c>
      <c r="L25" s="26" cm="1">
        <f t="array" ref="L25">$A25*L$3</f>
        <v>15625808.3138373</v>
      </c>
      <c r="M25" s="26" cm="1">
        <f t="array" ref="M25">$A25*M$3</f>
        <v>16095117.8702325</v>
      </c>
      <c r="N25" s="26" cm="1">
        <f t="array" ref="N25">$A25*N$3</f>
        <v>16578522.7908675</v>
      </c>
      <c r="O25" s="26" cm="1">
        <f t="array" ref="O25">$A25*O$3</f>
        <v>17076446.4195467</v>
      </c>
    </row>
    <row r="26" ht="20.35" customHeight="1">
      <c r="A26" s="621" cm="1">
        <f t="array" ref="A26">'depto - dividendos'!$K148</f>
        <v>356.3272</v>
      </c>
      <c r="B26" s="238" cm="1">
        <f t="array" ref="B26">O26</f>
        <v>20282674.4620903</v>
      </c>
      <c r="C26" t="s" s="23">
        <v>1058</v>
      </c>
      <c r="D26" s="314"/>
      <c r="E26" s="314"/>
      <c r="F26" s="314"/>
      <c r="G26" s="314"/>
      <c r="H26" s="314"/>
      <c r="I26" s="314"/>
      <c r="J26" s="624"/>
      <c r="K26" s="314"/>
      <c r="L26" s="314"/>
      <c r="M26" s="314"/>
      <c r="N26" s="314"/>
      <c r="O26" s="625" cm="1">
        <f t="array" ref="O26">$A26*O$3</f>
        <v>20282674.4620903</v>
      </c>
    </row>
    <row r="27" ht="20.35" customHeight="1">
      <c r="A27" s="619">
        <v>400</v>
      </c>
      <c r="B27" s="238" cm="1">
        <f t="array" ref="B27">A27*'depto - Table 2'!$B$2</f>
        <v>16244276</v>
      </c>
      <c r="C27" s="32"/>
      <c r="D27" s="26" cm="1">
        <f t="array" ref="D27">$A27*D$3</f>
        <v>15346884</v>
      </c>
      <c r="E27" s="26" cm="1">
        <f t="array" ref="E27">$A27*E$3</f>
        <v>15860500</v>
      </c>
      <c r="F27" s="26" cm="1">
        <f t="array" ref="F27">$A27*F$3</f>
        <v>16668908.7519112</v>
      </c>
      <c r="G27" s="26" cm="1">
        <f t="array" ref="G27">$A27*G$3</f>
        <v>17519660.168737</v>
      </c>
      <c r="H27" s="26" cm="1">
        <f t="array" ref="H27">$A27*H$3</f>
        <v>18321836.8571022</v>
      </c>
      <c r="I27" s="26" cm="1">
        <f t="array" ref="I27">$A27*I$3</f>
        <v>19064535.2053496</v>
      </c>
      <c r="J27" s="26" cm="1">
        <f t="array" ref="J27">$A27*J$3</f>
        <v>19637124.3719646</v>
      </c>
      <c r="K27" s="26" cm="1">
        <f t="array" ref="K27">$A27*K$3</f>
        <v>20226910.8292658</v>
      </c>
      <c r="L27" s="26" cm="1">
        <f t="array" ref="L27">$A27*L$3</f>
        <v>20834411.0851164</v>
      </c>
      <c r="M27" s="26" cm="1">
        <f t="array" ref="M27">$A27*M$3</f>
        <v>21460157.16031</v>
      </c>
      <c r="N27" s="26" cm="1">
        <f t="array" ref="N27">$A27*N$3</f>
        <v>22104697.05449</v>
      </c>
      <c r="O27" s="26" cm="1">
        <f t="array" ref="O27">$A27*O$3</f>
        <v>22768595.2260622</v>
      </c>
    </row>
    <row r="28" ht="20.35" customHeight="1">
      <c r="A28" s="619">
        <v>500</v>
      </c>
      <c r="B28" s="238" cm="1">
        <f t="array" ref="B28">A28*'depto - Table 2'!$B$2</f>
        <v>20305345</v>
      </c>
      <c r="C28" s="32"/>
      <c r="D28" s="26" cm="1">
        <f t="array" ref="D28">$A28*D$3</f>
        <v>19183605</v>
      </c>
      <c r="E28" s="26" cm="1">
        <f t="array" ref="E28">$A28*E$3</f>
        <v>19825625</v>
      </c>
      <c r="F28" s="26" cm="1">
        <f t="array" ref="F28">$A28*F$3</f>
        <v>20836135.939889</v>
      </c>
      <c r="G28" s="26" cm="1">
        <f t="array" ref="G28">$A28*G$3</f>
        <v>21899575.2109212</v>
      </c>
      <c r="H28" s="26" cm="1">
        <f t="array" ref="H28">$A28*H$3</f>
        <v>22902296.0713778</v>
      </c>
      <c r="I28" s="26" cm="1">
        <f t="array" ref="I28">$A28*I$3</f>
        <v>23830669.006687</v>
      </c>
      <c r="J28" s="26" cm="1">
        <f t="array" ref="J28">$A28*J$3</f>
        <v>24546405.4649557</v>
      </c>
      <c r="K28" s="26" cm="1">
        <f t="array" ref="K28">$A28*K$3</f>
        <v>25283638.5365822</v>
      </c>
      <c r="L28" s="26" cm="1">
        <f t="array" ref="L28">$A28*L$3</f>
        <v>26043013.8563955</v>
      </c>
      <c r="M28" s="26" cm="1">
        <f t="array" ref="M28">$A28*M$3</f>
        <v>26825196.4503876</v>
      </c>
      <c r="N28" s="26" cm="1">
        <f t="array" ref="N28">$A28*N$3</f>
        <v>27630871.3181125</v>
      </c>
      <c r="O28" s="26" cm="1">
        <f t="array" ref="O28">$A28*O$3</f>
        <v>28460744.0325778</v>
      </c>
    </row>
    <row r="29" ht="20.35" customHeight="1">
      <c r="A29" s="621" cm="1">
        <f t="array" ref="A29">'depto - dividendos'!K136</f>
        <v>507.3467</v>
      </c>
      <c r="B29" s="238" cm="1">
        <f t="array" ref="B29">N29</f>
        <v>28036862.762738</v>
      </c>
      <c r="C29" t="s" s="23">
        <v>1059</v>
      </c>
      <c r="D29" s="314"/>
      <c r="E29" s="314"/>
      <c r="F29" s="314"/>
      <c r="G29" s="314"/>
      <c r="H29" s="314"/>
      <c r="I29" s="314"/>
      <c r="J29" s="624"/>
      <c r="K29" s="314"/>
      <c r="L29" s="314"/>
      <c r="M29" s="314"/>
      <c r="N29" s="625" cm="1">
        <f t="array" ref="N29">$A29*N$3</f>
        <v>28036862.762738</v>
      </c>
      <c r="O29" s="314"/>
    </row>
    <row r="30" ht="20.35" customHeight="1">
      <c r="A30" s="619">
        <v>600</v>
      </c>
      <c r="B30" s="238" cm="1">
        <f t="array" ref="B30">A30*'depto - Table 2'!$B$2</f>
        <v>24366414</v>
      </c>
      <c r="C30" s="32"/>
      <c r="D30" s="26" cm="1">
        <f t="array" ref="D30">$A30*D$3</f>
        <v>23020326</v>
      </c>
      <c r="E30" s="26" cm="1">
        <f t="array" ref="E30">$A30*E$3</f>
        <v>23790750</v>
      </c>
      <c r="F30" s="26" cm="1">
        <f t="array" ref="F30">$A30*F$3</f>
        <v>25003363.1278667</v>
      </c>
      <c r="G30" s="26" cm="1">
        <f t="array" ref="G30">$A30*G$3</f>
        <v>26279490.2531054</v>
      </c>
      <c r="H30" s="26" cm="1">
        <f t="array" ref="H30">$A30*H$3</f>
        <v>27482755.2856533</v>
      </c>
      <c r="I30" s="26" cm="1">
        <f t="array" ref="I30">$A30*I$3</f>
        <v>28596802.8080244</v>
      </c>
      <c r="J30" s="26" cm="1">
        <f t="array" ref="J30">$A30*J$3</f>
        <v>29455686.5579468</v>
      </c>
      <c r="K30" s="26" cm="1">
        <f t="array" ref="K30">$A30*K$3</f>
        <v>30340366.2438986</v>
      </c>
      <c r="L30" s="26" cm="1">
        <f t="array" ref="L30">$A30*L$3</f>
        <v>31251616.6276745</v>
      </c>
      <c r="M30" s="26" cm="1">
        <f t="array" ref="M30">$A30*M$3</f>
        <v>32190235.7404651</v>
      </c>
      <c r="N30" s="26" cm="1">
        <f t="array" ref="N30">$A30*N$3</f>
        <v>33157045.5817349</v>
      </c>
      <c r="O30" s="26" cm="1">
        <f t="array" ref="O30">$A30*O$3</f>
        <v>34152892.8390933</v>
      </c>
    </row>
    <row r="31" ht="20.35" customHeight="1">
      <c r="A31" s="621" cm="1">
        <f t="array" ref="A31">'depto - dividendos'!K124</f>
        <v>656.3766000000001</v>
      </c>
      <c r="B31" s="238" cm="1">
        <f t="array" ref="B31">M31</f>
        <v>35214862.4808749</v>
      </c>
      <c r="C31" t="s" s="23">
        <v>1060</v>
      </c>
      <c r="D31" s="314"/>
      <c r="E31" s="314"/>
      <c r="F31" s="314"/>
      <c r="G31" s="314"/>
      <c r="H31" s="314"/>
      <c r="I31" s="314"/>
      <c r="J31" s="624"/>
      <c r="K31" s="314"/>
      <c r="L31" s="314"/>
      <c r="M31" s="625" cm="1">
        <f t="array" ref="M31">$A31*M$3</f>
        <v>35214862.4808749</v>
      </c>
      <c r="N31" s="314"/>
      <c r="O31" s="314"/>
    </row>
    <row r="32" ht="20.35" customHeight="1">
      <c r="A32" s="619">
        <v>800</v>
      </c>
      <c r="B32" s="238" cm="1">
        <f t="array" ref="B32">A32*'depto - Table 2'!$B$2</f>
        <v>32488552</v>
      </c>
      <c r="C32" s="32"/>
      <c r="D32" s="26" cm="1">
        <f t="array" ref="D32">$A32*D$3</f>
        <v>30693768</v>
      </c>
      <c r="E32" s="26" cm="1">
        <f t="array" ref="E32">$A32*E$3</f>
        <v>31721000</v>
      </c>
      <c r="F32" s="26" cm="1">
        <f t="array" ref="F32">$A32*F$3</f>
        <v>33337817.5038223</v>
      </c>
      <c r="G32" s="26" cm="1">
        <f t="array" ref="G32">$A32*G$3</f>
        <v>35039320.3374739</v>
      </c>
      <c r="H32" s="26" cm="1">
        <f t="array" ref="H32">$A32*H$3</f>
        <v>36643673.7142044</v>
      </c>
      <c r="I32" s="26" cm="1">
        <f t="array" ref="I32">$A32*I$3</f>
        <v>38129070.4106992</v>
      </c>
      <c r="J32" s="26" cm="1">
        <f t="array" ref="J32">$A32*J$3</f>
        <v>39274248.7439291</v>
      </c>
      <c r="K32" s="26" cm="1">
        <f t="array" ref="K32">$A32*K$3</f>
        <v>40453821.6585315</v>
      </c>
      <c r="L32" s="26" cm="1">
        <f t="array" ref="L32">$A32*L$3</f>
        <v>41668822.1702327</v>
      </c>
      <c r="M32" s="26" cm="1">
        <f t="array" ref="M32">$A32*M$3</f>
        <v>42920314.3206201</v>
      </c>
      <c r="N32" s="26" cm="1">
        <f t="array" ref="N32">$A32*N$3</f>
        <v>44209394.1089799</v>
      </c>
      <c r="O32" s="26" cm="1">
        <f t="array" ref="O32">$A32*O$3</f>
        <v>45537190.4521244</v>
      </c>
    </row>
    <row r="33" ht="20.35" customHeight="1">
      <c r="A33" s="621" cm="1">
        <f t="array" ref="A33">'depto - dividendos'!K112</f>
        <v>803.6751</v>
      </c>
      <c r="B33" s="238" cm="1">
        <f t="array" ref="B33">L33</f>
        <v>41860243.53068</v>
      </c>
      <c r="C33" t="s" s="23">
        <v>1061</v>
      </c>
      <c r="D33" s="314"/>
      <c r="E33" s="314"/>
      <c r="F33" s="314"/>
      <c r="G33" s="314"/>
      <c r="H33" s="314"/>
      <c r="I33" s="314"/>
      <c r="J33" s="624"/>
      <c r="K33" s="314"/>
      <c r="L33" s="625" cm="1">
        <f t="array" ref="L33">$A33*L$3</f>
        <v>41860243.53068</v>
      </c>
      <c r="M33" s="314"/>
      <c r="N33" s="314"/>
      <c r="O33" s="314"/>
    </row>
    <row r="34" ht="20.35" customHeight="1">
      <c r="A34" s="621" cm="1">
        <f t="array" ref="A34">'depto - dividendos'!K100</f>
        <v>949.4921000000001</v>
      </c>
      <c r="B34" s="238" cm="1">
        <f t="array" ref="B34">K34</f>
        <v>48013230.0994807</v>
      </c>
      <c r="C34" t="s" s="23">
        <v>1062</v>
      </c>
      <c r="D34" s="314"/>
      <c r="E34" s="314"/>
      <c r="F34" s="314"/>
      <c r="G34" s="314"/>
      <c r="H34" s="314"/>
      <c r="I34" s="314"/>
      <c r="J34" s="624"/>
      <c r="K34" s="625" cm="1">
        <f t="array" ref="K34">$A34*K$3</f>
        <v>48013230.0994807</v>
      </c>
      <c r="L34" s="314"/>
      <c r="M34" s="314"/>
      <c r="N34" s="314"/>
      <c r="O34" s="314"/>
    </row>
    <row r="35" ht="20.35" customHeight="1">
      <c r="A35" s="619">
        <v>1000</v>
      </c>
      <c r="B35" s="238" cm="1">
        <f t="array" ref="B35">A35*'depto - Table 2'!$B$2</f>
        <v>40610690</v>
      </c>
      <c r="C35" s="32"/>
      <c r="D35" s="26" cm="1">
        <f t="array" ref="D35">$A35*D$3</f>
        <v>38367210</v>
      </c>
      <c r="E35" s="26" cm="1">
        <f t="array" ref="E35">$A35*E$3</f>
        <v>39651250</v>
      </c>
      <c r="F35" s="26" cm="1">
        <f t="array" ref="F35">$A35*F$3</f>
        <v>41672271.8797779</v>
      </c>
      <c r="G35" s="26" cm="1">
        <f t="array" ref="G35">$A35*G$3</f>
        <v>43799150.4218424</v>
      </c>
      <c r="H35" s="26" cm="1">
        <f t="array" ref="H35">$A35*H$3</f>
        <v>45804592.1427555</v>
      </c>
      <c r="I35" s="26" cm="1">
        <f t="array" ref="I35">$A35*I$3</f>
        <v>47661338.013374</v>
      </c>
      <c r="J35" s="26" cm="1">
        <f t="array" ref="J35">$A35*J$3</f>
        <v>49092810.9299114</v>
      </c>
      <c r="K35" s="26" cm="1">
        <f t="array" ref="K35">$A35*K$3</f>
        <v>50567277.0731644</v>
      </c>
      <c r="L35" s="26" cm="1">
        <f t="array" ref="L35">$A35*L$3</f>
        <v>52086027.7127909</v>
      </c>
      <c r="M35" s="26" cm="1">
        <f t="array" ref="M35">$A35*M$3</f>
        <v>53650392.9007751</v>
      </c>
      <c r="N35" s="26" cm="1">
        <f t="array" ref="N35">$A35*N$3</f>
        <v>55261742.6362249</v>
      </c>
      <c r="O35" s="26" cm="1">
        <f t="array" ref="O35">$A35*O$3</f>
        <v>56921488.0651555</v>
      </c>
    </row>
    <row r="36" ht="20.35" customHeight="1">
      <c r="A36" s="621" cm="1">
        <f t="array" ref="A36">'depto - dividendos'!K88</f>
        <v>1094.0709</v>
      </c>
      <c r="B36" s="238" cm="1">
        <f t="array" ref="B36">$A36*'depto - dividendos'!F88</f>
        <v>53711015.837618</v>
      </c>
      <c r="C36" t="s" s="23">
        <v>1063</v>
      </c>
      <c r="D36" s="314"/>
      <c r="E36" s="314"/>
      <c r="F36" s="314"/>
      <c r="G36" s="314"/>
      <c r="H36" s="314"/>
      <c r="I36" s="314"/>
      <c r="J36" s="625" cm="1">
        <f t="array" ref="J36">$A36*J$3</f>
        <v>53711015.837618</v>
      </c>
      <c r="K36" s="314"/>
      <c r="L36" s="314"/>
      <c r="M36" s="314"/>
      <c r="N36" s="314"/>
      <c r="O36" s="314"/>
    </row>
    <row r="37" ht="20.35" customHeight="1">
      <c r="A37" s="619">
        <v>1100</v>
      </c>
      <c r="B37" s="238" cm="1">
        <f t="array" ref="B37">A37*'depto - Table 2'!$B$2</f>
        <v>44671759</v>
      </c>
      <c r="C37" s="32"/>
      <c r="D37" s="26" cm="1">
        <f t="array" ref="D37">$A37*D$3</f>
        <v>42203931</v>
      </c>
      <c r="E37" s="26" cm="1">
        <f t="array" ref="E37">$A37*E$3</f>
        <v>43616375</v>
      </c>
      <c r="F37" s="26" cm="1">
        <f t="array" ref="F37">$A37*F$3</f>
        <v>45839499.0677557</v>
      </c>
      <c r="G37" s="26" cm="1">
        <f t="array" ref="G37">$A37*G$3</f>
        <v>48179065.4640266</v>
      </c>
      <c r="H37" s="26" cm="1">
        <f t="array" ref="H37">$A37*H$3</f>
        <v>50385051.3570311</v>
      </c>
      <c r="I37" s="26" cm="1">
        <f t="array" ref="I37">$A37*I$3</f>
        <v>52427471.8147114</v>
      </c>
      <c r="J37" s="26" cm="1">
        <f t="array" ref="J37">$A37*J$3</f>
        <v>54002092.0229025</v>
      </c>
      <c r="K37" s="26" cm="1">
        <f t="array" ref="K37">$A37*K$3</f>
        <v>55624004.7804808</v>
      </c>
      <c r="L37" s="26" cm="1">
        <f t="array" ref="L37">$A37*L$3</f>
        <v>57294630.48407</v>
      </c>
      <c r="M37" s="26" cm="1">
        <f t="array" ref="M37">$A37*M$3</f>
        <v>59015432.1908526</v>
      </c>
      <c r="N37" s="26" cm="1">
        <f t="array" ref="N37">$A37*N$3</f>
        <v>60787916.8998474</v>
      </c>
      <c r="O37" s="26" cm="1">
        <f t="array" ref="O37">$A37*O$3</f>
        <v>62613636.8716711</v>
      </c>
    </row>
    <row r="38" ht="20.35" customHeight="1">
      <c r="A38" s="619">
        <v>1200</v>
      </c>
      <c r="B38" s="238" cm="1">
        <f t="array" ref="B38">A38*'depto - Table 2'!$B$2</f>
        <v>48732828</v>
      </c>
      <c r="C38" s="32"/>
      <c r="D38" s="26" cm="1">
        <f t="array" ref="D38">$A38*D$3</f>
        <v>46040652</v>
      </c>
      <c r="E38" s="26" cm="1">
        <f t="array" ref="E38">$A38*E$3</f>
        <v>47581500</v>
      </c>
      <c r="F38" s="26" cm="1">
        <f t="array" ref="F38">$A38*F$3</f>
        <v>50006726.2557335</v>
      </c>
      <c r="G38" s="26" cm="1">
        <f t="array" ref="G38">$A38*G$3</f>
        <v>52558980.5062109</v>
      </c>
      <c r="H38" s="26" cm="1">
        <f t="array" ref="H38">$A38*H$3</f>
        <v>54965510.5713066</v>
      </c>
      <c r="I38" s="26" cm="1">
        <f t="array" ref="I38">$A38*I$3</f>
        <v>57193605.6160488</v>
      </c>
      <c r="J38" s="26" cm="1">
        <f t="array" ref="J38">$A38*J$3</f>
        <v>58911373.1158937</v>
      </c>
      <c r="K38" s="26" cm="1">
        <f t="array" ref="K38">$A38*K$3</f>
        <v>60680732.4877973</v>
      </c>
      <c r="L38" s="26" cm="1">
        <f t="array" ref="L38">$A38*L$3</f>
        <v>62503233.2553491</v>
      </c>
      <c r="M38" s="26" cm="1">
        <f t="array" ref="M38">$A38*M$3</f>
        <v>64380471.4809301</v>
      </c>
      <c r="N38" s="26" cm="1">
        <f t="array" ref="N38">$A38*N$3</f>
        <v>66314091.1634699</v>
      </c>
      <c r="O38" s="26" cm="1">
        <f t="array" ref="O38">$A38*O$3</f>
        <v>68305785.6781866</v>
      </c>
    </row>
    <row r="39" ht="20.35" customHeight="1">
      <c r="A39" s="621" cm="1">
        <f t="array" ref="A39">'depto - dividendos'!K76</f>
        <v>1237.6481</v>
      </c>
      <c r="B39" s="238" cm="1">
        <f t="array" ref="B39">$A39*'depto - dividendos'!F76</f>
        <v>58987964.4357101</v>
      </c>
      <c r="C39" t="s" s="23">
        <v>1064</v>
      </c>
      <c r="D39" s="314"/>
      <c r="E39" s="314"/>
      <c r="F39" s="314"/>
      <c r="G39" s="314"/>
      <c r="H39" s="314"/>
      <c r="I39" s="625" cm="1">
        <f t="array" ref="I39">$A39*I$3</f>
        <v>58987964.4357101</v>
      </c>
      <c r="J39" s="314"/>
      <c r="K39" s="314"/>
      <c r="L39" s="314"/>
      <c r="M39" s="314"/>
      <c r="N39" s="314"/>
      <c r="O39" s="314"/>
    </row>
    <row r="40" ht="20.35" customHeight="1">
      <c r="A40" s="619">
        <v>1300</v>
      </c>
      <c r="B40" s="238" cm="1">
        <f t="array" ref="B40">A40*'depto - Table 2'!$B$2</f>
        <v>52793897</v>
      </c>
      <c r="C40" s="32"/>
      <c r="D40" s="26" cm="1">
        <f t="array" ref="D40">$A40*D$3</f>
        <v>49877373</v>
      </c>
      <c r="E40" s="26" cm="1">
        <f t="array" ref="E40">$A40*E$3</f>
        <v>51546625</v>
      </c>
      <c r="F40" s="26" cm="1">
        <f t="array" ref="F40">$A40*F$3</f>
        <v>54173953.4437113</v>
      </c>
      <c r="G40" s="26" cm="1">
        <f t="array" ref="G40">$A40*G$3</f>
        <v>56938895.5483951</v>
      </c>
      <c r="H40" s="26" cm="1">
        <f t="array" ref="H40">$A40*H$3</f>
        <v>59545969.7855822</v>
      </c>
      <c r="I40" s="26" cm="1">
        <f t="array" ref="I40">$A40*I$3</f>
        <v>61959739.4173862</v>
      </c>
      <c r="J40" s="26" cm="1">
        <f t="array" ref="J40">$A40*J$3</f>
        <v>63820654.2088848</v>
      </c>
      <c r="K40" s="26" cm="1">
        <f t="array" ref="K40">$A40*K$3</f>
        <v>65737460.1951137</v>
      </c>
      <c r="L40" s="26" cm="1">
        <f t="array" ref="L40">$A40*L$3</f>
        <v>67711836.0266282</v>
      </c>
      <c r="M40" s="26" cm="1">
        <f t="array" ref="M40">$A40*M$3</f>
        <v>69745510.7710076</v>
      </c>
      <c r="N40" s="26" cm="1">
        <f t="array" ref="N40">$A40*N$3</f>
        <v>71840265.4270924</v>
      </c>
      <c r="O40" s="26" cm="1">
        <f t="array" ref="O40">$A40*O$3</f>
        <v>73997934.4847022</v>
      </c>
    </row>
    <row r="41" ht="20.35" customHeight="1">
      <c r="A41" s="619">
        <v>1400</v>
      </c>
      <c r="B41" s="238" cm="1">
        <f t="array" ref="B41">A41*'depto - Table 2'!$B$2</f>
        <v>56854966</v>
      </c>
      <c r="C41" s="32"/>
      <c r="D41" s="26" cm="1">
        <f t="array" ref="D41">$A41*D$3</f>
        <v>53714094</v>
      </c>
      <c r="E41" s="26" cm="1">
        <f t="array" ref="E41">$A41*E$3</f>
        <v>55511750</v>
      </c>
      <c r="F41" s="26" cm="1">
        <f t="array" ref="F41">$A41*F$3</f>
        <v>58341180.6316891</v>
      </c>
      <c r="G41" s="26" cm="1">
        <f t="array" ref="G41">$A41*G$3</f>
        <v>61318810.5905794</v>
      </c>
      <c r="H41" s="26" cm="1">
        <f t="array" ref="H41">$A41*H$3</f>
        <v>64126428.9998577</v>
      </c>
      <c r="I41" s="26" cm="1">
        <f t="array" ref="I41">$A41*I$3</f>
        <v>66725873.2187236</v>
      </c>
      <c r="J41" s="26" cm="1">
        <f t="array" ref="J41">$A41*J$3</f>
        <v>68729935.30187599</v>
      </c>
      <c r="K41" s="26" cm="1">
        <f t="array" ref="K41">$A41*K$3</f>
        <v>70794187.90243021</v>
      </c>
      <c r="L41" s="26" cm="1">
        <f t="array" ref="L41">$A41*L$3</f>
        <v>72920438.79790729</v>
      </c>
      <c r="M41" s="26" cm="1">
        <f t="array" ref="M41">$A41*M$3</f>
        <v>75110550.0610851</v>
      </c>
      <c r="N41" s="26" cm="1">
        <f t="array" ref="N41">$A41*N$3</f>
        <v>77366439.6907149</v>
      </c>
      <c r="O41" s="26" cm="1">
        <f t="array" ref="O41">$A41*O$3</f>
        <v>79690083.2912177</v>
      </c>
    </row>
    <row r="42" ht="20.35" customHeight="1">
      <c r="A42" s="621" cm="1">
        <f t="array" ref="A42">'depto - dividendos'!K64</f>
        <v>1380.4534</v>
      </c>
      <c r="B42" s="238" cm="1">
        <f t="array" ref="B42">$A42*'depto - dividendos'!F64</f>
        <v>63231104.9590801</v>
      </c>
      <c r="C42" t="s" s="23">
        <v>1065</v>
      </c>
      <c r="D42" s="314"/>
      <c r="E42" s="314"/>
      <c r="F42" s="314"/>
      <c r="G42" s="314"/>
      <c r="H42" s="625" cm="1">
        <f t="array" ref="H42">$A42*H$3</f>
        <v>63231104.9590801</v>
      </c>
      <c r="I42" s="314"/>
      <c r="J42" s="314"/>
      <c r="K42" s="314"/>
      <c r="L42" s="314"/>
      <c r="M42" s="314"/>
      <c r="N42" s="314"/>
      <c r="O42" s="314"/>
    </row>
    <row r="43" ht="20.35" customHeight="1">
      <c r="A43" s="619">
        <v>1500</v>
      </c>
      <c r="B43" s="238" cm="1">
        <f t="array" ref="B43">A43*'depto - Table 2'!$B$2</f>
        <v>60916035</v>
      </c>
      <c r="C43" s="32"/>
      <c r="D43" s="26" cm="1">
        <f t="array" ref="D43">$A43*D$3</f>
        <v>57550815</v>
      </c>
      <c r="E43" s="26" cm="1">
        <f t="array" ref="E43">$A43*E$3</f>
        <v>59476875</v>
      </c>
      <c r="F43" s="26" cm="1">
        <f t="array" ref="F43">$A43*F$3</f>
        <v>62508407.8196669</v>
      </c>
      <c r="G43" s="26" cm="1">
        <f t="array" ref="G43">$A43*G$3</f>
        <v>65698725.6327636</v>
      </c>
      <c r="H43" s="26" cm="1">
        <f t="array" ref="H43">$A43*H$3</f>
        <v>68706888.21413331</v>
      </c>
      <c r="I43" s="26" cm="1">
        <f t="array" ref="I43">$A43*I$3</f>
        <v>71492007.020061</v>
      </c>
      <c r="J43" s="26" cm="1">
        <f t="array" ref="J43">$A43*J$3</f>
        <v>73639216.39486711</v>
      </c>
      <c r="K43" s="26" cm="1">
        <f t="array" ref="K43">$A43*K$3</f>
        <v>75850915.60974661</v>
      </c>
      <c r="L43" s="26" cm="1">
        <f t="array" ref="L43">$A43*L$3</f>
        <v>78129041.5691864</v>
      </c>
      <c r="M43" s="26" cm="1">
        <f t="array" ref="M43">$A43*M$3</f>
        <v>80475589.3511627</v>
      </c>
      <c r="N43" s="26" cm="1">
        <f t="array" ref="N43">$A43*N$3</f>
        <v>82892613.9543374</v>
      </c>
      <c r="O43" s="26" cm="1">
        <f t="array" ref="O43">$A43*O$3</f>
        <v>85382232.0977333</v>
      </c>
    </row>
    <row r="44" ht="20.35" customHeight="1">
      <c r="A44" s="621" cm="1">
        <f t="array" ref="A44">'depto - dividendos'!K52</f>
        <v>1524.951</v>
      </c>
      <c r="B44" s="238" cm="1">
        <f t="array" ref="B44">A44*'depto - dividendos'!F52</f>
        <v>66791558.234939</v>
      </c>
      <c r="C44" t="s" s="23">
        <v>1066</v>
      </c>
      <c r="D44" s="314"/>
      <c r="E44" s="314"/>
      <c r="F44" s="314"/>
      <c r="G44" s="625" cm="1">
        <f t="array" ref="G44">$A44*G$3</f>
        <v>66791558.234939</v>
      </c>
      <c r="H44" s="314"/>
      <c r="I44" s="314"/>
      <c r="J44" s="314"/>
      <c r="K44" s="314"/>
      <c r="L44" s="314"/>
      <c r="M44" s="314"/>
      <c r="N44" s="314"/>
      <c r="O44" s="314"/>
    </row>
    <row r="45" ht="20.35" customHeight="1">
      <c r="A45" s="619">
        <v>1600</v>
      </c>
      <c r="B45" s="238" cm="1">
        <f t="array" ref="B45">A45*'depto - Table 2'!$B$2</f>
        <v>64977104</v>
      </c>
      <c r="C45" s="32"/>
      <c r="D45" s="26" cm="1">
        <f t="array" ref="D45">$A45*D$3</f>
        <v>61387536</v>
      </c>
      <c r="E45" s="26" cm="1">
        <f t="array" ref="E45">$A45*E$3</f>
        <v>63442000</v>
      </c>
      <c r="F45" s="26" cm="1">
        <f t="array" ref="F45">$A45*F$3</f>
        <v>66675635.0076446</v>
      </c>
      <c r="G45" s="26" cm="1">
        <f t="array" ref="G45">$A45*G$3</f>
        <v>70078640.6749478</v>
      </c>
      <c r="H45" s="26" cm="1">
        <f t="array" ref="H45">$A45*H$3</f>
        <v>73287347.4284088</v>
      </c>
      <c r="I45" s="26" cm="1">
        <f t="array" ref="I45">$A45*I$3</f>
        <v>76258140.82139841</v>
      </c>
      <c r="J45" s="26" cm="1">
        <f t="array" ref="J45">$A45*J$3</f>
        <v>78548497.48785821</v>
      </c>
      <c r="K45" s="26" cm="1">
        <f t="array" ref="K45">$A45*K$3</f>
        <v>80907643.317063</v>
      </c>
      <c r="L45" s="26" cm="1">
        <f t="array" ref="L45">$A45*L$3</f>
        <v>83337644.3404654</v>
      </c>
      <c r="M45" s="26" cm="1">
        <f t="array" ref="M45">$A45*M$3</f>
        <v>85840628.64124019</v>
      </c>
      <c r="N45" s="26" cm="1">
        <f t="array" ref="N45">$A45*N$3</f>
        <v>88418788.21795981</v>
      </c>
      <c r="O45" s="26" cm="1">
        <f t="array" ref="O45">$A45*O$3</f>
        <v>91074380.9042488</v>
      </c>
    </row>
    <row r="46" ht="20.35" customHeight="1">
      <c r="A46" s="621" cm="1">
        <f t="array" ref="A46">'depto - dividendos'!K40</f>
        <v>1672.5744</v>
      </c>
      <c r="B46" s="238" cm="1">
        <f t="array" ref="B46">A46*'depto - dividendos'!F40</f>
        <v>69699975.13595641</v>
      </c>
      <c r="C46" t="s" s="626">
        <v>1067</v>
      </c>
      <c r="D46" s="314"/>
      <c r="E46" s="314"/>
      <c r="F46" s="625" cm="1">
        <f t="array" ref="F46">$A46*F$3</f>
        <v>69699975.13595641</v>
      </c>
      <c r="G46" s="314"/>
      <c r="H46" s="314"/>
      <c r="I46" s="314"/>
      <c r="J46" s="314"/>
      <c r="K46" s="314"/>
      <c r="L46" s="314"/>
      <c r="M46" s="314"/>
      <c r="N46" s="314"/>
      <c r="O46" s="314"/>
    </row>
    <row r="47" ht="20.35" customHeight="1">
      <c r="A47" s="619">
        <v>1800</v>
      </c>
      <c r="B47" s="238" cm="1">
        <f t="array" ref="B47">A47*'depto - Table 2'!$B$2</f>
        <v>73099242</v>
      </c>
      <c r="C47" s="32"/>
      <c r="D47" s="26" cm="1">
        <f t="array" ref="D47">$A47*D$3</f>
        <v>69060978</v>
      </c>
      <c r="E47" s="26" cm="1">
        <f t="array" ref="E47">$A47*E$3</f>
        <v>71372250</v>
      </c>
      <c r="F47" s="26" cm="1">
        <f t="array" ref="F47">$A47*F$3</f>
        <v>75010089.38360021</v>
      </c>
      <c r="G47" s="26" cm="1">
        <f t="array" ref="G47">$A47*G$3</f>
        <v>78838470.7593163</v>
      </c>
      <c r="H47" s="26" cm="1">
        <f t="array" ref="H47">$A47*H$3</f>
        <v>82448265.85695989</v>
      </c>
      <c r="I47" s="26" cm="1">
        <f t="array" ref="I47">$A47*I$3</f>
        <v>85790408.4240732</v>
      </c>
      <c r="J47" s="26" cm="1">
        <f t="array" ref="J47">$A47*J$3</f>
        <v>88367059.67384049</v>
      </c>
      <c r="K47" s="26" cm="1">
        <f t="array" ref="K47">$A47*K$3</f>
        <v>91021098.73169591</v>
      </c>
      <c r="L47" s="26" cm="1">
        <f t="array" ref="L47">$A47*L$3</f>
        <v>93754849.8830236</v>
      </c>
      <c r="M47" s="26" cm="1">
        <f t="array" ref="M47">$A47*M$3</f>
        <v>96570707.22139519</v>
      </c>
      <c r="N47" s="26" cm="1">
        <f t="array" ref="N47">$A47*N$3</f>
        <v>99471136.74520481</v>
      </c>
      <c r="O47" s="26" cm="1">
        <f t="array" ref="O47">$A47*O$3</f>
        <v>102458678.51728</v>
      </c>
    </row>
    <row r="48" ht="20.35" customHeight="1">
      <c r="A48" s="627" cm="1">
        <f t="array" ref="A48">'depto - dividendos'!A$163</f>
        <v>1835.4735</v>
      </c>
      <c r="B48" s="238" cm="1">
        <f t="array" ref="B48">A48*'depto - Table 2'!$B$2</f>
        <v>74539845.31171501</v>
      </c>
      <c r="C48" t="s" s="626">
        <v>790</v>
      </c>
      <c r="D48" s="26" cm="1">
        <f t="array" ref="D48">$A48*D$3</f>
        <v>70421997.22393499</v>
      </c>
      <c r="E48" s="26" cm="1">
        <f t="array" ref="E48">$A48*E$3</f>
        <v>72778818.61687499</v>
      </c>
      <c r="F48" s="26" cm="1">
        <f t="array" ref="F48">$A48*F$3</f>
        <v>76488350.72012749</v>
      </c>
      <c r="G48" s="26" cm="1">
        <f t="array" ref="G48">$A48*G$3</f>
        <v>80392179.9218055</v>
      </c>
      <c r="H48" s="26" cm="1">
        <f t="array" ref="H48">$A48*H$3</f>
        <v>84073115.0563359</v>
      </c>
      <c r="I48" s="26" cm="1">
        <f t="array" ref="I48">$A48*I$3</f>
        <v>87481122.8980906</v>
      </c>
      <c r="J48" s="26" cm="1">
        <f t="array" ref="J48">$A48*J$3</f>
        <v>90108553.5023627</v>
      </c>
      <c r="K48" s="26" cm="1">
        <f t="array" ref="K48">$A48*K$3</f>
        <v>92814897.03495079</v>
      </c>
      <c r="L48" s="26" cm="1">
        <f t="array" ref="L48">$A48*L$3</f>
        <v>95602523.58709329</v>
      </c>
      <c r="M48" s="26" cm="1">
        <f t="array" ref="M48">$A48*M$3</f>
        <v>98473874.4339608</v>
      </c>
      <c r="N48" s="26" cm="1">
        <f t="array" ref="N48">$A48*N$3</f>
        <v>101431464.172611</v>
      </c>
      <c r="O48" s="26" cm="1">
        <f t="array" ref="O48">$A48*O$3</f>
        <v>104477882.924159</v>
      </c>
    </row>
    <row r="49" ht="20.35" customHeight="1">
      <c r="A49" s="619">
        <v>2000</v>
      </c>
      <c r="B49" s="238" cm="1">
        <f t="array" ref="B49">A49*'depto - Table 2'!$B$2</f>
        <v>81221380</v>
      </c>
      <c r="C49" s="32"/>
      <c r="D49" s="26" cm="1">
        <f t="array" ref="D49">$A49*D$3</f>
        <v>76734420</v>
      </c>
      <c r="E49" s="26" cm="1">
        <f t="array" ref="E49">$A49*E$3</f>
        <v>79302500</v>
      </c>
      <c r="F49" s="26" cm="1">
        <f t="array" ref="F49">$A49*F$3</f>
        <v>83344543.7595558</v>
      </c>
      <c r="G49" s="26" cm="1">
        <f t="array" ref="G49">$A49*G$3</f>
        <v>87598300.84368481</v>
      </c>
      <c r="H49" s="26" cm="1">
        <f t="array" ref="H49">$A49*H$3</f>
        <v>91609184.285511</v>
      </c>
      <c r="I49" s="26" cm="1">
        <f t="array" ref="I49">$A49*I$3</f>
        <v>95322676.026748</v>
      </c>
      <c r="J49" s="26" cm="1">
        <f t="array" ref="J49">$A49*J$3</f>
        <v>98185621.85982279</v>
      </c>
      <c r="K49" s="26" cm="1">
        <f t="array" ref="K49">$A49*K$3</f>
        <v>101134554.146329</v>
      </c>
      <c r="L49" s="26" cm="1">
        <f t="array" ref="L49">$A49*L$3</f>
        <v>104172055.425582</v>
      </c>
      <c r="M49" s="26" cm="1">
        <f t="array" ref="M49">$A49*M$3</f>
        <v>107300785.80155</v>
      </c>
      <c r="N49" s="26" cm="1">
        <f t="array" ref="N49">$A49*N$3</f>
        <v>110523485.27245</v>
      </c>
      <c r="O49" s="26" cm="1">
        <f t="array" ref="O49">$A49*O$3</f>
        <v>113842976.130311</v>
      </c>
    </row>
    <row r="50" ht="20.35" customHeight="1">
      <c r="A50" s="619">
        <v>2250</v>
      </c>
      <c r="B50" s="238" cm="1">
        <f t="array" ref="B50">A50*'depto - Table 2'!$B$2</f>
        <v>91374052.5</v>
      </c>
      <c r="C50" s="32"/>
      <c r="D50" s="26" cm="1">
        <f t="array" ref="D50">$A50*D$3</f>
        <v>86326222.5</v>
      </c>
      <c r="E50" s="26" cm="1">
        <f t="array" ref="E50">$A50*E$3</f>
        <v>89215312.5</v>
      </c>
      <c r="F50" s="26" cm="1">
        <f t="array" ref="F50">$A50*F$3</f>
        <v>93762611.72950029</v>
      </c>
      <c r="G50" s="26" cm="1">
        <f t="array" ref="G50">$A50*G$3</f>
        <v>98548088.44914541</v>
      </c>
      <c r="H50" s="26" cm="1">
        <f t="array" ref="H50">$A50*H$3</f>
        <v>103060332.3212</v>
      </c>
      <c r="I50" s="26" cm="1">
        <f t="array" ref="I50">$A50*I$3</f>
        <v>107238010.530092</v>
      </c>
      <c r="J50" s="26" cm="1">
        <f t="array" ref="J50">$A50*J$3</f>
        <v>110458824.592301</v>
      </c>
      <c r="K50" s="26" cm="1">
        <f t="array" ref="K50">$A50*K$3</f>
        <v>113776373.41462</v>
      </c>
      <c r="L50" s="26" cm="1">
        <f t="array" ref="L50">$A50*L$3</f>
        <v>117193562.35378</v>
      </c>
      <c r="M50" s="26" cm="1">
        <f t="array" ref="M50">$A50*M$3</f>
        <v>120713384.026744</v>
      </c>
      <c r="N50" s="26" cm="1">
        <f t="array" ref="N50">$A50*N$3</f>
        <v>124338920.931506</v>
      </c>
      <c r="O50" s="26" cm="1">
        <f t="array" ref="O50">$A50*O$3</f>
        <v>128073348.1466</v>
      </c>
    </row>
    <row r="51" ht="20.35" customHeight="1">
      <c r="A51" s="622" cm="1">
        <f t="array" ref="A51">$A22*10</f>
        <v>2184.006230871720</v>
      </c>
      <c r="B51" s="238" cm="1">
        <f t="array" ref="B51">A51*'depto - Table 2'!$B$2</f>
        <v>88693999.9999999</v>
      </c>
      <c r="C51" t="s" s="23">
        <v>1068</v>
      </c>
      <c r="D51" s="314"/>
      <c r="E51" s="314"/>
      <c r="F51" s="314"/>
      <c r="G51" s="314"/>
      <c r="H51" s="623"/>
      <c r="I51" s="623"/>
      <c r="J51" s="314"/>
      <c r="K51" s="623"/>
      <c r="L51" s="623"/>
      <c r="M51" s="623"/>
      <c r="N51" s="623"/>
      <c r="O51" s="314"/>
    </row>
    <row r="52" ht="20.35" customHeight="1">
      <c r="A52" s="621" cm="1">
        <f t="array" ref="A52">'depto - dividendos'!K$27</f>
        <v>2313.9986</v>
      </c>
      <c r="B52" s="238" cm="1">
        <f t="array" ref="B52">A52*'depto - dividendos'!F27</f>
        <v>91752936.98825</v>
      </c>
      <c r="C52" t="s" s="628">
        <v>1069</v>
      </c>
      <c r="D52" s="314"/>
      <c r="E52" s="625" cm="1">
        <f t="array" ref="E52">$A52*E3</f>
        <v>91752936.98825</v>
      </c>
      <c r="F52" s="314"/>
      <c r="G52" s="314"/>
      <c r="H52" s="314"/>
      <c r="I52" s="314"/>
      <c r="J52" s="314"/>
      <c r="K52" s="314"/>
      <c r="L52" s="314"/>
      <c r="M52" s="314"/>
      <c r="N52" s="314"/>
      <c r="O52" s="314"/>
    </row>
    <row r="53" ht="20.35" customHeight="1">
      <c r="A53" s="619">
        <v>2500</v>
      </c>
      <c r="B53" s="238" cm="1">
        <f t="array" ref="B53">A53*'depto - Table 2'!$B$2</f>
        <v>101526725</v>
      </c>
      <c r="C53" t="s" s="23">
        <v>625</v>
      </c>
      <c r="D53" s="26" cm="1">
        <f t="array" ref="D53">$A53*D$3</f>
        <v>95918025</v>
      </c>
      <c r="E53" s="26" cm="1">
        <f t="array" ref="E53">$A53*E$3</f>
        <v>99128125</v>
      </c>
      <c r="F53" s="26" cm="1">
        <f t="array" ref="F53">$A53*F$3</f>
        <v>104180679.699445</v>
      </c>
      <c r="G53" s="26" cm="1">
        <f t="array" ref="G53">$A53*G$3</f>
        <v>109497876.054606</v>
      </c>
      <c r="H53" s="26" cm="1">
        <f t="array" ref="H53">$A53*H$3</f>
        <v>114511480.356889</v>
      </c>
      <c r="I53" s="26" cm="1">
        <f t="array" ref="I53">$A53*I$3</f>
        <v>119153345.033435</v>
      </c>
      <c r="J53" s="26" cm="1">
        <f t="array" ref="J53">$A53*J$3</f>
        <v>122732027.324779</v>
      </c>
      <c r="K53" s="26" cm="1">
        <f t="array" ref="K53">$A53*K$3</f>
        <v>126418192.682911</v>
      </c>
      <c r="L53" s="26" cm="1">
        <f t="array" ref="L53">$A53*L$3</f>
        <v>130215069.281977</v>
      </c>
      <c r="M53" s="26" cm="1">
        <f t="array" ref="M53">$A53*M$3</f>
        <v>134125982.251938</v>
      </c>
      <c r="N53" s="26" cm="1">
        <f t="array" ref="N53">$A53*N$3</f>
        <v>138154356.590562</v>
      </c>
      <c r="O53" s="26" cm="1">
        <f t="array" ref="O53">$A53*O$3</f>
        <v>142303720.162889</v>
      </c>
    </row>
    <row r="54" ht="20.35" customHeight="1">
      <c r="A54" s="619">
        <v>3000</v>
      </c>
      <c r="B54" s="238" cm="1">
        <f t="array" ref="B54">A54*('depto - Table 2'!$B$2+400)</f>
        <v>123032070</v>
      </c>
      <c r="C54" s="32"/>
      <c r="D54" s="26" cm="1">
        <f t="array" ref="D54">$A54*D$3</f>
        <v>115101630</v>
      </c>
      <c r="E54" s="26" cm="1">
        <f t="array" ref="E54">$A54*E$3</f>
        <v>118953750</v>
      </c>
      <c r="F54" s="26" cm="1">
        <f t="array" ref="F54">$A54*F$3</f>
        <v>125016815.639334</v>
      </c>
      <c r="G54" s="26" cm="1">
        <f t="array" ref="G54">$A54*G$3</f>
        <v>131397451.265527</v>
      </c>
      <c r="H54" s="26" cm="1">
        <f t="array" ref="H54">$A54*H$3</f>
        <v>137413776.428267</v>
      </c>
      <c r="I54" s="26" cm="1">
        <f t="array" ref="I54">$A54*I$3</f>
        <v>142984014.040122</v>
      </c>
      <c r="J54" s="26" cm="1">
        <f t="array" ref="J54">$A54*J$3</f>
        <v>147278432.789734</v>
      </c>
      <c r="K54" s="26" cm="1">
        <f t="array" ref="K54">$A54*K$3</f>
        <v>151701831.219493</v>
      </c>
      <c r="L54" s="26" cm="1">
        <f t="array" ref="L54">$A54*L$3</f>
        <v>156258083.138373</v>
      </c>
      <c r="M54" s="26" cm="1">
        <f t="array" ref="M54">$A54*M$3</f>
        <v>160951178.702325</v>
      </c>
      <c r="N54" s="26" cm="1">
        <f t="array" ref="N54">$A54*N$3</f>
        <v>165785227.908675</v>
      </c>
      <c r="O54" s="26" cm="1">
        <f t="array" ref="O54">$A54*O$3</f>
        <v>170764464.195467</v>
      </c>
    </row>
    <row r="55" ht="20.35" customHeight="1">
      <c r="A55" s="621" cm="1">
        <f t="array" ref="A55">'depto - dividendos'!K14</f>
        <v>3060.2342</v>
      </c>
      <c r="B55" s="238" cm="1">
        <f t="array" ref="B55">D55</f>
        <v>117412648.200582</v>
      </c>
      <c r="C55" t="s" s="628">
        <v>1070</v>
      </c>
      <c r="D55" s="625" cm="1">
        <f t="array" ref="D55">$A55*D3</f>
        <v>117412648.200582</v>
      </c>
      <c r="E55" s="314"/>
      <c r="F55" s="314"/>
      <c r="G55" s="314"/>
      <c r="H55" s="314"/>
      <c r="I55" s="314"/>
      <c r="J55" s="314"/>
      <c r="K55" s="314"/>
      <c r="L55" s="314"/>
      <c r="M55" s="314"/>
      <c r="N55" s="314"/>
      <c r="O55" s="314"/>
    </row>
    <row r="56" ht="20.35" customHeight="1">
      <c r="A56" s="619">
        <v>3950</v>
      </c>
      <c r="B56" s="238" cm="1">
        <f t="array" ref="B56">A56*'depto - Table 2'!$B$2</f>
        <v>160412225.5</v>
      </c>
      <c r="C56" s="32"/>
      <c r="D56" s="26" cm="1">
        <f t="array" ref="D56">$A56*D$3</f>
        <v>151550479.5</v>
      </c>
      <c r="E56" s="26" cm="1">
        <f t="array" ref="E56">$A56*E$3</f>
        <v>156622437.5</v>
      </c>
      <c r="F56" s="26" cm="1">
        <f t="array" ref="F56">$A56*F$3</f>
        <v>164605473.925123</v>
      </c>
      <c r="G56" s="26" cm="1">
        <f t="array" ref="G56">$A56*G$3</f>
        <v>173006644.166277</v>
      </c>
      <c r="H56" s="26" cm="1">
        <f t="array" ref="H56">$A56*H$3</f>
        <v>180928138.963884</v>
      </c>
      <c r="I56" s="26" cm="1">
        <f t="array" ref="I56">$A56*I$3</f>
        <v>188262285.152827</v>
      </c>
      <c r="J56" s="26" cm="1">
        <f t="array" ref="J56">$A56*J$3</f>
        <v>193916603.17315</v>
      </c>
      <c r="K56" s="26" cm="1">
        <f t="array" ref="K56">$A56*K$3</f>
        <v>199740744.438999</v>
      </c>
      <c r="L56" s="26" cm="1">
        <f t="array" ref="L56">$A56*L$3</f>
        <v>205739809.465524</v>
      </c>
      <c r="M56" s="26" cm="1">
        <f t="array" ref="M56">$A56*M$3</f>
        <v>211919051.958062</v>
      </c>
      <c r="N56" s="26" cm="1">
        <f t="array" ref="N56">$A56*N$3</f>
        <v>218283883.413088</v>
      </c>
      <c r="O56" s="26" cm="1">
        <f t="array" ref="O56">$A56*O$3</f>
        <v>224839877.857364</v>
      </c>
    </row>
    <row r="57" ht="20.35" customHeight="1">
      <c r="A57" s="619">
        <v>5400</v>
      </c>
      <c r="B57" s="238" cm="1">
        <f t="array" ref="B57">A57*'depto - Table 2'!$B$2</f>
        <v>219297726</v>
      </c>
      <c r="C57" s="32"/>
      <c r="D57" s="26" cm="1">
        <f t="array" ref="D57">$A57*D$3</f>
        <v>207182934</v>
      </c>
      <c r="E57" s="26" cm="1">
        <f t="array" ref="E57">$A57*E$3</f>
        <v>214116750</v>
      </c>
      <c r="F57" s="26" cm="1">
        <f t="array" ref="F57">$A57*F$3</f>
        <v>225030268.150801</v>
      </c>
      <c r="G57" s="26" cm="1">
        <f t="array" ref="G57">$A57*G$3</f>
        <v>236515412.277949</v>
      </c>
      <c r="H57" s="26" cm="1">
        <f t="array" ref="H57">$A57*H$3</f>
        <v>247344797.57088</v>
      </c>
      <c r="I57" s="26" cm="1">
        <f t="array" ref="I57">$A57*I$3</f>
        <v>257371225.27222</v>
      </c>
      <c r="J57" s="26" cm="1">
        <f t="array" ref="J57">$A57*J$3</f>
        <v>265101179.021522</v>
      </c>
      <c r="K57" s="26" cm="1">
        <f t="array" ref="K57">$A57*K$3</f>
        <v>273063296.195088</v>
      </c>
      <c r="L57" s="26" cm="1">
        <f t="array" ref="L57">$A57*L$3</f>
        <v>281264549.649071</v>
      </c>
      <c r="M57" s="26" cm="1">
        <f t="array" ref="M57">$A57*M$3</f>
        <v>289712121.664186</v>
      </c>
      <c r="N57" s="26" cm="1">
        <f t="array" ref="N57">$A57*N$3</f>
        <v>298413410.235614</v>
      </c>
      <c r="O57" s="26" cm="1">
        <f t="array" ref="O57">$A57*O$3</f>
        <v>307376035.55184</v>
      </c>
    </row>
    <row r="58" ht="20.35" customHeight="1">
      <c r="A58" s="619"/>
      <c r="B58" s="238"/>
      <c r="C58" s="32"/>
      <c r="D58" s="32"/>
      <c r="E58" s="32"/>
      <c r="F58" s="32"/>
      <c r="G58" s="32"/>
      <c r="H58" s="32"/>
      <c r="I58" s="32"/>
      <c r="J58" s="32"/>
      <c r="K58" s="32"/>
      <c r="L58" s="32"/>
      <c r="M58" s="32"/>
      <c r="N58" s="32"/>
      <c r="O58"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1:E53"/>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1" width="16.3516" style="629" customWidth="1"/>
    <col min="2" max="2" width="3.42969" style="629" customWidth="1"/>
    <col min="3" max="5" width="16.3516" style="629" customWidth="1"/>
    <col min="6" max="16384" width="16.3516" style="629" customWidth="1"/>
  </cols>
  <sheetData>
    <row r="1" ht="20.55" customHeight="1">
      <c r="A1" t="s" s="8">
        <v>924</v>
      </c>
      <c r="B1" s="9"/>
      <c r="C1" s="9"/>
      <c r="D1" t="s" s="8">
        <v>1072</v>
      </c>
      <c r="E1" s="9"/>
    </row>
    <row r="2" ht="20.55" customHeight="1">
      <c r="A2" t="s" s="15">
        <v>1073</v>
      </c>
      <c r="B2" t="b" s="64">
        <v>1</v>
      </c>
      <c r="C2" s="59">
        <v>170000</v>
      </c>
      <c r="D2" t="s" s="15">
        <v>1074</v>
      </c>
      <c r="E2" s="48">
        <v>100000</v>
      </c>
    </row>
    <row r="3" ht="20.35" customHeight="1">
      <c r="A3" t="s" s="23">
        <v>1075</v>
      </c>
      <c r="B3" t="b" s="68">
        <v>1</v>
      </c>
      <c r="C3" s="30">
        <v>450000</v>
      </c>
      <c r="D3" s="32"/>
      <c r="E3" s="26"/>
    </row>
    <row r="4" ht="20.35" customHeight="1">
      <c r="A4" t="s" s="23">
        <v>1076</v>
      </c>
      <c r="B4" t="b" s="68">
        <v>1</v>
      </c>
      <c r="C4" s="26">
        <v>30000</v>
      </c>
      <c r="D4" t="s" s="23">
        <v>1077</v>
      </c>
      <c r="E4" s="26">
        <v>200000</v>
      </c>
    </row>
    <row r="5" ht="20.35" customHeight="1">
      <c r="A5" t="s" s="23">
        <v>1078</v>
      </c>
      <c r="B5" t="b" s="68">
        <v>0</v>
      </c>
      <c r="C5" s="32"/>
      <c r="D5" t="s" s="587">
        <v>1079</v>
      </c>
      <c r="E5" s="26">
        <v>300000</v>
      </c>
    </row>
    <row r="6" ht="20.35" customHeight="1">
      <c r="A6" t="s" s="23">
        <v>1080</v>
      </c>
      <c r="B6" t="b" s="68">
        <v>0</v>
      </c>
      <c r="C6" s="68">
        <v>310000</v>
      </c>
      <c r="D6" s="32"/>
      <c r="E6" s="26"/>
    </row>
    <row r="7" ht="20.35" customHeight="1">
      <c r="A7" s="32"/>
      <c r="B7" t="b" s="68">
        <v>0</v>
      </c>
      <c r="C7" s="26"/>
      <c r="D7" s="26"/>
      <c r="E7" s="26"/>
    </row>
    <row r="8" ht="20.35" customHeight="1">
      <c r="A8" t="s" s="50">
        <v>74</v>
      </c>
      <c r="B8" t="b" s="68">
        <v>0</v>
      </c>
      <c r="C8" s="26"/>
      <c r="D8" s="26"/>
      <c r="E8" s="26"/>
    </row>
    <row r="9" ht="20.35" customHeight="1">
      <c r="A9" t="s" s="23">
        <v>74</v>
      </c>
      <c r="B9" t="b" s="68">
        <v>1</v>
      </c>
      <c r="C9" s="26">
        <v>100000</v>
      </c>
      <c r="D9" s="32"/>
      <c r="E9" s="26"/>
    </row>
    <row r="10" ht="20.35" customHeight="1">
      <c r="A10" t="s" s="23">
        <v>75</v>
      </c>
      <c r="B10" t="b" s="68">
        <v>1</v>
      </c>
      <c r="C10" s="26">
        <v>110000</v>
      </c>
      <c r="D10" s="32"/>
      <c r="E10" s="26"/>
    </row>
    <row r="11" ht="20.35" customHeight="1">
      <c r="A11" s="32"/>
      <c r="B11" t="b" s="68">
        <v>0</v>
      </c>
      <c r="C11" s="26"/>
      <c r="D11" s="32"/>
      <c r="E11" s="26"/>
    </row>
    <row r="12" ht="20.35" customHeight="1">
      <c r="A12" t="s" s="50">
        <v>1081</v>
      </c>
      <c r="B12" t="b" s="68">
        <v>0</v>
      </c>
      <c r="C12" s="26"/>
      <c r="D12" s="26"/>
      <c r="E12" s="26"/>
    </row>
    <row r="13" ht="20.35" customHeight="1">
      <c r="A13" t="s" s="23">
        <v>1082</v>
      </c>
      <c r="B13" t="b" s="68">
        <v>1</v>
      </c>
      <c r="C13" s="26">
        <v>200000</v>
      </c>
      <c r="D13" s="32"/>
      <c r="E13" s="32"/>
    </row>
    <row r="14" ht="20.35" customHeight="1">
      <c r="A14" t="s" s="23">
        <v>1083</v>
      </c>
      <c r="B14" t="b" s="68">
        <v>1</v>
      </c>
      <c r="C14" s="26">
        <v>1800000</v>
      </c>
      <c r="D14" s="26"/>
      <c r="E14" s="26"/>
    </row>
    <row r="15" ht="20.35" customHeight="1">
      <c r="A15" t="s" s="23">
        <v>1084</v>
      </c>
      <c r="B15" t="b" s="68">
        <v>1</v>
      </c>
      <c r="C15" s="26">
        <v>60000</v>
      </c>
      <c r="D15" s="26"/>
      <c r="E15" s="26"/>
    </row>
    <row r="16" ht="20.35" customHeight="1">
      <c r="A16" t="s" s="23">
        <v>1085</v>
      </c>
      <c r="B16" t="b" s="68">
        <v>0</v>
      </c>
      <c r="C16" s="26"/>
      <c r="D16" s="26"/>
      <c r="E16" s="26"/>
    </row>
    <row r="17" ht="20.35" customHeight="1">
      <c r="A17" s="32"/>
      <c r="B17" t="b" s="68">
        <v>0</v>
      </c>
      <c r="C17" s="26"/>
      <c r="D17" s="26"/>
      <c r="E17" s="26"/>
    </row>
    <row r="18" ht="20.35" customHeight="1">
      <c r="A18" t="s" s="50">
        <v>1086</v>
      </c>
      <c r="B18" t="b" s="68">
        <v>0</v>
      </c>
      <c r="C18" s="26"/>
      <c r="D18" s="26"/>
      <c r="E18" s="26"/>
    </row>
    <row r="19" ht="20.35" customHeight="1">
      <c r="A19" t="s" s="23">
        <v>735</v>
      </c>
      <c r="B19" t="b" s="68">
        <v>1</v>
      </c>
      <c r="C19" s="26" cm="1">
        <f t="array" ref="C19">371490</f>
        <v>371490</v>
      </c>
      <c r="D19" s="26"/>
      <c r="E19" s="26"/>
    </row>
    <row r="20" ht="20.35" customHeight="1">
      <c r="A20" t="s" s="23">
        <v>1087</v>
      </c>
      <c r="B20" t="b" s="68">
        <v>1</v>
      </c>
      <c r="C20" s="26" cm="1">
        <f t="array" ref="C20">54990</f>
        <v>54990</v>
      </c>
      <c r="D20" s="26"/>
      <c r="E20" s="26"/>
    </row>
    <row r="21" ht="20.35" customHeight="1">
      <c r="A21" t="s" s="23">
        <v>1088</v>
      </c>
      <c r="B21" t="b" s="68">
        <v>1</v>
      </c>
      <c r="C21" s="26"/>
      <c r="D21" s="26"/>
      <c r="E21" s="26"/>
    </row>
    <row r="22" ht="20.35" customHeight="1">
      <c r="A22" s="26"/>
      <c r="B22" t="b" s="68">
        <v>0</v>
      </c>
      <c r="C22" s="26"/>
      <c r="D22" s="26"/>
      <c r="E22" s="26"/>
    </row>
    <row r="23" ht="20.35" customHeight="1">
      <c r="A23" t="s" s="50">
        <v>43</v>
      </c>
      <c r="B23" t="b" s="68">
        <v>0</v>
      </c>
      <c r="C23" s="26"/>
      <c r="D23" s="26"/>
      <c r="E23" s="26"/>
    </row>
    <row r="24" ht="20.35" customHeight="1">
      <c r="A24" t="s" s="23">
        <v>742</v>
      </c>
      <c r="B24" t="b" s="68">
        <v>1</v>
      </c>
      <c r="C24" s="26">
        <v>450000</v>
      </c>
      <c r="D24" s="32"/>
      <c r="E24" s="32"/>
    </row>
    <row r="25" ht="20.35" customHeight="1">
      <c r="A25" t="s" s="23">
        <v>1089</v>
      </c>
      <c r="B25" t="b" s="68">
        <v>0</v>
      </c>
      <c r="C25" s="26"/>
      <c r="D25" s="32"/>
      <c r="E25" s="32"/>
    </row>
    <row r="26" ht="20.35" customHeight="1">
      <c r="A26" t="s" s="23">
        <v>1090</v>
      </c>
      <c r="B26" t="b" s="68">
        <v>1</v>
      </c>
      <c r="C26" s="26">
        <v>80000</v>
      </c>
      <c r="D26" s="26"/>
      <c r="E26" s="26"/>
    </row>
    <row r="27" ht="20.35" customHeight="1">
      <c r="A27" t="s" s="23">
        <v>1091</v>
      </c>
      <c r="B27" t="b" s="68">
        <v>1</v>
      </c>
      <c r="C27" s="26">
        <v>2000</v>
      </c>
      <c r="D27" s="26"/>
      <c r="E27" s="26"/>
    </row>
    <row r="28" ht="20.35" customHeight="1">
      <c r="A28" t="s" s="23">
        <v>1092</v>
      </c>
      <c r="B28" t="b" s="68">
        <v>1</v>
      </c>
      <c r="C28" s="26">
        <v>2000</v>
      </c>
      <c r="D28" s="26"/>
      <c r="E28" s="26"/>
    </row>
    <row r="29" ht="20.35" customHeight="1">
      <c r="A29" s="32"/>
      <c r="B29" t="b" s="68">
        <v>0</v>
      </c>
      <c r="C29" s="26"/>
      <c r="D29" s="26"/>
      <c r="E29" s="26"/>
    </row>
    <row r="30" ht="20.35" customHeight="1">
      <c r="A30" t="s" s="50">
        <v>1093</v>
      </c>
      <c r="B30" t="b" s="68">
        <v>0</v>
      </c>
      <c r="C30" s="26">
        <v>100000</v>
      </c>
      <c r="D30" s="32"/>
      <c r="E30" s="32"/>
    </row>
    <row r="31" ht="20.35" customHeight="1">
      <c r="A31" t="s" s="23">
        <v>1094</v>
      </c>
      <c r="B31" t="b" s="68">
        <v>1</v>
      </c>
      <c r="C31" s="26">
        <v>800000</v>
      </c>
      <c r="D31" s="32"/>
      <c r="E31" s="32"/>
    </row>
    <row r="32" ht="20.35" customHeight="1">
      <c r="A32" t="s" s="23">
        <v>736</v>
      </c>
      <c r="B32" t="b" s="68">
        <v>1</v>
      </c>
      <c r="C32" s="30">
        <v>328980</v>
      </c>
      <c r="D32" s="32"/>
      <c r="E32" s="32"/>
    </row>
    <row r="33" ht="20.35" customHeight="1">
      <c r="A33" t="s" s="23">
        <v>1095</v>
      </c>
      <c r="B33" t="b" s="68">
        <v>1</v>
      </c>
      <c r="C33" s="26">
        <v>36990</v>
      </c>
      <c r="D33" s="32"/>
      <c r="E33" s="32"/>
    </row>
    <row r="34" ht="20.35" customHeight="1">
      <c r="A34" t="s" s="23">
        <v>1096</v>
      </c>
      <c r="B34" t="b" s="68">
        <v>1</v>
      </c>
      <c r="C34" s="26">
        <v>50000</v>
      </c>
      <c r="D34" s="26"/>
      <c r="E34" s="26"/>
    </row>
    <row r="35" ht="20.35" customHeight="1">
      <c r="A35" t="s" s="23">
        <v>1097</v>
      </c>
      <c r="B35" t="b" s="68">
        <v>1</v>
      </c>
      <c r="C35" s="26"/>
      <c r="D35" s="26"/>
      <c r="E35" s="26"/>
    </row>
    <row r="36" ht="20.35" customHeight="1">
      <c r="A36" t="s" s="23">
        <v>1098</v>
      </c>
      <c r="B36" t="b" s="68">
        <v>0</v>
      </c>
      <c r="C36" s="26"/>
      <c r="D36" s="26"/>
      <c r="E36" s="26"/>
    </row>
    <row r="37" ht="20.35" customHeight="1">
      <c r="A37" t="s" s="23">
        <v>1099</v>
      </c>
      <c r="B37" t="b" s="68">
        <v>1</v>
      </c>
      <c r="C37" s="26">
        <v>70000</v>
      </c>
      <c r="D37" s="26"/>
      <c r="E37" s="26"/>
    </row>
    <row r="38" ht="20.35" customHeight="1">
      <c r="A38" t="s" s="23">
        <v>1100</v>
      </c>
      <c r="B38" t="b" s="68">
        <v>1</v>
      </c>
      <c r="C38" s="26">
        <v>50000</v>
      </c>
      <c r="D38" s="26"/>
      <c r="E38" s="26"/>
    </row>
    <row r="39" ht="20.35" customHeight="1">
      <c r="A39" t="s" s="23">
        <v>1101</v>
      </c>
      <c r="B39" t="b" s="68">
        <v>1</v>
      </c>
      <c r="C39" s="30">
        <v>100000</v>
      </c>
      <c r="D39" s="26"/>
      <c r="E39" s="26"/>
    </row>
    <row r="40" ht="20.35" customHeight="1">
      <c r="A40" t="s" s="23">
        <v>1102</v>
      </c>
      <c r="B40" t="b" s="68">
        <v>1</v>
      </c>
      <c r="C40" s="30">
        <v>280000</v>
      </c>
      <c r="D40" s="26"/>
      <c r="E40" s="26"/>
    </row>
    <row r="41" ht="20.35" customHeight="1">
      <c r="A41" t="s" s="23">
        <v>1103</v>
      </c>
      <c r="B41" t="b" s="68">
        <v>1</v>
      </c>
      <c r="C41" s="30"/>
      <c r="D41" s="26"/>
      <c r="E41" s="26"/>
    </row>
    <row r="42" ht="20.35" customHeight="1">
      <c r="A42" s="32"/>
      <c r="B42" t="b" s="68">
        <v>0</v>
      </c>
      <c r="C42" s="30"/>
      <c r="D42" s="26"/>
      <c r="E42" s="26"/>
    </row>
    <row r="43" ht="20.35" customHeight="1">
      <c r="A43" t="s" s="50">
        <v>1104</v>
      </c>
      <c r="B43" t="b" s="68">
        <v>0</v>
      </c>
      <c r="C43" s="26">
        <v>100000</v>
      </c>
      <c r="D43" s="26"/>
      <c r="E43" s="26"/>
    </row>
    <row r="44" ht="20.35" customHeight="1">
      <c r="A44" t="s" s="23">
        <v>1105</v>
      </c>
      <c r="B44" t="b" s="68">
        <v>1</v>
      </c>
      <c r="C44" s="26">
        <v>30000</v>
      </c>
      <c r="D44" s="26"/>
      <c r="E44" s="26"/>
    </row>
    <row r="45" ht="20.35" customHeight="1">
      <c r="A45" t="s" s="23">
        <v>1106</v>
      </c>
      <c r="B45" t="b" s="68">
        <v>0</v>
      </c>
      <c r="C45" s="26">
        <v>10000</v>
      </c>
      <c r="D45" s="26"/>
      <c r="E45" s="26"/>
    </row>
    <row r="46" ht="20.35" customHeight="1">
      <c r="A46" s="32"/>
      <c r="B46" t="b" s="68">
        <v>0</v>
      </c>
      <c r="C46" s="26"/>
      <c r="D46" s="26"/>
      <c r="E46" s="26"/>
    </row>
    <row r="47" ht="20.35" customHeight="1">
      <c r="A47" s="32"/>
      <c r="B47" t="b" s="68">
        <v>0</v>
      </c>
      <c r="C47" s="32"/>
      <c r="D47" s="26"/>
      <c r="E47" s="26"/>
    </row>
    <row r="48" ht="20.35" customHeight="1">
      <c r="A48" s="32"/>
      <c r="B48" t="b" s="68">
        <v>0</v>
      </c>
      <c r="C48" s="26"/>
      <c r="D48" s="26"/>
      <c r="E48" s="26"/>
    </row>
    <row r="49" ht="20.35" customHeight="1">
      <c r="A49" t="s" s="23">
        <v>1107</v>
      </c>
      <c r="B49" t="b" s="68">
        <v>1</v>
      </c>
      <c r="C49" s="26">
        <v>3000</v>
      </c>
      <c r="D49" s="26"/>
      <c r="E49" s="26"/>
    </row>
    <row r="50" ht="20.35" customHeight="1">
      <c r="A50" s="26"/>
      <c r="B50" t="b" s="68">
        <v>0</v>
      </c>
      <c r="C50" s="26"/>
      <c r="D50" s="26"/>
      <c r="E50" s="26"/>
    </row>
    <row r="51" ht="20.55" customHeight="1">
      <c r="A51" s="73"/>
      <c r="B51" t="b" s="74">
        <v>0</v>
      </c>
      <c r="C51" s="73"/>
      <c r="D51" s="73"/>
      <c r="E51" s="73"/>
    </row>
    <row r="52" ht="20.55" customHeight="1">
      <c r="A52" t="s" s="45">
        <v>1108</v>
      </c>
      <c r="B52" s="79"/>
      <c r="C52" s="630" cm="1">
        <f t="array" ref="C52">SUMIF(B2:B51,"=TRUE",C2:C51)</f>
        <v>5629450</v>
      </c>
      <c r="D52" s="46"/>
      <c r="E52" s="631"/>
    </row>
    <row r="53" ht="20.35" customHeight="1">
      <c r="A53" t="s" s="50">
        <v>1109</v>
      </c>
      <c r="B53" s="88"/>
      <c r="C53" s="632" cm="1">
        <f t="array" ref="C53">SUM(C2:C51,-C$52)</f>
        <v>520000</v>
      </c>
      <c r="D53" s="51"/>
      <c r="E53" s="633" cm="1">
        <f t="array" ref="E53">SUM(E2:E51)</f>
        <v>600000</v>
      </c>
    </row>
  </sheetData>
  <conditionalFormatting sqref="C19:C20 C33">
    <cfRule type="cellIs" dxfId="24" priority="1" operator="equal"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D6"/>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4" width="16.3516" style="634" customWidth="1"/>
    <col min="5" max="16384" width="16.3516" style="634" customWidth="1"/>
  </cols>
  <sheetData>
    <row r="1" ht="20.55" customHeight="1">
      <c r="A1" s="7"/>
      <c r="B1" s="7"/>
      <c r="C1" s="7"/>
      <c r="D1" s="7"/>
    </row>
    <row r="2" ht="20.55" customHeight="1">
      <c r="A2" s="635" cm="1">
        <f t="array" ref="A2">80.0713</f>
        <v>80.07129999999999</v>
      </c>
      <c r="B2" s="636">
        <v>37838.57</v>
      </c>
      <c r="C2" s="234" cm="1">
        <f t="array" ref="C2">A2*B2</f>
        <v>3029783.490041</v>
      </c>
      <c r="D2" s="82"/>
    </row>
    <row r="3" ht="20.35" customHeight="1">
      <c r="A3" s="637"/>
      <c r="B3" s="638">
        <v>37842.34</v>
      </c>
      <c r="C3" s="247" cm="1">
        <f t="array" ref="C3">A2*B3</f>
        <v>3030085.358842</v>
      </c>
      <c r="D3" s="32"/>
    </row>
    <row r="4" ht="20.35" customHeight="1">
      <c r="A4" s="637"/>
      <c r="B4" s="639"/>
      <c r="C4" s="247"/>
      <c r="D4" s="32"/>
    </row>
    <row r="5" ht="20.35" customHeight="1">
      <c r="A5" s="637"/>
      <c r="B5" s="238"/>
      <c r="C5" s="298"/>
      <c r="D5" s="32"/>
    </row>
    <row r="6" ht="20.35" customHeight="1">
      <c r="A6" s="637"/>
      <c r="B6" s="238"/>
      <c r="C6" s="247" cm="1">
        <f t="array" ref="C6">C3-C2</f>
        <v>301.868801</v>
      </c>
      <c r="D6"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1:F25"/>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6" width="16.3516" style="640" customWidth="1"/>
    <col min="7" max="16384" width="16.3516" style="640" customWidth="1"/>
  </cols>
  <sheetData>
    <row r="1" ht="20.55" customHeight="1">
      <c r="A1" s="7"/>
      <c r="B1" s="7"/>
      <c r="C1" s="7"/>
      <c r="D1" s="7"/>
      <c r="E1" s="7"/>
      <c r="F1" s="7"/>
    </row>
    <row r="2" ht="20.55" customHeight="1">
      <c r="A2" t="s" s="10">
        <v>1114</v>
      </c>
      <c r="B2" t="s" s="641">
        <v>984</v>
      </c>
      <c r="C2" s="642"/>
      <c r="D2" s="48"/>
      <c r="E2" s="48"/>
      <c r="F2" s="48"/>
    </row>
    <row r="3" ht="20.35" customHeight="1">
      <c r="A3" s="28"/>
      <c r="B3" s="29"/>
      <c r="C3" s="32"/>
      <c r="D3" s="32"/>
      <c r="E3" s="32"/>
      <c r="F3" s="32"/>
    </row>
    <row r="4" ht="20.35" customHeight="1">
      <c r="A4" t="s" s="17">
        <v>1115</v>
      </c>
      <c r="B4" s="643">
        <v>2477033</v>
      </c>
      <c r="C4" s="644">
        <v>0.1</v>
      </c>
      <c r="D4" t="s" s="23">
        <v>827</v>
      </c>
      <c r="E4" s="32"/>
      <c r="F4" s="32"/>
    </row>
    <row r="5" ht="32.35" customHeight="1">
      <c r="A5" t="s" s="17">
        <v>1116</v>
      </c>
      <c r="B5" s="643">
        <v>9604444</v>
      </c>
      <c r="C5" s="644">
        <v>0.4</v>
      </c>
      <c r="D5" t="s" s="23">
        <v>827</v>
      </c>
      <c r="E5" s="32"/>
      <c r="F5" s="32"/>
    </row>
    <row r="6" ht="32.35" customHeight="1">
      <c r="A6" t="s" s="17">
        <v>1117</v>
      </c>
      <c r="B6" s="643">
        <v>3601666.65</v>
      </c>
      <c r="C6" s="52">
        <v>0.15</v>
      </c>
      <c r="D6" s="26"/>
      <c r="E6" s="26"/>
      <c r="F6" s="26"/>
    </row>
    <row r="7" ht="32.35" customHeight="1">
      <c r="A7" t="s" s="17">
        <v>1118</v>
      </c>
      <c r="B7" s="643">
        <v>3601666.65</v>
      </c>
      <c r="C7" s="52">
        <v>0.15</v>
      </c>
      <c r="D7" s="26"/>
      <c r="E7" s="26"/>
      <c r="F7" s="26"/>
    </row>
    <row r="8" ht="32.35" customHeight="1">
      <c r="A8" t="s" s="17">
        <v>1119</v>
      </c>
      <c r="B8" s="643">
        <v>2401111.1</v>
      </c>
      <c r="C8" s="491">
        <v>0.1</v>
      </c>
      <c r="D8" s="26"/>
      <c r="E8" s="26"/>
      <c r="F8" s="26"/>
    </row>
    <row r="9" ht="32.35" customHeight="1">
      <c r="A9" t="s" s="17">
        <v>1120</v>
      </c>
      <c r="B9" s="643">
        <v>2325189</v>
      </c>
      <c r="C9" s="491">
        <v>0.1</v>
      </c>
      <c r="D9" s="26"/>
      <c r="E9" s="26"/>
      <c r="F9" s="26"/>
    </row>
    <row r="10" ht="20.35" customHeight="1">
      <c r="A10" s="28"/>
      <c r="B10" s="645"/>
      <c r="C10" s="52"/>
      <c r="D10" s="26"/>
      <c r="E10" s="26"/>
      <c r="F10" s="26"/>
    </row>
    <row r="11" ht="20.35" customHeight="1">
      <c r="A11" t="s" s="17">
        <v>1121</v>
      </c>
      <c r="B11" s="643" cm="1">
        <f t="array" ref="B11">421494+1092654</f>
        <v>1514148</v>
      </c>
      <c r="C11" s="52"/>
      <c r="D11" s="26"/>
      <c r="E11" s="26"/>
      <c r="F11" s="26"/>
    </row>
    <row r="12" ht="20.35" customHeight="1">
      <c r="A12" s="28"/>
      <c r="B12" s="29"/>
      <c r="C12" s="52"/>
      <c r="D12" s="26"/>
      <c r="E12" s="26"/>
      <c r="F12" s="26"/>
    </row>
    <row r="13" ht="20.35" customHeight="1">
      <c r="A13" t="s" s="17">
        <v>599</v>
      </c>
      <c r="B13" s="646" cm="1">
        <f t="array" ref="B13">SUM(B4:B11)</f>
        <v>25525258.4</v>
      </c>
      <c r="C13" s="52"/>
      <c r="D13" s="32"/>
      <c r="E13" s="32"/>
      <c r="F13" s="32"/>
    </row>
    <row r="14" ht="20.35" customHeight="1">
      <c r="A14" t="s" s="17">
        <v>827</v>
      </c>
      <c r="B14" s="646" cm="1">
        <f t="array" ref="B14">B4+B5+B6+B7+B8+B9+(421494+694954+397700)</f>
        <v>25525258.4</v>
      </c>
      <c r="C14" s="52"/>
      <c r="D14" s="32"/>
      <c r="E14" s="32"/>
      <c r="F14" s="32"/>
    </row>
    <row r="15" ht="20.35" customHeight="1">
      <c r="A15" t="s" s="17">
        <v>598</v>
      </c>
      <c r="B15" s="277" cm="1">
        <f t="array" ref="B15">B13-B14</f>
        <v>0</v>
      </c>
      <c r="C15" s="52"/>
      <c r="D15" s="32"/>
      <c r="E15" s="32"/>
      <c r="F15" s="32"/>
    </row>
    <row r="16" ht="20.35" customHeight="1">
      <c r="A16" s="28"/>
      <c r="B16" s="277"/>
      <c r="C16" s="52"/>
      <c r="D16" s="32"/>
      <c r="E16" s="32"/>
      <c r="F16" s="32"/>
    </row>
    <row r="17" ht="20.35" customHeight="1">
      <c r="A17" s="28"/>
      <c r="B17" s="277"/>
      <c r="C17" s="52"/>
      <c r="D17" s="32"/>
      <c r="E17" s="32"/>
      <c r="F17" s="32"/>
    </row>
    <row r="18" ht="20.35" customHeight="1">
      <c r="A18" s="28"/>
      <c r="B18" s="277"/>
      <c r="C18" s="52"/>
      <c r="D18" s="32"/>
      <c r="E18" s="32"/>
      <c r="F18" s="32"/>
    </row>
    <row r="19" ht="20.35" customHeight="1">
      <c r="A19" s="28"/>
      <c r="B19" s="277"/>
      <c r="C19" s="52"/>
      <c r="D19" s="32"/>
      <c r="E19" s="32"/>
      <c r="F19" s="32"/>
    </row>
    <row r="20" ht="20.35" customHeight="1">
      <c r="A20" s="28"/>
      <c r="B20" s="277"/>
      <c r="C20" s="52"/>
      <c r="D20" s="32"/>
      <c r="E20" s="32"/>
      <c r="F20" s="32"/>
    </row>
    <row r="21" ht="20.35" customHeight="1">
      <c r="A21" s="28"/>
      <c r="B21" s="277"/>
      <c r="C21" s="52"/>
      <c r="D21" s="32"/>
      <c r="E21" s="32"/>
      <c r="F21" s="32"/>
    </row>
    <row r="22" ht="20.55" customHeight="1">
      <c r="A22" s="84"/>
      <c r="B22" s="647"/>
      <c r="C22" s="648"/>
      <c r="D22" s="73"/>
      <c r="E22" s="73"/>
      <c r="F22" s="73"/>
    </row>
    <row r="23" ht="20.55" customHeight="1">
      <c r="A23" s="46"/>
      <c r="B23" s="82"/>
      <c r="C23" s="59"/>
      <c r="D23" s="59"/>
      <c r="E23" s="59"/>
      <c r="F23" s="59"/>
    </row>
    <row r="24" ht="20.35" customHeight="1">
      <c r="A24" s="51"/>
      <c r="B24" s="32"/>
      <c r="C24" s="30"/>
      <c r="D24" s="30"/>
      <c r="E24" s="30"/>
      <c r="F24" s="30"/>
    </row>
    <row r="25" ht="20.35" customHeight="1">
      <c r="A25" s="51"/>
      <c r="B25" s="32"/>
      <c r="C25" s="30"/>
      <c r="D25" s="30"/>
      <c r="E25" s="30"/>
      <c r="F25" s="30"/>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64.xml><?xml version="1.0" encoding="utf-8"?>
<worksheet xmlns:r="http://schemas.openxmlformats.org/officeDocument/2006/relationships" xmlns="http://schemas.openxmlformats.org/spreadsheetml/2006/main">
  <sheetPr>
    <pageSetUpPr fitToPage="1"/>
  </sheetPr>
  <dimension ref="A1:T52"/>
  <sheetViews>
    <sheetView workbookViewId="0" showGridLines="0" defaultGridColor="1">
      <pane topLeftCell="C3" xSplit="2" ySplit="2" activePane="bottomRight" state="frozen"/>
    </sheetView>
  </sheetViews>
  <sheetFormatPr defaultColWidth="16.3333" defaultRowHeight="18" customHeight="1" outlineLevelRow="0" outlineLevelCol="0"/>
  <cols>
    <col min="1" max="3" width="16.3516" style="649" customWidth="1"/>
    <col min="4" max="5" width="6.5" style="649" customWidth="1"/>
    <col min="6" max="6" width="16.3516" style="649" customWidth="1"/>
    <col min="7" max="8" width="5.17188" style="649" customWidth="1"/>
    <col min="9" max="9" width="5.66406" style="649" customWidth="1"/>
    <col min="10" max="20" width="16.3516" style="649" customWidth="1"/>
    <col min="21" max="16384" width="16.3516" style="649" customWidth="1"/>
  </cols>
  <sheetData>
    <row r="1" ht="20.35" customHeight="1">
      <c r="A1" s="217"/>
      <c r="B1" s="217"/>
      <c r="C1" s="217"/>
      <c r="D1" s="217"/>
      <c r="E1" s="217"/>
      <c r="F1" s="217"/>
      <c r="G1" s="217"/>
      <c r="H1" s="217"/>
      <c r="I1" s="217"/>
      <c r="J1" s="217"/>
      <c r="K1" s="217"/>
      <c r="L1" s="217"/>
      <c r="M1" s="217"/>
      <c r="N1" s="217"/>
      <c r="O1" s="217"/>
      <c r="P1" s="217"/>
      <c r="Q1" s="217"/>
      <c r="R1" s="217"/>
      <c r="S1" s="217"/>
      <c r="T1" s="217"/>
    </row>
    <row r="2" ht="20.55" customHeight="1">
      <c r="A2" s="7"/>
      <c r="B2" s="7"/>
      <c r="C2" t="s" s="8">
        <v>165</v>
      </c>
      <c r="D2" s="7"/>
      <c r="E2" s="7"/>
      <c r="F2" t="s" s="8">
        <v>162</v>
      </c>
      <c r="G2" t="s" s="8">
        <v>1123</v>
      </c>
      <c r="H2" s="7"/>
      <c r="I2" s="7"/>
      <c r="J2" t="s" s="8">
        <v>1124</v>
      </c>
      <c r="K2" s="7"/>
      <c r="L2" t="s" s="8">
        <v>1125</v>
      </c>
      <c r="M2" t="s" s="8">
        <v>158</v>
      </c>
      <c r="N2" t="s" s="8">
        <v>1126</v>
      </c>
      <c r="O2" s="7"/>
      <c r="P2" s="7"/>
      <c r="Q2" s="7"/>
      <c r="R2" s="7"/>
      <c r="S2" s="7"/>
      <c r="T2" s="7"/>
    </row>
    <row r="3" ht="20.55" customHeight="1">
      <c r="A3" s="650">
        <v>2023</v>
      </c>
      <c r="B3" s="651">
        <v>44927</v>
      </c>
      <c r="C3" s="225"/>
      <c r="D3" s="652"/>
      <c r="E3" s="652"/>
      <c r="F3" s="234"/>
      <c r="G3" s="652"/>
      <c r="H3" s="652"/>
      <c r="I3" s="234"/>
      <c r="J3" s="234"/>
      <c r="K3" s="234"/>
      <c r="L3" s="234"/>
      <c r="M3" s="234"/>
      <c r="N3" s="234"/>
      <c r="O3" s="234"/>
      <c r="P3" s="234"/>
      <c r="Q3" s="234"/>
      <c r="R3" s="234"/>
      <c r="S3" s="234"/>
      <c r="T3" s="234"/>
    </row>
    <row r="4" ht="20.35" customHeight="1">
      <c r="A4" s="250"/>
      <c r="B4" s="653">
        <v>44958</v>
      </c>
      <c r="C4" s="238">
        <v>20945</v>
      </c>
      <c r="D4" s="289">
        <v>12.2</v>
      </c>
      <c r="E4" s="32"/>
      <c r="F4" s="247"/>
      <c r="G4" s="288"/>
      <c r="H4" s="288"/>
      <c r="I4" s="247"/>
      <c r="J4" s="247"/>
      <c r="K4" s="247"/>
      <c r="L4" s="247"/>
      <c r="M4" s="247"/>
      <c r="N4" s="247"/>
      <c r="O4" s="247"/>
      <c r="P4" s="247"/>
      <c r="Q4" s="247"/>
      <c r="R4" s="247"/>
      <c r="S4" s="247"/>
      <c r="T4" s="247"/>
    </row>
    <row r="5" ht="20.35" customHeight="1">
      <c r="A5" s="250"/>
      <c r="B5" s="653">
        <v>44986</v>
      </c>
      <c r="C5" s="238"/>
      <c r="D5" s="288"/>
      <c r="E5" s="32"/>
      <c r="F5" s="247"/>
      <c r="G5" s="288"/>
      <c r="H5" s="288"/>
      <c r="I5" s="247"/>
      <c r="J5" s="247"/>
      <c r="K5" s="247"/>
      <c r="L5" s="247"/>
      <c r="M5" s="247"/>
      <c r="N5" s="247"/>
      <c r="O5" s="247"/>
      <c r="P5" s="247"/>
      <c r="Q5" s="247"/>
      <c r="R5" s="247"/>
      <c r="S5" s="247"/>
      <c r="T5" s="247"/>
    </row>
    <row r="6" ht="20.35" customHeight="1">
      <c r="A6" s="250"/>
      <c r="B6" s="653">
        <v>45017</v>
      </c>
      <c r="C6" s="238">
        <v>16525</v>
      </c>
      <c r="D6" s="289">
        <v>9.4</v>
      </c>
      <c r="E6" s="32"/>
      <c r="F6" s="247"/>
      <c r="G6" s="288"/>
      <c r="H6" s="288"/>
      <c r="I6" s="247"/>
      <c r="J6" s="247"/>
      <c r="K6" s="247"/>
      <c r="L6" s="247"/>
      <c r="M6" s="247"/>
      <c r="N6" s="247"/>
      <c r="O6" s="247"/>
      <c r="P6" s="247"/>
      <c r="Q6" s="247"/>
      <c r="R6" s="247"/>
      <c r="S6" s="247"/>
      <c r="T6" s="247"/>
    </row>
    <row r="7" ht="20.35" customHeight="1">
      <c r="A7" s="250"/>
      <c r="B7" s="653">
        <v>45047</v>
      </c>
      <c r="C7" s="238"/>
      <c r="D7" s="288"/>
      <c r="E7" s="32"/>
      <c r="F7" s="247"/>
      <c r="G7" s="288"/>
      <c r="H7" s="288"/>
      <c r="I7" s="247"/>
      <c r="J7" s="247"/>
      <c r="K7" s="247"/>
      <c r="L7" s="247"/>
      <c r="M7" s="247"/>
      <c r="N7" s="247"/>
      <c r="O7" s="247"/>
      <c r="P7" s="247"/>
      <c r="Q7" s="247"/>
      <c r="R7" s="247"/>
      <c r="S7" s="247"/>
      <c r="T7" s="247"/>
    </row>
    <row r="8" ht="20.35" customHeight="1">
      <c r="A8" s="250"/>
      <c r="B8" s="653">
        <v>45078</v>
      </c>
      <c r="C8" s="238"/>
      <c r="D8" s="288"/>
      <c r="E8" s="32"/>
      <c r="F8" s="247"/>
      <c r="G8" s="288"/>
      <c r="H8" s="288"/>
      <c r="I8" s="247"/>
      <c r="J8" s="247"/>
      <c r="K8" s="247"/>
      <c r="L8" s="247"/>
      <c r="M8" s="247"/>
      <c r="N8" s="247"/>
      <c r="O8" s="247"/>
      <c r="P8" s="247"/>
      <c r="Q8" s="247"/>
      <c r="R8" s="247"/>
      <c r="S8" s="247"/>
      <c r="T8" s="247"/>
    </row>
    <row r="9" ht="20.35" customHeight="1">
      <c r="A9" s="250"/>
      <c r="B9" s="653">
        <v>45108</v>
      </c>
      <c r="C9" s="238">
        <v>18854</v>
      </c>
      <c r="D9" s="289">
        <v>10.9</v>
      </c>
      <c r="E9" s="32"/>
      <c r="F9" s="247"/>
      <c r="G9" s="288">
        <v>366</v>
      </c>
      <c r="H9" s="32"/>
      <c r="I9" s="247"/>
      <c r="J9" s="247"/>
      <c r="K9" s="247"/>
      <c r="L9" s="247"/>
      <c r="M9" s="247"/>
      <c r="N9" s="247"/>
      <c r="O9" s="247"/>
      <c r="P9" s="247"/>
      <c r="Q9" s="247"/>
      <c r="R9" s="247"/>
      <c r="S9" s="247"/>
      <c r="T9" s="247"/>
    </row>
    <row r="10" ht="20.35" customHeight="1">
      <c r="A10" s="250"/>
      <c r="B10" s="653">
        <v>45139</v>
      </c>
      <c r="C10" s="238"/>
      <c r="D10" s="288"/>
      <c r="E10" s="32"/>
      <c r="F10" s="247"/>
      <c r="G10" s="288">
        <v>360</v>
      </c>
      <c r="H10" s="32"/>
      <c r="I10" s="247"/>
      <c r="J10" s="247"/>
      <c r="K10" s="247"/>
      <c r="L10" s="247"/>
      <c r="M10" s="247"/>
      <c r="N10" s="247"/>
      <c r="O10" s="247"/>
      <c r="P10" s="247"/>
      <c r="Q10" s="247"/>
      <c r="R10" s="247"/>
      <c r="S10" s="247"/>
      <c r="T10" s="247"/>
    </row>
    <row r="11" ht="20.35" customHeight="1">
      <c r="A11" s="250"/>
      <c r="B11" s="653">
        <v>45170</v>
      </c>
      <c r="C11" s="238">
        <v>34363</v>
      </c>
      <c r="D11" s="289">
        <v>20.9</v>
      </c>
      <c r="E11" s="32"/>
      <c r="F11" s="247"/>
      <c r="G11" s="288">
        <v>379</v>
      </c>
      <c r="H11" s="32"/>
      <c r="I11" s="247"/>
      <c r="J11" s="247"/>
      <c r="K11" s="247"/>
      <c r="L11" s="247"/>
      <c r="M11" s="247"/>
      <c r="N11" s="247"/>
      <c r="O11" s="247"/>
      <c r="P11" s="247"/>
      <c r="Q11" s="247"/>
      <c r="R11" s="247"/>
      <c r="S11" s="247"/>
      <c r="T11" s="247"/>
    </row>
    <row r="12" ht="20.35" customHeight="1">
      <c r="A12" s="250"/>
      <c r="B12" s="653">
        <v>45200</v>
      </c>
      <c r="C12" s="238">
        <v>44793</v>
      </c>
      <c r="D12" s="289">
        <v>28.2</v>
      </c>
      <c r="E12" s="32"/>
      <c r="F12" s="247"/>
      <c r="G12" s="288">
        <v>325</v>
      </c>
      <c r="H12" s="32"/>
      <c r="I12" s="247"/>
      <c r="J12" s="247"/>
      <c r="K12" s="247"/>
      <c r="L12" s="247"/>
      <c r="M12" s="247"/>
      <c r="N12" s="247"/>
      <c r="O12" s="247"/>
      <c r="P12" s="247"/>
      <c r="Q12" s="247"/>
      <c r="R12" s="247"/>
      <c r="S12" s="247"/>
      <c r="T12" s="247"/>
    </row>
    <row r="13" ht="20.35" customHeight="1">
      <c r="A13" s="250"/>
      <c r="B13" s="653">
        <v>45231</v>
      </c>
      <c r="C13" s="639"/>
      <c r="D13" s="298"/>
      <c r="E13" s="32"/>
      <c r="F13" s="247"/>
      <c r="G13" s="288">
        <v>198</v>
      </c>
      <c r="H13" s="32"/>
      <c r="I13" s="247"/>
      <c r="J13" s="247"/>
      <c r="K13" s="247"/>
      <c r="L13" s="247"/>
      <c r="M13" s="247"/>
      <c r="N13" s="247"/>
      <c r="O13" s="247"/>
      <c r="P13" s="247"/>
      <c r="Q13" s="247"/>
      <c r="R13" s="247"/>
      <c r="S13" s="247"/>
      <c r="T13" s="247"/>
    </row>
    <row r="14" ht="20.35" customHeight="1">
      <c r="A14" s="250"/>
      <c r="B14" s="653">
        <v>45261</v>
      </c>
      <c r="C14" s="238"/>
      <c r="D14" s="288"/>
      <c r="E14" s="32"/>
      <c r="F14" s="247"/>
      <c r="G14" s="288">
        <v>237</v>
      </c>
      <c r="H14" s="32"/>
      <c r="I14" s="247"/>
      <c r="J14" s="247"/>
      <c r="K14" s="247"/>
      <c r="L14" s="247"/>
      <c r="M14" s="247"/>
      <c r="N14" s="247"/>
      <c r="O14" s="247"/>
      <c r="P14" s="247"/>
      <c r="Q14" s="247"/>
      <c r="R14" s="247"/>
      <c r="S14" s="247"/>
      <c r="T14" s="247"/>
    </row>
    <row r="15" ht="20.35" customHeight="1">
      <c r="A15" s="654">
        <v>2024</v>
      </c>
      <c r="B15" s="653">
        <v>45292</v>
      </c>
      <c r="C15" s="238">
        <v>40683</v>
      </c>
      <c r="D15" s="289">
        <v>24.9</v>
      </c>
      <c r="E15" s="32"/>
      <c r="F15" s="247"/>
      <c r="G15" s="288">
        <v>185</v>
      </c>
      <c r="H15" s="32"/>
      <c r="I15" s="247"/>
      <c r="J15" s="247"/>
      <c r="K15" s="247"/>
      <c r="L15" s="247"/>
      <c r="M15" s="247"/>
      <c r="N15" s="247"/>
      <c r="O15" s="247"/>
      <c r="P15" s="247"/>
      <c r="Q15" s="247"/>
      <c r="R15" s="247"/>
      <c r="S15" s="247"/>
      <c r="T15" s="247"/>
    </row>
    <row r="16" ht="20.35" customHeight="1">
      <c r="A16" s="250"/>
      <c r="B16" s="653">
        <v>45323</v>
      </c>
      <c r="C16" s="238"/>
      <c r="D16" s="288"/>
      <c r="E16" s="32"/>
      <c r="F16" s="247"/>
      <c r="G16" s="288">
        <v>168</v>
      </c>
      <c r="H16" s="32"/>
      <c r="I16" s="247"/>
      <c r="J16" s="247"/>
      <c r="K16" s="247"/>
      <c r="L16" s="247"/>
      <c r="M16" s="247"/>
      <c r="N16" s="247"/>
      <c r="O16" s="247"/>
      <c r="P16" s="247"/>
      <c r="Q16" s="247"/>
      <c r="R16" s="247"/>
      <c r="S16" s="247"/>
      <c r="T16" s="247"/>
    </row>
    <row r="17" ht="20.35" customHeight="1">
      <c r="A17" s="250"/>
      <c r="B17" s="653">
        <v>45352</v>
      </c>
      <c r="C17" s="238">
        <v>42088</v>
      </c>
      <c r="D17" s="288">
        <v>26</v>
      </c>
      <c r="E17" s="32"/>
      <c r="F17" s="247"/>
      <c r="G17" s="288">
        <v>152</v>
      </c>
      <c r="H17" s="32"/>
      <c r="I17" s="247"/>
      <c r="J17" s="247"/>
      <c r="K17" s="247"/>
      <c r="L17" s="247"/>
      <c r="M17" s="247"/>
      <c r="N17" s="247"/>
      <c r="O17" s="247"/>
      <c r="P17" s="247"/>
      <c r="Q17" s="247"/>
      <c r="R17" s="247"/>
      <c r="S17" s="247"/>
      <c r="T17" s="247"/>
    </row>
    <row r="18" ht="20.35" customHeight="1">
      <c r="A18" s="250"/>
      <c r="B18" s="653">
        <v>45383</v>
      </c>
      <c r="C18" s="238">
        <v>29340</v>
      </c>
      <c r="D18" s="289">
        <v>17.6</v>
      </c>
      <c r="E18" s="32"/>
      <c r="F18" s="247"/>
      <c r="G18" s="288">
        <v>255</v>
      </c>
      <c r="H18" s="32"/>
      <c r="I18" s="247"/>
      <c r="J18" s="247"/>
      <c r="K18" s="247"/>
      <c r="L18" s="247"/>
      <c r="M18" s="247"/>
      <c r="N18" s="247"/>
      <c r="O18" s="247"/>
      <c r="P18" s="247"/>
      <c r="Q18" s="247"/>
      <c r="R18" s="247"/>
      <c r="S18" s="247"/>
      <c r="T18" s="247"/>
    </row>
    <row r="19" ht="20.35" customHeight="1">
      <c r="A19" t="s" s="237">
        <v>1127</v>
      </c>
      <c r="B19" s="653">
        <v>45413</v>
      </c>
      <c r="C19" s="238">
        <v>50304</v>
      </c>
      <c r="D19" s="289">
        <v>32.7</v>
      </c>
      <c r="E19" s="32"/>
      <c r="F19" s="247"/>
      <c r="G19" s="288">
        <v>604</v>
      </c>
      <c r="H19" s="32"/>
      <c r="I19" s="288"/>
      <c r="J19" s="247"/>
      <c r="K19" s="247"/>
      <c r="L19" s="247"/>
      <c r="M19" s="247"/>
      <c r="N19" s="247"/>
      <c r="O19" s="247"/>
      <c r="P19" s="247"/>
      <c r="Q19" s="247"/>
      <c r="R19" s="247"/>
      <c r="S19" s="247"/>
      <c r="T19" s="247"/>
    </row>
    <row r="20" ht="20.35" customHeight="1">
      <c r="A20" t="s" s="237">
        <v>1128</v>
      </c>
      <c r="B20" s="653">
        <v>45444</v>
      </c>
      <c r="C20" s="639"/>
      <c r="D20" s="298"/>
      <c r="E20" s="298"/>
      <c r="F20" s="247">
        <v>86332</v>
      </c>
      <c r="G20" s="288">
        <v>607</v>
      </c>
      <c r="H20" s="288" cm="1">
        <f t="array" ref="H20">G8</f>
        <v>0</v>
      </c>
      <c r="I20" s="288" cm="1">
        <f t="array" ref="I20">G20-H20</f>
        <v>607</v>
      </c>
      <c r="J20" s="247" cm="1">
        <f t="array" ref="J20">F20+C20</f>
        <v>86332</v>
      </c>
      <c r="K20" s="288" cm="1">
        <f t="array" ref="K20">J8</f>
        <v>0</v>
      </c>
      <c r="L20" s="247">
        <v>6704</v>
      </c>
      <c r="M20" s="247">
        <v>89574</v>
      </c>
      <c r="N20" s="247">
        <v>88150</v>
      </c>
      <c r="O20" s="247"/>
      <c r="P20" s="247"/>
      <c r="Q20" s="247"/>
      <c r="R20" s="247"/>
      <c r="S20" s="247"/>
      <c r="T20" s="247"/>
    </row>
    <row r="21" ht="20.35" customHeight="1">
      <c r="A21" s="250"/>
      <c r="B21" s="653">
        <v>45474</v>
      </c>
      <c r="C21" s="639"/>
      <c r="D21" s="298"/>
      <c r="E21" s="298"/>
      <c r="F21" s="247">
        <v>76281</v>
      </c>
      <c r="G21" s="288">
        <v>518</v>
      </c>
      <c r="H21" s="288" cm="1">
        <f t="array" ref="H21">G9</f>
        <v>366</v>
      </c>
      <c r="I21" s="288" cm="1">
        <f t="array" ref="I21">G21-H21</f>
        <v>152</v>
      </c>
      <c r="J21" s="247" cm="1">
        <f t="array" ref="J21">F21+C21</f>
        <v>76281</v>
      </c>
      <c r="K21" s="288" cm="1">
        <f t="array" ref="K21">J9</f>
        <v>0</v>
      </c>
      <c r="L21" s="247">
        <v>7276</v>
      </c>
      <c r="M21" s="247">
        <v>98227</v>
      </c>
      <c r="N21" s="247"/>
      <c r="O21" s="247"/>
      <c r="P21" s="247"/>
      <c r="Q21" s="247"/>
      <c r="R21" s="247"/>
      <c r="S21" s="247"/>
      <c r="T21" s="247"/>
    </row>
    <row r="22" ht="20.35" customHeight="1">
      <c r="A22" s="250"/>
      <c r="B22" s="653">
        <v>45505</v>
      </c>
      <c r="C22" s="238">
        <v>52892</v>
      </c>
      <c r="D22" s="595">
        <v>30.59</v>
      </c>
      <c r="E22" s="288"/>
      <c r="F22" s="247">
        <v>105048</v>
      </c>
      <c r="G22" s="288">
        <v>665</v>
      </c>
      <c r="H22" s="288" cm="1">
        <f t="array" ref="H22">G10</f>
        <v>360</v>
      </c>
      <c r="I22" s="288" cm="1">
        <f t="array" ref="I22">G22-H22</f>
        <v>305</v>
      </c>
      <c r="J22" s="247" cm="1">
        <f t="array" ref="J22">F22+C22</f>
        <v>157940</v>
      </c>
      <c r="K22" s="288" cm="1">
        <f t="array" ref="K22">J10</f>
        <v>0</v>
      </c>
      <c r="L22" s="247">
        <v>12990</v>
      </c>
      <c r="M22" s="247">
        <v>88446</v>
      </c>
      <c r="N22" s="247"/>
      <c r="O22" s="247"/>
      <c r="P22" s="247"/>
      <c r="Q22" s="247"/>
      <c r="R22" s="247"/>
      <c r="S22" s="247"/>
      <c r="T22" s="247"/>
    </row>
    <row r="23" ht="20.35" customHeight="1">
      <c r="A23" s="250"/>
      <c r="B23" s="653">
        <v>45536</v>
      </c>
      <c r="C23" s="238"/>
      <c r="D23" s="288"/>
      <c r="E23" s="288"/>
      <c r="F23" s="247">
        <v>48853</v>
      </c>
      <c r="G23" s="288">
        <v>309</v>
      </c>
      <c r="H23" s="288" cm="1">
        <f t="array" ref="H23">G11</f>
        <v>379</v>
      </c>
      <c r="I23" s="288" cm="1">
        <f t="array" ref="I23">G23-H23</f>
        <v>-70</v>
      </c>
      <c r="J23" s="247" cm="1">
        <f t="array" ref="J23">F23+C23</f>
        <v>48853</v>
      </c>
      <c r="K23" s="288" cm="1">
        <f t="array" ref="K23">J11</f>
        <v>0</v>
      </c>
      <c r="L23" s="288">
        <v>12990</v>
      </c>
      <c r="M23" s="247">
        <v>85036</v>
      </c>
      <c r="N23" s="247">
        <v>88150</v>
      </c>
      <c r="O23" s="247"/>
      <c r="P23" s="247"/>
      <c r="Q23" s="247"/>
      <c r="R23" s="247"/>
      <c r="S23" s="247"/>
      <c r="T23" s="247"/>
    </row>
    <row r="24" ht="20.35" customHeight="1">
      <c r="A24" s="250"/>
      <c r="B24" s="653">
        <v>45566</v>
      </c>
      <c r="C24" s="238">
        <v>40492</v>
      </c>
      <c r="D24" s="595">
        <v>24.28</v>
      </c>
      <c r="E24" s="288"/>
      <c r="F24" s="247">
        <v>47752</v>
      </c>
      <c r="G24" s="288">
        <v>245</v>
      </c>
      <c r="H24" s="288" cm="1">
        <f t="array" ref="H24">G12</f>
        <v>325</v>
      </c>
      <c r="I24" s="288" cm="1">
        <f t="array" ref="I24">G24-H24</f>
        <v>-80</v>
      </c>
      <c r="J24" s="247" cm="1">
        <f t="array" ref="J24">F24+C24</f>
        <v>88244</v>
      </c>
      <c r="K24" s="288" cm="1">
        <f t="array" ref="K24">J12</f>
        <v>0</v>
      </c>
      <c r="L24" s="247">
        <v>12990</v>
      </c>
      <c r="M24" s="247">
        <v>83108</v>
      </c>
      <c r="N24" s="247"/>
      <c r="O24" s="247"/>
      <c r="P24" s="247"/>
      <c r="Q24" s="247"/>
      <c r="R24" s="247"/>
      <c r="S24" s="247"/>
      <c r="T24" s="247"/>
    </row>
    <row r="25" ht="20.35" customHeight="1">
      <c r="A25" s="250"/>
      <c r="B25" s="653">
        <v>45597</v>
      </c>
      <c r="C25" s="238"/>
      <c r="D25" s="288"/>
      <c r="E25" s="288"/>
      <c r="F25" s="247">
        <v>32998</v>
      </c>
      <c r="G25" s="249">
        <v>169</v>
      </c>
      <c r="H25" s="288" cm="1">
        <f t="array" ref="H25">G13</f>
        <v>198</v>
      </c>
      <c r="I25" s="288" cm="1">
        <f t="array" ref="I25">G25-H25</f>
        <v>-29</v>
      </c>
      <c r="J25" s="247" cm="1">
        <f t="array" ref="J25">F25+C25</f>
        <v>32998</v>
      </c>
      <c r="K25" s="288" cm="1">
        <f t="array" ref="K25">J13</f>
        <v>0</v>
      </c>
      <c r="L25" s="247">
        <v>12990</v>
      </c>
      <c r="M25" s="247">
        <v>80666</v>
      </c>
      <c r="N25" s="247">
        <v>88150</v>
      </c>
      <c r="O25" s="247"/>
      <c r="P25" s="247"/>
      <c r="Q25" s="247"/>
      <c r="R25" s="247"/>
      <c r="S25" s="247"/>
      <c r="T25" s="247"/>
    </row>
    <row r="26" ht="20.35" customHeight="1">
      <c r="A26" s="250"/>
      <c r="B26" s="653">
        <v>45627</v>
      </c>
      <c r="C26" s="238">
        <v>13762</v>
      </c>
      <c r="D26" s="288">
        <v>6</v>
      </c>
      <c r="E26" s="288"/>
      <c r="F26" s="247">
        <v>42263</v>
      </c>
      <c r="G26" s="288">
        <v>209</v>
      </c>
      <c r="H26" s="288" cm="1">
        <f t="array" ref="H26">G14</f>
        <v>237</v>
      </c>
      <c r="I26" s="288" cm="1">
        <f t="array" ref="I26">G26-H26</f>
        <v>-28</v>
      </c>
      <c r="J26" s="247" cm="1">
        <f t="array" ref="J26">F26+C26</f>
        <v>56025</v>
      </c>
      <c r="K26" s="288" cm="1">
        <f t="array" ref="K26">J14</f>
        <v>0</v>
      </c>
      <c r="L26" s="247">
        <v>12990</v>
      </c>
      <c r="M26" s="247">
        <v>87331</v>
      </c>
      <c r="N26" s="247"/>
      <c r="O26" s="247"/>
      <c r="P26" s="247"/>
      <c r="Q26" s="247"/>
      <c r="R26" s="247"/>
      <c r="S26" s="247"/>
      <c r="T26" s="247"/>
    </row>
    <row r="27" ht="20.35" customHeight="1">
      <c r="A27" s="654">
        <v>2025</v>
      </c>
      <c r="B27" s="653">
        <v>45658</v>
      </c>
      <c r="C27" s="238"/>
      <c r="D27" s="288"/>
      <c r="E27" s="288"/>
      <c r="F27" s="247">
        <v>64832</v>
      </c>
      <c r="G27" s="288">
        <v>290</v>
      </c>
      <c r="H27" s="288" cm="1">
        <f t="array" ref="H27">G15</f>
        <v>185</v>
      </c>
      <c r="I27" s="288" cm="1">
        <f t="array" ref="I27">G27-H27</f>
        <v>105</v>
      </c>
      <c r="J27" s="247" cm="1">
        <f t="array" ref="J27">F27+C27</f>
        <v>64832</v>
      </c>
      <c r="K27" s="288" cm="1">
        <f t="array" ref="K27">J15</f>
        <v>0</v>
      </c>
      <c r="L27" s="247">
        <v>21990</v>
      </c>
      <c r="M27" s="247">
        <v>89211</v>
      </c>
      <c r="N27" s="298"/>
      <c r="O27" s="247"/>
      <c r="P27" s="247"/>
      <c r="Q27" s="247"/>
      <c r="R27" s="296"/>
      <c r="S27" s="247"/>
      <c r="T27" s="247"/>
    </row>
    <row r="28" ht="20.35" customHeight="1">
      <c r="A28" s="250"/>
      <c r="B28" s="653">
        <v>45689</v>
      </c>
      <c r="C28" s="238">
        <v>18051</v>
      </c>
      <c r="D28" s="288">
        <v>8</v>
      </c>
      <c r="E28" s="288"/>
      <c r="F28" s="247">
        <v>60849</v>
      </c>
      <c r="G28" s="288">
        <v>273</v>
      </c>
      <c r="H28" s="288" cm="1">
        <f t="array" ref="H28">G16</f>
        <v>168</v>
      </c>
      <c r="I28" s="288" cm="1">
        <f t="array" ref="I28">G28-H28</f>
        <v>105</v>
      </c>
      <c r="J28" s="247" cm="1">
        <f t="array" ref="J28">F28+C28</f>
        <v>78900</v>
      </c>
      <c r="K28" s="288" cm="1">
        <f t="array" ref="K28">J16</f>
        <v>0</v>
      </c>
      <c r="L28" s="247">
        <v>21990</v>
      </c>
      <c r="M28" s="247">
        <v>66889</v>
      </c>
      <c r="N28" s="247"/>
      <c r="O28" s="247"/>
      <c r="P28" s="247"/>
      <c r="Q28" s="247"/>
      <c r="R28" s="296"/>
      <c r="S28" s="247"/>
      <c r="T28" s="247"/>
    </row>
    <row r="29" ht="20.35" customHeight="1">
      <c r="A29" s="250"/>
      <c r="B29" s="653">
        <v>45717</v>
      </c>
      <c r="C29" s="238"/>
      <c r="D29" s="288"/>
      <c r="E29" s="288"/>
      <c r="F29" s="247">
        <v>7465</v>
      </c>
      <c r="G29" s="288">
        <v>29</v>
      </c>
      <c r="H29" s="288" cm="1">
        <f t="array" ref="H29">G17</f>
        <v>152</v>
      </c>
      <c r="I29" s="288" cm="1">
        <f t="array" ref="I29">G29-H29</f>
        <v>-123</v>
      </c>
      <c r="J29" s="247" cm="1">
        <f t="array" ref="J29">F29+C29</f>
        <v>7465</v>
      </c>
      <c r="K29" s="288" cm="1">
        <f t="array" ref="K29">J17</f>
        <v>0</v>
      </c>
      <c r="L29" s="247">
        <v>21990</v>
      </c>
      <c r="M29" s="247">
        <v>74654</v>
      </c>
      <c r="N29" s="32"/>
      <c r="O29" s="247"/>
      <c r="P29" s="247"/>
      <c r="Q29" s="247"/>
      <c r="R29" s="296"/>
      <c r="S29" s="247"/>
      <c r="T29" s="247"/>
    </row>
    <row r="30" ht="20.35" customHeight="1">
      <c r="A30" s="250"/>
      <c r="B30" s="653">
        <v>45748</v>
      </c>
      <c r="C30" s="238">
        <v>22352</v>
      </c>
      <c r="D30" s="288">
        <v>10</v>
      </c>
      <c r="E30" s="288"/>
      <c r="F30" s="247">
        <v>42655</v>
      </c>
      <c r="G30" s="288">
        <v>189</v>
      </c>
      <c r="H30" s="288" cm="1">
        <f t="array" ref="H30">G18</f>
        <v>255</v>
      </c>
      <c r="I30" s="288" cm="1">
        <f t="array" ref="I30">G30-H30</f>
        <v>-66</v>
      </c>
      <c r="J30" s="247" cm="1">
        <f t="array" ref="J30">F30+C30</f>
        <v>65007</v>
      </c>
      <c r="K30" s="288" cm="1">
        <f t="array" ref="K30">J18</f>
        <v>0</v>
      </c>
      <c r="L30" s="247">
        <v>21990</v>
      </c>
      <c r="M30" s="247">
        <v>73094</v>
      </c>
      <c r="N30" s="247">
        <v>90033</v>
      </c>
      <c r="O30" s="247"/>
      <c r="P30" s="247"/>
      <c r="Q30" s="247"/>
      <c r="R30" s="296"/>
      <c r="S30" s="247"/>
      <c r="T30" s="247"/>
    </row>
    <row r="31" ht="20.35" customHeight="1">
      <c r="A31" s="250"/>
      <c r="B31" s="653">
        <v>45778</v>
      </c>
      <c r="C31" s="238"/>
      <c r="D31" s="288"/>
      <c r="E31" s="288"/>
      <c r="F31" s="247">
        <v>85608</v>
      </c>
      <c r="G31" s="288">
        <v>383</v>
      </c>
      <c r="H31" s="288" cm="1">
        <f t="array" ref="H31">G19</f>
        <v>604</v>
      </c>
      <c r="I31" s="288" cm="1">
        <f t="array" ref="I31">G31-H31</f>
        <v>-221</v>
      </c>
      <c r="J31" s="247" cm="1">
        <f t="array" ref="J31">F31+C31</f>
        <v>85608</v>
      </c>
      <c r="K31" s="288" cm="1">
        <f t="array" ref="K31">J19</f>
        <v>0</v>
      </c>
      <c r="L31" s="247">
        <v>21990</v>
      </c>
      <c r="M31" s="247">
        <v>78627</v>
      </c>
      <c r="N31" s="247"/>
      <c r="O31" s="247"/>
      <c r="P31" s="247"/>
      <c r="Q31" s="247"/>
      <c r="R31" s="296"/>
      <c r="S31" s="247"/>
      <c r="T31" s="247"/>
    </row>
    <row r="32" ht="20.35" customHeight="1">
      <c r="A32" s="250"/>
      <c r="B32" s="653">
        <v>45809</v>
      </c>
      <c r="C32" s="238">
        <v>40516</v>
      </c>
      <c r="D32" s="288">
        <v>21</v>
      </c>
      <c r="E32" s="288"/>
      <c r="F32" s="247">
        <v>106387</v>
      </c>
      <c r="G32" s="288">
        <v>476</v>
      </c>
      <c r="H32" s="288" cm="1">
        <f t="array" ref="H32">G20</f>
        <v>607</v>
      </c>
      <c r="I32" s="288" cm="1">
        <f t="array" ref="I32">G32-H32</f>
        <v>-131</v>
      </c>
      <c r="J32" s="247" cm="1">
        <f t="array" ref="J32">F32+C32</f>
        <v>146903</v>
      </c>
      <c r="K32" s="288" cm="1">
        <f t="array" ref="K32">J32-J20</f>
        <v>60571</v>
      </c>
      <c r="L32" s="247" cm="1">
        <f t="array" ref="L32">L31-7000</f>
        <v>14990</v>
      </c>
      <c r="M32" s="247">
        <v>80822</v>
      </c>
      <c r="N32" s="247">
        <v>90033</v>
      </c>
      <c r="O32" s="247"/>
      <c r="P32" s="247"/>
      <c r="Q32" s="247"/>
      <c r="R32" s="296"/>
      <c r="S32" s="247"/>
      <c r="T32" s="247"/>
    </row>
    <row r="33" ht="20.35" customHeight="1">
      <c r="A33" s="250"/>
      <c r="B33" s="653">
        <v>45839</v>
      </c>
      <c r="C33" s="238"/>
      <c r="D33" s="288"/>
      <c r="E33" s="288"/>
      <c r="F33" s="247">
        <v>61320</v>
      </c>
      <c r="G33" s="288">
        <v>259</v>
      </c>
      <c r="H33" s="288" cm="1">
        <f t="array" ref="H33">G21</f>
        <v>518</v>
      </c>
      <c r="I33" s="288" cm="1">
        <f t="array" ref="I33">G33-H33</f>
        <v>-259</v>
      </c>
      <c r="J33" s="247" cm="1">
        <f t="array" ref="J33">F33+C33</f>
        <v>61320</v>
      </c>
      <c r="K33" s="288" cm="1">
        <f t="array" ref="K33">J33-J21</f>
        <v>-14961</v>
      </c>
      <c r="L33" s="247">
        <v>14990</v>
      </c>
      <c r="M33" s="247">
        <v>79213</v>
      </c>
      <c r="N33" s="247"/>
      <c r="O33" s="247"/>
      <c r="P33" s="247"/>
      <c r="Q33" s="247"/>
      <c r="R33" s="296"/>
      <c r="S33" s="247"/>
      <c r="T33" s="247"/>
    </row>
    <row r="34" ht="20.35" customHeight="1">
      <c r="A34" s="250"/>
      <c r="B34" s="653">
        <v>45870</v>
      </c>
      <c r="C34" s="238">
        <v>36910</v>
      </c>
      <c r="D34" s="288">
        <v>19</v>
      </c>
      <c r="E34" s="288"/>
      <c r="F34" s="247">
        <v>86740</v>
      </c>
      <c r="G34" s="288">
        <v>361</v>
      </c>
      <c r="H34" s="288" cm="1">
        <f t="array" ref="H34">G22</f>
        <v>665</v>
      </c>
      <c r="I34" s="288" cm="1">
        <f t="array" ref="I34">G34-H34</f>
        <v>-304</v>
      </c>
      <c r="J34" s="247" cm="1">
        <f t="array" ref="J34">F34+C34</f>
        <v>123650</v>
      </c>
      <c r="K34" s="288" cm="1">
        <f t="array" ref="K34">J34-J22</f>
        <v>-34290</v>
      </c>
      <c r="L34" s="247">
        <v>14990</v>
      </c>
      <c r="M34" s="247">
        <v>87044</v>
      </c>
      <c r="N34" s="247"/>
      <c r="O34" s="247"/>
      <c r="P34" s="247"/>
      <c r="Q34" s="247"/>
      <c r="R34" s="296"/>
      <c r="S34" s="247"/>
      <c r="T34" s="247"/>
    </row>
    <row r="35" ht="20.35" customHeight="1">
      <c r="A35" s="250"/>
      <c r="B35" s="653">
        <v>45901</v>
      </c>
      <c r="C35" s="238"/>
      <c r="D35" s="288"/>
      <c r="E35" s="288"/>
      <c r="F35" s="247">
        <v>64310</v>
      </c>
      <c r="G35" s="288">
        <v>267</v>
      </c>
      <c r="H35" s="288" cm="1">
        <f t="array" ref="H35">G23</f>
        <v>309</v>
      </c>
      <c r="I35" s="288" cm="1">
        <f t="array" ref="I35">G35-H35</f>
        <v>-42</v>
      </c>
      <c r="J35" s="247" cm="1">
        <f t="array" ref="J35">F35+C35</f>
        <v>64310</v>
      </c>
      <c r="K35" s="288" cm="1">
        <f t="array" ref="K35">J35-J23</f>
        <v>15457</v>
      </c>
      <c r="L35" s="247">
        <v>14990</v>
      </c>
      <c r="M35" s="247">
        <v>111194</v>
      </c>
      <c r="N35" s="247">
        <v>90033</v>
      </c>
      <c r="O35" s="247"/>
      <c r="P35" s="247"/>
      <c r="Q35" s="247"/>
      <c r="R35" s="296"/>
      <c r="S35" s="247"/>
      <c r="T35" s="247"/>
    </row>
    <row r="36" ht="20.35" customHeight="1">
      <c r="A36" s="250"/>
      <c r="B36" s="653">
        <v>45931</v>
      </c>
      <c r="C36" s="238">
        <v>32269</v>
      </c>
      <c r="D36" s="288">
        <v>17</v>
      </c>
      <c r="E36" s="288"/>
      <c r="F36" s="247">
        <v>49452</v>
      </c>
      <c r="G36" s="288">
        <v>204</v>
      </c>
      <c r="H36" s="288" cm="1">
        <f t="array" ref="H36">G24</f>
        <v>245</v>
      </c>
      <c r="I36" s="288" cm="1">
        <f t="array" ref="I36">G36-H36</f>
        <v>-41</v>
      </c>
      <c r="J36" s="247" cm="1">
        <f t="array" ref="J36">F36+C36</f>
        <v>81721</v>
      </c>
      <c r="K36" s="288" cm="1">
        <f t="array" ref="K36">J36-J24</f>
        <v>-6523</v>
      </c>
      <c r="L36" s="247">
        <v>14990</v>
      </c>
      <c r="M36" s="247">
        <v>86668</v>
      </c>
      <c r="N36" s="247"/>
      <c r="O36" s="247"/>
      <c r="P36" s="247"/>
      <c r="Q36" s="247"/>
      <c r="R36" s="296"/>
      <c r="S36" s="247"/>
      <c r="T36" s="247"/>
    </row>
    <row r="37" ht="20.35" customHeight="1">
      <c r="A37" s="250"/>
      <c r="B37" s="653">
        <v>45962</v>
      </c>
      <c r="C37" s="238"/>
      <c r="D37" s="288"/>
      <c r="E37" s="288"/>
      <c r="F37" s="247">
        <v>40918</v>
      </c>
      <c r="G37" s="288">
        <v>168</v>
      </c>
      <c r="H37" s="288" cm="1">
        <f t="array" ref="H37">G25</f>
        <v>169</v>
      </c>
      <c r="I37" s="288" cm="1">
        <f t="array" ref="I37">G37-H37</f>
        <v>-1</v>
      </c>
      <c r="J37" s="247" cm="1">
        <f t="array" ref="J37">F37+C37</f>
        <v>40918</v>
      </c>
      <c r="K37" s="288" cm="1">
        <f t="array" ref="K37">J37-J25</f>
        <v>7920</v>
      </c>
      <c r="L37" s="247">
        <v>14990</v>
      </c>
      <c r="M37" s="247">
        <v>87781</v>
      </c>
      <c r="N37" s="247">
        <v>90033</v>
      </c>
      <c r="O37" s="247"/>
      <c r="P37" s="247"/>
      <c r="Q37" s="247"/>
      <c r="R37" s="296"/>
      <c r="S37" s="247"/>
      <c r="T37" s="247"/>
    </row>
    <row r="38" ht="20.35" customHeight="1">
      <c r="A38" s="250"/>
      <c r="B38" s="653">
        <v>45992</v>
      </c>
      <c r="C38" s="238">
        <v>28337</v>
      </c>
      <c r="D38" s="288">
        <v>14</v>
      </c>
      <c r="E38" s="288"/>
      <c r="F38" s="247">
        <v>47798</v>
      </c>
      <c r="G38" s="288">
        <v>196</v>
      </c>
      <c r="H38" s="288" cm="1">
        <f t="array" ref="H38">G26</f>
        <v>209</v>
      </c>
      <c r="I38" s="288" cm="1">
        <f t="array" ref="I38">G38-H38</f>
        <v>-13</v>
      </c>
      <c r="J38" s="247" cm="1">
        <f t="array" ref="J38">F38+C38</f>
        <v>76135</v>
      </c>
      <c r="K38" s="288" cm="1">
        <f t="array" ref="K38">J38-J26</f>
        <v>20110</v>
      </c>
      <c r="L38" s="247">
        <v>14990</v>
      </c>
      <c r="M38" s="247">
        <v>90735</v>
      </c>
      <c r="N38" s="247"/>
      <c r="O38" s="247"/>
      <c r="P38" s="247"/>
      <c r="Q38" s="247"/>
      <c r="R38" s="296"/>
      <c r="S38" s="247"/>
      <c r="T38" s="247"/>
    </row>
    <row r="39" ht="20.35" customHeight="1">
      <c r="A39" s="654">
        <v>2026</v>
      </c>
      <c r="B39" s="653">
        <v>46023</v>
      </c>
      <c r="C39" s="238"/>
      <c r="D39" s="288"/>
      <c r="E39" s="288"/>
      <c r="F39" s="247">
        <v>83301</v>
      </c>
      <c r="G39" s="288">
        <v>346</v>
      </c>
      <c r="H39" s="288" cm="1">
        <f t="array" ref="H39">G27</f>
        <v>290</v>
      </c>
      <c r="I39" s="288" cm="1">
        <f t="array" ref="I39">G39-H39</f>
        <v>56</v>
      </c>
      <c r="J39" s="247" cm="1">
        <f t="array" ref="J39">F39+C39</f>
        <v>83301</v>
      </c>
      <c r="K39" s="288" cm="1">
        <f t="array" ref="K39">J39-J27</f>
        <v>18469</v>
      </c>
      <c r="L39" s="247">
        <v>14990</v>
      </c>
      <c r="M39" s="247">
        <v>90054</v>
      </c>
      <c r="N39" s="247"/>
      <c r="O39" s="247"/>
      <c r="P39" s="247"/>
      <c r="Q39" s="247"/>
      <c r="R39" s="296"/>
      <c r="S39" s="247"/>
      <c r="T39" s="247"/>
    </row>
    <row r="40" ht="20.35" customHeight="1">
      <c r="A40" s="250"/>
      <c r="B40" s="653">
        <v>46054</v>
      </c>
      <c r="C40" s="238">
        <v>23638</v>
      </c>
      <c r="D40" s="288">
        <v>12</v>
      </c>
      <c r="E40" s="288"/>
      <c r="F40" s="247">
        <v>63475</v>
      </c>
      <c r="G40" s="288">
        <v>263</v>
      </c>
      <c r="H40" s="288" cm="1">
        <f t="array" ref="H40">G28</f>
        <v>273</v>
      </c>
      <c r="I40" s="288" cm="1">
        <f t="array" ref="I40">G40-H40</f>
        <v>-10</v>
      </c>
      <c r="J40" s="247" cm="1">
        <f t="array" ref="J40">F40+C40</f>
        <v>87113</v>
      </c>
      <c r="K40" s="288" cm="1">
        <f t="array" ref="K40">J40-J28</f>
        <v>8213</v>
      </c>
      <c r="L40" s="247">
        <v>21990</v>
      </c>
      <c r="M40" s="247">
        <v>68717</v>
      </c>
      <c r="N40" s="247"/>
      <c r="O40" s="247"/>
      <c r="P40" s="247"/>
      <c r="Q40" s="247"/>
      <c r="R40" s="296"/>
      <c r="S40" s="247"/>
      <c r="T40" s="247"/>
    </row>
    <row r="41" ht="20.35" customHeight="1">
      <c r="A41" s="250"/>
      <c r="B41" s="653">
        <v>46082</v>
      </c>
      <c r="C41" s="238"/>
      <c r="D41" s="288"/>
      <c r="E41" s="288"/>
      <c r="F41" s="247">
        <v>57684</v>
      </c>
      <c r="G41" s="288">
        <v>239</v>
      </c>
      <c r="H41" s="288" cm="1">
        <f t="array" ref="H41">G29</f>
        <v>29</v>
      </c>
      <c r="I41" s="288" cm="1">
        <f t="array" ref="I41">G41-H41</f>
        <v>210</v>
      </c>
      <c r="J41" s="247" cm="1">
        <f t="array" ref="J41">F41+C41</f>
        <v>57684</v>
      </c>
      <c r="K41" s="288" cm="1">
        <f t="array" ref="K41">J41-J29</f>
        <v>50219</v>
      </c>
      <c r="L41" s="247">
        <v>21990</v>
      </c>
      <c r="M41" s="247">
        <v>71743</v>
      </c>
      <c r="N41" s="247"/>
      <c r="O41" s="247"/>
      <c r="P41" s="247"/>
      <c r="Q41" s="247"/>
      <c r="R41" s="296"/>
      <c r="S41" s="247"/>
      <c r="T41" s="247"/>
    </row>
    <row r="42" ht="20.35" customHeight="1">
      <c r="A42" s="250"/>
      <c r="B42" s="653">
        <v>46113</v>
      </c>
      <c r="C42" s="238">
        <v>20354</v>
      </c>
      <c r="D42" s="595">
        <v>10.18</v>
      </c>
      <c r="E42" s="288"/>
      <c r="F42" s="247"/>
      <c r="G42" s="288"/>
      <c r="H42" s="288"/>
      <c r="I42" s="247"/>
      <c r="J42" s="247" cm="1">
        <f t="array" ref="J42">F42+C42</f>
        <v>20354</v>
      </c>
      <c r="K42" s="288" cm="1">
        <f t="array" ref="K42">J42-J30</f>
        <v>-44653</v>
      </c>
      <c r="L42" s="247"/>
      <c r="M42" s="247">
        <v>77621</v>
      </c>
      <c r="N42" s="247">
        <v>92918</v>
      </c>
      <c r="O42" s="247"/>
      <c r="P42" s="247"/>
      <c r="Q42" s="247"/>
      <c r="R42" s="296"/>
      <c r="S42" s="247"/>
      <c r="T42" s="247"/>
    </row>
    <row r="43" ht="20.35" customHeight="1">
      <c r="A43" s="250"/>
      <c r="B43" s="653">
        <v>46143</v>
      </c>
      <c r="C43" s="238"/>
      <c r="D43" s="288"/>
      <c r="E43" s="288"/>
      <c r="F43" s="247"/>
      <c r="G43" s="288"/>
      <c r="H43" s="288"/>
      <c r="I43" s="247"/>
      <c r="J43" s="247"/>
      <c r="K43" s="247"/>
      <c r="L43" s="247"/>
      <c r="M43" s="247"/>
      <c r="N43" s="247"/>
      <c r="O43" s="247"/>
      <c r="P43" s="247"/>
      <c r="Q43" s="247"/>
      <c r="R43" s="296"/>
      <c r="S43" s="247"/>
      <c r="T43" s="247"/>
    </row>
    <row r="44" ht="20.35" customHeight="1">
      <c r="A44" s="250"/>
      <c r="B44" s="653">
        <v>46174</v>
      </c>
      <c r="C44" s="238"/>
      <c r="D44" s="288"/>
      <c r="E44" s="288"/>
      <c r="F44" s="247"/>
      <c r="G44" s="288"/>
      <c r="H44" s="288"/>
      <c r="I44" s="247"/>
      <c r="J44" s="247"/>
      <c r="K44" s="247"/>
      <c r="L44" s="247"/>
      <c r="M44" s="247"/>
      <c r="N44" s="247">
        <v>92918</v>
      </c>
      <c r="O44" s="247"/>
      <c r="P44" s="247"/>
      <c r="Q44" s="247"/>
      <c r="R44" s="296"/>
      <c r="S44" s="247"/>
      <c r="T44" s="247"/>
    </row>
    <row r="45" ht="20.35" customHeight="1">
      <c r="A45" s="250"/>
      <c r="B45" s="653">
        <v>46204</v>
      </c>
      <c r="C45" s="238"/>
      <c r="D45" s="288"/>
      <c r="E45" s="288"/>
      <c r="F45" s="247"/>
      <c r="G45" s="288"/>
      <c r="H45" s="288"/>
      <c r="I45" s="247"/>
      <c r="J45" s="247"/>
      <c r="K45" s="247"/>
      <c r="L45" s="247"/>
      <c r="M45" s="247"/>
      <c r="N45" s="247"/>
      <c r="O45" s="247"/>
      <c r="P45" s="247"/>
      <c r="Q45" s="247"/>
      <c r="R45" s="296"/>
      <c r="S45" s="247"/>
      <c r="T45" s="247"/>
    </row>
    <row r="46" ht="20.35" customHeight="1">
      <c r="A46" s="250"/>
      <c r="B46" s="653">
        <v>46235</v>
      </c>
      <c r="C46" s="238"/>
      <c r="D46" s="288"/>
      <c r="E46" s="288"/>
      <c r="F46" s="247"/>
      <c r="G46" s="288"/>
      <c r="H46" s="288"/>
      <c r="I46" s="247"/>
      <c r="J46" s="247"/>
      <c r="K46" s="247"/>
      <c r="L46" s="247"/>
      <c r="M46" s="247"/>
      <c r="N46" s="247"/>
      <c r="O46" s="247"/>
      <c r="P46" s="247"/>
      <c r="Q46" s="247"/>
      <c r="R46" s="296"/>
      <c r="S46" s="247"/>
      <c r="T46" s="247"/>
    </row>
    <row r="47" ht="20.35" customHeight="1">
      <c r="A47" s="250"/>
      <c r="B47" s="653">
        <v>46266</v>
      </c>
      <c r="C47" s="238"/>
      <c r="D47" s="288"/>
      <c r="E47" s="288"/>
      <c r="F47" s="247"/>
      <c r="G47" s="288"/>
      <c r="H47" s="288"/>
      <c r="I47" s="247"/>
      <c r="J47" s="247"/>
      <c r="K47" s="247"/>
      <c r="L47" s="247"/>
      <c r="M47" s="247"/>
      <c r="N47" s="247">
        <v>92918</v>
      </c>
      <c r="O47" s="247"/>
      <c r="P47" s="247"/>
      <c r="Q47" s="247"/>
      <c r="R47" s="296"/>
      <c r="S47" s="247"/>
      <c r="T47" s="247"/>
    </row>
    <row r="48" ht="20.35" customHeight="1">
      <c r="A48" s="250"/>
      <c r="B48" s="653">
        <v>46296</v>
      </c>
      <c r="C48" s="238"/>
      <c r="D48" s="288"/>
      <c r="E48" s="288"/>
      <c r="F48" s="247"/>
      <c r="G48" s="288"/>
      <c r="H48" s="288"/>
      <c r="I48" s="247"/>
      <c r="J48" s="247"/>
      <c r="K48" s="247"/>
      <c r="L48" s="247"/>
      <c r="M48" s="247"/>
      <c r="N48" s="247"/>
      <c r="O48" s="247"/>
      <c r="P48" s="247"/>
      <c r="Q48" s="247"/>
      <c r="R48" s="296"/>
      <c r="S48" s="247"/>
      <c r="T48" s="247"/>
    </row>
    <row r="49" ht="20.35" customHeight="1">
      <c r="A49" s="250"/>
      <c r="B49" s="653">
        <v>46327</v>
      </c>
      <c r="C49" s="238"/>
      <c r="D49" s="288"/>
      <c r="E49" s="288"/>
      <c r="F49" s="247"/>
      <c r="G49" s="288"/>
      <c r="H49" s="288"/>
      <c r="I49" s="247"/>
      <c r="J49" s="247"/>
      <c r="K49" s="247"/>
      <c r="L49" s="247"/>
      <c r="M49" s="247"/>
      <c r="N49" s="247">
        <v>92918</v>
      </c>
      <c r="O49" s="247"/>
      <c r="P49" s="247"/>
      <c r="Q49" s="247"/>
      <c r="R49" s="296"/>
      <c r="S49" s="247"/>
      <c r="T49" s="247"/>
    </row>
    <row r="50" ht="20.35" customHeight="1">
      <c r="A50" s="250"/>
      <c r="B50" s="653">
        <v>46357</v>
      </c>
      <c r="C50" s="238"/>
      <c r="D50" s="288"/>
      <c r="E50" s="288"/>
      <c r="F50" s="247"/>
      <c r="G50" s="288"/>
      <c r="H50" s="288"/>
      <c r="I50" s="247"/>
      <c r="J50" s="247"/>
      <c r="K50" s="247"/>
      <c r="L50" s="247"/>
      <c r="M50" s="247"/>
      <c r="N50" s="247"/>
      <c r="O50" s="247"/>
      <c r="P50" s="247"/>
      <c r="Q50" s="247"/>
      <c r="R50" s="296"/>
      <c r="S50" s="247"/>
      <c r="T50" s="247"/>
    </row>
    <row r="51" ht="20.35" customHeight="1">
      <c r="A51" s="654">
        <v>2027</v>
      </c>
      <c r="B51" s="653">
        <v>46388</v>
      </c>
      <c r="C51" s="238"/>
      <c r="D51" s="288"/>
      <c r="E51" s="288"/>
      <c r="F51" s="247"/>
      <c r="G51" s="288"/>
      <c r="H51" s="288"/>
      <c r="I51" s="247"/>
      <c r="J51" s="247"/>
      <c r="K51" s="247"/>
      <c r="L51" s="247"/>
      <c r="M51" s="247"/>
      <c r="N51" s="247"/>
      <c r="O51" s="247"/>
      <c r="P51" s="247"/>
      <c r="Q51" s="247"/>
      <c r="R51" s="296"/>
      <c r="S51" s="247"/>
      <c r="T51" s="247"/>
    </row>
    <row r="52" ht="20.35" customHeight="1">
      <c r="A52" s="250"/>
      <c r="B52" s="28"/>
      <c r="C52" s="238"/>
      <c r="D52" s="288"/>
      <c r="E52" s="288"/>
      <c r="F52" s="247"/>
      <c r="G52" s="288"/>
      <c r="H52" s="288"/>
      <c r="I52" s="247"/>
      <c r="J52" s="247"/>
      <c r="K52" s="247"/>
      <c r="L52" s="247"/>
      <c r="M52" s="247"/>
      <c r="N52" s="247"/>
      <c r="O52" s="247"/>
      <c r="P52" s="247"/>
      <c r="Q52" s="247"/>
      <c r="R52" s="296"/>
      <c r="S52" s="247"/>
      <c r="T52" s="247"/>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2:CM165"/>
  <sheetViews>
    <sheetView workbookViewId="0" showGridLines="0" defaultGridColor="1">
      <pane topLeftCell="B5" xSplit="1" ySplit="4" activePane="bottomRight" state="frozen"/>
    </sheetView>
  </sheetViews>
  <sheetFormatPr defaultColWidth="16.3333" defaultRowHeight="18" customHeight="1" outlineLevelRow="0" outlineLevelCol="0"/>
  <cols>
    <col min="1" max="4" width="16.3516" style="655" customWidth="1"/>
    <col min="5" max="5" width="7.5" style="655" customWidth="1"/>
    <col min="6" max="6" width="16.3516" style="655" customWidth="1"/>
    <col min="7" max="9" width="8.08594" style="655" customWidth="1"/>
    <col min="10" max="11" width="16.3516" style="655" customWidth="1"/>
    <col min="12" max="12" width="8.5" style="655" customWidth="1"/>
    <col min="13" max="13" width="16.3516" style="655" customWidth="1"/>
    <col min="14" max="14" width="8.5" style="655" customWidth="1"/>
    <col min="15" max="18" width="16.3516" style="655" customWidth="1"/>
    <col min="19" max="19" width="16.6719" style="655" customWidth="1"/>
    <col min="20" max="21" width="16.3516" style="655" customWidth="1"/>
    <col min="22" max="22" width="15.8438" style="655" customWidth="1"/>
    <col min="23" max="23" width="3.69531" style="655" customWidth="1"/>
    <col min="24" max="24" width="8.5" style="655" customWidth="1"/>
    <col min="25" max="25" width="16.3516" style="655" customWidth="1"/>
    <col min="26" max="27" hidden="1" width="16.3333" style="655" customWidth="1"/>
    <col min="28" max="32" width="16.3516" style="655" customWidth="1"/>
    <col min="33" max="34" width="1.57812" style="655" customWidth="1"/>
    <col min="35" max="35" width="16.3516" style="655" customWidth="1"/>
    <col min="36" max="37" hidden="1" width="16.3333" style="655" customWidth="1"/>
    <col min="38" max="42" width="16.3516" style="655" customWidth="1"/>
    <col min="43" max="43" width="3.82031" style="655" customWidth="1"/>
    <col min="44" max="45" width="11.5" style="655" customWidth="1"/>
    <col min="46" max="46" width="3.82031" style="655" customWidth="1"/>
    <col min="47" max="48" width="10.5" style="655" customWidth="1"/>
    <col min="49" max="49" width="12.1719" style="655" customWidth="1"/>
    <col min="50" max="50" width="11.3516" style="655" customWidth="1"/>
    <col min="51" max="51" width="12" style="655" customWidth="1"/>
    <col min="52" max="52" width="11.3516" style="655" customWidth="1"/>
    <col min="53" max="53" width="16.3516" style="655" customWidth="1"/>
    <col min="54" max="54" width="8.79688" style="655" customWidth="1"/>
    <col min="55" max="55" width="16.3516" style="655" customWidth="1"/>
    <col min="56" max="56" width="9.95312" style="655" customWidth="1"/>
    <col min="57" max="57" width="14.375" style="655" customWidth="1"/>
    <col min="58" max="58" width="12.0547" style="655" customWidth="1"/>
    <col min="59" max="71" width="16.3516" style="655" customWidth="1"/>
    <col min="72" max="74" width="16.5" style="655" customWidth="1"/>
    <col min="75" max="75" width="16.3516" style="655" customWidth="1"/>
    <col min="76" max="76" width="19.3516" style="655" customWidth="1"/>
    <col min="77" max="86" width="16.3516" style="655" customWidth="1"/>
    <col min="87" max="87" width="17.8516" style="655" customWidth="1"/>
    <col min="88" max="91" width="16.3516" style="655" customWidth="1"/>
    <col min="92" max="16384" width="16.3516" style="655" customWidth="1"/>
  </cols>
  <sheetData>
    <row r="1" ht="28" customHeight="1">
      <c r="A1" t="s" s="90">
        <v>793</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c r="CI1" s="90"/>
      <c r="CJ1" s="90"/>
      <c r="CK1" s="90"/>
      <c r="CL1" s="90"/>
      <c r="CM1" s="90"/>
    </row>
    <row r="2" ht="20.35" customHeight="1">
      <c r="A2" t="s" s="435">
        <v>1130</v>
      </c>
      <c r="B2" s="217"/>
      <c r="C2" s="217"/>
      <c r="D2" s="217"/>
      <c r="E2" s="656"/>
      <c r="F2" t="s" s="218">
        <v>1131</v>
      </c>
      <c r="G2" t="s" s="218">
        <v>1132</v>
      </c>
      <c r="H2" t="s" s="218">
        <v>1133</v>
      </c>
      <c r="I2" t="s" s="218">
        <v>1134</v>
      </c>
      <c r="J2" s="217"/>
      <c r="K2" t="s" s="218">
        <v>1135</v>
      </c>
      <c r="L2" s="217"/>
      <c r="M2" t="s" s="218">
        <v>1136</v>
      </c>
      <c r="N2" s="217"/>
      <c r="O2" t="s" s="218">
        <v>1137</v>
      </c>
      <c r="P2" t="s" s="218">
        <v>1138</v>
      </c>
      <c r="Q2" t="s" s="218">
        <v>1139</v>
      </c>
      <c r="R2" t="s" s="218">
        <v>1140</v>
      </c>
      <c r="S2" t="s" s="218">
        <v>1141</v>
      </c>
      <c r="T2" t="s" s="218">
        <v>1142</v>
      </c>
      <c r="U2" t="s" s="218">
        <v>1143</v>
      </c>
      <c r="V2" s="217"/>
      <c r="W2" s="217"/>
      <c r="X2" s="217"/>
      <c r="Y2" t="s" s="218">
        <v>1144</v>
      </c>
      <c r="Z2" s="219" cm="1">
        <f t="array" ref="Z2">2024+Z$3</f>
        <v>2049</v>
      </c>
      <c r="AA2" s="219" cm="1">
        <f t="array" ref="AA2">2024+AA$3</f>
        <v>2044</v>
      </c>
      <c r="AB2" s="219" cm="1">
        <f t="array" ref="AB2">2024+AB$3</f>
        <v>2039</v>
      </c>
      <c r="AC2" s="219" cm="1">
        <f t="array" ref="AC2">2024+AC$3</f>
        <v>2036</v>
      </c>
      <c r="AD2" s="219" cm="1">
        <f t="array" ref="AD2">2024+AD$3</f>
        <v>2034</v>
      </c>
      <c r="AE2" s="219" cm="1">
        <f t="array" ref="AE2">2024+AE$3</f>
        <v>2029</v>
      </c>
      <c r="AF2" t="s" s="218">
        <v>1145</v>
      </c>
      <c r="AG2" s="217"/>
      <c r="AH2" s="217"/>
      <c r="AI2" t="s" s="218">
        <v>1146</v>
      </c>
      <c r="AJ2" s="217"/>
      <c r="AK2" s="217"/>
      <c r="AL2" s="219" cm="1">
        <f t="array" ref="AL2">AB$2</f>
        <v>2039</v>
      </c>
      <c r="AM2" s="219" cm="1">
        <f t="array" ref="AM2">AC$2</f>
        <v>2036</v>
      </c>
      <c r="AN2" s="219" cm="1">
        <f t="array" ref="AN2">AD$2</f>
        <v>2034</v>
      </c>
      <c r="AO2" s="219" cm="1">
        <f t="array" ref="AO2">AE$2</f>
        <v>2029</v>
      </c>
      <c r="AP2" t="s" s="218">
        <v>1147</v>
      </c>
      <c r="AQ2" s="217"/>
      <c r="AR2" s="217"/>
      <c r="AS2" s="217"/>
      <c r="AT2" s="217"/>
      <c r="AU2" t="s" s="218">
        <v>1148</v>
      </c>
      <c r="AV2" s="217"/>
      <c r="AW2" t="s" s="218">
        <v>1149</v>
      </c>
      <c r="AX2" s="217"/>
      <c r="AY2" t="s" s="218">
        <v>1150</v>
      </c>
      <c r="AZ2" s="217"/>
      <c r="BA2" t="s" s="218">
        <v>1151</v>
      </c>
      <c r="BB2" s="217"/>
      <c r="BC2" t="s" s="218">
        <v>1152</v>
      </c>
      <c r="BD2" s="217"/>
      <c r="BE2" s="217"/>
      <c r="BF2" s="217"/>
      <c r="BG2" t="s" s="218">
        <v>1153</v>
      </c>
      <c r="BH2" s="217"/>
      <c r="BI2" t="s" s="218">
        <v>1137</v>
      </c>
      <c r="BJ2" t="s" s="218">
        <v>1154</v>
      </c>
      <c r="BK2" s="217"/>
      <c r="BL2" t="s" s="218">
        <v>1155</v>
      </c>
      <c r="BM2" s="217"/>
      <c r="BN2" s="217"/>
      <c r="BO2" t="s" s="218">
        <v>1156</v>
      </c>
      <c r="BP2" t="s" s="218">
        <v>1157</v>
      </c>
      <c r="BQ2" s="217"/>
      <c r="BR2" s="217"/>
      <c r="BS2" s="217"/>
      <c r="BT2" t="s" s="218">
        <v>1158</v>
      </c>
      <c r="BU2" t="s" s="218">
        <v>1159</v>
      </c>
      <c r="BV2" t="s" s="218">
        <v>1160</v>
      </c>
      <c r="BW2" t="s" s="218">
        <v>1161</v>
      </c>
      <c r="BX2" t="s" s="218">
        <v>1162</v>
      </c>
      <c r="BY2" t="s" s="218">
        <v>1163</v>
      </c>
      <c r="BZ2" t="s" s="218">
        <v>1164</v>
      </c>
      <c r="CA2" t="s" s="218">
        <v>1165</v>
      </c>
      <c r="CB2" s="217"/>
      <c r="CC2" t="s" s="218">
        <v>1166</v>
      </c>
      <c r="CD2" s="217"/>
      <c r="CE2" s="217"/>
      <c r="CF2" s="217"/>
      <c r="CG2" s="217"/>
      <c r="CH2" s="217"/>
      <c r="CI2" s="217"/>
      <c r="CJ2" s="217"/>
      <c r="CK2" s="217"/>
      <c r="CL2" s="217"/>
      <c r="CM2" s="217"/>
    </row>
    <row r="3" ht="20.35" customHeight="1">
      <c r="A3" s="657"/>
      <c r="B3" s="217"/>
      <c r="C3" s="217"/>
      <c r="D3" s="217"/>
      <c r="E3" s="656"/>
      <c r="F3" s="217"/>
      <c r="G3" s="217"/>
      <c r="H3" s="217"/>
      <c r="I3" s="217"/>
      <c r="J3" s="217"/>
      <c r="K3" s="217"/>
      <c r="L3" s="217"/>
      <c r="M3" s="217"/>
      <c r="N3" s="217"/>
      <c r="O3" s="217"/>
      <c r="P3" s="217"/>
      <c r="Q3" s="217"/>
      <c r="R3" s="217"/>
      <c r="S3" s="217"/>
      <c r="T3" s="217"/>
      <c r="U3" s="217"/>
      <c r="V3" s="217"/>
      <c r="W3" s="217"/>
      <c r="X3" s="217"/>
      <c r="Y3" s="219">
        <v>30</v>
      </c>
      <c r="Z3" s="219">
        <v>25</v>
      </c>
      <c r="AA3" s="219">
        <v>20</v>
      </c>
      <c r="AB3" s="219">
        <v>15</v>
      </c>
      <c r="AC3" s="219">
        <v>12</v>
      </c>
      <c r="AD3" s="219">
        <v>10</v>
      </c>
      <c r="AE3" s="219">
        <v>5</v>
      </c>
      <c r="AF3" t="s" s="218">
        <v>1167</v>
      </c>
      <c r="AG3" s="217"/>
      <c r="AH3" s="217"/>
      <c r="AI3" s="219">
        <v>30</v>
      </c>
      <c r="AJ3" s="219">
        <v>25</v>
      </c>
      <c r="AK3" s="219">
        <v>20</v>
      </c>
      <c r="AL3" s="219">
        <v>15</v>
      </c>
      <c r="AM3" s="219">
        <v>12</v>
      </c>
      <c r="AN3" s="219">
        <v>10</v>
      </c>
      <c r="AO3" s="219">
        <v>5</v>
      </c>
      <c r="AP3" t="s" s="218">
        <v>1167</v>
      </c>
      <c r="AQ3" s="217"/>
      <c r="AR3" s="217"/>
      <c r="AS3" s="217"/>
      <c r="AT3" s="217"/>
      <c r="AU3" s="217"/>
      <c r="AV3" s="217"/>
      <c r="AW3" s="217"/>
      <c r="AX3" s="217"/>
      <c r="AY3" s="217"/>
      <c r="AZ3" s="217"/>
      <c r="BA3" s="217"/>
      <c r="BB3" s="217"/>
      <c r="BC3" s="217"/>
      <c r="BD3" s="217"/>
      <c r="BE3" s="217"/>
      <c r="BF3" s="217"/>
      <c r="BG3" s="217"/>
      <c r="BH3" s="217"/>
      <c r="BI3" s="217"/>
      <c r="BJ3" s="217"/>
      <c r="BK3" s="217"/>
      <c r="BL3" s="217"/>
      <c r="BM3" t="s" s="218">
        <v>1168</v>
      </c>
      <c r="BN3" s="217"/>
      <c r="BO3" s="217"/>
      <c r="BP3" s="217"/>
      <c r="BQ3" s="217"/>
      <c r="BR3" s="219">
        <v>360</v>
      </c>
      <c r="BS3" s="217"/>
      <c r="BT3" s="217"/>
      <c r="BU3" s="217"/>
      <c r="BV3" s="217"/>
      <c r="BW3" s="217"/>
      <c r="BX3" s="217"/>
      <c r="BY3" s="217"/>
      <c r="BZ3" s="217"/>
      <c r="CA3" s="217"/>
      <c r="CB3" s="217"/>
      <c r="CC3" s="217"/>
      <c r="CD3" s="217"/>
      <c r="CE3" s="217"/>
      <c r="CF3" t="s" s="218">
        <v>1169</v>
      </c>
      <c r="CG3" t="s" s="218">
        <v>908</v>
      </c>
      <c r="CH3" t="s" s="218">
        <v>690</v>
      </c>
      <c r="CI3" t="s" s="218">
        <v>1170</v>
      </c>
      <c r="CJ3" t="s" s="218">
        <v>692</v>
      </c>
      <c r="CK3" t="s" s="218">
        <v>599</v>
      </c>
      <c r="CL3" t="s" s="218">
        <v>1171</v>
      </c>
      <c r="CM3" t="s" s="218">
        <v>1172</v>
      </c>
    </row>
    <row r="4" ht="20.55" customHeight="1">
      <c r="A4" s="576"/>
      <c r="B4" s="7"/>
      <c r="C4" s="7"/>
      <c r="D4" s="7"/>
      <c r="E4" s="658"/>
      <c r="F4" s="7"/>
      <c r="G4" s="7"/>
      <c r="H4" t="s" s="8">
        <v>663</v>
      </c>
      <c r="I4" t="s" s="8">
        <v>1134</v>
      </c>
      <c r="J4" s="7"/>
      <c r="K4" s="7"/>
      <c r="L4" s="7"/>
      <c r="M4" s="7"/>
      <c r="N4" s="7"/>
      <c r="O4" s="7"/>
      <c r="P4" s="7"/>
      <c r="Q4" s="7"/>
      <c r="R4" s="7"/>
      <c r="S4" s="7"/>
      <c r="T4" s="7"/>
      <c r="U4" s="7"/>
      <c r="V4" s="7"/>
      <c r="W4" s="7"/>
      <c r="X4" s="7"/>
      <c r="Y4" s="220" cm="1">
        <f t="array" ref="Y4">Y$3-ROUND($D$165/12,1)</f>
        <v>28</v>
      </c>
      <c r="Z4" s="7"/>
      <c r="AA4" s="7"/>
      <c r="AB4" s="220" cm="1">
        <f t="array" ref="AB4">AB$3-ROUND($D$165/12,1)</f>
        <v>13</v>
      </c>
      <c r="AC4" s="220" cm="1">
        <f t="array" ref="AC4">AC$3-ROUND($D$165/12,1)</f>
        <v>10</v>
      </c>
      <c r="AD4" s="220" cm="1">
        <f t="array" ref="AD4">AD$3-ROUND($D$165/12,1)</f>
        <v>8</v>
      </c>
      <c r="AE4" s="220" cm="1">
        <f t="array" ref="AE4">AE$3-ROUND($D$165/12,1)</f>
        <v>3</v>
      </c>
      <c r="AF4" s="7"/>
      <c r="AG4" s="7"/>
      <c r="AH4" s="7"/>
      <c r="AI4" s="220" cm="1">
        <f t="array" ref="AI4">Y$4</f>
        <v>28</v>
      </c>
      <c r="AJ4" s="7"/>
      <c r="AK4" s="7"/>
      <c r="AL4" s="220" cm="1">
        <f t="array" ref="AL4">AB$4</f>
        <v>13</v>
      </c>
      <c r="AM4" s="220" cm="1">
        <f t="array" ref="AM4">AC$4</f>
        <v>10</v>
      </c>
      <c r="AN4" s="220" cm="1">
        <f t="array" ref="AN4">AD$4</f>
        <v>8</v>
      </c>
      <c r="AO4" s="220" cm="1">
        <f t="array" ref="AO4">AE$4</f>
        <v>3</v>
      </c>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220" cm="1">
        <f t="array" ref="BR4">0.0495/12</f>
        <v>0.004125</v>
      </c>
      <c r="BS4" s="7"/>
      <c r="BT4" s="7"/>
      <c r="BU4" s="7"/>
      <c r="BV4" s="7"/>
      <c r="BW4" s="7"/>
      <c r="BX4" s="7"/>
      <c r="BY4" s="7"/>
      <c r="BZ4" s="7"/>
      <c r="CA4" s="7"/>
      <c r="CB4" s="7"/>
      <c r="CC4" s="7"/>
      <c r="CD4" s="7"/>
      <c r="CE4" s="7"/>
      <c r="CF4" s="7"/>
      <c r="CG4" s="7"/>
      <c r="CH4" s="7"/>
      <c r="CI4" s="7"/>
      <c r="CJ4" t="s" s="8">
        <v>1173</v>
      </c>
      <c r="CK4" s="7"/>
      <c r="CL4" s="7"/>
      <c r="CM4" s="7"/>
    </row>
    <row r="5" ht="20.55" customHeight="1">
      <c r="A5" t="s" s="475">
        <v>1174</v>
      </c>
      <c r="B5" s="659">
        <v>45386</v>
      </c>
      <c r="C5" s="234" cm="1">
        <f t="array" ref="C5">D5*F5</f>
        <v>53827132</v>
      </c>
      <c r="D5" s="592">
        <v>1450</v>
      </c>
      <c r="E5" s="660"/>
      <c r="F5" s="661">
        <v>37122.16</v>
      </c>
      <c r="G5" s="660">
        <v>0.003</v>
      </c>
      <c r="H5" s="660">
        <v>0.037</v>
      </c>
      <c r="I5" s="662" cm="1">
        <f t="array" ref="I5">H5+4.95/100</f>
        <v>0.08649999999999999</v>
      </c>
      <c r="J5" s="234"/>
      <c r="K5" s="663">
        <v>3950</v>
      </c>
      <c r="L5" s="664" cm="1">
        <f t="array" ref="L5">K5/3950</f>
        <v>1</v>
      </c>
      <c r="M5" s="665" cm="1">
        <f t="array" ref="M5">ROUND(K5*F5,0)</f>
        <v>146632532</v>
      </c>
      <c r="N5" s="664">
        <v>1</v>
      </c>
      <c r="O5" s="665" cm="1">
        <f t="array" ref="O5">BI5</f>
        <v>0</v>
      </c>
      <c r="P5" s="666" cm="1">
        <f t="array" ref="P5">T5-K5</f>
        <v>1450</v>
      </c>
      <c r="Q5" s="665" cm="1">
        <f t="array" ref="Q5">ROUND(P5*F5,0)</f>
        <v>53827132</v>
      </c>
      <c r="R5" s="591" cm="1">
        <f t="array" ref="R5">K$5-K5</f>
        <v>0</v>
      </c>
      <c r="S5" s="665" cm="1">
        <f t="array" ref="S5">Q5-Q4</f>
        <v>53827132</v>
      </c>
      <c r="T5" s="591">
        <v>5400</v>
      </c>
      <c r="U5" s="665" cm="1">
        <f t="array" ref="U5">T5*F5</f>
        <v>200459664</v>
      </c>
      <c r="V5" s="234" cm="1">
        <f t="array" ref="V5">-S5</f>
        <v>-53827132</v>
      </c>
      <c r="W5" s="592"/>
      <c r="X5" s="592"/>
      <c r="Y5" s="667"/>
      <c r="Z5" s="592"/>
      <c r="AA5" s="592"/>
      <c r="AB5" s="592"/>
      <c r="AC5" s="592"/>
      <c r="AD5" s="592"/>
      <c r="AE5" s="592"/>
      <c r="AF5" s="592"/>
      <c r="AG5" s="592"/>
      <c r="AH5" s="592"/>
      <c r="AI5" s="667"/>
      <c r="AJ5" s="592"/>
      <c r="AK5" s="592"/>
      <c r="AL5" s="592"/>
      <c r="AM5" s="592"/>
      <c r="AN5" s="592"/>
      <c r="AO5" s="592"/>
      <c r="AP5" s="592"/>
      <c r="AQ5" s="592"/>
      <c r="AR5" s="234"/>
      <c r="AS5" s="234"/>
      <c r="AT5" s="592"/>
      <c r="AU5" s="668"/>
      <c r="AV5" s="668"/>
      <c r="AW5" s="668"/>
      <c r="AX5" s="668"/>
      <c r="AY5" s="669"/>
      <c r="AZ5" s="669"/>
      <c r="BA5" s="670"/>
      <c r="BB5" s="671"/>
      <c r="BC5" s="670"/>
      <c r="BD5" s="671"/>
      <c r="BE5" s="671"/>
      <c r="BF5" s="671"/>
      <c r="BG5" s="672"/>
      <c r="BH5" s="673"/>
      <c r="BI5" s="665"/>
      <c r="BJ5" s="665"/>
      <c r="BK5" s="665"/>
      <c r="BL5" s="665"/>
      <c r="BM5" s="665"/>
      <c r="BN5" s="665"/>
      <c r="BO5" s="234"/>
      <c r="BP5" s="234"/>
      <c r="BQ5" s="234"/>
      <c r="BR5" s="234"/>
      <c r="BS5" s="234"/>
      <c r="BT5" s="234"/>
      <c r="BU5" s="234" cm="1">
        <f t="array" ref="BU5">SUM(C5)</f>
        <v>53827132</v>
      </c>
      <c r="BV5" s="234"/>
      <c r="BW5" s="234"/>
      <c r="BX5" s="234"/>
      <c r="BY5" s="234"/>
      <c r="BZ5" s="234"/>
      <c r="CA5" s="234"/>
      <c r="CB5" s="234"/>
      <c r="CC5" s="234"/>
      <c r="CD5" s="234"/>
      <c r="CE5" s="234"/>
      <c r="CF5" s="234" cm="1">
        <f t="array" ref="CF5">'net worth - Table 1-1'!K84</f>
        <v>0</v>
      </c>
      <c r="CG5" s="234" cm="1">
        <f t="array" ref="CG5">'net worth - Table 1-3'!E85</f>
        <v>28198430</v>
      </c>
      <c r="CH5" s="234" cm="1">
        <f t="array" ref="CH5">'net worth - Table 1-2'!C84</f>
        <v>8998809</v>
      </c>
      <c r="CI5" s="234" cm="1">
        <f t="array" ref="CI5">SUM(CF5:CH5)</f>
        <v>37197239</v>
      </c>
      <c r="CJ5" s="234" cm="1">
        <f t="array" ref="CJ5">('net worth - Table 1-3'!AY85+'net worth - Table 1-3'!BF85)*0.85+'net worth - Table 1-3'!AJ85</f>
        <v>35892999</v>
      </c>
      <c r="CK5" s="234" cm="1">
        <f t="array" ref="CK5">CI5+CJ5</f>
        <v>73090238</v>
      </c>
      <c r="CL5" s="234" cm="1">
        <f t="array" ref="CL5">M5-CK5</f>
        <v>73542294</v>
      </c>
      <c r="CM5" s="234" cm="1">
        <f t="array" ref="CM5">M5-CI5</f>
        <v>109435293</v>
      </c>
    </row>
    <row r="6" ht="19.35" customHeight="1">
      <c r="A6" s="674"/>
      <c r="B6" s="675">
        <v>45416</v>
      </c>
      <c r="C6" s="247"/>
      <c r="D6" s="597"/>
      <c r="E6" s="676"/>
      <c r="F6" s="296">
        <v>37286.78</v>
      </c>
      <c r="G6" s="676" cm="1">
        <f t="array" ref="G6">(F6-F5)/F5</f>
        <v>0.00443454798966439</v>
      </c>
      <c r="H6" s="676">
        <v>0.04</v>
      </c>
      <c r="I6" s="299" cm="1">
        <f t="array" ref="I6">H6+4.95/100</f>
        <v>0.0895</v>
      </c>
      <c r="J6" s="247"/>
      <c r="K6" s="677">
        <v>3983.6544</v>
      </c>
      <c r="L6" s="678" cm="1">
        <f t="array" ref="L6">K6/K$5</f>
        <v>1.00852010126582</v>
      </c>
      <c r="M6" s="679" cm="1">
        <f t="array" ref="M6">ROUND(K6*F6,0)</f>
        <v>148537645</v>
      </c>
      <c r="N6" s="680" cm="1">
        <f t="array" ref="N6">M6/M$5</f>
        <v>1.01299243062924</v>
      </c>
      <c r="O6" s="679" cm="1">
        <f t="array" ref="O6">M6-M5</f>
        <v>1905113</v>
      </c>
      <c r="P6" s="681" cm="1">
        <f t="array" ref="P6">T6-K6</f>
        <v>1416.3456</v>
      </c>
      <c r="Q6" s="679" cm="1">
        <f t="array" ref="Q6">ROUND(P6*F6,0)</f>
        <v>52810967</v>
      </c>
      <c r="R6" s="596" cm="1">
        <f t="array" ref="R6">$K$5-K6</f>
        <v>-33.6544</v>
      </c>
      <c r="S6" s="679" cm="1">
        <f t="array" ref="S6">Q6-Q5</f>
        <v>-1016165</v>
      </c>
      <c r="T6" s="596">
        <v>5400</v>
      </c>
      <c r="U6" s="679" cm="1">
        <f t="array" ref="U6">T6*F6</f>
        <v>201348612</v>
      </c>
      <c r="V6" s="247" cm="1">
        <f t="array" ref="V6">-S6</f>
        <v>1016165</v>
      </c>
      <c r="W6" s="597"/>
      <c r="X6" s="597"/>
      <c r="Y6" s="682"/>
      <c r="Z6" s="597"/>
      <c r="AA6" s="597"/>
      <c r="AB6" s="597"/>
      <c r="AC6" s="597"/>
      <c r="AD6" s="597"/>
      <c r="AE6" s="597"/>
      <c r="AF6" s="597"/>
      <c r="AG6" s="597"/>
      <c r="AH6" s="597"/>
      <c r="AI6" s="682"/>
      <c r="AJ6" s="597"/>
      <c r="AK6" s="597"/>
      <c r="AL6" s="597"/>
      <c r="AM6" s="597"/>
      <c r="AN6" s="597"/>
      <c r="AO6" s="597"/>
      <c r="AP6" s="597"/>
      <c r="AQ6" s="597"/>
      <c r="AR6" s="247"/>
      <c r="AS6" s="247"/>
      <c r="AT6" s="597"/>
      <c r="AU6" s="683"/>
      <c r="AV6" s="683"/>
      <c r="AW6" s="683"/>
      <c r="AX6" s="683"/>
      <c r="AY6" s="684"/>
      <c r="AZ6" s="684"/>
      <c r="BA6" s="685"/>
      <c r="BB6" s="686"/>
      <c r="BC6" s="685"/>
      <c r="BD6" s="686"/>
      <c r="BE6" s="686"/>
      <c r="BF6" s="686"/>
      <c r="BG6" s="687"/>
      <c r="BH6" s="688"/>
      <c r="BI6" s="679" cm="1">
        <f t="array" ref="BI6">M5-M6</f>
        <v>-1905113</v>
      </c>
      <c r="BJ6" s="679" cm="1">
        <f t="array" ref="BJ6">BE6-BI6</f>
        <v>1905113</v>
      </c>
      <c r="BK6" s="679" cm="1">
        <f t="array" ref="BK6">-BJ6</f>
        <v>-1905113</v>
      </c>
      <c r="BL6" s="679" cm="1">
        <f t="array" ref="BL6">BG6+BJ6</f>
        <v>1905113</v>
      </c>
      <c r="BM6" s="679" cm="1">
        <f t="array" ref="BM6">AVERAGE(BL3:BL6)</f>
        <v>1905113</v>
      </c>
      <c r="BN6" s="679"/>
      <c r="BO6" s="247"/>
      <c r="BP6" s="247"/>
      <c r="BQ6" s="247"/>
      <c r="BR6" s="247"/>
      <c r="BS6" s="247"/>
      <c r="BT6" s="247"/>
      <c r="BU6" s="247" cm="1">
        <f t="array" ref="BU6">SUM(C$5:C6)</f>
        <v>53827132</v>
      </c>
      <c r="BV6" s="247"/>
      <c r="BW6" s="247"/>
      <c r="BX6" s="247"/>
      <c r="BY6" s="247"/>
      <c r="BZ6" s="247" cm="1">
        <f t="array" ref="BZ6">SUM(BJ$6:BJ6)</f>
        <v>1905113</v>
      </c>
      <c r="CA6" s="247"/>
      <c r="CB6" s="247"/>
      <c r="CC6" s="247" cm="1">
        <f t="array" ref="CC6">SUM(BE$6:BE6)</f>
        <v>0</v>
      </c>
      <c r="CD6" s="247"/>
      <c r="CE6" s="247"/>
      <c r="CF6" s="247" cm="1">
        <f t="array" ref="CF6">'net worth - Table 1-1'!K85</f>
        <v>0</v>
      </c>
      <c r="CG6" s="247" cm="1">
        <f t="array" ref="CG6">'net worth - Table 1-3'!E86</f>
        <v>28535192</v>
      </c>
      <c r="CH6" s="247" cm="1">
        <f t="array" ref="CH6">'net worth - Table 1-2'!C85</f>
        <v>9854948</v>
      </c>
      <c r="CI6" s="247" cm="1">
        <f t="array" ref="CI6">SUM(CF6:CH6)</f>
        <v>38390140</v>
      </c>
      <c r="CJ6" s="247" cm="1">
        <f t="array" ref="CJ6">('net worth - Table 1-3'!AY86+'net worth - Table 1-3'!BF86)*0.85+'net worth - Table 1-3'!AJ86</f>
        <v>36404142.4</v>
      </c>
      <c r="CK6" s="247" cm="1">
        <f t="array" ref="CK6">CI6+CJ6</f>
        <v>74794282.40000001</v>
      </c>
      <c r="CL6" s="247" cm="1">
        <f t="array" ref="CL6">M6-CK6</f>
        <v>73743362.59999999</v>
      </c>
      <c r="CM6" s="247" cm="1">
        <f t="array" ref="CM6">M6-CI6</f>
        <v>110147505</v>
      </c>
    </row>
    <row r="7" ht="20.35" customHeight="1">
      <c r="A7" s="689">
        <v>4</v>
      </c>
      <c r="B7" s="675">
        <v>45457</v>
      </c>
      <c r="C7" s="247">
        <v>1200000</v>
      </c>
      <c r="D7" s="597">
        <v>31.98986</v>
      </c>
      <c r="E7" s="676" cm="1">
        <f t="array" ref="E7">D7/K6</f>
        <v>0.008030279935930191</v>
      </c>
      <c r="F7" s="296">
        <v>37511.88</v>
      </c>
      <c r="G7" s="676" cm="1">
        <f t="array" ref="G7">(F7-F6)/F6</f>
        <v>0.00603699219938005</v>
      </c>
      <c r="H7" s="676">
        <v>0.041</v>
      </c>
      <c r="I7" s="299" cm="1">
        <f t="array" ref="I7">H7+4.95/100</f>
        <v>0.0905</v>
      </c>
      <c r="J7" s="247" cm="1">
        <f t="array" ref="J7">ROUND(D7*F7,0)</f>
        <v>1200000</v>
      </c>
      <c r="K7" s="677">
        <v>3958.95</v>
      </c>
      <c r="L7" s="678" cm="1">
        <f t="array" ref="L7">K7/K$5</f>
        <v>1.00226582278481</v>
      </c>
      <c r="M7" s="679" cm="1">
        <f t="array" ref="M7">ROUND(K7*F7,0)</f>
        <v>148507657</v>
      </c>
      <c r="N7" s="680" cm="1">
        <f t="array" ref="N7">M7/M$5</f>
        <v>1.01278791939568</v>
      </c>
      <c r="O7" s="679" cm="1">
        <f t="array" ref="O7">M7-M6</f>
        <v>-29988</v>
      </c>
      <c r="P7" s="681" cm="1">
        <f t="array" ref="P7">T7-K7</f>
        <v>1441.05</v>
      </c>
      <c r="Q7" s="679" cm="1">
        <f t="array" ref="Q7">ROUND(P7*F7,0)</f>
        <v>54056495</v>
      </c>
      <c r="R7" s="596" cm="1">
        <f t="array" ref="R7">$K$5-K7</f>
        <v>-8.949999999999999</v>
      </c>
      <c r="S7" s="679" cm="1">
        <f t="array" ref="S7">Q7-Q6</f>
        <v>1245528</v>
      </c>
      <c r="T7" s="596">
        <v>5400</v>
      </c>
      <c r="U7" s="679" cm="1">
        <f t="array" ref="U7">T7*F7</f>
        <v>202564152</v>
      </c>
      <c r="V7" s="247" cm="1">
        <f t="array" ref="V7">-S7</f>
        <v>-1245528</v>
      </c>
      <c r="W7" s="690"/>
      <c r="X7" s="690"/>
      <c r="Y7" s="682"/>
      <c r="Z7" s="597"/>
      <c r="AA7" s="597"/>
      <c r="AB7" s="597"/>
      <c r="AC7" s="597"/>
      <c r="AD7" s="597"/>
      <c r="AE7" s="597"/>
      <c r="AF7" s="597"/>
      <c r="AG7" s="597"/>
      <c r="AH7" s="597"/>
      <c r="AI7" s="682"/>
      <c r="AJ7" s="597"/>
      <c r="AK7" s="597"/>
      <c r="AL7" s="597"/>
      <c r="AM7" s="597"/>
      <c r="AN7" s="597"/>
      <c r="AO7" s="597"/>
      <c r="AP7" s="597"/>
      <c r="AQ7" s="597"/>
      <c r="AR7" s="691" cm="1">
        <f t="array" ref="AR7">K6-K7</f>
        <v>24.7044</v>
      </c>
      <c r="AS7" s="691" cm="1">
        <f t="array" ref="AS7">D7-AR7</f>
        <v>7.28546</v>
      </c>
      <c r="AT7" s="597"/>
      <c r="AU7" s="684">
        <v>187754</v>
      </c>
      <c r="AV7" s="692" cm="1">
        <f t="array" ref="AV7">ROUND(AU7/$F7,4)</f>
        <v>5.0052</v>
      </c>
      <c r="AW7" s="684">
        <v>25688</v>
      </c>
      <c r="AX7" s="692" cm="1">
        <f t="array" ref="AX7">ROUND(AW7/$F7,4)</f>
        <v>0.6848</v>
      </c>
      <c r="AY7" s="693" cm="1">
        <f t="array" ref="AY7">SUM(AV7,AX7)</f>
        <v>5.69</v>
      </c>
      <c r="AZ7" s="684" cm="1">
        <f t="array" ref="AZ7">ROUND(SUM(AV7,AX7)*F7,0)</f>
        <v>213443</v>
      </c>
      <c r="BA7" s="685">
        <v>188520</v>
      </c>
      <c r="BB7" s="694" cm="1">
        <f t="array" ref="BB7">ROUND(BA7/$F7,4)</f>
        <v>5.0256</v>
      </c>
      <c r="BC7" s="685">
        <v>737861</v>
      </c>
      <c r="BD7" s="694" cm="1">
        <f t="array" ref="BD7">ROUND(BC7/$F7,4)</f>
        <v>19.6701</v>
      </c>
      <c r="BE7" s="686" cm="1">
        <f t="array" ref="BE7">BC7+BA7</f>
        <v>926381</v>
      </c>
      <c r="BF7" s="694" cm="1">
        <f t="array" ref="BF7">ROUND(BB7+BD7,4)</f>
        <v>24.6957</v>
      </c>
      <c r="BG7" s="687"/>
      <c r="BH7" s="695"/>
      <c r="BI7" s="679" cm="1">
        <f t="array" ref="BI7">M6-M7</f>
        <v>29988</v>
      </c>
      <c r="BJ7" s="679" cm="1">
        <f t="array" ref="BJ7">BE7-BI7</f>
        <v>896393</v>
      </c>
      <c r="BK7" s="679" cm="1">
        <f t="array" ref="BK7">-BJ7</f>
        <v>-896393</v>
      </c>
      <c r="BL7" s="679" cm="1">
        <f t="array" ref="BL7">BG7+BJ7</f>
        <v>896393</v>
      </c>
      <c r="BM7" s="679" cm="1">
        <f t="array" ref="BM7">AVERAGE(BL5:BL7)</f>
        <v>1400753</v>
      </c>
      <c r="BN7" s="691"/>
      <c r="BO7" s="32"/>
      <c r="BP7" s="247"/>
      <c r="BQ7" s="247"/>
      <c r="BR7" s="247"/>
      <c r="BS7" s="596"/>
      <c r="BT7" s="247"/>
      <c r="BU7" s="247" cm="1">
        <f t="array" ref="BU7">SUM(C$5:C7)</f>
        <v>55027132</v>
      </c>
      <c r="BV7" s="247" cm="1">
        <f t="array" ref="BV7">BA7+BC7+BV6</f>
        <v>926381</v>
      </c>
      <c r="BW7" s="247" cm="1">
        <f t="array" ref="BW7">BG7+BW6</f>
        <v>0</v>
      </c>
      <c r="BX7" s="596" cm="1">
        <f t="array" ref="BX7">BF7+BX6</f>
        <v>24.6957</v>
      </c>
      <c r="BY7" s="596" cm="1">
        <f t="array" ref="BY7">BH7+BY6</f>
        <v>0</v>
      </c>
      <c r="BZ7" s="247" cm="1">
        <f t="array" ref="BZ7">SUM(BJ$6:BJ7)</f>
        <v>2801506</v>
      </c>
      <c r="CA7" s="596"/>
      <c r="CB7" s="247"/>
      <c r="CC7" s="247" cm="1">
        <f t="array" ref="CC7">SUM(BE$6:BE7)</f>
        <v>926381</v>
      </c>
      <c r="CD7" s="247"/>
      <c r="CE7" s="247"/>
      <c r="CF7" s="247" cm="1">
        <f t="array" ref="CF7">'net worth - Table 1-1'!K86</f>
        <v>2590180</v>
      </c>
      <c r="CG7" s="247" cm="1">
        <f t="array" ref="CG7">'net worth - Table 1-3'!E87</f>
        <v>30554913</v>
      </c>
      <c r="CH7" s="247" cm="1">
        <f t="array" ref="CH7">'net worth - Table 1-2'!C86</f>
        <v>9174454</v>
      </c>
      <c r="CI7" s="247" cm="1">
        <f t="array" ref="CI7">SUM(CF7:CH7)</f>
        <v>42319547</v>
      </c>
      <c r="CJ7" s="247" cm="1">
        <f t="array" ref="CJ7">('net worth - Table 1-3'!AY87+'net worth - Table 1-3'!BF87)*0.85+'net worth - Table 1-3'!AJ87</f>
        <v>39164730.85</v>
      </c>
      <c r="CK7" s="247" cm="1">
        <f t="array" ref="CK7">CI7+CJ7</f>
        <v>81484277.84999999</v>
      </c>
      <c r="CL7" s="247" cm="1">
        <f t="array" ref="CL7">M7-CK7</f>
        <v>67023379.15</v>
      </c>
      <c r="CM7" s="247" cm="1">
        <f t="array" ref="CM7">M7-CI7</f>
        <v>106188110</v>
      </c>
    </row>
    <row r="8" ht="19.35" customHeight="1">
      <c r="A8" s="689">
        <v>5</v>
      </c>
      <c r="B8" s="675">
        <v>45484</v>
      </c>
      <c r="C8" s="247">
        <v>3011141</v>
      </c>
      <c r="D8" s="597">
        <v>80.0767</v>
      </c>
      <c r="E8" s="676" cm="1">
        <f t="array" ref="E8">D8/K7</f>
        <v>0.0202267520428396</v>
      </c>
      <c r="F8" s="296">
        <v>37603.21</v>
      </c>
      <c r="G8" s="676" cm="1">
        <f t="array" ref="G8">(F8-F7)/F7</f>
        <v>0.00243469535517815</v>
      </c>
      <c r="H8" s="676">
        <v>0.042</v>
      </c>
      <c r="I8" s="299" cm="1">
        <f t="array" ref="I8">H8+4.95/100</f>
        <v>0.0915</v>
      </c>
      <c r="J8" s="247" cm="1">
        <f t="array" ref="J8">ROUND(D8*F8,0)</f>
        <v>3011141</v>
      </c>
      <c r="K8" s="677" cm="1">
        <f t="array" ref="K8">3896.3339</f>
        <v>3896.3339</v>
      </c>
      <c r="L8" s="678" cm="1">
        <f t="array" ref="L8">K8/K$5</f>
        <v>0.98641364556962</v>
      </c>
      <c r="M8" s="679" cm="1">
        <f t="array" ref="M8">ROUND(K8*F8,0)</f>
        <v>146514662</v>
      </c>
      <c r="N8" s="680" cm="1">
        <f t="array" ref="N8">M8/M$5</f>
        <v>0.999196153824855</v>
      </c>
      <c r="O8" s="679" cm="1">
        <f t="array" ref="O8">M8-M7</f>
        <v>-1992995</v>
      </c>
      <c r="P8" s="681" cm="1">
        <f t="array" ref="P8">T8-K8</f>
        <v>1503.6661</v>
      </c>
      <c r="Q8" s="679" cm="1">
        <f t="array" ref="Q8">ROUND(P8*F8,0)</f>
        <v>56542672</v>
      </c>
      <c r="R8" s="596" cm="1">
        <f t="array" ref="R8">$K$5-K8</f>
        <v>53.6661</v>
      </c>
      <c r="S8" s="679" cm="1">
        <f t="array" ref="S8">Q8-Q7</f>
        <v>2486177</v>
      </c>
      <c r="T8" s="596">
        <v>5400</v>
      </c>
      <c r="U8" s="679" cm="1">
        <f t="array" ref="U8">T8*F8</f>
        <v>203057334</v>
      </c>
      <c r="V8" s="247" cm="1">
        <f t="array" ref="V8">-S8</f>
        <v>-2486177</v>
      </c>
      <c r="W8" s="690"/>
      <c r="X8" s="690" cm="1">
        <f t="array" ref="X8">$K7*4.95/12/100/(1-(1+4.95/12/100)^-(360-$A8))+$AY8</f>
        <v>22.6839754803902</v>
      </c>
      <c r="Y8" s="682">
        <v>22.47</v>
      </c>
      <c r="Z8" s="597"/>
      <c r="AA8" s="597"/>
      <c r="AB8" s="597" cm="1">
        <f t="array" ref="AB8">IF(AB$3*12&lt;=$A8,0,$K7*'depto - Departamento'!$D$8/12/(1-(1+'depto - Departamento'!$D$8/12)^-(12*AB$3-$A8+3))+$AY8)</f>
        <v>32.8631345855604</v>
      </c>
      <c r="AC8" s="597" cm="1">
        <f t="array" ref="AC8">IF(AC$3*12&lt;=$A8,0,$K7*'depto - Departamento'!$D$8/12/(1-(1+'depto - Departamento'!$D$8/12)^-(12*AC$3-$A8+3))+$AY8)</f>
        <v>38.3160342851576</v>
      </c>
      <c r="AD8" s="597" cm="1">
        <f t="array" ref="AD8">IF(AD$3*12&lt;=$A8,0,$K7*'depto - Departamento'!$D$8/12/(1-(1+'depto - Departamento'!$D$8/12)^-(12*AD$3-$A8+3))+$AY8)</f>
        <v>43.8656735648369</v>
      </c>
      <c r="AE8" s="597" cm="1">
        <f t="array" ref="AE8">IF(AE$3*12&lt;=$A8,0,$K7*'depto - Departamento'!$D$8/12/(1-(1+'depto - Departamento'!$D$8/12)^-(12*AE$3-$A8+3))+$AY8)</f>
        <v>78.3106927614982</v>
      </c>
      <c r="AF8" s="597">
        <v>80.0767</v>
      </c>
      <c r="AG8" s="597"/>
      <c r="AH8" s="597"/>
      <c r="AI8" s="696" cm="1">
        <f t="array" ref="AI8">$F8*Y8</f>
        <v>844944.1287</v>
      </c>
      <c r="AJ8" s="597"/>
      <c r="AK8" s="597"/>
      <c r="AL8" s="247" cm="1">
        <f t="array" ref="AL8">$F8*AB8</f>
        <v>1235759.35107909</v>
      </c>
      <c r="AM8" s="247" cm="1">
        <f t="array" ref="AM8">$F8*AC8</f>
        <v>1440805.88359198</v>
      </c>
      <c r="AN8" s="247" cm="1">
        <f t="array" ref="AN8">$F8*AD8</f>
        <v>1649490.13485001</v>
      </c>
      <c r="AO8" s="247" cm="1">
        <f t="array" ref="AO8">$F8*AE8</f>
        <v>2944733.4251561</v>
      </c>
      <c r="AP8" s="247" cm="1">
        <f t="array" ref="AP8">$F8*AF8</f>
        <v>3011140.966207</v>
      </c>
      <c r="AQ8" s="597"/>
      <c r="AR8" s="691" cm="1">
        <f t="array" ref="AR8">K7-K8</f>
        <v>62.6161</v>
      </c>
      <c r="AS8" s="691" cm="1">
        <f t="array" ref="AS8">D8-AR8</f>
        <v>17.4606</v>
      </c>
      <c r="AT8" s="597"/>
      <c r="AU8" s="684">
        <v>47053</v>
      </c>
      <c r="AV8" s="692" cm="1">
        <f t="array" ref="AV8">ROUND(AU8/$F8,4)</f>
        <v>1.2513</v>
      </c>
      <c r="AW8" s="684">
        <v>6430</v>
      </c>
      <c r="AX8" s="692" cm="1">
        <f t="array" ref="AX8">ROUND(AW8/F8,4)</f>
        <v>0.171</v>
      </c>
      <c r="AY8" s="693" cm="1">
        <f t="array" ref="AY8">SUM(AV8,AX8)</f>
        <v>1.4223</v>
      </c>
      <c r="AZ8" s="684" cm="1">
        <f t="array" ref="AZ8">ROUND(SUM(AV8,AX8)*F8,0)</f>
        <v>53483</v>
      </c>
      <c r="BA8" s="685">
        <v>188802</v>
      </c>
      <c r="BB8" s="694" cm="1">
        <f t="array" ref="BB8">ROUND(BA8/$F8,4)</f>
        <v>5.0209</v>
      </c>
      <c r="BC8" s="685">
        <v>2166095</v>
      </c>
      <c r="BD8" s="694" cm="1">
        <f t="array" ref="BD8">ROUND(BC8/$F8,4)</f>
        <v>57.604</v>
      </c>
      <c r="BE8" s="686" cm="1">
        <f t="array" ref="BE8">BC8+BA8</f>
        <v>2354897</v>
      </c>
      <c r="BF8" s="694" cm="1">
        <f t="array" ref="BF8">ROUND(BB8+BD8,4)</f>
        <v>62.6249</v>
      </c>
      <c r="BG8" s="687">
        <v>602761</v>
      </c>
      <c r="BH8" s="697" cm="1">
        <f t="array" ref="BH8">ROUND(BG8/$F8,4)</f>
        <v>16.0295</v>
      </c>
      <c r="BI8" s="679" cm="1">
        <f t="array" ref="BI8">M7-M8</f>
        <v>1992995</v>
      </c>
      <c r="BJ8" s="679" cm="1">
        <f t="array" ref="BJ8">BE8-BI8</f>
        <v>361902</v>
      </c>
      <c r="BK8" s="679" cm="1">
        <f t="array" ref="BK8">-BJ8</f>
        <v>-361902</v>
      </c>
      <c r="BL8" s="679" cm="1">
        <f t="array" ref="BL8">BG8+BJ8</f>
        <v>964663</v>
      </c>
      <c r="BM8" s="679" cm="1">
        <f t="array" ref="BM8">AVERAGE(BL6:BL8)</f>
        <v>1255389.66666667</v>
      </c>
      <c r="BN8" s="691"/>
      <c r="BO8" s="597" cm="1">
        <f t="array" ref="BO8">K7*((1+'depto - Departamento'!$D$8)^(1/12)-1)</f>
        <v>15.9714766749723</v>
      </c>
      <c r="BP8" s="698" cm="1">
        <f t="array" ref="BP8">(BA8+BC8)/BG8</f>
        <v>3.9068503104879</v>
      </c>
      <c r="BQ8" s="698" cm="1">
        <f t="array" ref="BQ8">Y8-BB8</f>
        <v>17.4491</v>
      </c>
      <c r="BR8" s="698" cm="1">
        <f t="array" ref="BR8">(BR$4*(1+BR$4)^BR$3*K7)/((1+BR$4)^BR$3-1)</f>
        <v>21.1316873257636</v>
      </c>
      <c r="BS8" s="596"/>
      <c r="BT8" s="247"/>
      <c r="BU8" s="247" cm="1">
        <f t="array" ref="BU8">SUM(C$5:C8)</f>
        <v>58038273</v>
      </c>
      <c r="BV8" s="247" cm="1">
        <f t="array" ref="BV8">BA8+BC8+BV7</f>
        <v>3281278</v>
      </c>
      <c r="BW8" s="247" cm="1">
        <f t="array" ref="BW8">BG8+BW7</f>
        <v>602761</v>
      </c>
      <c r="BX8" s="596" cm="1">
        <f t="array" ref="BX8">BF8+BX7</f>
        <v>87.3206</v>
      </c>
      <c r="BY8" s="596" cm="1">
        <f t="array" ref="BY8">BH8+BY7</f>
        <v>16.0295</v>
      </c>
      <c r="BZ8" s="247" cm="1">
        <f t="array" ref="BZ8">SUM(BJ$6:BJ8)</f>
        <v>3163408</v>
      </c>
      <c r="CA8" s="596"/>
      <c r="CB8" s="247"/>
      <c r="CC8" s="247" cm="1">
        <f t="array" ref="CC8">SUM(BE$6:BE8)</f>
        <v>3281278</v>
      </c>
      <c r="CD8" s="247"/>
      <c r="CE8" s="247"/>
      <c r="CF8" s="247" cm="1">
        <f t="array" ref="CF8">'net worth - Table 1-1'!K87</f>
        <v>6590180</v>
      </c>
      <c r="CG8" s="247" cm="1">
        <f t="array" ref="CG8">'net worth - Table 1-3'!E88</f>
        <v>30517714</v>
      </c>
      <c r="CH8" s="247" cm="1">
        <f t="array" ref="CH8">'net worth - Table 1-2'!C87</f>
        <v>8981575</v>
      </c>
      <c r="CI8" s="247" cm="1">
        <f t="array" ref="CI8">SUM(CF8:CH8)</f>
        <v>46089469</v>
      </c>
      <c r="CJ8" s="247" cm="1">
        <f t="array" ref="CJ8">('net worth - Table 1-3'!AY88+'net worth - Table 1-3'!BF88)*0.85+'net worth - Table 1-3'!AJ88</f>
        <v>39253199.15</v>
      </c>
      <c r="CK8" s="247" cm="1">
        <f t="array" ref="CK8">CI8+CJ8</f>
        <v>85342668.15000001</v>
      </c>
      <c r="CL8" s="247" cm="1">
        <f t="array" ref="CL8">M8-CK8</f>
        <v>61171993.85</v>
      </c>
      <c r="CM8" s="247" cm="1">
        <f t="array" ref="CM8">M8-CI8</f>
        <v>100425193</v>
      </c>
    </row>
    <row r="9" ht="19.35" customHeight="1">
      <c r="A9" s="689">
        <v>6</v>
      </c>
      <c r="B9" s="675">
        <v>45515</v>
      </c>
      <c r="C9" s="247">
        <v>3009576</v>
      </c>
      <c r="D9" s="597">
        <v>80.074</v>
      </c>
      <c r="E9" s="676" cm="1">
        <f t="array" ref="E9">D9/K8</f>
        <v>0.0205511134453852</v>
      </c>
      <c r="F9" s="296">
        <v>37584.94</v>
      </c>
      <c r="G9" s="676" cm="1">
        <f t="array" ref="G9">(F9-F8)/F8</f>
        <v>-0.00048586277607683</v>
      </c>
      <c r="H9" s="676">
        <v>0.046</v>
      </c>
      <c r="I9" s="299" cm="1">
        <f t="array" ref="I9">H9+4.95/100</f>
        <v>0.0955</v>
      </c>
      <c r="J9" s="247" cm="1">
        <f t="array" ref="J9">ROUND(D9*F9,0)</f>
        <v>3009576</v>
      </c>
      <c r="K9" s="677">
        <v>3833.4562</v>
      </c>
      <c r="L9" s="678" cm="1">
        <f t="array" ref="L9">K9/K$5</f>
        <v>0.970495240506329</v>
      </c>
      <c r="M9" s="679" cm="1">
        <f t="array" ref="M9">ROUND(K9*F9,0)</f>
        <v>144080221</v>
      </c>
      <c r="N9" s="680" cm="1">
        <f t="array" ref="N9">M9/M$5</f>
        <v>0.982593828496394</v>
      </c>
      <c r="O9" s="679" cm="1">
        <f t="array" ref="O9">M9-M8</f>
        <v>-2434441</v>
      </c>
      <c r="P9" s="681" cm="1">
        <f t="array" ref="P9">T9-K9</f>
        <v>1566.5438</v>
      </c>
      <c r="Q9" s="679" cm="1">
        <f t="array" ref="Q9">ROUND(P9*F9,0)</f>
        <v>58878455</v>
      </c>
      <c r="R9" s="596" cm="1">
        <f t="array" ref="R9">$K$5-K9</f>
        <v>116.5438</v>
      </c>
      <c r="S9" s="679" cm="1">
        <f t="array" ref="S9">Q9-Q8</f>
        <v>2335783</v>
      </c>
      <c r="T9" s="596">
        <v>5400</v>
      </c>
      <c r="U9" s="679" cm="1">
        <f t="array" ref="U9">T9*F9</f>
        <v>202958676</v>
      </c>
      <c r="V9" s="247" cm="1">
        <f t="array" ref="V9">-S9</f>
        <v>-2335783</v>
      </c>
      <c r="W9" s="690"/>
      <c r="X9" s="690" cm="1">
        <f t="array" ref="X9">$K8*4.95/12/100/(1-(1+4.95/12/100)^-(360-$A9))+$AY9</f>
        <v>22.371089379807</v>
      </c>
      <c r="Y9" s="682">
        <v>22.1644</v>
      </c>
      <c r="Z9" s="597"/>
      <c r="AA9" s="597"/>
      <c r="AB9" s="597" cm="1">
        <f t="array" ref="AB9">IF(AB$3*12&lt;=$A9,0,$K8*'depto - Departamento'!$D$8/12/(1-(1+'depto - Departamento'!$D$8/12)^-(12*AB$3-$A9+3))+$AY9)</f>
        <v>32.4817107324877</v>
      </c>
      <c r="AC9" s="597" cm="1">
        <f t="array" ref="AC9">IF(AC$3*12&lt;=$A9,0,$K8*'depto - Departamento'!$D$8/12/(1-(1+'depto - Departamento'!$D$8/12)^-(12*AC$3-$A9+3))+$AY9)</f>
        <v>37.9193929316929</v>
      </c>
      <c r="AD9" s="597" cm="1">
        <f t="array" ref="AD9">IF(AD$3*12&lt;=$A9,0,$K8*'depto - Departamento'!$D$8/12/(1-(1+'depto - Departamento'!$D$8/12)^-(12*AD$3-$A9+3))+$AY9)</f>
        <v>43.4690271282209</v>
      </c>
      <c r="AE9" s="597" cm="1">
        <f t="array" ref="AE9">IF(AE$3*12&lt;=$A9,0,$K8*'depto - Departamento'!$D$8/12/(1-(1+'depto - Departamento'!$D$8/12)^-(12*AE$3-$A9+3))+$AY9)</f>
        <v>78.2673951996701</v>
      </c>
      <c r="AF9" s="597">
        <v>80.074</v>
      </c>
      <c r="AG9" s="597"/>
      <c r="AH9" s="597"/>
      <c r="AI9" s="696" cm="1">
        <f t="array" ref="AI9">$F9*Y9</f>
        <v>833047.644136</v>
      </c>
      <c r="AJ9" s="597"/>
      <c r="AK9" s="597"/>
      <c r="AL9" s="247" cm="1">
        <f t="array" ref="AL9">$F9*AB9</f>
        <v>1220823.14897791</v>
      </c>
      <c r="AM9" s="247" cm="1">
        <f t="array" ref="AM9">$F9*AC9</f>
        <v>1425198.1081741</v>
      </c>
      <c r="AN9" s="247" cm="1">
        <f t="array" ref="AN9">$F9*AD9</f>
        <v>1633780.77647255</v>
      </c>
      <c r="AO9" s="247" cm="1">
        <f t="array" ref="AO9">$F9*AE9</f>
        <v>2941675.35253589</v>
      </c>
      <c r="AP9" s="247" cm="1">
        <f t="array" ref="AP9">$F9*AF9</f>
        <v>3009576.48556</v>
      </c>
      <c r="AQ9" s="597"/>
      <c r="AR9" s="691" cm="1">
        <f t="array" ref="AR9">K8-K9</f>
        <v>62.8777</v>
      </c>
      <c r="AS9" s="691" cm="1">
        <f t="array" ref="AS9">D9-AR9</f>
        <v>17.1963</v>
      </c>
      <c r="AT9" s="597"/>
      <c r="AU9" s="684">
        <v>47030</v>
      </c>
      <c r="AV9" s="692" cm="1">
        <f t="array" ref="AV9">ROUND(AU9/$F9,4)</f>
        <v>1.2513</v>
      </c>
      <c r="AW9" s="684">
        <v>6326</v>
      </c>
      <c r="AX9" s="692" cm="1">
        <f t="array" ref="AX9">ROUND(AW9/F9,4)</f>
        <v>0.1683</v>
      </c>
      <c r="AY9" s="693" cm="1">
        <f t="array" ref="AY9">SUM(AV9,AX9)</f>
        <v>1.4196</v>
      </c>
      <c r="AZ9" s="684" cm="1">
        <f t="array" ref="AZ9">ROUND(SUM(AV9,AX9)*F9,0)</f>
        <v>53356</v>
      </c>
      <c r="BA9" s="685">
        <v>186726</v>
      </c>
      <c r="BB9" s="694" cm="1">
        <f t="array" ref="BB9">ROUND(BA9/$F9,4)</f>
        <v>4.9681</v>
      </c>
      <c r="BC9" s="685">
        <v>2176528</v>
      </c>
      <c r="BD9" s="694" cm="1">
        <f t="array" ref="BD9">ROUND(BC9/$F9,4)</f>
        <v>57.9096</v>
      </c>
      <c r="BE9" s="686" cm="1">
        <f t="array" ref="BE9">BC9+BA9</f>
        <v>2363254</v>
      </c>
      <c r="BF9" s="694" cm="1">
        <f t="array" ref="BF9">ROUND(BB9+BD9,4)</f>
        <v>62.8777</v>
      </c>
      <c r="BG9" s="687">
        <v>592966</v>
      </c>
      <c r="BH9" s="697" cm="1">
        <f t="array" ref="BH9">ROUND(BG9/$F9,4)</f>
        <v>15.7767</v>
      </c>
      <c r="BI9" s="679" cm="1">
        <f t="array" ref="BI9">M8-M9</f>
        <v>2434441</v>
      </c>
      <c r="BJ9" s="679" cm="1">
        <f t="array" ref="BJ9">BE9-BI9</f>
        <v>-71187</v>
      </c>
      <c r="BK9" s="679" cm="1">
        <f t="array" ref="BK9">-BJ9</f>
        <v>71187</v>
      </c>
      <c r="BL9" s="679" cm="1">
        <f t="array" ref="BL9">BG9+BJ9</f>
        <v>521779</v>
      </c>
      <c r="BM9" s="679" cm="1">
        <f t="array" ref="BM9">AVERAGE(BL7:BL9)</f>
        <v>794278.333333333</v>
      </c>
      <c r="BN9" s="699" cm="1">
        <f t="array" ref="BN9">BH8-BH9</f>
        <v>0.2528</v>
      </c>
      <c r="BO9" s="597" cm="1">
        <f t="array" ref="BO9">K8*((1+'depto - Departamento'!$D$8)^(1/12)-1)</f>
        <v>15.7188663665249</v>
      </c>
      <c r="BP9" s="698" cm="1">
        <f t="array" ref="BP9">(BA9+BC9)/BG9</f>
        <v>3.98547977455706</v>
      </c>
      <c r="BQ9" s="698" cm="1">
        <f t="array" ref="BQ9">Y9-BB9</f>
        <v>17.1963</v>
      </c>
      <c r="BR9" s="698" cm="1">
        <f t="array" ref="BR9">(BR$4*(1+BR$4)^BR$3*K8)/((1+BR$4)^BR$3-1)</f>
        <v>20.797461370205</v>
      </c>
      <c r="BS9" s="690"/>
      <c r="BT9" s="247"/>
      <c r="BU9" s="247" cm="1">
        <f t="array" ref="BU9">SUM(C$5:C9)</f>
        <v>61047849</v>
      </c>
      <c r="BV9" s="247" cm="1">
        <f t="array" ref="BV9">BA9+BC9+BV8</f>
        <v>5644532</v>
      </c>
      <c r="BW9" s="247" cm="1">
        <f t="array" ref="BW9">BG9+BW8</f>
        <v>1195727</v>
      </c>
      <c r="BX9" s="596" cm="1">
        <f t="array" ref="BX9">BF9+BX8</f>
        <v>150.1983</v>
      </c>
      <c r="BY9" s="596" cm="1">
        <f t="array" ref="BY9">BH9+BY8</f>
        <v>31.8062</v>
      </c>
      <c r="BZ9" s="247" cm="1">
        <f t="array" ref="BZ9">SUM(BJ$6:BJ9)</f>
        <v>3092221</v>
      </c>
      <c r="CA9" s="596"/>
      <c r="CB9" s="247"/>
      <c r="CC9" s="247" cm="1">
        <f t="array" ref="CC9">SUM(BE$6:BE9)</f>
        <v>5644532</v>
      </c>
      <c r="CD9" s="247"/>
      <c r="CE9" s="247"/>
      <c r="CF9" s="247" cm="1">
        <f t="array" ref="CF9">'net worth - Table 1-1'!K88</f>
        <v>10590180</v>
      </c>
      <c r="CG9" s="247" cm="1">
        <f t="array" ref="CG9">'net worth - Table 1-3'!E89</f>
        <v>29754534</v>
      </c>
      <c r="CH9" s="247" cm="1">
        <f t="array" ref="CH9">'net worth - Table 1-2'!C88</f>
        <v>7080412</v>
      </c>
      <c r="CI9" s="247" cm="1">
        <f t="array" ref="CI9">SUM(CF9:CH9)</f>
        <v>47425126</v>
      </c>
      <c r="CJ9" s="247" cm="1">
        <f t="array" ref="CJ9">('net worth - Table 1-3'!AY89+'net worth - Table 1-3'!BF89)*0.85+'net worth - Table 1-3'!AJ89</f>
        <v>38447753.4</v>
      </c>
      <c r="CK9" s="247" cm="1">
        <f t="array" ref="CK9">CI9+CJ9</f>
        <v>85872879.40000001</v>
      </c>
      <c r="CL9" s="247" cm="1">
        <f t="array" ref="CL9">M9-CK9</f>
        <v>58207341.6</v>
      </c>
      <c r="CM9" s="247" cm="1">
        <f t="array" ref="CM9">M9-CI9</f>
        <v>96655095</v>
      </c>
    </row>
    <row r="10" ht="19.35" customHeight="1">
      <c r="A10" s="689">
        <v>7</v>
      </c>
      <c r="B10" s="675">
        <v>45547</v>
      </c>
      <c r="C10" s="247">
        <v>3030085</v>
      </c>
      <c r="D10" s="597" cm="1">
        <f t="array" ref="D10">AF10</f>
        <v>80.07129999999999</v>
      </c>
      <c r="E10" s="676" cm="1">
        <f t="array" ref="E10">D10/K9</f>
        <v>0.0208874957277456</v>
      </c>
      <c r="F10" s="296">
        <v>37842.34</v>
      </c>
      <c r="G10" s="676" cm="1">
        <f t="array" ref="G10">(F10-F9)/F9</f>
        <v>0.00684848771875118</v>
      </c>
      <c r="H10" s="676">
        <v>0.047</v>
      </c>
      <c r="I10" s="299" cm="1">
        <f t="array" ref="I10">H10+4.95/100</f>
        <v>0.0965</v>
      </c>
      <c r="J10" s="247" cm="1">
        <f t="array" ref="J10">ROUND(D10*F10,0)</f>
        <v>3030085</v>
      </c>
      <c r="K10" s="677" cm="1">
        <f t="array" ref="K10">3770.3247</f>
        <v>3770.3247</v>
      </c>
      <c r="L10" s="678" cm="1">
        <f t="array" ref="L10">K10/K$5</f>
        <v>0.954512582278481</v>
      </c>
      <c r="M10" s="679" cm="1">
        <f t="array" ref="M10">ROUND(K10*F10,0)</f>
        <v>142677909</v>
      </c>
      <c r="N10" s="680" cm="1">
        <f t="array" ref="N10">M10/M$5</f>
        <v>0.973030384553409</v>
      </c>
      <c r="O10" s="679" cm="1">
        <f t="array" ref="O10">M10-M9</f>
        <v>-1402312</v>
      </c>
      <c r="P10" s="681" cm="1">
        <f t="array" ref="P10">T10-K10</f>
        <v>1629.6753</v>
      </c>
      <c r="Q10" s="679" cm="1">
        <f t="array" ref="Q10">ROUND(P10*F10,0)</f>
        <v>61670727</v>
      </c>
      <c r="R10" s="596" cm="1">
        <f t="array" ref="R10">$K$5-K10</f>
        <v>179.6753</v>
      </c>
      <c r="S10" s="679" cm="1">
        <f t="array" ref="S10">Q10-Q9</f>
        <v>2792272</v>
      </c>
      <c r="T10" s="596">
        <v>5400</v>
      </c>
      <c r="U10" s="679" cm="1">
        <f t="array" ref="U10">T10*F10</f>
        <v>204348636</v>
      </c>
      <c r="V10" s="247" cm="1">
        <f t="array" ref="V10">-S10</f>
        <v>-2792272</v>
      </c>
      <c r="W10" s="690"/>
      <c r="X10" s="690" cm="1">
        <f t="array" ref="X10">$K9*4.95/12/100/(1-(1+4.95/12/100)^-(360-$A10))+$AY10</f>
        <v>22.0561265203232</v>
      </c>
      <c r="Y10" s="682">
        <v>21.8541</v>
      </c>
      <c r="Z10" s="597"/>
      <c r="AA10" s="597"/>
      <c r="AB10" s="597" cm="1">
        <f t="array" ref="AB10">IF(AB$3*12&lt;=$A10,0,$K9*'depto - Departamento'!$D$8/12/(1-(1+'depto - Departamento'!$D$8/12)^-(12*AB$3-$A10+3))+$AY10)</f>
        <v>32.0957668722196</v>
      </c>
      <c r="AC10" s="597" cm="1">
        <f t="array" ref="AC10">IF(AC$3*12&lt;=$A10,0,$K9*'depto - Departamento'!$D$8/12/(1-(1+'depto - Departamento'!$D$8/12)^-(12*AC$3-$A10+3))+$AY10)</f>
        <v>37.5169344243767</v>
      </c>
      <c r="AD10" s="597" cm="1">
        <f t="array" ref="AD10">IF(AD$3*12&lt;=$A10,0,$K9*'depto - Departamento'!$D$8/12/(1-(1+'depto - Departamento'!$D$8/12)^-(12*AD$3-$A10+3))+$AY10)</f>
        <v>43.0654206325123</v>
      </c>
      <c r="AE10" s="597" cm="1">
        <f t="array" ref="AE10">IF(AE$3*12&lt;=$A10,0,$K9*'depto - Departamento'!$D$8/12/(1-(1+'depto - Departamento'!$D$8/12)^-(12*AE$3-$A10+3))+$AY10)</f>
        <v>78.2225746719992</v>
      </c>
      <c r="AF10" s="597">
        <v>80.07129999999999</v>
      </c>
      <c r="AG10" s="597"/>
      <c r="AH10" s="597"/>
      <c r="AI10" s="696" cm="1">
        <f t="array" ref="AI10">$F10*Y10</f>
        <v>827010.282594</v>
      </c>
      <c r="AJ10" s="597"/>
      <c r="AK10" s="597"/>
      <c r="AL10" s="247" cm="1">
        <f t="array" ref="AL10">$F10*AB10</f>
        <v>1214578.92253927</v>
      </c>
      <c r="AM10" s="247" cm="1">
        <f t="array" ref="AM10">$F10*AC10</f>
        <v>1419728.58824497</v>
      </c>
      <c r="AN10" s="247" cm="1">
        <f t="array" ref="AN10">$F10*AD10</f>
        <v>1629696.28981855</v>
      </c>
      <c r="AO10" s="247" cm="1">
        <f t="array" ref="AO10">$F10*AE10</f>
        <v>2960125.26641318</v>
      </c>
      <c r="AP10" s="247" cm="1">
        <f t="array" ref="AP10">$F10*AF10</f>
        <v>3030085.358842</v>
      </c>
      <c r="AQ10" s="597"/>
      <c r="AR10" s="691" cm="1">
        <f t="array" ref="AR10">K9-K10</f>
        <v>63.1315</v>
      </c>
      <c r="AS10" s="691" cm="1">
        <f t="array" ref="AS10">D10-AR10</f>
        <v>16.9398</v>
      </c>
      <c r="AT10" s="597"/>
      <c r="AU10" s="684">
        <v>47352</v>
      </c>
      <c r="AV10" s="692" cm="1">
        <f t="array" ref="AV10">ROUND(AU10/$F10,4)</f>
        <v>1.2513</v>
      </c>
      <c r="AW10" s="684">
        <v>6267</v>
      </c>
      <c r="AX10" s="692" cm="1">
        <f t="array" ref="AX10">ROUND(AW10/F10,4)</f>
        <v>0.1656</v>
      </c>
      <c r="AY10" s="693" cm="1">
        <f t="array" ref="AY10">SUM(AV10,AX10)</f>
        <v>1.4169</v>
      </c>
      <c r="AZ10" s="684" cm="1">
        <f t="array" ref="AZ10">ROUND(SUM(AV10,AX10)*F10,0)</f>
        <v>53619</v>
      </c>
      <c r="BA10" s="685">
        <v>185969</v>
      </c>
      <c r="BB10" s="694" cm="1">
        <f t="array" ref="BB10">ROUND(BA10/$F10,4)</f>
        <v>4.9143</v>
      </c>
      <c r="BC10" s="685" cm="1">
        <f t="array" ref="BC10">C10-SUM(AZ10,BA10,BG10)</f>
        <v>2203074</v>
      </c>
      <c r="BD10" s="694" cm="1">
        <f t="array" ref="BD10">ROUND(BC10/$F10,4)</f>
        <v>58.2172</v>
      </c>
      <c r="BE10" s="686" cm="1">
        <f t="array" ref="BE10">BC10+BA10</f>
        <v>2389043</v>
      </c>
      <c r="BF10" s="694" cm="1">
        <f t="array" ref="BF10">ROUND(BB10+BD10,4)</f>
        <v>63.1315</v>
      </c>
      <c r="BG10" s="687">
        <v>587423</v>
      </c>
      <c r="BH10" s="697" cm="1">
        <f t="array" ref="BH10">ROUND(BG10/$F10,4)</f>
        <v>15.5229</v>
      </c>
      <c r="BI10" s="679" cm="1">
        <f t="array" ref="BI10">M9-M10</f>
        <v>1402312</v>
      </c>
      <c r="BJ10" s="679" cm="1">
        <f t="array" ref="BJ10">BE10-BI10</f>
        <v>986731</v>
      </c>
      <c r="BK10" s="679" cm="1">
        <f t="array" ref="BK10">-BJ10</f>
        <v>-986731</v>
      </c>
      <c r="BL10" s="679" cm="1">
        <f t="array" ref="BL10">BG10+BJ10</f>
        <v>1574154</v>
      </c>
      <c r="BM10" s="679" cm="1">
        <f t="array" ref="BM10">AVERAGE(BL8:BL10)</f>
        <v>1020198.66666667</v>
      </c>
      <c r="BN10" s="699" cm="1">
        <f t="array" ref="BN10">BH9-BH10</f>
        <v>0.2538</v>
      </c>
      <c r="BO10" s="597" cm="1">
        <f t="array" ref="BO10">K9*((1+'depto - Departamento'!$D$8)^(1/12)-1)</f>
        <v>15.465200692817</v>
      </c>
      <c r="BP10" s="698" cm="1">
        <f t="array" ref="BP10">(BA10+BC10)/BG10</f>
        <v>4.06698920539373</v>
      </c>
      <c r="BQ10" s="698" cm="1">
        <f t="array" ref="BQ10">Y10-BB10</f>
        <v>16.9398</v>
      </c>
      <c r="BR10" s="698" cm="1">
        <f t="array" ref="BR10">(BR$4*(1+BR$4)^BR$3*K9)/((1+BR$4)^BR$3-1)</f>
        <v>20.4618390723323</v>
      </c>
      <c r="BS10" s="690"/>
      <c r="BT10" s="247"/>
      <c r="BU10" s="247" cm="1">
        <f t="array" ref="BU10">SUM(C$5:C10)</f>
        <v>64077934</v>
      </c>
      <c r="BV10" s="247" cm="1">
        <f t="array" ref="BV10">BA10+BC10+BV9</f>
        <v>8033575</v>
      </c>
      <c r="BW10" s="247" cm="1">
        <f t="array" ref="BW10">BG10+BW9</f>
        <v>1783150</v>
      </c>
      <c r="BX10" s="596" cm="1">
        <f t="array" ref="BX10">BF10+BX9</f>
        <v>213.3298</v>
      </c>
      <c r="BY10" s="596" cm="1">
        <f t="array" ref="BY10">BH10+BY9</f>
        <v>47.3291</v>
      </c>
      <c r="BZ10" s="247" cm="1">
        <f t="array" ref="BZ10">SUM(BJ$6:BJ10)</f>
        <v>4078952</v>
      </c>
      <c r="CA10" s="596"/>
      <c r="CB10" s="247"/>
      <c r="CC10" s="247" cm="1">
        <f t="array" ref="CC10">SUM(BE$6:BE10)</f>
        <v>8033575</v>
      </c>
      <c r="CD10" s="247"/>
      <c r="CE10" s="247"/>
      <c r="CF10" s="247" cm="1">
        <f t="array" ref="CF10">'net worth - Table 1-1'!K89</f>
        <v>16582969</v>
      </c>
      <c r="CG10" s="247" cm="1">
        <f t="array" ref="CG10">'net worth - Table 1-3'!E90</f>
        <v>29922775</v>
      </c>
      <c r="CH10" s="247" cm="1">
        <f t="array" ref="CH10">'net worth - Table 1-2'!C89</f>
        <v>7581058</v>
      </c>
      <c r="CI10" s="247" cm="1">
        <f t="array" ref="CI10">SUM(CF10:CH10)</f>
        <v>54086802</v>
      </c>
      <c r="CJ10" s="247" cm="1">
        <f t="array" ref="CJ10">('net worth - Table 1-3'!AY90+'net worth - Table 1-3'!BF90)*0.85+'net worth - Table 1-3'!AJ90</f>
        <v>38792419.55</v>
      </c>
      <c r="CK10" s="247" cm="1">
        <f t="array" ref="CK10">CI10+CJ10</f>
        <v>92879221.55</v>
      </c>
      <c r="CL10" s="247" cm="1">
        <f t="array" ref="CL10">M10-CK10</f>
        <v>49798687.45</v>
      </c>
      <c r="CM10" s="247" cm="1">
        <f t="array" ref="CM10">M10-CI10</f>
        <v>88591107</v>
      </c>
    </row>
    <row r="11" ht="19.35" customHeight="1">
      <c r="A11" s="689">
        <v>8</v>
      </c>
      <c r="B11" s="675">
        <v>45576</v>
      </c>
      <c r="C11" s="247">
        <v>3038359</v>
      </c>
      <c r="D11" s="597" cm="1">
        <f t="array" ref="D11">AF11</f>
        <v>80.0686</v>
      </c>
      <c r="E11" s="676" cm="1">
        <f t="array" ref="E11">D11/K10</f>
        <v>0.0212365263925412</v>
      </c>
      <c r="F11" s="296">
        <v>37946.95</v>
      </c>
      <c r="G11" s="676" cm="1">
        <f t="array" ref="G11">(F11-F10)/F10</f>
        <v>0.00276436393732523</v>
      </c>
      <c r="H11" s="676">
        <v>0.041</v>
      </c>
      <c r="I11" s="299" cm="1">
        <f t="array" ref="I11">H11+4.95/100</f>
        <v>0.0905</v>
      </c>
      <c r="J11" s="247" cm="1">
        <f t="array" ref="J11">ROUND(D11*F11,0)</f>
        <v>3038359</v>
      </c>
      <c r="K11" s="677" cm="1">
        <f t="array" ref="K11">K10-BF11</f>
        <v>3706.9385</v>
      </c>
      <c r="L11" s="678" cm="1">
        <f t="array" ref="L11">K11/K$5</f>
        <v>0.938465443037975</v>
      </c>
      <c r="M11" s="679" cm="1">
        <f t="array" ref="M11">ROUND(K11*F11,0)</f>
        <v>140667010</v>
      </c>
      <c r="N11" s="680" cm="1">
        <f t="array" ref="N11">M11/M$5</f>
        <v>0.959316517837938</v>
      </c>
      <c r="O11" s="679" cm="1">
        <f t="array" ref="O11">M11-M10</f>
        <v>-2010899</v>
      </c>
      <c r="P11" s="681" cm="1">
        <f t="array" ref="P11">T11-K11</f>
        <v>1693.0615</v>
      </c>
      <c r="Q11" s="679" cm="1">
        <f t="array" ref="Q11">ROUND(P11*F11,0)</f>
        <v>64246520</v>
      </c>
      <c r="R11" s="596" cm="1">
        <f t="array" ref="R11">$K$5-K11</f>
        <v>243.0615</v>
      </c>
      <c r="S11" s="679" cm="1">
        <f t="array" ref="S11">Q11-Q10</f>
        <v>2575793</v>
      </c>
      <c r="T11" s="596">
        <v>5400</v>
      </c>
      <c r="U11" s="679" cm="1">
        <f t="array" ref="U11">T11*F11</f>
        <v>204913530</v>
      </c>
      <c r="V11" s="247" cm="1">
        <f t="array" ref="V11">-S11</f>
        <v>-2575793</v>
      </c>
      <c r="W11" s="690"/>
      <c r="X11" s="690" cm="1">
        <f t="array" ref="X11">$K10*4.95/12/100/(1-(1+4.95/12/100)^-(360-$A11))+$AY11</f>
        <v>21.7391167296854</v>
      </c>
      <c r="Y11" s="682">
        <v>21.5418</v>
      </c>
      <c r="Z11" s="597"/>
      <c r="AA11" s="597"/>
      <c r="AB11" s="597" cm="1">
        <f t="array" ref="AB11">IF(AB$3*12&lt;=$A11,0,$K10*'depto - Departamento'!$D$8/12/(1-(1+'depto - Departamento'!$D$8/12)^-(12*AB$3-$A11+3))+$AY11)</f>
        <v>31.7052967762443</v>
      </c>
      <c r="AC11" s="597" cm="1">
        <f t="array" ref="AC11">IF(AC$3*12&lt;=$A11,0,$K10*'depto - Departamento'!$D$8/12/(1-(1+'depto - Departamento'!$D$8/12)^-(12*AC$3-$A11+3))+$AY11)</f>
        <v>37.1086172438562</v>
      </c>
      <c r="AD11" s="597" cm="1">
        <f t="array" ref="AD11">IF(AD$3*12&lt;=$A11,0,$K10*'depto - Departamento'!$D$8/12/(1-(1+'depto - Departamento'!$D$8/12)^-(12*AD$3-$A11+3))+$AY11)</f>
        <v>42.654769636742</v>
      </c>
      <c r="AE11" s="597" cm="1">
        <f t="array" ref="AE11">IF(AE$3*12&lt;=$A11,0,$K10*'depto - Departamento'!$D$8/12/(1-(1+'depto - Departamento'!$D$8/12)^-(12*AE$3-$A11+3))+$AY11)</f>
        <v>78.1763290034669</v>
      </c>
      <c r="AF11" s="597">
        <v>80.0686</v>
      </c>
      <c r="AG11" s="597"/>
      <c r="AH11" s="597"/>
      <c r="AI11" s="696" cm="1">
        <f t="array" ref="AI11">$F11*Y11</f>
        <v>817445.60751</v>
      </c>
      <c r="AJ11" s="597"/>
      <c r="AK11" s="597"/>
      <c r="AL11" s="247" cm="1">
        <f t="array" ref="AL11">$F11*AB11</f>
        <v>1203119.3115033</v>
      </c>
      <c r="AM11" s="247" cm="1">
        <f t="array" ref="AM11">$F11*AC11</f>
        <v>1408158.84312175</v>
      </c>
      <c r="AN11" s="247" cm="1">
        <f t="array" ref="AN11">$F11*AD11</f>
        <v>1618618.41066697</v>
      </c>
      <c r="AO11" s="247" cm="1">
        <f t="array" ref="AO11">$F11*AE11</f>
        <v>2966553.24787811</v>
      </c>
      <c r="AP11" s="247" cm="1">
        <f t="array" ref="AP11">$F11*AF11</f>
        <v>3038359.16077</v>
      </c>
      <c r="AQ11" s="597"/>
      <c r="AR11" s="691" cm="1">
        <f t="array" ref="AR11">K10-K11</f>
        <v>63.3862</v>
      </c>
      <c r="AS11" s="691" cm="1">
        <f t="array" ref="AS11">D11-AR11</f>
        <v>16.6824</v>
      </c>
      <c r="AT11" s="597"/>
      <c r="AU11" s="684">
        <v>47483</v>
      </c>
      <c r="AV11" s="692" cm="1">
        <f t="array" ref="AV11">ROUND(AU11/$F11,4)</f>
        <v>1.2513</v>
      </c>
      <c r="AW11" s="684">
        <v>6182</v>
      </c>
      <c r="AX11" s="692" cm="1">
        <f t="array" ref="AX11">ROUND(AW11/F11,4)</f>
        <v>0.1629</v>
      </c>
      <c r="AY11" s="693" cm="1">
        <f t="array" ref="AY11">SUM(AV11,AX11)</f>
        <v>1.4142</v>
      </c>
      <c r="AZ11" s="684" cm="1">
        <f t="array" ref="AZ11">ROUND(SUM(AV11,AX11)*F11,0)</f>
        <v>53665</v>
      </c>
      <c r="BA11" s="685">
        <v>184399</v>
      </c>
      <c r="BB11" s="694" cm="1">
        <f t="array" ref="BB11">ROUND(BA11/$F11,4)</f>
        <v>4.8594</v>
      </c>
      <c r="BC11" s="685" cm="1">
        <f t="array" ref="BC11">C11-SUM(AZ11,BA11,BG11)</f>
        <v>2220913</v>
      </c>
      <c r="BD11" s="694" cm="1">
        <f t="array" ref="BD11">ROUND(BC11/$F11,4)</f>
        <v>58.5268</v>
      </c>
      <c r="BE11" s="686" cm="1">
        <f t="array" ref="BE11">BC11+BA11</f>
        <v>2405312</v>
      </c>
      <c r="BF11" s="694" cm="1">
        <f t="array" ref="BF11">ROUND(BB11+BD11,4)</f>
        <v>63.3862</v>
      </c>
      <c r="BG11" s="687">
        <v>579382</v>
      </c>
      <c r="BH11" s="697" cm="1">
        <f t="array" ref="BH11">ROUND(BG11/$F11,4)</f>
        <v>15.2682</v>
      </c>
      <c r="BI11" s="679" cm="1">
        <f t="array" ref="BI11">M10-M11</f>
        <v>2010899</v>
      </c>
      <c r="BJ11" s="679" cm="1">
        <f t="array" ref="BJ11">BE11-BI11</f>
        <v>394413</v>
      </c>
      <c r="BK11" s="679" cm="1">
        <f t="array" ref="BK11">-BJ11</f>
        <v>-394413</v>
      </c>
      <c r="BL11" s="679" cm="1">
        <f t="array" ref="BL11">BG11+BJ11</f>
        <v>973795</v>
      </c>
      <c r="BM11" s="679" cm="1">
        <f t="array" ref="BM11">AVERAGE(BL9:BL11)</f>
        <v>1023242.66666667</v>
      </c>
      <c r="BN11" s="699" cm="1">
        <f t="array" ref="BN11">BH10-BH11</f>
        <v>0.2547</v>
      </c>
      <c r="BO11" s="597" cm="1">
        <f t="array" ref="BO11">K10*((1+'depto - Departamento'!$D$8)^(1/12)-1)</f>
        <v>15.2105111211614</v>
      </c>
      <c r="BP11" s="698" cm="1">
        <f t="array" ref="BP11">(BA11+BC11)/BG11</f>
        <v>4.1515131640265</v>
      </c>
      <c r="BQ11" s="698" cm="1">
        <f t="array" ref="BQ11">Y11-BB11</f>
        <v>16.6824</v>
      </c>
      <c r="BR11" s="698" cm="1">
        <f t="array" ref="BR11">(BR$4*(1+BR$4)^BR$3*K10)/((1+BR$4)^BR$3-1)</f>
        <v>20.1248620662053</v>
      </c>
      <c r="BS11" s="690"/>
      <c r="BT11" s="247"/>
      <c r="BU11" s="247" cm="1">
        <f t="array" ref="BU11">SUM(C$5:C11)</f>
        <v>67116293</v>
      </c>
      <c r="BV11" s="247" cm="1">
        <f t="array" ref="BV11">BA11+BC11+BV10</f>
        <v>10438887</v>
      </c>
      <c r="BW11" s="247" cm="1">
        <f t="array" ref="BW11">BG11+BW10</f>
        <v>2362532</v>
      </c>
      <c r="BX11" s="596" cm="1">
        <f t="array" ref="BX11">BF11+BX10</f>
        <v>276.716</v>
      </c>
      <c r="BY11" s="596" cm="1">
        <f t="array" ref="BY11">BH11+BY10</f>
        <v>62.5973</v>
      </c>
      <c r="BZ11" s="247" cm="1">
        <f t="array" ref="BZ11">SUM(BJ$6:BJ11)</f>
        <v>4473365</v>
      </c>
      <c r="CA11" s="596"/>
      <c r="CB11" s="247"/>
      <c r="CC11" s="247" cm="1">
        <f t="array" ref="CC11">SUM(BE$6:BE11)</f>
        <v>10438887</v>
      </c>
      <c r="CD11" s="247"/>
      <c r="CE11" s="247"/>
      <c r="CF11" s="247" cm="1">
        <f t="array" ref="CF11">'net worth - Table 1-1'!K90</f>
        <v>19688735</v>
      </c>
      <c r="CG11" s="247" cm="1">
        <f t="array" ref="CG11">'net worth - Table 1-3'!E91</f>
        <v>32678334</v>
      </c>
      <c r="CH11" s="247" cm="1">
        <f t="array" ref="CH11">'net worth - Table 1-2'!C90</f>
        <v>8247740</v>
      </c>
      <c r="CI11" s="247" cm="1">
        <f t="array" ref="CI11">SUM(CF11:CH11)</f>
        <v>60614809</v>
      </c>
      <c r="CJ11" s="247" cm="1">
        <f t="array" ref="CJ11">('net worth - Table 1-3'!AY91+'net worth - Table 1-3'!BF91)*0.85+'net worth - Table 1-3'!AJ91</f>
        <v>41746331.6</v>
      </c>
      <c r="CK11" s="247" cm="1">
        <f t="array" ref="CK11">CI11+CJ11</f>
        <v>102361140.6</v>
      </c>
      <c r="CL11" s="247" cm="1">
        <f t="array" ref="CL11">M11-CK11</f>
        <v>38305869.4</v>
      </c>
      <c r="CM11" s="247" cm="1">
        <f t="array" ref="CM11">M11-CI11</f>
        <v>80052201</v>
      </c>
    </row>
    <row r="12" ht="19.35" customHeight="1">
      <c r="A12" t="s" s="700">
        <v>1175</v>
      </c>
      <c r="B12" s="675">
        <v>45614</v>
      </c>
      <c r="C12" s="247">
        <v>19783441</v>
      </c>
      <c r="D12" s="597">
        <v>519.3051</v>
      </c>
      <c r="E12" s="676" cm="1">
        <f t="array" ref="E12">D12/K11</f>
        <v>0.140090023074297</v>
      </c>
      <c r="F12" s="296">
        <v>38095.99</v>
      </c>
      <c r="G12" s="676"/>
      <c r="H12" s="676"/>
      <c r="I12" s="299"/>
      <c r="J12" s="247" cm="1">
        <f t="array" ref="J12">ROUND(D12*F12,0)</f>
        <v>19783442</v>
      </c>
      <c r="K12" s="677" cm="1">
        <f t="array" ref="K12">K11-BF12</f>
        <v>3191.9385</v>
      </c>
      <c r="L12" s="678" cm="1">
        <f t="array" ref="L12">K12/K$5</f>
        <v>0.808085696202532</v>
      </c>
      <c r="M12" s="679" cm="1">
        <f t="array" ref="M12">ROUND(K12*F12,0)</f>
        <v>121600057</v>
      </c>
      <c r="N12" s="680" cm="1">
        <f t="array" ref="N12">M12/M$5</f>
        <v>0.82928430234022</v>
      </c>
      <c r="O12" s="679" cm="1">
        <f t="array" ref="O12">M12-M11</f>
        <v>-19066953</v>
      </c>
      <c r="P12" s="681" cm="1">
        <f t="array" ref="P12">T12-K12</f>
        <v>2208.0615</v>
      </c>
      <c r="Q12" s="679" cm="1">
        <f t="array" ref="Q12">ROUND(P12*F12,0)</f>
        <v>84118289</v>
      </c>
      <c r="R12" s="596" cm="1">
        <f t="array" ref="R12">$K$5-K12</f>
        <v>758.0615</v>
      </c>
      <c r="S12" s="679" cm="1">
        <f t="array" ref="S12">Q12-Q11</f>
        <v>19871769</v>
      </c>
      <c r="T12" s="596">
        <v>5400</v>
      </c>
      <c r="U12" s="679" cm="1">
        <f t="array" ref="U12">T12*F12</f>
        <v>205718346</v>
      </c>
      <c r="V12" s="247" cm="1">
        <f t="array" ref="V12">-S12</f>
        <v>-19871769</v>
      </c>
      <c r="W12" s="690"/>
      <c r="X12" s="690"/>
      <c r="Y12" s="682"/>
      <c r="Z12" s="597"/>
      <c r="AA12" s="597"/>
      <c r="AB12" s="597"/>
      <c r="AC12" s="597"/>
      <c r="AD12" s="597"/>
      <c r="AE12" s="597"/>
      <c r="AF12" s="597"/>
      <c r="AG12" s="597"/>
      <c r="AH12" s="597"/>
      <c r="AI12" s="696"/>
      <c r="AJ12" s="597"/>
      <c r="AK12" s="597"/>
      <c r="AL12" s="247"/>
      <c r="AM12" s="247"/>
      <c r="AN12" s="247"/>
      <c r="AO12" s="247"/>
      <c r="AP12" s="247"/>
      <c r="AQ12" s="597"/>
      <c r="AR12" s="691" cm="1">
        <f t="array" ref="AR12">K11-K12</f>
        <v>515</v>
      </c>
      <c r="AS12" s="691" cm="1">
        <f t="array" ref="AS12">D12-AR12</f>
        <v>4.3051</v>
      </c>
      <c r="AT12" s="597"/>
      <c r="AU12" s="684"/>
      <c r="AV12" s="692"/>
      <c r="AW12" s="684"/>
      <c r="AX12" s="692"/>
      <c r="AY12" s="693"/>
      <c r="AZ12" s="684"/>
      <c r="BA12" s="685"/>
      <c r="BB12" s="694"/>
      <c r="BC12" s="685" cm="1">
        <f t="array" ref="BC12">C12-SUM(AZ12,BA12,BG12)</f>
        <v>19619435</v>
      </c>
      <c r="BD12" s="694" cm="1">
        <f t="array" ref="BD12">ROUND(BC12/$F12,4)</f>
        <v>515</v>
      </c>
      <c r="BE12" s="686" cm="1">
        <f t="array" ref="BE12">BC12+BA12</f>
        <v>19619435</v>
      </c>
      <c r="BF12" s="694" cm="1">
        <f t="array" ref="BF12">ROUND(BB12+BD12,4)</f>
        <v>515</v>
      </c>
      <c r="BG12" s="687" cm="1">
        <f t="array" ref="BG12">44813+119193</f>
        <v>164006</v>
      </c>
      <c r="BH12" s="697" cm="1">
        <f t="array" ref="BH12">ROUND(BG12/$F12,4)</f>
        <v>4.3051</v>
      </c>
      <c r="BI12" s="679" cm="1">
        <f t="array" ref="BI12">M11-M12</f>
        <v>19066953</v>
      </c>
      <c r="BJ12" s="679" cm="1">
        <f t="array" ref="BJ12">BE12-BI12</f>
        <v>552482</v>
      </c>
      <c r="BK12" s="679" cm="1">
        <f t="array" ref="BK12">-BJ12</f>
        <v>-552482</v>
      </c>
      <c r="BL12" s="679" cm="1">
        <f t="array" ref="BL12">BG12+BJ12</f>
        <v>716488</v>
      </c>
      <c r="BM12" s="679"/>
      <c r="BN12" s="699"/>
      <c r="BO12" s="597"/>
      <c r="BP12" s="698"/>
      <c r="BQ12" s="698"/>
      <c r="BR12" s="698" cm="1">
        <f t="array" ref="BR12">(BR$4*(1+BR$4)^BR$3*K11)/((1+BR$4)^BR$3-1)</f>
        <v>19.7865255478941</v>
      </c>
      <c r="BS12" s="690"/>
      <c r="BT12" s="247"/>
      <c r="BU12" s="247" cm="1">
        <f t="array" ref="BU12">SUM(C$5:C12)</f>
        <v>86899734</v>
      </c>
      <c r="BV12" s="247" cm="1">
        <f t="array" ref="BV12">BA12+BC12+BV11</f>
        <v>30058322</v>
      </c>
      <c r="BW12" s="247" cm="1">
        <f t="array" ref="BW12">BG12+BW11</f>
        <v>2526538</v>
      </c>
      <c r="BX12" s="596" cm="1">
        <f t="array" ref="BX12">BF12+BX11</f>
        <v>791.716</v>
      </c>
      <c r="BY12" s="596" cm="1">
        <f t="array" ref="BY12">BH12+BY11</f>
        <v>66.9024</v>
      </c>
      <c r="BZ12" s="247" cm="1">
        <f t="array" ref="BZ12">SUM(BJ$6:BJ12)</f>
        <v>5025847</v>
      </c>
      <c r="CA12" s="596"/>
      <c r="CB12" s="247"/>
      <c r="CC12" s="247" cm="1">
        <f t="array" ref="CC12">SUM(BE$6:BE12)</f>
        <v>30058322</v>
      </c>
      <c r="CD12" s="247"/>
      <c r="CE12" s="247"/>
      <c r="CF12" s="247" cm="1">
        <f t="array" ref="CF12">'net worth - Table 1-1'!K91</f>
        <v>4332241</v>
      </c>
      <c r="CG12" s="247" cm="1">
        <f t="array" ref="CG12">'net worth - Table 1-3'!E92</f>
        <v>34016988</v>
      </c>
      <c r="CH12" s="247" cm="1">
        <f t="array" ref="CH12">'net worth - Table 1-2'!C91</f>
        <v>11175459</v>
      </c>
      <c r="CI12" s="247" cm="1">
        <f t="array" ref="CI12">SUM(CF12:CH12)</f>
        <v>49524688</v>
      </c>
      <c r="CJ12" s="247" cm="1">
        <f t="array" ref="CJ12">('net worth - Table 1-3'!AY92+'net worth - Table 1-3'!BF92)*0.85+'net worth - Table 1-3'!AJ92</f>
        <v>43535718.6</v>
      </c>
      <c r="CK12" s="247" cm="1">
        <f t="array" ref="CK12">CI12+CJ12</f>
        <v>93060406.59999999</v>
      </c>
      <c r="CL12" s="247" cm="1">
        <f t="array" ref="CL12">M12-CK12</f>
        <v>28539650.4</v>
      </c>
      <c r="CM12" s="247" cm="1">
        <f t="array" ref="CM12">M12-CI12</f>
        <v>72075369</v>
      </c>
    </row>
    <row r="13" ht="19.35" customHeight="1">
      <c r="A13" s="689">
        <v>9</v>
      </c>
      <c r="B13" s="675">
        <v>45607</v>
      </c>
      <c r="C13" s="247">
        <v>3042268</v>
      </c>
      <c r="D13" s="597" cm="1">
        <f t="array" ref="D13">AF13</f>
        <v>80.0436</v>
      </c>
      <c r="E13" s="676" cm="1">
        <f t="array" ref="E13">D13/K12</f>
        <v>0.0250767989420849</v>
      </c>
      <c r="F13" s="296">
        <v>38007.64</v>
      </c>
      <c r="G13" s="676" cm="1">
        <f t="array" ref="G13">(F13-F11)/F11</f>
        <v>0.00159933802321399</v>
      </c>
      <c r="H13" s="676">
        <v>0.042</v>
      </c>
      <c r="I13" s="299" cm="1">
        <f t="array" ref="I13">H13+4.95/100</f>
        <v>0.0915</v>
      </c>
      <c r="J13" s="247" cm="1">
        <f t="array" ref="J13">ROUND(D13*F13,0)</f>
        <v>3042268</v>
      </c>
      <c r="K13" s="677" cm="1">
        <f t="array" ref="K13">K12-BF13</f>
        <v>3126.219</v>
      </c>
      <c r="L13" s="678" cm="1">
        <f t="array" ref="L13">K13/K$5</f>
        <v>0.791447848101266</v>
      </c>
      <c r="M13" s="679" cm="1">
        <f t="array" ref="M13">ROUND(K13*F13,0)</f>
        <v>118820206</v>
      </c>
      <c r="N13" s="680" cm="1">
        <f t="array" ref="N13">M13/M$5</f>
        <v>0.810326360592341</v>
      </c>
      <c r="O13" s="679" cm="1">
        <f t="array" ref="O13">M13-M12</f>
        <v>-2779851</v>
      </c>
      <c r="P13" s="681" cm="1">
        <f t="array" ref="P13">T13-K13</f>
        <v>2273.781</v>
      </c>
      <c r="Q13" s="679" cm="1">
        <f t="array" ref="Q13">ROUND(P13*F13,0)</f>
        <v>86421050</v>
      </c>
      <c r="R13" s="596" cm="1">
        <f t="array" ref="R13">$K$5-K13</f>
        <v>823.7809999999999</v>
      </c>
      <c r="S13" s="679" cm="1">
        <f t="array" ref="S13">Q13-Q12</f>
        <v>2302761</v>
      </c>
      <c r="T13" s="596">
        <v>5400</v>
      </c>
      <c r="U13" s="679" cm="1">
        <f t="array" ref="U13">T13*F13</f>
        <v>205241256</v>
      </c>
      <c r="V13" s="247" cm="1">
        <f t="array" ref="V13">-S13</f>
        <v>-2302761</v>
      </c>
      <c r="W13" s="690"/>
      <c r="X13" s="690" cm="1">
        <f t="array" ref="X13">$K12*4.95/12/100/(1-(1+4.95/12/100)^-(360-$A13))+$AY13</f>
        <v>18.6179828712328</v>
      </c>
      <c r="Y13" s="682" cm="1">
        <f t="array" ref="Y13">AY13+BB13+BH13</f>
        <v>18.4627</v>
      </c>
      <c r="Z13" s="597"/>
      <c r="AA13" s="597"/>
      <c r="AB13" s="597" cm="1">
        <f t="array" ref="AB13">IF(AB$3*12&lt;=$A13,0,$K12*'depto - Departamento'!$D$8/12/(1-(1+'depto - Departamento'!$D$8/12)^-(12*AB$3-$A13+3))+$AY13)</f>
        <v>27.1341338261875</v>
      </c>
      <c r="AC13" s="597" cm="1">
        <f t="array" ref="AC13">IF(AC$3*12&lt;=$A13,0,$K12*'depto - Departamento'!$D$8/12/(1-(1+'depto - Departamento'!$D$8/12)^-(12*AC$3-$A13+3))+$AY13)</f>
        <v>31.770221011544</v>
      </c>
      <c r="AD13" s="597" cm="1">
        <f t="array" ref="AD13">IF(AD$3*12&lt;=$A13,0,$K12*'depto - Departamento'!$D$8/12/(1-(1+'depto - Departamento'!$D$8/12)^-(12*AD$3-$A13+3))+$AY13)</f>
        <v>36.5427734537714</v>
      </c>
      <c r="AE13" s="597" cm="1">
        <f t="array" ref="AE13">IF(AE$3*12&lt;=$A13,0,$K12*'depto - Departamento'!$D$8/12/(1-(1+'depto - Departamento'!$D$8/12)^-(12*AE$3-$A13+3))+$AY13)</f>
        <v>67.4480804373396</v>
      </c>
      <c r="AF13" s="701" cm="1">
        <f t="array" ref="AF13">80.0436</f>
        <v>80.0436</v>
      </c>
      <c r="AG13" s="701"/>
      <c r="AH13" s="701"/>
      <c r="AI13" s="696" cm="1">
        <f t="array" ref="AI13">$F13*Y13</f>
        <v>701723.655028</v>
      </c>
      <c r="AJ13" s="597"/>
      <c r="AK13" s="597"/>
      <c r="AL13" s="247" cm="1">
        <f t="array" ref="AL13">$F13*AB13</f>
        <v>1031304.39017756</v>
      </c>
      <c r="AM13" s="247" cm="1">
        <f t="array" ref="AM13">$F13*AC13</f>
        <v>1207511.1229272</v>
      </c>
      <c r="AN13" s="247" cm="1">
        <f t="array" ref="AN13">$F13*AD13</f>
        <v>1388904.5780325</v>
      </c>
      <c r="AO13" s="247" cm="1">
        <f t="array" ref="AO13">$F13*AE13</f>
        <v>2563542.35995345</v>
      </c>
      <c r="AP13" s="702" cm="1">
        <f t="array" ref="AP13">$F13*AF13</f>
        <v>3042268.333104</v>
      </c>
      <c r="AQ13" s="597"/>
      <c r="AR13" s="691" cm="1">
        <f t="array" ref="AR13">K12-K13</f>
        <v>65.7195</v>
      </c>
      <c r="AS13" s="691" cm="1">
        <f t="array" ref="AS13">D13-AR13</f>
        <v>14.3241</v>
      </c>
      <c r="AT13" s="597"/>
      <c r="AU13" s="684" cm="1">
        <f t="array" ref="AU13">ROUND(AV13*F13,0)</f>
        <v>47559</v>
      </c>
      <c r="AV13" s="692">
        <v>1.2513</v>
      </c>
      <c r="AW13" s="684" cm="1">
        <f t="array" ref="AW13">ROUND(F13*AX13,0)</f>
        <v>5241</v>
      </c>
      <c r="AX13" s="692">
        <v>0.1379</v>
      </c>
      <c r="AY13" s="693" cm="1">
        <f t="array" ref="AY13">SUM(AV13,AX13)</f>
        <v>1.3892</v>
      </c>
      <c r="AZ13" s="684" cm="1">
        <f t="array" ref="AZ13">ROUND(SUM(AV13,AX13)*F13,0)</f>
        <v>52800</v>
      </c>
      <c r="BA13" s="685">
        <v>157298</v>
      </c>
      <c r="BB13" s="694" cm="1">
        <f t="array" ref="BB13">ROUND(BA13/$F13,4)</f>
        <v>4.1386</v>
      </c>
      <c r="BC13" s="685" cm="1">
        <f t="array" ref="BC13">C13-SUM(AZ13,BA13,BG13)</f>
        <v>2340545</v>
      </c>
      <c r="BD13" s="694" cm="1">
        <f t="array" ref="BD13">ROUND(BC13/$F13,4)</f>
        <v>61.5809</v>
      </c>
      <c r="BE13" s="686" cm="1">
        <f t="array" ref="BE13">BC13+BA13</f>
        <v>2497843</v>
      </c>
      <c r="BF13" s="694" cm="1">
        <f t="array" ref="BF13">ROUND(BB13+BD13,4)</f>
        <v>65.7195</v>
      </c>
      <c r="BG13" s="687">
        <v>491625</v>
      </c>
      <c r="BH13" s="697" cm="1">
        <f t="array" ref="BH13">ROUND(BG13/$F13,4)</f>
        <v>12.9349</v>
      </c>
      <c r="BI13" s="679" cm="1">
        <f t="array" ref="BI13">M12-M13</f>
        <v>2779851</v>
      </c>
      <c r="BJ13" s="679" cm="1">
        <f t="array" ref="BJ13">BE13-BI13</f>
        <v>-282008</v>
      </c>
      <c r="BK13" s="679" cm="1">
        <f t="array" ref="BK13">-BJ13</f>
        <v>282008</v>
      </c>
      <c r="BL13" s="679" cm="1">
        <f t="array" ref="BL13">BG13+BJ13</f>
        <v>209617</v>
      </c>
      <c r="BM13" s="679" cm="1">
        <f t="array" ref="BM13">AVERAGE(BL13,BL10:BL11)</f>
        <v>919188.666666667</v>
      </c>
      <c r="BN13" s="699" cm="1">
        <f t="array" ref="BN13">BH11-BH13</f>
        <v>2.3333</v>
      </c>
      <c r="BO13" s="597" cm="1">
        <f t="array" ref="BO13">K12*((1+'depto - Departamento'!$D$8)^(1/12)-1)</f>
        <v>12.8771445208189</v>
      </c>
      <c r="BP13" s="698" cm="1">
        <f t="array" ref="BP13">(BA13+BC13)/BG13</f>
        <v>5.08078921942538</v>
      </c>
      <c r="BQ13" s="698" cm="1">
        <f t="array" ref="BQ13">Y13-BB13</f>
        <v>14.3241</v>
      </c>
      <c r="BR13" s="698" cm="1">
        <f t="array" ref="BR13">(BR$4*(1+BR$4)^BR$3*K12)/((1+BR$4)^BR$3-1)</f>
        <v>17.0376100595024</v>
      </c>
      <c r="BS13" s="690"/>
      <c r="BT13" s="247"/>
      <c r="BU13" s="247" cm="1">
        <f t="array" ref="BU13">SUM(C$5:C13)</f>
        <v>89942002</v>
      </c>
      <c r="BV13" s="247" cm="1">
        <f t="array" ref="BV13">BA13+BC13+BV12</f>
        <v>32556165</v>
      </c>
      <c r="BW13" s="247" cm="1">
        <f t="array" ref="BW13">BG13+BW12</f>
        <v>3018163</v>
      </c>
      <c r="BX13" s="596" cm="1">
        <f t="array" ref="BX13">BF13+BX12</f>
        <v>857.4355</v>
      </c>
      <c r="BY13" s="596" cm="1">
        <f t="array" ref="BY13">BH13+BY12</f>
        <v>79.8373</v>
      </c>
      <c r="BZ13" s="247" cm="1">
        <f t="array" ref="BZ13">SUM(BJ$6:BJ13)</f>
        <v>4743839</v>
      </c>
      <c r="CA13" s="596"/>
      <c r="CB13" s="247"/>
      <c r="CC13" s="247" cm="1">
        <f t="array" ref="CC13">SUM(BE$6:BE13)</f>
        <v>32556165</v>
      </c>
      <c r="CD13" s="247"/>
      <c r="CE13" s="247"/>
      <c r="CF13" s="247" cm="1">
        <f t="array" ref="CF13">'net worth - Table 1-1'!K91</f>
        <v>4332241</v>
      </c>
      <c r="CG13" s="247" cm="1">
        <f t="array" ref="CG13">'net worth - Table 1-3'!E92</f>
        <v>34016988</v>
      </c>
      <c r="CH13" s="247" cm="1">
        <f t="array" ref="CH13">'net worth - Table 1-2'!C91</f>
        <v>11175459</v>
      </c>
      <c r="CI13" s="247" cm="1">
        <f t="array" ref="CI13">SUM(CF13:CH13)</f>
        <v>49524688</v>
      </c>
      <c r="CJ13" s="247" cm="1">
        <f t="array" ref="CJ13">('net worth - Table 1-3'!AY92+'net worth - Table 1-3'!BF92)*0.85+'net worth - Table 1-3'!AJ92</f>
        <v>43535718.6</v>
      </c>
      <c r="CK13" s="247" cm="1">
        <f t="array" ref="CK13">CI13+CJ12</f>
        <v>93060406.59999999</v>
      </c>
      <c r="CL13" s="247" cm="1">
        <f t="array" ref="CL13">M13-CK13</f>
        <v>25759799.4</v>
      </c>
      <c r="CM13" s="247" cm="1">
        <f t="array" ref="CM13">M13-CI13</f>
        <v>69295518</v>
      </c>
    </row>
    <row r="14" ht="19.35" customHeight="1">
      <c r="A14" s="689">
        <v>10</v>
      </c>
      <c r="B14" s="675">
        <v>45637</v>
      </c>
      <c r="C14" s="247">
        <v>3071042</v>
      </c>
      <c r="D14" s="597" cm="1">
        <f t="array" ref="D14">AF14</f>
        <v>80.04340000000001</v>
      </c>
      <c r="E14" s="676" cm="1">
        <f t="array" ref="E14">D14/K13</f>
        <v>0.0256039004305201</v>
      </c>
      <c r="F14" s="296">
        <v>38367.21</v>
      </c>
      <c r="G14" s="676" cm="1">
        <f t="array" ref="G14">(F14-F13)/F13</f>
        <v>0.0094604663693931</v>
      </c>
      <c r="H14" s="676">
        <v>0.042</v>
      </c>
      <c r="I14" s="299" cm="1">
        <f t="array" ref="I14">H14+4.95/100</f>
        <v>0.0915</v>
      </c>
      <c r="J14" s="247" cm="1">
        <f t="array" ref="J14">ROUND(D14*F14,0)</f>
        <v>3071042</v>
      </c>
      <c r="K14" s="677" cm="1">
        <f t="array" ref="K14">K13-BF14</f>
        <v>3060.2342</v>
      </c>
      <c r="L14" s="678" cm="1">
        <f t="array" ref="L14">K14/K$5</f>
        <v>0.774742835443038</v>
      </c>
      <c r="M14" s="679" cm="1">
        <f t="array" ref="M14">ROUND(K14*F14,0)</f>
        <v>117412648</v>
      </c>
      <c r="N14" s="680" cm="1">
        <f t="array" ref="N14">M14/M$5</f>
        <v>0.800727140141043</v>
      </c>
      <c r="O14" s="679" cm="1">
        <f t="array" ref="O14">M14-M13</f>
        <v>-1407558</v>
      </c>
      <c r="P14" s="681" cm="1">
        <f t="array" ref="P14">T14-K14</f>
        <v>2339.7658</v>
      </c>
      <c r="Q14" s="679" cm="1">
        <f t="array" ref="Q14">ROUND(P14*F14,0)</f>
        <v>89770286</v>
      </c>
      <c r="R14" s="596" cm="1">
        <f t="array" ref="R14">$K$5-K14</f>
        <v>889.7658</v>
      </c>
      <c r="S14" s="679" cm="1">
        <f t="array" ref="S14">Q14-Q13</f>
        <v>3349236</v>
      </c>
      <c r="T14" s="596">
        <v>5400</v>
      </c>
      <c r="U14" s="679" cm="1">
        <f t="array" ref="U14">T14*F14</f>
        <v>207182934</v>
      </c>
      <c r="V14" s="247" cm="1">
        <f t="array" ref="V14">-S14</f>
        <v>-3349236</v>
      </c>
      <c r="W14" s="690"/>
      <c r="X14" s="690" cm="1">
        <f t="array" ref="X14">$K13*4.95/12/100/(1-(1+4.95/12/100)^-(360-$A14))+$AY14</f>
        <v>18.2845569566772</v>
      </c>
      <c r="Y14" s="682" cm="1">
        <f t="array" ref="Y14">AY14+BB14+BH14</f>
        <v>18.1342</v>
      </c>
      <c r="Z14" s="597"/>
      <c r="AA14" s="597"/>
      <c r="AB14" s="597" cm="1">
        <f t="array" ref="AB14">IF(AB$3*12&lt;=$A14,0,$K13*'depto - Departamento'!$D$8/12/(1-(1+'depto - Departamento'!$D$8/12)^-(12*AB$3-$A14+3))+$AY14)</f>
        <v>26.7036209836877</v>
      </c>
      <c r="AC14" s="597" cm="1">
        <f t="array" ref="AC14">IF(AC$3*12&lt;=$A14,0,$K13*'depto - Departamento'!$D$8/12/(1-(1+'depto - Departamento'!$D$8/12)^-(12*AC$3-$A14+3))+$AY14)</f>
        <v>31.3058426563679</v>
      </c>
      <c r="AD14" s="597" cm="1">
        <f t="array" ref="AD14">IF(AD$3*12&lt;=$A14,0,$K13*'depto - Departamento'!$D$8/12/(1-(1+'depto - Departamento'!$D$8/12)^-(12*AD$3-$A14+3))+$AY14)</f>
        <v>36.0575945372686</v>
      </c>
      <c r="AE14" s="597" cm="1">
        <f t="array" ref="AE14">IF(AE$3*12&lt;=$A14,0,$K13*'depto - Departamento'!$D$8/12/(1-(1+'depto - Departamento'!$D$8/12)^-(12*AE$3-$A14+3))+$AY14)</f>
        <v>67.1779381268708</v>
      </c>
      <c r="AF14" s="701" cm="1">
        <f t="array" ref="AF14">(AF13-(AF11-AF13))*0+80.0434</f>
        <v>80.04340000000001</v>
      </c>
      <c r="AG14" s="701"/>
      <c r="AH14" s="701"/>
      <c r="AI14" s="696" cm="1">
        <f t="array" ref="AI14">$F14*Y14</f>
        <v>695758.659582</v>
      </c>
      <c r="AJ14" s="597"/>
      <c r="AK14" s="597"/>
      <c r="AL14" s="247" cm="1">
        <f t="array" ref="AL14">$F14*AB14</f>
        <v>1024543.43404155</v>
      </c>
      <c r="AM14" s="247" cm="1">
        <f t="array" ref="AM14">$F14*AC14</f>
        <v>1201117.83942383</v>
      </c>
      <c r="AN14" s="247" cm="1">
        <f t="array" ref="AN14">$F14*AD14</f>
        <v>1383429.30170624</v>
      </c>
      <c r="AO14" s="247" cm="1">
        <f t="array" ref="AO14">$F14*AE14</f>
        <v>2577430.05948066</v>
      </c>
      <c r="AP14" s="702" cm="1">
        <f t="array" ref="AP14">$F14*AF14</f>
        <v>3071041.936914</v>
      </c>
      <c r="AQ14" s="597"/>
      <c r="AR14" s="691" cm="1">
        <f t="array" ref="AR14">K13-K14</f>
        <v>65.98480000000001</v>
      </c>
      <c r="AS14" s="691" cm="1">
        <f t="array" ref="AS14">D14-AR14</f>
        <v>14.0586</v>
      </c>
      <c r="AT14" s="597"/>
      <c r="AU14" s="684" cm="1">
        <f t="array" ref="AU14">ROUND(AV14*F14,0)</f>
        <v>48009</v>
      </c>
      <c r="AV14" s="692">
        <v>1.2513</v>
      </c>
      <c r="AW14" s="684" cm="1">
        <f t="array" ref="AW14">ROUND(F14*AX14,0)</f>
        <v>5283</v>
      </c>
      <c r="AX14" s="692">
        <v>0.1377</v>
      </c>
      <c r="AY14" s="693" cm="1">
        <f t="array" ref="AY14">SUM(AV14,AX14)</f>
        <v>1.389</v>
      </c>
      <c r="AZ14" s="684" cm="1">
        <f t="array" ref="AZ14">ROUND(SUM(AV14,AX14)*F14,0)</f>
        <v>53292</v>
      </c>
      <c r="BA14" s="685">
        <v>156358</v>
      </c>
      <c r="BB14" s="694" cm="1">
        <f t="array" ref="BB14">ROUND(BA14/$F14,4)</f>
        <v>4.0753</v>
      </c>
      <c r="BC14" s="685" cm="1">
        <f t="array" ref="BC14">C14-SUM(AZ14,BA14,BG14)+11</f>
        <v>2375294</v>
      </c>
      <c r="BD14" s="694" cm="1">
        <f t="array" ref="BD14">ROUND(BC14/$F14,4)</f>
        <v>61.9095</v>
      </c>
      <c r="BE14" s="686" cm="1">
        <f t="array" ref="BE14">BC14+BA14</f>
        <v>2531652</v>
      </c>
      <c r="BF14" s="694" cm="1">
        <f t="array" ref="BF14">ROUND(BB14+BD14,4)</f>
        <v>65.98480000000001</v>
      </c>
      <c r="BG14" s="687">
        <v>486109</v>
      </c>
      <c r="BH14" s="697" cm="1">
        <f t="array" ref="BH14">TRUNC(BG14/$F14,4)</f>
        <v>12.6699</v>
      </c>
      <c r="BI14" s="679" cm="1">
        <f t="array" ref="BI14">M13-M14</f>
        <v>1407558</v>
      </c>
      <c r="BJ14" s="679" cm="1">
        <f t="array" ref="BJ14">BE14-BI14</f>
        <v>1124094</v>
      </c>
      <c r="BK14" s="679" cm="1">
        <f t="array" ref="BK14">-BJ14</f>
        <v>-1124094</v>
      </c>
      <c r="BL14" s="679" cm="1">
        <f t="array" ref="BL14">BG14+BJ14</f>
        <v>1610203</v>
      </c>
      <c r="BM14" s="679" cm="1">
        <f t="array" ref="BM14">AVERAGE(BL13:BL14,BL11)</f>
        <v>931205</v>
      </c>
      <c r="BN14" s="699" cm="1">
        <f t="array" ref="BN14">BH13-BH14</f>
        <v>0.265</v>
      </c>
      <c r="BO14" s="597" cm="1">
        <f t="array" ref="BO14">K13*((1+'depto - Departamento'!$D$8)^(1/12)-1)</f>
        <v>12.6120142561424</v>
      </c>
      <c r="BP14" s="698" cm="1">
        <f t="array" ref="BP14">(BA14+BC14)/BG14</f>
        <v>5.20799244613862</v>
      </c>
      <c r="BQ14" s="698" cm="1">
        <f t="array" ref="BQ14">Y14-BB14</f>
        <v>14.0589</v>
      </c>
      <c r="BR14" s="698" cm="1">
        <f t="array" ref="BR14">(BR$4*(1+BR$4)^BR$3*K13)/((1+BR$4)^BR$3-1)</f>
        <v>16.6868190858337</v>
      </c>
      <c r="BS14" s="690"/>
      <c r="BT14" s="247"/>
      <c r="BU14" s="247" cm="1">
        <f t="array" ref="BU14">SUM(C$5:C14)</f>
        <v>93013044</v>
      </c>
      <c r="BV14" s="247" cm="1">
        <f t="array" ref="BV14">BA14+BC14+BV13</f>
        <v>35087817</v>
      </c>
      <c r="BW14" s="247" cm="1">
        <f t="array" ref="BW14">BG14+BW13</f>
        <v>3504272</v>
      </c>
      <c r="BX14" s="596" cm="1">
        <f t="array" ref="BX14">BF14+BX13</f>
        <v>923.4203</v>
      </c>
      <c r="BY14" s="596" cm="1">
        <f t="array" ref="BY14">BH14+BY13</f>
        <v>92.5072</v>
      </c>
      <c r="BZ14" s="247" cm="1">
        <f t="array" ref="BZ14">SUM(BJ$6:BJ14)</f>
        <v>5867933</v>
      </c>
      <c r="CA14" s="596"/>
      <c r="CB14" s="247"/>
      <c r="CC14" s="247" cm="1">
        <f t="array" ref="CC14">SUM(BE$6:BE14)</f>
        <v>35087817</v>
      </c>
      <c r="CD14" s="247"/>
      <c r="CE14" s="247"/>
      <c r="CF14" s="247" cm="1">
        <f t="array" ref="CF14">'net worth - Table 1-1'!K92</f>
        <v>14275453</v>
      </c>
      <c r="CG14" s="247" cm="1">
        <f t="array" ref="CG14">'net worth - Table 1-3'!E93</f>
        <v>31621022</v>
      </c>
      <c r="CH14" s="247" cm="1">
        <f t="array" ref="CH14">'net worth - Table 1-2'!C92</f>
        <v>10855466</v>
      </c>
      <c r="CI14" s="247" cm="1">
        <f t="array" ref="CI14">SUM(CF14:CH14)</f>
        <v>56751941</v>
      </c>
      <c r="CJ14" s="247" cm="1">
        <f t="array" ref="CJ14">('net worth - Table 1-3'!AY93+'net worth - Table 1-3'!BF93)*0.85+'net worth - Table 1-3'!AJ93</f>
        <v>44572048.55</v>
      </c>
      <c r="CK14" s="247" cm="1">
        <f t="array" ref="CK14">CI14+CJ14</f>
        <v>101323989.55</v>
      </c>
      <c r="CL14" s="247" cm="1">
        <f t="array" ref="CL14">M14-CK14</f>
        <v>16088658.45</v>
      </c>
      <c r="CM14" s="247" cm="1">
        <f t="array" ref="CM14">M14-CI14</f>
        <v>60660707</v>
      </c>
    </row>
    <row r="15" ht="19.35" customHeight="1">
      <c r="A15" s="689">
        <v>11</v>
      </c>
      <c r="B15" s="703">
        <v>45698</v>
      </c>
      <c r="C15" s="704" cm="1">
        <f t="array" ref="C15">J15</f>
        <v>3071622</v>
      </c>
      <c r="D15" s="705">
        <v>80.03789999999999</v>
      </c>
      <c r="E15" s="706" cm="1">
        <f t="array" ref="E15">D15/K14</f>
        <v>0.0261541747360382</v>
      </c>
      <c r="F15" s="707">
        <v>38377.09</v>
      </c>
      <c r="G15" s="706" cm="1">
        <f t="array" ref="G15">(F15-F14)/F14</f>
        <v>0.000257511557394973</v>
      </c>
      <c r="H15" s="706">
        <v>0.045</v>
      </c>
      <c r="I15" s="708" cm="1">
        <f t="array" ref="I15">H15+4.95/100</f>
        <v>0.0945</v>
      </c>
      <c r="J15" s="704" cm="1">
        <f t="array" ref="J15">ROUND(D15*F15,0)</f>
        <v>3071622</v>
      </c>
      <c r="K15" s="709" cm="1">
        <f t="array" ref="K15">K14-BF15</f>
        <v>2993.9834</v>
      </c>
      <c r="L15" s="710" cm="1">
        <f t="array" ref="L15">K15/K$5</f>
        <v>0.757970481012658</v>
      </c>
      <c r="M15" s="711" cm="1">
        <f t="array" ref="M15">ROUND(K15*F15,0)</f>
        <v>114900370</v>
      </c>
      <c r="N15" s="712" cm="1">
        <f t="array" ref="N15">M15/M$5</f>
        <v>0.783593984450872</v>
      </c>
      <c r="O15" s="711" cm="1">
        <f t="array" ref="O15">M15-M14</f>
        <v>-2512278</v>
      </c>
      <c r="P15" s="713" cm="1">
        <f t="array" ref="P15">T15-K15</f>
        <v>2406.0166</v>
      </c>
      <c r="Q15" s="711" cm="1">
        <f t="array" ref="Q15">ROUND(P15*F15,0)</f>
        <v>92335916</v>
      </c>
      <c r="R15" s="714" cm="1">
        <f t="array" ref="R15">$K$5-K15</f>
        <v>956.0166</v>
      </c>
      <c r="S15" s="711" cm="1">
        <f t="array" ref="S15">Q15-Q14</f>
        <v>2565630</v>
      </c>
      <c r="T15" s="714">
        <v>5400</v>
      </c>
      <c r="U15" s="711" cm="1">
        <f t="array" ref="U15">T15*F15</f>
        <v>207236286</v>
      </c>
      <c r="V15" s="704" cm="1">
        <f t="array" ref="V15">-S15</f>
        <v>-2565630</v>
      </c>
      <c r="W15" s="715"/>
      <c r="X15" s="715" cm="1">
        <f t="array" ref="X15">$K14*4.95/12/100/(1-(1+4.95/12/100)^-(360-$A15))+$AY15</f>
        <v>17.9436322745686</v>
      </c>
      <c r="Y15" s="716" cm="1">
        <f t="array" ref="Y15">17.7982</f>
        <v>17.7982</v>
      </c>
      <c r="Z15" s="705" cm="1">
        <f t="array" ref="Z15">IF(Z$3*12&lt;=$A15,0,$K14*'depto - Departamento'!$D$8/12/(1-(1+'depto - Departamento'!$D$8/12)^-(12*Z$3-$A15+3))+$AY15)</f>
        <v>19.432123302881</v>
      </c>
      <c r="AA15" s="705" cm="1">
        <f t="array" ref="AA15">IF(AA$3*12&lt;=$A15,0,$K14*'depto - Departamento'!$D$8/12/(1-(1+'depto - Departamento'!$D$8/12)^-(12*AA$3-$A15+3))+$AY15)</f>
        <v>21.9027876634709</v>
      </c>
      <c r="AB15" s="705" cm="1">
        <f t="array" ref="AB15">IF(AB$3*12&lt;=$A15,0,$K14*'depto - Departamento'!$D$8/12/(1-(1+'depto - Departamento'!$D$8/12)^-(12*AB$3-$A15+3))+$AY15)</f>
        <v>26.2626406283161</v>
      </c>
      <c r="AC15" s="705" cm="1">
        <f t="array" ref="AC15">IF(AC$3*12&lt;=$A15,0,$K14*'depto - Departamento'!$D$8/12/(1-(1+'depto - Departamento'!$D$8/12)^-(12*AC$3-$A15+3))+$AY15)</f>
        <v>30.8292125685018</v>
      </c>
      <c r="AD15" s="705" cm="1">
        <f t="array" ref="AD15">IF(AD$3*12&lt;=$A15,0,$K14*'depto - Departamento'!$D$8/12/(1-(1+'depto - Departamento'!$D$8/12)^-(12*AD$3-$A15+3))+$AY15)</f>
        <v>35.5583629733328</v>
      </c>
      <c r="AE15" s="705" cm="1">
        <f t="array" ref="AE15">IF(AE$3*12&lt;=$A15,0,$K14*'depto - Departamento'!$D$8/12/(1-(1+'depto - Departamento'!$D$8/12)^-(12*AE$3-$A15+3))+$AY15)</f>
        <v>66.8921954951272</v>
      </c>
      <c r="AF15" s="705" cm="1">
        <f t="array" ref="AF15">80.0379</f>
        <v>80.03789999999999</v>
      </c>
      <c r="AG15" s="705"/>
      <c r="AH15" s="705"/>
      <c r="AI15" s="717" cm="1">
        <f t="array" ref="AI15">$F15*Y15</f>
        <v>683043.123238</v>
      </c>
      <c r="AJ15" s="705"/>
      <c r="AK15" s="705"/>
      <c r="AL15" s="704" cm="1">
        <f t="array" ref="AL15">$F15*AB15</f>
        <v>1007883.72303054</v>
      </c>
      <c r="AM15" s="704" cm="1">
        <f t="array" ref="AM15">$F15*AC15</f>
        <v>1183135.46537052</v>
      </c>
      <c r="AN15" s="704" cm="1">
        <f t="array" ref="AN15">$F15*AD15</f>
        <v>1364626.49608026</v>
      </c>
      <c r="AO15" s="704" cm="1">
        <f t="array" ref="AO15">$F15*AE15</f>
        <v>2567127.80681409</v>
      </c>
      <c r="AP15" s="704" cm="1">
        <f t="array" ref="AP15">$F15*AF15</f>
        <v>3071621.691711</v>
      </c>
      <c r="AQ15" s="705"/>
      <c r="AR15" s="718" cm="1">
        <f t="array" ref="AR15">K14-K15</f>
        <v>66.2508</v>
      </c>
      <c r="AS15" s="718" cm="1">
        <f t="array" ref="AS15">D15-AR15</f>
        <v>13.7871</v>
      </c>
      <c r="AT15" s="705"/>
      <c r="AU15" s="719" cm="1">
        <f t="array" ref="AU15">ROUND(AV15*F15,0)</f>
        <v>48021</v>
      </c>
      <c r="AV15" s="720">
        <v>1.2513</v>
      </c>
      <c r="AW15" s="719" cm="1">
        <f t="array" ref="AW15">ROUND(F15*AX15,0)</f>
        <v>5073</v>
      </c>
      <c r="AX15" s="720">
        <v>0.1322</v>
      </c>
      <c r="AY15" s="721" cm="1">
        <f t="array" ref="AY15">SUM(AV15,AX15)</f>
        <v>1.3835</v>
      </c>
      <c r="AZ15" s="719" cm="1">
        <f t="array" ref="AZ15">ROUND(SUM(AV15,AX15)*F15,0)</f>
        <v>53095</v>
      </c>
      <c r="BA15" s="722">
        <v>153934</v>
      </c>
      <c r="BB15" s="723" cm="1">
        <f t="array" ref="BB15">ROUND(BA15/$F15,4)</f>
        <v>4.0111</v>
      </c>
      <c r="BC15" s="722" cm="1">
        <f t="array" ref="BC15">J15-SUM(AZ15,BA15,BG15)+1</f>
        <v>2388580</v>
      </c>
      <c r="BD15" s="723" cm="1">
        <f t="array" ref="BD15">ROUND(BC15/$F15,4)</f>
        <v>62.2397</v>
      </c>
      <c r="BE15" s="724" cm="1">
        <f t="array" ref="BE15">BC15+BA15</f>
        <v>2542514</v>
      </c>
      <c r="BF15" s="723" cm="1">
        <f t="array" ref="BF15">ROUND(BB15+BD15,4)</f>
        <v>66.2508</v>
      </c>
      <c r="BG15" s="725">
        <v>476014</v>
      </c>
      <c r="BH15" s="726" cm="1">
        <f t="array" ref="BH15">ROUND(BG15/$F15,4)</f>
        <v>12.4036</v>
      </c>
      <c r="BI15" s="711" cm="1">
        <f t="array" ref="BI15">M14-M15</f>
        <v>2512278</v>
      </c>
      <c r="BJ15" s="711" cm="1">
        <f t="array" ref="BJ15">BE15-BI15</f>
        <v>30236</v>
      </c>
      <c r="BK15" s="711" cm="1">
        <f t="array" ref="BK15">-BJ15</f>
        <v>-30236</v>
      </c>
      <c r="BL15" s="711" cm="1">
        <f t="array" ref="BL15">BG15+BJ15</f>
        <v>506250</v>
      </c>
      <c r="BM15" s="711" cm="1">
        <f t="array" ref="BM15">AVERAGE(BL13:BL15)</f>
        <v>775356.666666667</v>
      </c>
      <c r="BN15" s="727" cm="1">
        <f t="array" ref="BN15">BH14-BH15</f>
        <v>0.2663</v>
      </c>
      <c r="BO15" s="705" cm="1">
        <f t="array" ref="BO15">K14*((1+'depto - Departamento'!$D$8)^(1/12)-1)</f>
        <v>12.3458136994032</v>
      </c>
      <c r="BP15" s="728" cm="1">
        <f t="array" ref="BP15">(BA15+BC15)/BG15</f>
        <v>5.34125887053742</v>
      </c>
      <c r="BQ15" s="728" cm="1">
        <f t="array" ref="BQ15">Y15-BB15</f>
        <v>13.7871</v>
      </c>
      <c r="BR15" s="728" cm="1">
        <f t="array" ref="BR15">(BR$4*(1+BR$4)^BR$3*K14)/((1+BR$4)^BR$3-1)</f>
        <v>16.3346120203611</v>
      </c>
      <c r="BS15" s="715"/>
      <c r="BT15" s="704"/>
      <c r="BU15" s="704" cm="1">
        <f t="array" ref="BU15">SUM(C$5:C15)</f>
        <v>96084666</v>
      </c>
      <c r="BV15" s="704" cm="1">
        <f t="array" ref="BV15">BA15+BC15+BV14</f>
        <v>37630331</v>
      </c>
      <c r="BW15" s="704" cm="1">
        <f t="array" ref="BW15">BG15+BW14</f>
        <v>3980286</v>
      </c>
      <c r="BX15" s="714" cm="1">
        <f t="array" ref="BX15">BF15+BX14</f>
        <v>989.6711</v>
      </c>
      <c r="BY15" s="714" cm="1">
        <f t="array" ref="BY15">BH15+BY14</f>
        <v>104.9108</v>
      </c>
      <c r="BZ15" s="704" cm="1">
        <f t="array" ref="BZ15">SUM(BJ$6:BJ15)</f>
        <v>5898169</v>
      </c>
      <c r="CA15" s="714"/>
      <c r="CB15" s="704"/>
      <c r="CC15" s="704" cm="1">
        <f t="array" ref="CC15">SUM(BE$6:BE15)</f>
        <v>37630331</v>
      </c>
      <c r="CD15" s="704"/>
      <c r="CE15" s="704"/>
      <c r="CF15" s="704" cm="1">
        <f t="array" ref="CF15">'net worth - Table 1-1'!K93</f>
        <v>35074047</v>
      </c>
      <c r="CG15" s="704" cm="1">
        <f t="array" ref="CG15">'net worth - Table 1-3'!E94</f>
        <v>27651134</v>
      </c>
      <c r="CH15" s="704" cm="1">
        <f t="array" ref="CH15">'net worth - Table 1-2'!C93</f>
        <v>10158709</v>
      </c>
      <c r="CI15" s="704" cm="1">
        <f t="array" ref="CI15">SUM(CF15:CH15)</f>
        <v>72883890</v>
      </c>
      <c r="CJ15" s="704" cm="1">
        <f t="array" ref="CJ15">('net worth - Table 1-3'!AY94+'net worth - Table 1-3'!BF94)*0.85+'net worth - Table 1-3'!AJ94</f>
        <v>44670913.9</v>
      </c>
      <c r="CK15" s="704" cm="1">
        <f t="array" ref="CK15">CI15+CJ15</f>
        <v>117554803.9</v>
      </c>
      <c r="CL15" s="704" cm="1">
        <f t="array" ref="CL15">M15-CK15</f>
        <v>-2654433.9</v>
      </c>
      <c r="CM15" s="704" cm="1">
        <f t="array" ref="CM15">M15-CI15</f>
        <v>42016480</v>
      </c>
    </row>
    <row r="16" ht="19.35" customHeight="1">
      <c r="A16" t="s" s="700">
        <v>1018</v>
      </c>
      <c r="B16" s="703">
        <v>45699</v>
      </c>
      <c r="C16" s="704">
        <v>15600000</v>
      </c>
      <c r="D16" s="705" cm="1">
        <f t="array" ref="D16">ROUND(C16/F16,4)</f>
        <v>406.3337</v>
      </c>
      <c r="E16" s="706" cm="1">
        <f t="array" ref="E16">D16/K15</f>
        <v>0.13571675113496</v>
      </c>
      <c r="F16" s="707">
        <v>38392.09</v>
      </c>
      <c r="G16" s="706"/>
      <c r="H16" s="706"/>
      <c r="I16" s="708"/>
      <c r="J16" s="704" cm="1">
        <f t="array" ref="J16">ROUND(D16*F16,0)</f>
        <v>15600000</v>
      </c>
      <c r="K16" s="709" cm="1">
        <f t="array" ref="K16">K15-BF16</f>
        <v>2590.6438</v>
      </c>
      <c r="L16" s="710" cm="1">
        <f t="array" ref="L16">K16/K$5</f>
        <v>0.655859189873418</v>
      </c>
      <c r="M16" s="711" cm="1">
        <f t="array" ref="M16">ROUND(K16*F16,0)</f>
        <v>99460230</v>
      </c>
      <c r="N16" s="712" cm="1">
        <f t="array" ref="N16">M16/M$5</f>
        <v>0.678295795915193</v>
      </c>
      <c r="O16" s="711" cm="1">
        <f t="array" ref="O16">M16-M15</f>
        <v>-15440140</v>
      </c>
      <c r="P16" s="713" cm="1">
        <f t="array" ref="P16">T16-K16</f>
        <v>2809.3562</v>
      </c>
      <c r="Q16" s="711" cm="1">
        <f t="array" ref="Q16">ROUND(P16*F16,0)</f>
        <v>107857056</v>
      </c>
      <c r="R16" s="714" cm="1">
        <f t="array" ref="R16">$K$5-K16</f>
        <v>1359.3562</v>
      </c>
      <c r="S16" s="711" cm="1">
        <f t="array" ref="S16">Q16-Q15</f>
        <v>15521140</v>
      </c>
      <c r="T16" s="714">
        <v>5400</v>
      </c>
      <c r="U16" s="711" cm="1">
        <f t="array" ref="U16">T16*F16</f>
        <v>207317286</v>
      </c>
      <c r="V16" s="704" cm="1">
        <f t="array" ref="V16">-S16</f>
        <v>-15521140</v>
      </c>
      <c r="W16" s="715"/>
      <c r="X16" s="715"/>
      <c r="Y16" s="716"/>
      <c r="Z16" s="705"/>
      <c r="AA16" s="705"/>
      <c r="AB16" s="705"/>
      <c r="AC16" s="705"/>
      <c r="AD16" s="705"/>
      <c r="AE16" s="705"/>
      <c r="AF16" s="705"/>
      <c r="AG16" s="729"/>
      <c r="AH16" s="729"/>
      <c r="AI16" s="717"/>
      <c r="AJ16" s="705"/>
      <c r="AK16" s="705"/>
      <c r="AL16" s="705"/>
      <c r="AM16" s="704"/>
      <c r="AN16" s="705"/>
      <c r="AO16" s="705"/>
      <c r="AP16" s="730"/>
      <c r="AQ16" s="705"/>
      <c r="AR16" s="718" cm="1">
        <f t="array" ref="AR16">K15-K16</f>
        <v>403.3396</v>
      </c>
      <c r="AS16" s="718" cm="1">
        <f t="array" ref="AS16">D16-AR16</f>
        <v>2.9941</v>
      </c>
      <c r="AT16" s="705"/>
      <c r="AU16" s="719"/>
      <c r="AV16" s="720"/>
      <c r="AW16" s="719"/>
      <c r="AX16" s="720"/>
      <c r="AY16" s="721"/>
      <c r="AZ16" s="719"/>
      <c r="BA16" s="722"/>
      <c r="BB16" s="723"/>
      <c r="BC16" s="722" cm="1">
        <f t="array" ref="BC16">J16-SUM(AZ16,BA16,BG16)</f>
        <v>15485052</v>
      </c>
      <c r="BD16" s="723" cm="1">
        <f t="array" ref="BD16">ROUND(BC16/$F16,4)</f>
        <v>403.3396</v>
      </c>
      <c r="BE16" s="724" cm="1">
        <f t="array" ref="BE16">BC16+BA16</f>
        <v>15485052</v>
      </c>
      <c r="BF16" s="723" cm="1">
        <f t="array" ref="BF16">ROUND(BB16+BD16,4)</f>
        <v>403.3396</v>
      </c>
      <c r="BG16" s="725">
        <v>114948</v>
      </c>
      <c r="BH16" s="726" cm="1">
        <f t="array" ref="BH16">TRUNC(BG16/$F16,4)</f>
        <v>2.994</v>
      </c>
      <c r="BI16" s="711" cm="1">
        <f t="array" ref="BI16">M15-M16</f>
        <v>15440140</v>
      </c>
      <c r="BJ16" s="711" cm="1">
        <f t="array" ref="BJ16">BE16-BI16</f>
        <v>44912</v>
      </c>
      <c r="BK16" s="711" cm="1">
        <f t="array" ref="BK16">-BJ16</f>
        <v>-44912</v>
      </c>
      <c r="BL16" s="711" cm="1">
        <f t="array" ref="BL16">BG16+BJ16</f>
        <v>159860</v>
      </c>
      <c r="BM16" s="711"/>
      <c r="BN16" s="727"/>
      <c r="BO16" s="714"/>
      <c r="BP16" s="728"/>
      <c r="BQ16" s="728"/>
      <c r="BR16" s="728" cm="1">
        <f t="array" ref="BR16">(BR$4*(1+BR$4)^BR$3*K15)/((1+BR$4)^BR$3-1)</f>
        <v>15.9809851266944</v>
      </c>
      <c r="BS16" s="715"/>
      <c r="BT16" s="704"/>
      <c r="BU16" s="704" cm="1">
        <f t="array" ref="BU16">SUM(C$5:C16)</f>
        <v>111684666</v>
      </c>
      <c r="BV16" s="704" cm="1">
        <f t="array" ref="BV16">BA16+BC16+BV15</f>
        <v>53115383</v>
      </c>
      <c r="BW16" s="704" cm="1">
        <f t="array" ref="BW16">BG16+BW15</f>
        <v>4095234</v>
      </c>
      <c r="BX16" s="714" cm="1">
        <f t="array" ref="BX16">BF16+BX15</f>
        <v>1393.0107</v>
      </c>
      <c r="BY16" s="714" cm="1">
        <f t="array" ref="BY16">BH16+BY15</f>
        <v>107.9048</v>
      </c>
      <c r="BZ16" s="704" cm="1">
        <f t="array" ref="BZ16">SUM(BJ$6:BJ16)</f>
        <v>5943081</v>
      </c>
      <c r="CA16" s="714"/>
      <c r="CB16" s="704"/>
      <c r="CC16" s="704" cm="1">
        <f t="array" ref="CC16">SUM(BE$6:BE16)</f>
        <v>53115383</v>
      </c>
      <c r="CD16" s="704"/>
      <c r="CE16" s="704"/>
      <c r="CF16" s="704" cm="1">
        <f t="array" ref="CF16">'net worth - Table 1-1'!K94</f>
        <v>3071246</v>
      </c>
      <c r="CG16" s="704" cm="1">
        <f t="array" ref="CG16">'net worth - Table 1-3'!E95</f>
        <v>16524027</v>
      </c>
      <c r="CH16" s="704" cm="1">
        <f t="array" ref="CH16">'net worth - Table 1-2'!C94</f>
        <v>5287672</v>
      </c>
      <c r="CI16" s="704" cm="1">
        <f t="array" ref="CI16">SUM(CF16:CH16)</f>
        <v>24882945</v>
      </c>
      <c r="CJ16" s="704" cm="1">
        <f t="array" ref="CJ16">('net worth - Table 1-3'!AY94+'net worth - Table 1-3'!BF94)*0.85+'net worth - Table 1-3'!AJ94</f>
        <v>44670913.9</v>
      </c>
      <c r="CK16" s="704" cm="1">
        <f t="array" ref="CK16">CI16+CJ15</f>
        <v>69553858.90000001</v>
      </c>
      <c r="CL16" s="704" cm="1">
        <f t="array" ref="CL16">M16-CK16</f>
        <v>29906371.1</v>
      </c>
      <c r="CM16" s="704" cm="1">
        <f t="array" ref="CM16">M16-CI16</f>
        <v>74577285</v>
      </c>
    </row>
    <row r="17" ht="19.35" customHeight="1">
      <c r="A17" s="689">
        <v>12</v>
      </c>
      <c r="B17" s="703">
        <v>45699</v>
      </c>
      <c r="C17" s="704" cm="1">
        <f t="array" ref="C17">J17</f>
        <v>3072815</v>
      </c>
      <c r="D17" s="705" cm="1">
        <f t="array" ref="D17">AF17</f>
        <v>80.0377</v>
      </c>
      <c r="E17" s="706" cm="1">
        <f t="array" ref="E17">D17/K16</f>
        <v>0.0308949072813484</v>
      </c>
      <c r="F17" s="707">
        <v>38392.09</v>
      </c>
      <c r="G17" s="706" cm="1">
        <f t="array" ref="G17">(F17-F15)/F15</f>
        <v>0.000390858191697182</v>
      </c>
      <c r="H17" s="706">
        <v>0.045</v>
      </c>
      <c r="I17" s="708" cm="1">
        <f t="array" ref="I17">H17+4.95/100</f>
        <v>0.0945</v>
      </c>
      <c r="J17" s="704" cm="1">
        <f t="array" ref="J17">ROUND(D17*F17,0)</f>
        <v>3072815</v>
      </c>
      <c r="K17" s="709" cm="1">
        <f t="array" ref="K17">K16-BF17</f>
        <v>2522.4985</v>
      </c>
      <c r="L17" s="710" cm="1">
        <f t="array" ref="L17">K17/K$5</f>
        <v>0.638607215189873</v>
      </c>
      <c r="M17" s="711" cm="1">
        <f t="array" ref="M17">ROUND(K17*F17,0)</f>
        <v>96843989</v>
      </c>
      <c r="N17" s="712" cm="1">
        <f t="array" ref="N17">M17/M$5</f>
        <v>0.660453636577728</v>
      </c>
      <c r="O17" s="711" cm="1">
        <f t="array" ref="O17">M17-M16</f>
        <v>-2616241</v>
      </c>
      <c r="P17" s="713" cm="1">
        <f t="array" ref="P17">T17-K17</f>
        <v>2877.5015</v>
      </c>
      <c r="Q17" s="711" cm="1">
        <f t="array" ref="Q17">ROUND(P17*F17,0)</f>
        <v>110473297</v>
      </c>
      <c r="R17" s="714" cm="1">
        <f t="array" ref="R17">$K$5-K17</f>
        <v>1427.5015</v>
      </c>
      <c r="S17" s="711" cm="1">
        <f t="array" ref="S17">Q17-Q16</f>
        <v>2616241</v>
      </c>
      <c r="T17" s="714">
        <v>5400</v>
      </c>
      <c r="U17" s="711" cm="1">
        <f t="array" ref="U17">T17*F17</f>
        <v>207317286</v>
      </c>
      <c r="V17" s="704" cm="1">
        <f t="array" ref="V17">-S17</f>
        <v>-2616241</v>
      </c>
      <c r="W17" s="715"/>
      <c r="X17" s="715" cm="1">
        <f t="array" ref="X17">$K16*4.95/12/100/(1-(1+4.95/12/100)^-(360-$A17))+$AY17</f>
        <v>15.4002508858619</v>
      </c>
      <c r="Y17" s="716" cm="1">
        <f t="array" ref="Y17">17.7981</f>
        <v>17.7981</v>
      </c>
      <c r="Z17" s="705" cm="1">
        <f t="array" ref="Z17">IF(Z$3*12&lt;=$A17,0,$K16*'depto - Departamento'!$D$8/12/(1-(1+'depto - Departamento'!$D$8/12)^-(12*Z$3-$A17+3))+$AY18)</f>
        <v>16.6665117479243</v>
      </c>
      <c r="AA17" s="705" cm="1">
        <f t="array" ref="AA17">IF(AA$3*12&lt;=$A17,0,$K16*'depto - Departamento'!$D$8/12/(1-(1+'depto - Departamento'!$D$8/12)^-(12*AA$3-$A17+3))+$AY18)</f>
        <v>18.7758544947974</v>
      </c>
      <c r="AB17" s="705" cm="1">
        <f t="array" ref="AB17">IF(AB$3*12&lt;=$A17,0,$K16*'depto - Departamento'!$D$8/12/(1-(1+'depto - Departamento'!$D$8/12)^-(12*AB$3-$A17+3))+$AY18)</f>
        <v>22.5064435439837</v>
      </c>
      <c r="AC17" s="705" cm="1">
        <f t="array" ref="AC17">IF(AC$3*12&lt;=$A17,0,$K16*'depto - Departamento'!$D$8/12/(1-(1+'depto - Departamento'!$D$8/12)^-(12*AC$3-$A17+3))+$AY18)</f>
        <v>26.425376258993</v>
      </c>
      <c r="AD17" s="705" cm="1">
        <f t="array" ref="AD17">IF(AD$3*12&lt;=$A17,0,$K16*'depto - Departamento'!$D$8/12/(1-(1+'depto - Departamento'!$D$8/12)^-(12*AD$3-$A17+3))+$AY18)</f>
        <v>30.4962456101651</v>
      </c>
      <c r="AE17" s="705" cm="1">
        <f t="array" ref="AE17">IF(AE$3*12&lt;=$A17,0,$K16*'depto - Departamento'!$D$8/12/(1-(1+'depto - Departamento'!$D$8/12)^-(12*AE$3-$A17+3))+$AY18)</f>
        <v>57.791960406147</v>
      </c>
      <c r="AF17" s="705" cm="1">
        <f t="array" ref="AF17">80.0377</f>
        <v>80.0377</v>
      </c>
      <c r="AG17" s="705"/>
      <c r="AH17" s="705"/>
      <c r="AI17" s="717" cm="1">
        <f t="array" ref="AI17">$F17*Y17</f>
        <v>683306.257029</v>
      </c>
      <c r="AJ17" s="705"/>
      <c r="AK17" s="705"/>
      <c r="AL17" s="704" cm="1">
        <f t="array" ref="AL17">$F17*AB17</f>
        <v>864069.406120541</v>
      </c>
      <c r="AM17" s="704" cm="1">
        <f t="array" ref="AM17">$F17*AC17</f>
        <v>1014525.42361912</v>
      </c>
      <c r="AN17" s="704" cm="1">
        <f t="array" ref="AN17">$F17*AD17</f>
        <v>1170814.60612756</v>
      </c>
      <c r="AO17" s="704" cm="1">
        <f t="array" ref="AO17">$F17*AE17</f>
        <v>2218754.14518923</v>
      </c>
      <c r="AP17" s="704" cm="1">
        <f t="array" ref="AP17">$F17*AF17</f>
        <v>3072814.581793</v>
      </c>
      <c r="AQ17" s="705"/>
      <c r="AR17" s="718" cm="1">
        <f t="array" ref="AR17">K16-K17</f>
        <v>68.14530000000001</v>
      </c>
      <c r="AS17" s="718" cm="1">
        <f t="array" ref="AS17">D17-AR17</f>
        <v>11.8924</v>
      </c>
      <c r="AT17" s="705"/>
      <c r="AU17" s="719" cm="1">
        <f t="array" ref="AU17">ROUND(AV17*F17,0)</f>
        <v>48040</v>
      </c>
      <c r="AV17" s="720">
        <v>1.2513</v>
      </c>
      <c r="AW17" s="719" cm="1">
        <f t="array" ref="AW17">ROUND(F17*AX17,0)</f>
        <v>4296</v>
      </c>
      <c r="AX17" s="720">
        <v>0.1119</v>
      </c>
      <c r="AY17" s="721" cm="1">
        <f t="array" ref="AY17">SUM(AV17,AX17)</f>
        <v>1.3632</v>
      </c>
      <c r="AZ17" s="719" cm="1">
        <f t="array" ref="AZ17">ROUND(SUM(AV17,AX17)*F17,0)</f>
        <v>52336</v>
      </c>
      <c r="BA17" s="722">
        <v>131174</v>
      </c>
      <c r="BB17" s="723" cm="1">
        <f t="array" ref="BB17">ROUND(BA17/$F17,4)</f>
        <v>3.4167</v>
      </c>
      <c r="BC17" s="722" cm="1">
        <f t="array" ref="BC17">J17-SUM(AZ17,BA17,BG17)-772</f>
        <v>2485067</v>
      </c>
      <c r="BD17" s="723" cm="1">
        <f t="array" ref="BD17">ROUND(BC17/$F17,4)</f>
        <v>64.7286</v>
      </c>
      <c r="BE17" s="724" cm="1">
        <f t="array" ref="BE17">BC17+BA17</f>
        <v>2616241</v>
      </c>
      <c r="BF17" s="723" cm="1">
        <f t="array" ref="BF17">ROUND(BB17+BD17,4)</f>
        <v>68.14530000000001</v>
      </c>
      <c r="BG17" s="725">
        <v>403466</v>
      </c>
      <c r="BH17" s="726" cm="1">
        <f t="array" ref="BH17">ROUND(BG17/$F17,4)</f>
        <v>10.5091</v>
      </c>
      <c r="BI17" s="711" cm="1">
        <f t="array" ref="BI17">M16-M17</f>
        <v>2616241</v>
      </c>
      <c r="BJ17" s="711" cm="1">
        <f t="array" ref="BJ17">BE17-BI17</f>
        <v>0</v>
      </c>
      <c r="BK17" s="711" cm="1">
        <f t="array" ref="BK17">-BJ17</f>
        <v>0</v>
      </c>
      <c r="BL17" s="711" cm="1">
        <f t="array" ref="BL17">BG17+BJ17</f>
        <v>403466</v>
      </c>
      <c r="BM17" s="711" cm="1">
        <f t="array" ref="BM17">AVERAGE(BL17,BL14:BL15)</f>
        <v>839973</v>
      </c>
      <c r="BN17" s="727" cm="1">
        <f t="array" ref="BN17">BH15-BH17</f>
        <v>1.8945</v>
      </c>
      <c r="BO17" s="705" cm="1">
        <f t="array" ref="BO17">K16*((1+'depto - Departamento'!$D$8)^(1/12)-1)</f>
        <v>10.4513588261689</v>
      </c>
      <c r="BP17" s="728" cm="1">
        <f t="array" ref="BP17">(BA17+BC17)/BG17</f>
        <v>6.4844150436468</v>
      </c>
      <c r="BQ17" s="728" cm="1">
        <f t="array" ref="BQ17">Y17-BB17</f>
        <v>14.3814</v>
      </c>
      <c r="BR17" s="728" cm="1">
        <f t="array" ref="BR17">(BR$4*(1+BR$4)^BR$3*K16)/((1+BR$4)^BR$3-1)</f>
        <v>13.8280793528658</v>
      </c>
      <c r="BS17" s="715"/>
      <c r="BT17" s="704"/>
      <c r="BU17" s="704" cm="1">
        <f t="array" ref="BU17">SUM(C$5:C17)</f>
        <v>114757481</v>
      </c>
      <c r="BV17" s="704" cm="1">
        <f t="array" ref="BV17">BA17+BC17+BV16</f>
        <v>55731624</v>
      </c>
      <c r="BW17" s="704" cm="1">
        <f t="array" ref="BW17">BG17+BW16</f>
        <v>4498700</v>
      </c>
      <c r="BX17" s="714" cm="1">
        <f t="array" ref="BX17">BF17+BX16</f>
        <v>1461.156</v>
      </c>
      <c r="BY17" s="714" cm="1">
        <f t="array" ref="BY17">BH17+BY16</f>
        <v>118.4139</v>
      </c>
      <c r="BZ17" s="704" cm="1">
        <f t="array" ref="BZ17">SUM(BJ$6:BJ17)</f>
        <v>5943081</v>
      </c>
      <c r="CA17" s="714"/>
      <c r="CB17" s="714"/>
      <c r="CC17" s="704" cm="1">
        <f t="array" ref="CC17">SUM(BE$6:BE17)</f>
        <v>55731624</v>
      </c>
      <c r="CD17" s="714"/>
      <c r="CE17" s="714"/>
      <c r="CF17" s="704" cm="1">
        <f t="array" ref="CF17">'net worth - Table 1-1'!K94</f>
        <v>3071246</v>
      </c>
      <c r="CG17" s="704" cm="1">
        <f t="array" ref="CG17">'net worth - Table 1-3'!E95</f>
        <v>16524027</v>
      </c>
      <c r="CH17" s="704" cm="1">
        <f t="array" ref="CH17">'net worth - Table 1-2'!C94</f>
        <v>5287672</v>
      </c>
      <c r="CI17" s="704" cm="1">
        <f t="array" ref="CI17">SUM(CF17:CH17)</f>
        <v>24882945</v>
      </c>
      <c r="CJ17" s="704" cm="1">
        <f t="array" ref="CJ17">('net worth - Table 1-3'!AY95+'net worth - Table 1-3'!BF95)*0.85+'net worth - Table 1-3'!AJ95</f>
        <v>42374705.05</v>
      </c>
      <c r="CK17" s="704" cm="1">
        <f t="array" ref="CK17">CI17+CJ17</f>
        <v>67257650.05</v>
      </c>
      <c r="CL17" s="704" cm="1">
        <f t="array" ref="CL17">M17-CK17</f>
        <v>29586338.95</v>
      </c>
      <c r="CM17" s="704" cm="1">
        <f t="array" ref="CM17">M17-CI17</f>
        <v>71961044</v>
      </c>
    </row>
    <row r="18" ht="19.35" customHeight="1">
      <c r="A18" s="689">
        <v>13</v>
      </c>
      <c r="B18" s="703">
        <v>45727</v>
      </c>
      <c r="C18" s="704" cm="1">
        <f t="array" ref="C18">J18</f>
        <v>2133674</v>
      </c>
      <c r="D18" s="705">
        <v>55</v>
      </c>
      <c r="E18" s="706" cm="1">
        <f t="array" ref="E18">D18/K17</f>
        <v>0.0218037790706318</v>
      </c>
      <c r="F18" s="707">
        <v>38794.07</v>
      </c>
      <c r="G18" s="706" cm="1">
        <f t="array" ref="G18">(F18-F17)/F17</f>
        <v>0.0104703859571073</v>
      </c>
      <c r="H18" s="706" cm="1">
        <f t="array" ref="H18">SUM(G5:G18)</f>
        <v>0.0472117845230287</v>
      </c>
      <c r="I18" s="708" cm="1">
        <f t="array" ref="I18">H18+4.95/100</f>
        <v>0.0967117845230287</v>
      </c>
      <c r="J18" s="704" cm="1">
        <f t="array" ref="J18">ROUND(D18*F18,0)</f>
        <v>2133674</v>
      </c>
      <c r="K18" s="709" cm="1">
        <f t="array" ref="K18">K17-BF18</f>
        <v>2479.093</v>
      </c>
      <c r="L18" s="710" cm="1">
        <f t="array" ref="L18">K18/K$5</f>
        <v>0.627618481012658</v>
      </c>
      <c r="M18" s="711" cm="1">
        <f t="array" ref="M18">ROUND(K18*F18,0)</f>
        <v>96174107</v>
      </c>
      <c r="N18" s="712" cm="1">
        <f t="array" ref="N18">M18/M$5</f>
        <v>0.655885196062767</v>
      </c>
      <c r="O18" s="711" cm="1">
        <f t="array" ref="O18">M18-M17</f>
        <v>-669882</v>
      </c>
      <c r="P18" s="713" cm="1">
        <f t="array" ref="P18">T18-K18</f>
        <v>2920.907</v>
      </c>
      <c r="Q18" s="711" cm="1">
        <f t="array" ref="Q18">ROUND(P18*F18,0)</f>
        <v>113313871</v>
      </c>
      <c r="R18" s="714" cm="1">
        <f t="array" ref="R18">$K$5-K18</f>
        <v>1470.907</v>
      </c>
      <c r="S18" s="711" cm="1">
        <f t="array" ref="S18">Q18-Q17</f>
        <v>2840574</v>
      </c>
      <c r="T18" s="714">
        <v>5400</v>
      </c>
      <c r="U18" s="711" cm="1">
        <f t="array" ref="U18">T18*F18</f>
        <v>209487978</v>
      </c>
      <c r="V18" s="704" cm="1">
        <f t="array" ref="V18">-S18</f>
        <v>-2840574</v>
      </c>
      <c r="W18" s="715"/>
      <c r="X18" s="715" cm="1">
        <f t="array" ref="X18">$K17*4.95/12/100/(1-(1+4.95/12/100)^-(360-$A18))+$AY18</f>
        <v>15.0458152028167</v>
      </c>
      <c r="Y18" s="716" cm="1">
        <f t="array" ref="Y18">14.9396</f>
        <v>14.9396</v>
      </c>
      <c r="Z18" s="705" cm="1">
        <f t="array" ref="Z18">IF(Z$3*12&lt;=$A18,0,$K17*'depto - Departamento'!$D$8/12/(1-(1+'depto - Departamento'!$D$8/12)^-(12*Z$3-$A18+3))+$AY19)</f>
        <v>16.2886157541815</v>
      </c>
      <c r="AA18" s="705" cm="1">
        <f t="array" ref="AA18">IF(AA$3*12&lt;=$A18,0,$K17*'depto - Departamento'!$D$8/12/(1-(1+'depto - Departamento'!$D$8/12)^-(12*AA$3-$A18+3))+$AY19)</f>
        <v>18.3600103549432</v>
      </c>
      <c r="AB18" s="705" cm="1">
        <f t="array" ref="AB18">IF(AB$3*12&lt;=$A18,0,$K17*'depto - Departamento'!$D$8/12/(1-(1+'depto - Departamento'!$D$8/12)^-(12*AB$3-$A18+3))+$AY19)</f>
        <v>22.0317760406334</v>
      </c>
      <c r="AC18" s="705" cm="1">
        <f t="array" ref="AC18">IF(AC$3*12&lt;=$A18,0,$K17*'depto - Departamento'!$D$8/12/(1-(1+'depto - Departamento'!$D$8/12)^-(12*AC$3-$A18+3))+$AY19)</f>
        <v>25.9003683493631</v>
      </c>
      <c r="AD18" s="705" cm="1">
        <f t="array" ref="AD18">IF(AD$3*12&lt;=$A18,0,$K17*'depto - Departamento'!$D$8/12/(1-(1+'depto - Departamento'!$D$8/12)^-(12*AD$3-$A18+3))+$AY19)</f>
        <v>29.9314281879529</v>
      </c>
      <c r="AE18" s="705" cm="1">
        <f t="array" ref="AE18">IF(AE$3*12&lt;=$A18,0,$K17*'depto - Departamento'!$D$8/12/(1-(1+'depto - Departamento'!$D$8/12)^-(12*AE$3-$A18+3))+$AY19)</f>
        <v>57.2933522957022</v>
      </c>
      <c r="AF18" s="705" cm="1">
        <f t="array" ref="AF18">80.0147</f>
        <v>80.0147</v>
      </c>
      <c r="AG18" s="705"/>
      <c r="AH18" s="705"/>
      <c r="AI18" s="717" cm="1">
        <f t="array" ref="AI18">$F18*Y18</f>
        <v>579567.8881719999</v>
      </c>
      <c r="AJ18" s="704" cm="1">
        <f t="array" ref="AJ18">$F18*Z18</f>
        <v>631901.69977082</v>
      </c>
      <c r="AK18" s="704" cm="1">
        <f t="array" ref="AK18">$F18*AA18</f>
        <v>712259.5269103911</v>
      </c>
      <c r="AL18" s="704" cm="1">
        <f t="array" ref="AL18">$F18*AB18</f>
        <v>854702.261944655</v>
      </c>
      <c r="AM18" s="704" cm="1">
        <f t="array" ref="AM18">$F18*AC18</f>
        <v>1004780.70277098</v>
      </c>
      <c r="AN18" s="704" cm="1">
        <f t="array" ref="AN18">$F18*AD18</f>
        <v>1161161.92032342</v>
      </c>
      <c r="AO18" s="704" cm="1">
        <f t="array" ref="AO18">$F18*AE18</f>
        <v>2222642.31949413</v>
      </c>
      <c r="AP18" s="704" cm="1">
        <f t="array" ref="AP18">$F18*AF18</f>
        <v>3104095.872829</v>
      </c>
      <c r="AQ18" s="705"/>
      <c r="AR18" s="718" cm="1">
        <f t="array" ref="AR18">K17-K18</f>
        <v>43.4055</v>
      </c>
      <c r="AS18" s="718" cm="1">
        <f t="array" ref="AS18">D18-AR18</f>
        <v>11.5945</v>
      </c>
      <c r="AT18" s="705"/>
      <c r="AU18" s="719" cm="1">
        <f t="array" ref="AU18">ROUND(AV18*F18,0)</f>
        <v>48543</v>
      </c>
      <c r="AV18" s="720">
        <v>1.2513</v>
      </c>
      <c r="AW18" s="719" cm="1">
        <f t="array" ref="AW18">ROUND(F18*AX18,0)</f>
        <v>4229</v>
      </c>
      <c r="AX18" s="720">
        <v>0.109</v>
      </c>
      <c r="AY18" s="721" cm="1">
        <f t="array" ref="AY18">SUM(AV18,AX18)</f>
        <v>1.3603</v>
      </c>
      <c r="AZ18" s="719" cm="1">
        <f t="array" ref="AZ18">ROUND(SUM(AV18,AX18)*F18,0)</f>
        <v>52772</v>
      </c>
      <c r="BA18" s="722">
        <v>129770</v>
      </c>
      <c r="BB18" s="723" cm="1">
        <f t="array" ref="BB18">ROUND(BA18/$F18,4)</f>
        <v>3.3451</v>
      </c>
      <c r="BC18" s="722" cm="1">
        <f t="array" ref="BC18">J18-SUM(AZ18,BA18,BG18)</f>
        <v>1554106</v>
      </c>
      <c r="BD18" s="723" cm="1">
        <f t="array" ref="BD18">ROUND(BC18/$F18,4)</f>
        <v>40.0604</v>
      </c>
      <c r="BE18" s="724" cm="1">
        <f t="array" ref="BE18">BC18+BA18</f>
        <v>1683876</v>
      </c>
      <c r="BF18" s="723" cm="1">
        <f t="array" ref="BF18">ROUND(BB18+BD18,4)</f>
        <v>43.4055</v>
      </c>
      <c r="BG18" s="725">
        <v>397026</v>
      </c>
      <c r="BH18" s="726" cm="1">
        <f t="array" ref="BH18">ROUND(BG18/$F18,4)</f>
        <v>10.2342</v>
      </c>
      <c r="BI18" s="711" cm="1">
        <f t="array" ref="BI18">M17-M18</f>
        <v>669882</v>
      </c>
      <c r="BJ18" s="711" cm="1">
        <f t="array" ref="BJ18">BE18-BI18</f>
        <v>1013994</v>
      </c>
      <c r="BK18" s="711" cm="1">
        <f t="array" ref="BK18">-BJ18</f>
        <v>-1013994</v>
      </c>
      <c r="BL18" s="711" cm="1">
        <f t="array" ref="BL18">BG18+BJ18</f>
        <v>1411020</v>
      </c>
      <c r="BM18" s="711" cm="1">
        <f t="array" ref="BM18">AVERAGE(BL17:BL18,BL15)</f>
        <v>773578.666666667</v>
      </c>
      <c r="BN18" s="727" cm="1">
        <f t="array" ref="BN18">BH17-BH18</f>
        <v>0.2749</v>
      </c>
      <c r="BO18" s="705" cm="1">
        <f t="array" ref="BO18">K17*((1+'depto - Departamento'!$D$8)^(1/12)-1)</f>
        <v>10.1764422272073</v>
      </c>
      <c r="BP18" s="728" cm="1">
        <f t="array" ref="BP18">(BA18+BC18)/BG18</f>
        <v>4.24122349669795</v>
      </c>
      <c r="BQ18" s="728" cm="1">
        <f t="array" ref="BQ18">Y18-BB18</f>
        <v>11.5945</v>
      </c>
      <c r="BR18" s="728" cm="1">
        <f t="array" ref="BR18">(BR$4*(1+BR$4)^BR$3*K17)/((1+BR$4)^BR$3-1)</f>
        <v>13.4643401865918</v>
      </c>
      <c r="BS18" s="715"/>
      <c r="BT18" s="704"/>
      <c r="BU18" s="704" cm="1">
        <f t="array" ref="BU18">SUM(C$5:C18)</f>
        <v>116891155</v>
      </c>
      <c r="BV18" s="704" cm="1">
        <f t="array" ref="BV18">BA18+BC18+BV17</f>
        <v>57415500</v>
      </c>
      <c r="BW18" s="704" cm="1">
        <f t="array" ref="BW18">BG18+BW17</f>
        <v>4895726</v>
      </c>
      <c r="BX18" s="714" cm="1">
        <f t="array" ref="BX18">BF18+BX16</f>
        <v>1436.4162</v>
      </c>
      <c r="BY18" s="714" cm="1">
        <f t="array" ref="BY18">BH18+BY17</f>
        <v>128.6481</v>
      </c>
      <c r="BZ18" s="704" cm="1">
        <f t="array" ref="BZ18">SUM(BJ$6:BJ18)</f>
        <v>6957075</v>
      </c>
      <c r="CA18" s="714"/>
      <c r="CB18" s="714"/>
      <c r="CC18" s="704" cm="1">
        <f t="array" ref="CC18">SUM(BE$6:BE18)</f>
        <v>57415500</v>
      </c>
      <c r="CD18" s="714"/>
      <c r="CE18" s="714"/>
      <c r="CF18" s="704" cm="1">
        <f t="array" ref="CF18">'net worth - Table 1-1'!K95</f>
        <v>4776572.4</v>
      </c>
      <c r="CG18" s="704" cm="1">
        <f t="array" ref="CG18">'net worth - Table 1-3'!E96</f>
        <v>8883436</v>
      </c>
      <c r="CH18" s="704" cm="1">
        <f t="array" ref="CH18">'net worth - Table 1-2'!C95</f>
        <v>1721793</v>
      </c>
      <c r="CI18" s="704" cm="1">
        <f t="array" ref="CI18">SUM(CF18:CH18)</f>
        <v>15381801.4</v>
      </c>
      <c r="CJ18" s="704" cm="1">
        <f t="array" ref="CJ18">('net worth - Table 1-3'!AY96+'net worth - Table 1-3'!BF96)*0.85+'net worth - Table 1-3'!AJ96</f>
        <v>39863582.6</v>
      </c>
      <c r="CK18" s="704" cm="1">
        <f t="array" ref="CK18">CI18+CJ18</f>
        <v>55245384</v>
      </c>
      <c r="CL18" s="704" cm="1">
        <f t="array" ref="CL18">M18-CK18</f>
        <v>40928723</v>
      </c>
      <c r="CM18" s="704" cm="1">
        <f t="array" ref="CM18">M18-CI18</f>
        <v>80792305.59999999</v>
      </c>
    </row>
    <row r="19" ht="19.35" customHeight="1">
      <c r="A19" s="689">
        <v>14</v>
      </c>
      <c r="B19" s="703">
        <v>45758</v>
      </c>
      <c r="C19" s="704" cm="1">
        <f t="array" ref="C19">J19</f>
        <v>1519135</v>
      </c>
      <c r="D19" s="705">
        <v>39</v>
      </c>
      <c r="E19" s="706" cm="1">
        <f t="array" ref="E19">D19/K18</f>
        <v>0.0157315598890401</v>
      </c>
      <c r="F19" s="707">
        <v>38952.17</v>
      </c>
      <c r="G19" s="706" cm="1">
        <f t="array" ref="G19">ROUND((F19-F18)/F18,3)</f>
        <v>0.004</v>
      </c>
      <c r="H19" s="706" cm="1">
        <f t="array" ref="H19">SUM(G6:G19)</f>
        <v>0.0482117845230287</v>
      </c>
      <c r="I19" s="708" cm="1">
        <f t="array" ref="I19">H19+4.95/100</f>
        <v>0.0977117845230287</v>
      </c>
      <c r="J19" s="704" cm="1">
        <f t="array" ref="J19">ROUND(D19*F19,0)</f>
        <v>1519135</v>
      </c>
      <c r="K19" s="709" cm="1">
        <f t="array" ref="K19">K18-IF(ISBLANK(D19),0,BF19)</f>
        <v>2451.5105</v>
      </c>
      <c r="L19" s="710" cm="1">
        <f t="array" ref="L19">K19/K$5</f>
        <v>0.620635569620253</v>
      </c>
      <c r="M19" s="711" cm="1">
        <f t="array" ref="M19">ROUND(K19*F19,0)</f>
        <v>95491654</v>
      </c>
      <c r="N19" s="712" cm="1">
        <f t="array" ref="N19">M19/M$5</f>
        <v>0.651231024231376</v>
      </c>
      <c r="O19" s="711" cm="1">
        <f t="array" ref="O19">M19-M18</f>
        <v>-682453</v>
      </c>
      <c r="P19" s="713" cm="1">
        <f t="array" ref="P19">T19-K19</f>
        <v>2948.4895</v>
      </c>
      <c r="Q19" s="711" cm="1">
        <f t="array" ref="Q19">ROUND(P19*F19,0)</f>
        <v>114850064</v>
      </c>
      <c r="R19" s="714" cm="1">
        <f t="array" ref="R19">$K$5-K19</f>
        <v>1498.4895</v>
      </c>
      <c r="S19" s="711" cm="1">
        <f t="array" ref="S19">Q19-Q18</f>
        <v>1536193</v>
      </c>
      <c r="T19" s="714">
        <v>5400</v>
      </c>
      <c r="U19" s="711" cm="1">
        <f t="array" ref="U19">T19*F19</f>
        <v>210341718</v>
      </c>
      <c r="V19" s="704" cm="1">
        <f t="array" ref="V19">-S19</f>
        <v>-1536193</v>
      </c>
      <c r="W19" s="715"/>
      <c r="X19" s="715" cm="1">
        <f t="array" ref="X19">$K18*4.95/12/100/(1-(1+4.95/12/100)^-(360-$A19))+$AY19</f>
        <v>14.8259367594889</v>
      </c>
      <c r="Y19" s="716">
        <v>14.723</v>
      </c>
      <c r="Z19" s="705" cm="1">
        <f t="array" ref="Z19">IF(Z$3*12&lt;=$A19,0,$K18*'depto - Departamento'!$D$8/12/(1-(1+'depto - Departamento'!$D$8/12)^-(12*Z$3-$A19+3))+$AY20)</f>
        <v>16.0568749701708</v>
      </c>
      <c r="AA19" s="705" cm="1">
        <f t="array" ref="AA19">IF(AA$3*12&lt;=$A19,0,$K18*'depto - Departamento'!$D$8/12/(1-(1+'depto - Departamento'!$D$8/12)^-(12*AA$3-$A19+3))+$AY20)</f>
        <v>18.1100663424952</v>
      </c>
      <c r="AB19" s="705" cm="1">
        <f t="array" ref="AB19">IF(AB$3*12&lt;=$A19,0,$K18*'depto - Departamento'!$D$8/12/(1-(1+'depto - Departamento'!$D$8/12)^-(12*AB$3-$A19+3))+$AY20)</f>
        <v>21.757885068987</v>
      </c>
      <c r="AC19" s="705" cm="1">
        <f t="array" ref="AC19">IF(AC$3*12&lt;=$A19,0,$K18*'depto - Departamento'!$D$8/12/(1-(1+'depto - Departamento'!$D$8/12)^-(12*AC$3-$A19+3))+$AY20)</f>
        <v>25.6128002169658</v>
      </c>
      <c r="AD19" s="705" cm="1">
        <f t="array" ref="AD19">IF(AD$3*12&lt;=$A19,0,$K18*'depto - Departamento'!$D$8/12/(1-(1+'depto - Departamento'!$D$8/12)^-(12*AD$3-$A19+3))+$AY20)</f>
        <v>29.6422791070834</v>
      </c>
      <c r="AE19" s="705" cm="1">
        <f t="array" ref="AE19">IF(AE$3*12&lt;=$A19,0,$K18*'depto - Departamento'!$D$8/12/(1-(1+'depto - Departamento'!$D$8/12)^-(12*AE$3-$A19+3))+$AY20)</f>
        <v>57.3401197959987</v>
      </c>
      <c r="AF19" s="705" cm="1">
        <f t="array" ref="AF19">AF18-(AF17-AF18)</f>
        <v>79.99169999999999</v>
      </c>
      <c r="AG19" s="705"/>
      <c r="AH19" s="705"/>
      <c r="AI19" s="717" cm="1">
        <f t="array" ref="AI19">$F19*Y19</f>
        <v>573492.79891</v>
      </c>
      <c r="AJ19" s="704" cm="1">
        <f t="array" ref="AJ19">$F19*Z19</f>
        <v>625450.123506838</v>
      </c>
      <c r="AK19" s="704" cm="1">
        <f t="array" ref="AK19">$F19*AA19</f>
        <v>705426.382884151</v>
      </c>
      <c r="AL19" s="704" cm="1">
        <f t="array" ref="AL19">$F19*AB19</f>
        <v>847516.838047643</v>
      </c>
      <c r="AM19" s="704" cm="1">
        <f t="array" ref="AM19">$F19*AC19</f>
        <v>997674.148227289</v>
      </c>
      <c r="AN19" s="704" cm="1">
        <f t="array" ref="AN19">$F19*AD19</f>
        <v>1154631.09496656</v>
      </c>
      <c r="AO19" s="704" cm="1">
        <f t="array" ref="AO19">$F19*AE19</f>
        <v>2233522.09411411</v>
      </c>
      <c r="AP19" s="704" cm="1">
        <f t="array" ref="AP19">$F19*AF19</f>
        <v>3115850.296989</v>
      </c>
      <c r="AQ19" s="705"/>
      <c r="AR19" s="718" cm="1">
        <f t="array" ref="AR19">K18-K19</f>
        <v>27.5825</v>
      </c>
      <c r="AS19" s="718" cm="1">
        <f t="array" ref="AS19">D19-AR19</f>
        <v>11.4175</v>
      </c>
      <c r="AT19" s="705"/>
      <c r="AU19" s="719" cm="1">
        <f t="array" ref="AU19">ROUND(AV19*F19,0)</f>
        <v>48741</v>
      </c>
      <c r="AV19" s="720">
        <v>1.2513</v>
      </c>
      <c r="AW19" s="719" cm="1">
        <f t="array" ref="AW19">ROUND(F19*AX19,0)</f>
        <v>4172</v>
      </c>
      <c r="AX19" s="720">
        <v>0.1071</v>
      </c>
      <c r="AY19" s="721" cm="1">
        <f t="array" ref="AY19">SUM(AV19,AX19)</f>
        <v>1.3584</v>
      </c>
      <c r="AZ19" s="719" cm="1">
        <f t="array" ref="AZ19">ROUND(SUM(AV19,AX19)*F19,0)</f>
        <v>52913</v>
      </c>
      <c r="BA19" s="722">
        <v>128756</v>
      </c>
      <c r="BB19" s="723" cm="1">
        <f t="array" ref="BB19">ROUND(BA19/$F19,4)</f>
        <v>3.3055</v>
      </c>
      <c r="BC19" s="722" cm="1">
        <f t="array" ref="BC19">J19-SUM(AZ19,BA19,BG19)</f>
        <v>945642</v>
      </c>
      <c r="BD19" s="723" cm="1">
        <f t="array" ref="BD19">ROUND(BC19/$F19,4)</f>
        <v>24.277</v>
      </c>
      <c r="BE19" s="724" cm="1">
        <f t="array" ref="BE19">BC19+BA19</f>
        <v>1074398</v>
      </c>
      <c r="BF19" s="723" cm="1">
        <f t="array" ref="BF19">ROUND(BB19+BD19,4)</f>
        <v>27.5825</v>
      </c>
      <c r="BG19" s="725">
        <v>391824</v>
      </c>
      <c r="BH19" s="726" cm="1">
        <f t="array" ref="BH19">ROUND(BG19/$F19,4)</f>
        <v>10.0591</v>
      </c>
      <c r="BI19" s="711" cm="1">
        <f t="array" ref="BI19">M18-M19</f>
        <v>682453</v>
      </c>
      <c r="BJ19" s="711" cm="1">
        <f t="array" ref="BJ19">BE19-BI19</f>
        <v>391945</v>
      </c>
      <c r="BK19" s="711" cm="1">
        <f t="array" ref="BK19">-BJ19</f>
        <v>-391945</v>
      </c>
      <c r="BL19" s="711" cm="1">
        <f t="array" ref="BL19">BG19+BJ19</f>
        <v>783769</v>
      </c>
      <c r="BM19" s="711" cm="1">
        <f t="array" ref="BM19">AVERAGE(BL17:BL19)</f>
        <v>866085</v>
      </c>
      <c r="BN19" s="727" cm="1">
        <f t="array" ref="BN19">BH18-BH19</f>
        <v>0.1751</v>
      </c>
      <c r="BO19" s="705" cm="1">
        <f t="array" ref="BO19">K18*((1+'depto - Departamento'!$D$8)^(1/12)-1)</f>
        <v>10.001332682804</v>
      </c>
      <c r="BP19" s="728" cm="1">
        <f t="array" ref="BP19">(BA19+BC19)/BG19</f>
        <v>2.7420423455429</v>
      </c>
      <c r="BQ19" s="728" cm="1">
        <f t="array" ref="BQ19">Y19-BB19</f>
        <v>11.4175</v>
      </c>
      <c r="BR19" s="728" cm="1">
        <f t="array" ref="BR19">(BR$4*(1+BR$4)^BR$3*K18)/((1+BR$4)^BR$3-1)</f>
        <v>13.2326546502202</v>
      </c>
      <c r="BS19" s="715"/>
      <c r="BT19" s="704"/>
      <c r="BU19" s="704" cm="1">
        <f t="array" ref="BU19">SUM(C$5:C19)</f>
        <v>118410290</v>
      </c>
      <c r="BV19" s="704" cm="1">
        <f t="array" ref="BV19">BA19+BC19+BV18</f>
        <v>58489898</v>
      </c>
      <c r="BW19" s="704" cm="1">
        <f t="array" ref="BW19">BG19+BW18</f>
        <v>5287550</v>
      </c>
      <c r="BX19" s="714" cm="1">
        <f t="array" ref="BX19">BF19+BX18</f>
        <v>1463.9987</v>
      </c>
      <c r="BY19" s="714" cm="1">
        <f t="array" ref="BY19">BH19+BY18</f>
        <v>138.7072</v>
      </c>
      <c r="BZ19" s="704" cm="1">
        <f t="array" ref="BZ19">SUM(BJ$6:BJ19)</f>
        <v>7349020</v>
      </c>
      <c r="CA19" s="714"/>
      <c r="CB19" s="714"/>
      <c r="CC19" s="704" cm="1">
        <f t="array" ref="CC19">SUM(BE$6:BE19)</f>
        <v>58489898</v>
      </c>
      <c r="CD19" s="714"/>
      <c r="CE19" s="714"/>
      <c r="CF19" s="704" cm="1">
        <f t="array" ref="CF19">'net worth - Table 1-1'!K96</f>
        <v>5912818</v>
      </c>
      <c r="CG19" s="704" cm="1">
        <f t="array" ref="CG19">'net worth - Table 1-3'!E97</f>
        <v>7768712</v>
      </c>
      <c r="CH19" s="704" cm="1">
        <f t="array" ref="CH19">'net worth - Table 1-2'!C96</f>
        <v>1974510</v>
      </c>
      <c r="CI19" s="704" cm="1">
        <f t="array" ref="CI19">SUM(CF19:CH19)</f>
        <v>15656040</v>
      </c>
      <c r="CJ19" s="704" cm="1">
        <f t="array" ref="CJ19">('net worth - Table 1-3'!AY97+'net worth - Table 1-3'!BF97)*0.85+'net worth - Table 1-3'!AJ97</f>
        <v>40189907.95</v>
      </c>
      <c r="CK19" s="704" cm="1">
        <f t="array" ref="CK19">CI19+CJ19</f>
        <v>55845947.95</v>
      </c>
      <c r="CL19" s="704" cm="1">
        <f t="array" ref="CL19">M19-CK19</f>
        <v>39645706.05</v>
      </c>
      <c r="CM19" s="704" cm="1">
        <f t="array" ref="CM19">M19-CI19</f>
        <v>79835614</v>
      </c>
    </row>
    <row r="20" ht="19.35" customHeight="1">
      <c r="A20" s="689">
        <v>15</v>
      </c>
      <c r="B20" s="703">
        <v>45788</v>
      </c>
      <c r="C20" s="704" cm="1">
        <f t="array" ref="C20">J20</f>
        <v>1565558</v>
      </c>
      <c r="D20" s="705">
        <v>40</v>
      </c>
      <c r="E20" s="706" cm="1">
        <f t="array" ref="E20">D20/K19</f>
        <v>0.0163164710083844</v>
      </c>
      <c r="F20" s="707">
        <v>39138.96</v>
      </c>
      <c r="G20" s="706" cm="1">
        <f t="array" ref="G20">ROUND((F20-F19)/F19,3)</f>
        <v>0.005</v>
      </c>
      <c r="H20" s="706" cm="1">
        <f t="array" ref="H20">SUM(G7:G20)</f>
        <v>0.0487772365333643</v>
      </c>
      <c r="I20" s="708" cm="1">
        <f t="array" ref="I20">H20+4.95/100</f>
        <v>0.0982772365333643</v>
      </c>
      <c r="J20" s="704" cm="1">
        <f t="array" ref="J20">ROUND(D20*F20,0)</f>
        <v>1565558</v>
      </c>
      <c r="K20" s="709" cm="1">
        <f t="array" ref="K20">K19-IF(ISBLANK(D20),0,BF20)</f>
        <v>2422.8156</v>
      </c>
      <c r="L20" s="710" cm="1">
        <f t="array" ref="L20">K20/K$5</f>
        <v>0.613371037974684</v>
      </c>
      <c r="M20" s="711" cm="1">
        <f t="array" ref="M20">ROUND(K20*F20,0)</f>
        <v>94826483</v>
      </c>
      <c r="N20" s="712" cm="1">
        <f t="array" ref="N20">M20/M$5</f>
        <v>0.6466947116482989</v>
      </c>
      <c r="O20" s="711" cm="1">
        <f t="array" ref="O20">M20-M19</f>
        <v>-665171</v>
      </c>
      <c r="P20" s="713" cm="1">
        <f t="array" ref="P20">T20-K20</f>
        <v>2977.1844</v>
      </c>
      <c r="Q20" s="711" cm="1">
        <f t="array" ref="Q20">ROUND(P20*F20,0)</f>
        <v>116523901</v>
      </c>
      <c r="R20" s="714" cm="1">
        <f t="array" ref="R20">$K$5-K20</f>
        <v>1527.1844</v>
      </c>
      <c r="S20" s="711" cm="1">
        <f t="array" ref="S20">Q20-Q19</f>
        <v>1673837</v>
      </c>
      <c r="T20" s="714">
        <v>5400</v>
      </c>
      <c r="U20" s="711" cm="1">
        <f t="array" ref="U20">T20*F20</f>
        <v>211350384</v>
      </c>
      <c r="V20" s="704" cm="1">
        <f t="array" ref="V20">-S20</f>
        <v>-1673837</v>
      </c>
      <c r="W20" s="715"/>
      <c r="X20" s="715" cm="1">
        <f t="array" ref="X20">$K19*4.95/12/100/(1-(1+4.95/12/100)^-(360-$A20))+$AY20</f>
        <v>14.6923312937861</v>
      </c>
      <c r="Y20" s="716" cm="1">
        <f t="array" ref="Y20">K19*4.95/12/100/(1-(1+4.95/12/100)^-(360-$A20+3))+$AY20</f>
        <v>14.6403760335886</v>
      </c>
      <c r="Z20" s="705" cm="1">
        <f t="array" ref="Z20">IF(Z$3*12&lt;=$A20,0,$K19*'depto - Departamento'!$D$8/12/(1-(1+'depto - Departamento'!$D$8/12)^-(12*Z$3-$A20+3))+$AY21)</f>
        <v>15.9184029543716</v>
      </c>
      <c r="AA20" s="705" cm="1">
        <f t="array" ref="AA20">IF(AA$3*12&lt;=$A20,0,$K19*'depto - Departamento'!$D$8/12/(1-(1+'depto - Departamento'!$D$8/12)^-(12*AA$3-$A20+3))+$AY21)</f>
        <v>17.9662022060612</v>
      </c>
      <c r="AB20" s="705" cm="1">
        <f t="array" ref="AB20">IF(AB$3*12&lt;=$A20,0,$K19*'depto - Departamento'!$D$8/12/(1-(1+'depto - Departamento'!$D$8/12)^-(12*AB$3-$A20+3))+$AY21)</f>
        <v>21.6128420803693</v>
      </c>
      <c r="AC20" s="705" cm="1">
        <f t="array" ref="AC20">IF(AC$3*12&lt;=$A20,0,$K19*'depto - Departamento'!$D$8/12/(1-(1+'depto - Departamento'!$D$8/12)^-(12*AC$3-$A20+3))+$AY21)</f>
        <v>25.4782405810387</v>
      </c>
      <c r="AD20" s="705" cm="1">
        <f t="array" ref="AD20">IF(AD$3*12&lt;=$A20,0,$K19*'depto - Departamento'!$D$8/12/(1-(1+'depto - Departamento'!$D$8/12)^-(12*AD$3-$A20+3))+$AY21)</f>
        <v>29.5316218590709</v>
      </c>
      <c r="AE20" s="705" cm="1">
        <f t="array" ref="AE20">IF(AE$3*12&lt;=$A20,0,$K19*'depto - Departamento'!$D$8/12/(1-(1+'depto - Departamento'!$D$8/12)^-(12*AE$3-$A20+3))+$AY21)</f>
        <v>57.7570463784033</v>
      </c>
      <c r="AF20" s="705" cm="1">
        <f t="array" ref="AF20">80.0128</f>
        <v>80.0128</v>
      </c>
      <c r="AG20" s="705"/>
      <c r="AH20" s="705"/>
      <c r="AI20" s="717" cm="1">
        <f t="array" ref="AI20">$F20*Y20</f>
        <v>573009.091963583</v>
      </c>
      <c r="AJ20" s="704" cm="1">
        <f t="array" ref="AJ20">$F20*Z20</f>
        <v>623029.736495032</v>
      </c>
      <c r="AK20" s="704" cm="1">
        <f t="array" ref="AK20">$F20*AA20</f>
        <v>703178.4694949409</v>
      </c>
      <c r="AL20" s="704" cm="1">
        <f t="array" ref="AL20">$F20*AB20</f>
        <v>845904.161669891</v>
      </c>
      <c r="AM20" s="704" cm="1">
        <f t="array" ref="AM20">$F20*AC20</f>
        <v>997191.83897165</v>
      </c>
      <c r="AN20" s="704" cm="1">
        <f t="array" ref="AN20">$F20*AD20</f>
        <v>1155836.9666773</v>
      </c>
      <c r="AO20" s="704" cm="1">
        <f t="array" ref="AO20">$F20*AE20</f>
        <v>2260550.72792247</v>
      </c>
      <c r="AP20" s="704" cm="1">
        <f t="array" ref="AP20">$F20*AF20</f>
        <v>3131617.778688</v>
      </c>
      <c r="AQ20" s="705"/>
      <c r="AR20" s="718" cm="1">
        <f t="array" ref="AR20">K19-K20</f>
        <v>28.6949</v>
      </c>
      <c r="AS20" s="718" cm="1">
        <f t="array" ref="AS20">D20-AR20</f>
        <v>11.3051</v>
      </c>
      <c r="AT20" s="705"/>
      <c r="AU20" s="719" cm="1">
        <f t="array" ref="AU20">ROUND(AV20*F20,0)</f>
        <v>48975</v>
      </c>
      <c r="AV20" s="720">
        <v>1.2513</v>
      </c>
      <c r="AW20" s="719" cm="1">
        <f t="array" ref="AW20">ROUND(F20*AX20,0)</f>
        <v>4145</v>
      </c>
      <c r="AX20" s="720">
        <v>0.1059</v>
      </c>
      <c r="AY20" s="721" cm="1">
        <f t="array" ref="AY20">SUM(AV20,AX20)</f>
        <v>1.3572</v>
      </c>
      <c r="AZ20" s="719" cm="1">
        <f t="array" ref="AZ20">SUM(AU20,AW20)</f>
        <v>53120</v>
      </c>
      <c r="BA20" s="722">
        <v>128622</v>
      </c>
      <c r="BB20" s="723" cm="1">
        <f t="array" ref="BB20">ROUND(BA20/$F20,4)</f>
        <v>3.2863</v>
      </c>
      <c r="BC20" s="722" cm="1">
        <f t="array" ref="BC20">J20-SUM(AZ20,BA20,BG20)</f>
        <v>994462</v>
      </c>
      <c r="BD20" s="723" cm="1">
        <f t="array" ref="BD20">ROUND(BC20/$F20,4)</f>
        <v>25.4085</v>
      </c>
      <c r="BE20" s="724" cm="1">
        <f t="array" ref="BE20">BC20+BA20</f>
        <v>1123084</v>
      </c>
      <c r="BF20" s="723" cm="1">
        <f t="array" ref="BF20">ROUND(BE20/F20,4)+0.0001</f>
        <v>28.6949</v>
      </c>
      <c r="BG20" s="725">
        <v>389354</v>
      </c>
      <c r="BH20" s="726" cm="1">
        <f t="array" ref="BH20">ROUND(BG20/$F20,4)</f>
        <v>9.948</v>
      </c>
      <c r="BI20" s="711" cm="1">
        <f t="array" ref="BI20">M19-M20</f>
        <v>665171</v>
      </c>
      <c r="BJ20" s="711" cm="1">
        <f t="array" ref="BJ20">BE20-BI20</f>
        <v>457913</v>
      </c>
      <c r="BK20" s="711" cm="1">
        <f t="array" ref="BK20">-BJ20</f>
        <v>-457913</v>
      </c>
      <c r="BL20" s="711" cm="1">
        <f t="array" ref="BL20">BG20+BJ20</f>
        <v>847267</v>
      </c>
      <c r="BM20" s="711" cm="1">
        <f t="array" ref="BM20">AVERAGE(BL18:BL20)</f>
        <v>1014018.66666667</v>
      </c>
      <c r="BN20" s="727" cm="1">
        <f t="array" ref="BN20">BH19-BH20</f>
        <v>0.1111</v>
      </c>
      <c r="BO20" s="705" cm="1">
        <f t="array" ref="BO20">K19*((1+'depto - Departamento'!$D$8)^(1/12)-1)</f>
        <v>9.890057406433421</v>
      </c>
      <c r="BP20" s="728" cm="1">
        <f t="array" ref="BP20">(BA20+BC20)/BG20</f>
        <v>2.88448044709955</v>
      </c>
      <c r="BQ20" s="728" cm="1">
        <f t="array" ref="BQ20">Y20-BB20</f>
        <v>11.3540760335886</v>
      </c>
      <c r="BR20" s="728" cm="1">
        <f t="array" ref="BR20">(BR$4*(1+BR$4)^BR$3*K19)/((1+BR$4)^BR$3-1)</f>
        <v>13.0854275405919</v>
      </c>
      <c r="BS20" s="715"/>
      <c r="BT20" s="704"/>
      <c r="BU20" s="704" cm="1">
        <f t="array" ref="BU20">SUM(C$5:C20)</f>
        <v>119975848</v>
      </c>
      <c r="BV20" s="704" cm="1">
        <f t="array" ref="BV20">BA20+BC20+BV19</f>
        <v>59612982</v>
      </c>
      <c r="BW20" s="704" cm="1">
        <f t="array" ref="BW20">BG20+BW19</f>
        <v>5676904</v>
      </c>
      <c r="BX20" s="714" cm="1">
        <f t="array" ref="BX20">BF20+BX19</f>
        <v>1492.6936</v>
      </c>
      <c r="BY20" s="714" cm="1">
        <f t="array" ref="BY20">BH20+BY19</f>
        <v>148.6552</v>
      </c>
      <c r="BZ20" s="704" cm="1">
        <f t="array" ref="BZ20">SUM(BJ$6:BJ20)</f>
        <v>7806933</v>
      </c>
      <c r="CA20" s="714"/>
      <c r="CB20" s="714"/>
      <c r="CC20" s="704" cm="1">
        <f t="array" ref="CC20">SUM(BE$6:BE20)</f>
        <v>59612982</v>
      </c>
      <c r="CD20" s="714"/>
      <c r="CE20" s="714"/>
      <c r="CF20" s="704" cm="1">
        <f t="array" ref="CF20">'net worth - Table 1-1'!K97</f>
        <v>5553109</v>
      </c>
      <c r="CG20" s="704" cm="1">
        <f t="array" ref="CG20">'net worth - Table 1-3'!E98</f>
        <v>8245002</v>
      </c>
      <c r="CH20" s="704" cm="1">
        <f t="array" ref="CH20">'net worth - Table 1-2'!C97</f>
        <v>2164795</v>
      </c>
      <c r="CI20" s="704" cm="1">
        <f t="array" ref="CI20">SUM(CF20:CH20)</f>
        <v>15962906</v>
      </c>
      <c r="CJ20" s="704" cm="1">
        <f t="array" ref="CJ20">('net worth - Table 1-3'!AY98+'net worth - Table 1-3'!BF98)*0.85+'net worth - Table 1-3'!AJ98</f>
        <v>42598309.3</v>
      </c>
      <c r="CK20" s="704" cm="1">
        <f t="array" ref="CK20">CI20+CJ20</f>
        <v>58561215.3</v>
      </c>
      <c r="CL20" s="704" cm="1">
        <f t="array" ref="CL20">M20-CK20</f>
        <v>36265267.7</v>
      </c>
      <c r="CM20" s="704" cm="1">
        <f t="array" ref="CM20">M20-CI20</f>
        <v>78863577</v>
      </c>
    </row>
    <row r="21" ht="19.35" customHeight="1">
      <c r="A21" s="689">
        <v>16</v>
      </c>
      <c r="B21" s="703">
        <v>45819</v>
      </c>
      <c r="C21" s="704" cm="1">
        <f t="array" ref="C21">J21</f>
        <v>1568696</v>
      </c>
      <c r="D21" s="705">
        <v>40</v>
      </c>
      <c r="E21" s="706" cm="1">
        <f t="array" ref="E21">D21/K20</f>
        <v>0.0165097170416106</v>
      </c>
      <c r="F21" s="707">
        <v>39217.41</v>
      </c>
      <c r="G21" s="706" cm="1">
        <f t="array" ref="G21">ROUND((F21-F20)/F20,3)</f>
        <v>0.002</v>
      </c>
      <c r="H21" s="706" cm="1">
        <f t="array" ref="H21">SUM(G8:G21)</f>
        <v>0.0447402443339843</v>
      </c>
      <c r="I21" s="708" cm="1">
        <f t="array" ref="I21">H21+4.95/100</f>
        <v>0.0942402443339843</v>
      </c>
      <c r="J21" s="704" cm="1">
        <f t="array" ref="J21">ROUND(D21*F21,0)</f>
        <v>1568696</v>
      </c>
      <c r="K21" s="709" cm="1">
        <f t="array" ref="K21">K20-IF(ISBLANK(D21),0,BF21)</f>
        <v>2394.0037</v>
      </c>
      <c r="L21" s="710" cm="1">
        <f t="array" ref="L21">K21/K$5</f>
        <v>0.606076886075949</v>
      </c>
      <c r="M21" s="711" cm="1">
        <f t="array" ref="M21">ROUND(K21*F21,0)</f>
        <v>93886625</v>
      </c>
      <c r="N21" s="712" cm="1">
        <f t="array" ref="N21">M21/M$5</f>
        <v>0.640285097170661</v>
      </c>
      <c r="O21" s="711" cm="1">
        <f t="array" ref="O21">M21-M20</f>
        <v>-939858</v>
      </c>
      <c r="P21" s="713" cm="1">
        <f t="array" ref="P21">T21-K21</f>
        <v>3005.9963</v>
      </c>
      <c r="Q21" s="711" cm="1">
        <f t="array" ref="Q21">ROUND(P21*F21,0)</f>
        <v>117887389</v>
      </c>
      <c r="R21" s="714" cm="1">
        <f t="array" ref="R21">$K$5-K21</f>
        <v>1555.9963</v>
      </c>
      <c r="S21" s="711" cm="1">
        <f t="array" ref="S21">Q21-Q20</f>
        <v>1363488</v>
      </c>
      <c r="T21" s="714">
        <v>5400</v>
      </c>
      <c r="U21" s="711" cm="1">
        <f t="array" ref="U21">T21*F21</f>
        <v>211774014</v>
      </c>
      <c r="V21" s="704" cm="1">
        <f t="array" ref="V21">-S21</f>
        <v>-1363488</v>
      </c>
      <c r="W21" s="715"/>
      <c r="X21" s="715" cm="1">
        <f t="array" ref="X21">$K20*4.95/12/100/(1-(1+4.95/12/100)^-(360-$A21))+$AY21</f>
        <v>14.552391156777</v>
      </c>
      <c r="Y21" s="716" cm="1">
        <f t="array" ref="Y21">14.4537</f>
        <v>14.4537</v>
      </c>
      <c r="Z21" s="705" cm="1">
        <f t="array" ref="Z21">IF(Z$3*12&lt;=$A21,0,$K20*'depto - Departamento'!$D$8/12/(1-(1+'depto - Departamento'!$D$8/12)^-(12*Z$3-$A21+3))+$AY22)</f>
        <v>15.5557216315533</v>
      </c>
      <c r="AA21" s="705" cm="1">
        <f t="array" ref="AA21">IF(AA$3*12&lt;=$A21,0,$K20*'depto - Departamento'!$D$8/12/(1-(1+'depto - Departamento'!$D$8/12)^-(12*AA$3-$A21+3))+$AY22)</f>
        <v>17.5970056015268</v>
      </c>
      <c r="AB21" s="705" cm="1">
        <f t="array" ref="AB21">IF(AB$3*12&lt;=$A21,0,$K20*'depto - Departamento'!$D$8/12/(1-(1+'depto - Departamento'!$D$8/12)^-(12*AB$3-$A21+3))+$AY22)</f>
        <v>21.2405219748837</v>
      </c>
      <c r="AC21" s="705" cm="1">
        <f t="array" ref="AC21">IF(AC$3*12&lt;=$A21,0,$K20*'depto - Departamento'!$D$8/12/(1-(1+'depto - Departamento'!$D$8/12)^-(12*AC$3-$A21+3))+$AY22)</f>
        <v>25.1145120156837</v>
      </c>
      <c r="AD21" s="705" cm="1">
        <f t="array" ref="AD21">IF(AD$3*12&lt;=$A21,0,$K20*'depto - Departamento'!$D$8/12/(1-(1+'depto - Departamento'!$D$8/12)^-(12*AD$3-$A21+3))+$AY22)</f>
        <v>29.1901222494301</v>
      </c>
      <c r="AE21" s="705" cm="1">
        <f t="array" ref="AE21">IF(AE$3*12&lt;=$A21,0,$K20*'depto - Departamento'!$D$8/12/(1-(1+'depto - Departamento'!$D$8/12)^-(12*AE$3-$A21+3))+$AY22)</f>
        <v>57.9512075368321</v>
      </c>
      <c r="AF21" s="705" cm="1">
        <f t="array" ref="AF21">80.0104</f>
        <v>80.0104</v>
      </c>
      <c r="AG21" s="705"/>
      <c r="AH21" s="705"/>
      <c r="AI21" s="717" cm="1">
        <f t="array" ref="AI21">$F21*Y21</f>
        <v>566836.678917</v>
      </c>
      <c r="AJ21" s="704" cm="1">
        <f t="array" ref="AJ21">$F21*Z21</f>
        <v>610055.113070495</v>
      </c>
      <c r="AK21" s="704" cm="1">
        <f t="array" ref="AK21">$F21*AA21</f>
        <v>690108.983447373</v>
      </c>
      <c r="AL21" s="704" cm="1">
        <f t="array" ref="AL21">$F21*AB21</f>
        <v>832998.258903024</v>
      </c>
      <c r="AM21" s="704" cm="1">
        <f t="array" ref="AM21">$F21*AC21</f>
        <v>984926.114668994</v>
      </c>
      <c r="AN21" s="704" cm="1">
        <f t="array" ref="AN21">$F21*AD21</f>
        <v>1144760.99220602</v>
      </c>
      <c r="AO21" s="704" cm="1">
        <f t="array" ref="AO21">$F21*AE21</f>
        <v>2272696.26596703</v>
      </c>
      <c r="AP21" s="704" cm="1">
        <f t="array" ref="AP21">$F21*AF21</f>
        <v>3137800.661064</v>
      </c>
      <c r="AQ21" s="705"/>
      <c r="AR21" s="718" cm="1">
        <f t="array" ref="AR21">K20-K21</f>
        <v>28.8119</v>
      </c>
      <c r="AS21" s="718" cm="1">
        <f t="array" ref="AS21">D21-AR21</f>
        <v>11.1881</v>
      </c>
      <c r="AT21" s="705"/>
      <c r="AU21" s="719" cm="1">
        <f t="array" ref="AU21">ROUND(AV21*F21,0)</f>
        <v>49073</v>
      </c>
      <c r="AV21" s="720">
        <v>1.2513</v>
      </c>
      <c r="AW21" s="719" cm="1">
        <f t="array" ref="AW21">ROUND(F21*AX21,0)</f>
        <v>4106</v>
      </c>
      <c r="AX21" s="720" cm="1">
        <f t="array" ref="AX21">0.1047</f>
        <v>0.1047</v>
      </c>
      <c r="AY21" s="721" cm="1">
        <f t="array" ref="AY21">SUM(AV21,AX21)</f>
        <v>1.356</v>
      </c>
      <c r="AZ21" s="719" cm="1">
        <f t="array" ref="AZ21">SUM(AU21,AW21)</f>
        <v>53179</v>
      </c>
      <c r="BA21" s="722">
        <v>128068</v>
      </c>
      <c r="BB21" s="723" cm="1">
        <f t="array" ref="BB21">ROUND(BA21/$F21,4)</f>
        <v>3.2656</v>
      </c>
      <c r="BC21" s="722" cm="1">
        <f t="array" ref="BC21">J21-SUM(AZ21,BA21,BG21)</f>
        <v>1001860</v>
      </c>
      <c r="BD21" s="723" cm="1">
        <f t="array" ref="BD21">ROUND(BC21/$F21,4)</f>
        <v>25.5463</v>
      </c>
      <c r="BE21" s="724" cm="1">
        <f t="array" ref="BE21">BC21+BA21</f>
        <v>1129928</v>
      </c>
      <c r="BF21" s="723" cm="1">
        <f t="array" ref="BF21">ROUND(BB21+BD21,4)</f>
        <v>28.8119</v>
      </c>
      <c r="BG21" s="725">
        <v>385589</v>
      </c>
      <c r="BH21" s="726" cm="1">
        <f t="array" ref="BH21">ROUND(BG21/$F21,4)</f>
        <v>9.832100000000001</v>
      </c>
      <c r="BI21" s="711" cm="1">
        <f t="array" ref="BI21">M20-M21</f>
        <v>939858</v>
      </c>
      <c r="BJ21" s="711" cm="1">
        <f t="array" ref="BJ21">BE21-BI21</f>
        <v>190070</v>
      </c>
      <c r="BK21" s="711" cm="1">
        <f t="array" ref="BK21">-BJ21</f>
        <v>-190070</v>
      </c>
      <c r="BL21" s="711" cm="1">
        <f t="array" ref="BL21">BG21+BJ21</f>
        <v>575659</v>
      </c>
      <c r="BM21" s="711" cm="1">
        <f t="array" ref="BM21">AVERAGE(BL19:BL21)</f>
        <v>735565</v>
      </c>
      <c r="BN21" s="727" cm="1">
        <f t="array" ref="BN21">BH20-BH21</f>
        <v>0.1159</v>
      </c>
      <c r="BO21" s="705" cm="1">
        <f t="array" ref="BO21">K20*((1+'depto - Departamento'!$D$8)^(1/12)-1)</f>
        <v>9.77429440714303</v>
      </c>
      <c r="BP21" s="728" cm="1">
        <f t="array" ref="BP21">(BA21+BC21)/BG21</f>
        <v>2.93039479860681</v>
      </c>
      <c r="BQ21" s="728" cm="1">
        <f t="array" ref="BQ21">Y21-BB21</f>
        <v>11.1881</v>
      </c>
      <c r="BR21" s="728" cm="1">
        <f t="array" ref="BR21">(BR$4*(1+BR$4)^BR$3*K20)/((1+BR$4)^BR$3-1)</f>
        <v>12.9322627735087</v>
      </c>
      <c r="BS21" s="715"/>
      <c r="BT21" s="704"/>
      <c r="BU21" s="704" cm="1">
        <f t="array" ref="BU21">SUM(C$5:C21)</f>
        <v>121544544</v>
      </c>
      <c r="BV21" s="704" cm="1">
        <f t="array" ref="BV21">BA21+BC21+BV20</f>
        <v>60742910</v>
      </c>
      <c r="BW21" s="704" cm="1">
        <f t="array" ref="BW21">BG21+BW20</f>
        <v>6062493</v>
      </c>
      <c r="BX21" s="714" cm="1">
        <f t="array" ref="BX21">BF21+BX20</f>
        <v>1521.5055</v>
      </c>
      <c r="BY21" s="714" cm="1">
        <f t="array" ref="BY21">BH21+BY20</f>
        <v>158.4873</v>
      </c>
      <c r="BZ21" s="704" cm="1">
        <f t="array" ref="BZ21">SUM(BJ$6:BJ21)</f>
        <v>7997003</v>
      </c>
      <c r="CA21" s="714"/>
      <c r="CB21" s="714"/>
      <c r="CC21" s="704" cm="1">
        <f t="array" ref="CC21">SUM(BE$6:BE21)</f>
        <v>60742910</v>
      </c>
      <c r="CD21" s="714"/>
      <c r="CE21" s="714"/>
      <c r="CF21" s="704" cm="1">
        <f t="array" ref="CF21">'net worth - Table 1-1'!K98</f>
        <v>3330381.75</v>
      </c>
      <c r="CG21" s="704" cm="1">
        <f t="array" ref="CG21">'net worth - Table 1-3'!E99</f>
        <v>8725297</v>
      </c>
      <c r="CH21" s="704" cm="1">
        <f t="array" ref="CH21">'net worth - Table 1-2'!C98</f>
        <v>2528175</v>
      </c>
      <c r="CI21" s="704" cm="1">
        <f t="array" ref="CI21">SUM(CF21:CH21)</f>
        <v>14583853.75</v>
      </c>
      <c r="CJ21" s="704" cm="1">
        <f t="array" ref="CJ21">('net worth - Table 1-3'!AY99+'net worth - Table 1-3'!BF99)*0.85+'net worth - Table 1-3'!AJ99</f>
        <v>44975554.1</v>
      </c>
      <c r="CK21" s="704" cm="1">
        <f t="array" ref="CK21">CI21+CJ21</f>
        <v>59559407.85</v>
      </c>
      <c r="CL21" s="704" cm="1">
        <f t="array" ref="CL21">M21-CK21</f>
        <v>34327217.15</v>
      </c>
      <c r="CM21" s="704" cm="1">
        <f t="array" ref="CM21">M21-CI21</f>
        <v>79302771.25</v>
      </c>
    </row>
    <row r="22" ht="19.35" customHeight="1">
      <c r="A22" s="689">
        <v>17</v>
      </c>
      <c r="B22" s="703">
        <v>45849</v>
      </c>
      <c r="C22" s="704">
        <v>800000</v>
      </c>
      <c r="D22" s="705" cm="1">
        <f t="array" ref="D22">ROUND(C22/F22,5)</f>
        <v>20.36637</v>
      </c>
      <c r="E22" s="706" cm="1">
        <f t="array" ref="E22">D22/K21</f>
        <v>0.008507242490895061</v>
      </c>
      <c r="F22" s="707">
        <v>39280.45</v>
      </c>
      <c r="G22" s="706" cm="1">
        <f t="array" ref="G22">ROUND((F22-F21)/F21,3)</f>
        <v>0.002</v>
      </c>
      <c r="H22" s="706" cm="1">
        <f t="array" ref="H22">SUM(G9:G22)</f>
        <v>0.0443055489788061</v>
      </c>
      <c r="I22" s="708" cm="1">
        <f t="array" ref="I22">H22+4.95/100</f>
        <v>0.09380554897880609</v>
      </c>
      <c r="J22" s="704" cm="1">
        <f t="array" ref="J22">C22</f>
        <v>800000</v>
      </c>
      <c r="K22" s="709" cm="1">
        <f t="array" ref="K22">K21-IF(ISBLANK(D22),0,BF22)</f>
        <v>2384.4909</v>
      </c>
      <c r="L22" s="710" cm="1">
        <f t="array" ref="L22">K22/K$5</f>
        <v>0.603668582278481</v>
      </c>
      <c r="M22" s="711" cm="1">
        <f t="array" ref="M22">ROUND(K22*F22,0)</f>
        <v>93663876</v>
      </c>
      <c r="N22" s="712" cm="1">
        <f t="array" ref="N22">M22/M$5</f>
        <v>0.638766000439793</v>
      </c>
      <c r="O22" s="711" cm="1">
        <f t="array" ref="O22">M22-M21</f>
        <v>-222749</v>
      </c>
      <c r="P22" s="713" cm="1">
        <f t="array" ref="P22">T22-K22</f>
        <v>3015.5091</v>
      </c>
      <c r="Q22" s="711" cm="1">
        <f t="array" ref="Q22">ROUND(P22*F22,0)</f>
        <v>118450554</v>
      </c>
      <c r="R22" s="714" cm="1">
        <f t="array" ref="R22">$K$5-K22</f>
        <v>1565.5091</v>
      </c>
      <c r="S22" s="711" cm="1">
        <f t="array" ref="S22">Q22-Q21</f>
        <v>563165</v>
      </c>
      <c r="T22" s="714">
        <v>5400</v>
      </c>
      <c r="U22" s="711" cm="1">
        <f t="array" ref="U22">T22*F22</f>
        <v>212114430</v>
      </c>
      <c r="V22" s="704" cm="1">
        <f t="array" ref="V22">-S22</f>
        <v>-563165</v>
      </c>
      <c r="W22" s="715"/>
      <c r="X22" s="715" cm="1">
        <f t="array" ref="X22">$K21*4.95/12/100/(1-(1+4.95/12/100)^-(360-$A22))+$AY22</f>
        <v>14.1943181760589</v>
      </c>
      <c r="Y22" s="716" cm="1">
        <f t="array" ref="Y22">K21*4.95/12/100/(1-(1+4.95/12/100)^-(360-$A22+3))+$AY22</f>
        <v>14.1428938038639</v>
      </c>
      <c r="Z22" s="705" cm="1">
        <f t="array" ref="Z22">IF(Z$3*12&lt;=$A22,0,$K21*'depto - Departamento'!$D$8/12/(1-(1+'depto - Departamento'!$D$8/12)^-(12*Z$3-$A22+3))+$AY23)</f>
        <v>15.4099243333612</v>
      </c>
      <c r="AA22" s="705" cm="1">
        <f t="array" ref="AA22">IF(AA$3*12&lt;=$A22,0,$K21*'depto - Departamento'!$D$8/12/(1-(1+'depto - Departamento'!$D$8/12)^-(12*AA$3-$A22+3))+$AY23)</f>
        <v>17.4443876487415</v>
      </c>
      <c r="AB22" s="705" cm="1">
        <f t="array" ref="AB22">IF(AB$3*12&lt;=$A22,0,$K21*'depto - Departamento'!$D$8/12/(1-(1+'depto - Departamento'!$D$8/12)^-(12*AB$3-$A22+3))+$AY23)</f>
        <v>21.0842858791367</v>
      </c>
      <c r="AC22" s="705" cm="1">
        <f t="array" ref="AC22">IF(AC$3*12&lt;=$A22,0,$K21*'depto - Departamento'!$D$8/12/(1-(1+'depto - Departamento'!$D$8/12)^-(12*AC$3-$A22+3))+$AY23)</f>
        <v>24.9665068844364</v>
      </c>
      <c r="AD22" s="705" cm="1">
        <f t="array" ref="AD22">IF(AD$3*12&lt;=$A22,0,$K21*'depto - Departamento'!$D$8/12/(1-(1+'depto - Departamento'!$D$8/12)^-(12*AD$3-$A22+3))+$AY23)</f>
        <v>29.064278159939</v>
      </c>
      <c r="AE22" s="705" cm="1">
        <f t="array" ref="AE22">IF(AE$3*12&lt;=$A22,0,$K21*'depto - Departamento'!$D$8/12/(1-(1+'depto - Departamento'!$D$8/12)^-(12*AE$3-$A22+3))+$AY23)</f>
        <v>58.3813959241893</v>
      </c>
      <c r="AF22" s="705" cm="1">
        <f t="array" ref="AF22">AF21-(AF20-AF21)</f>
        <v>80.008</v>
      </c>
      <c r="AG22" s="705"/>
      <c r="AH22" s="705"/>
      <c r="AI22" s="717" cm="1">
        <f t="array" ref="AI22">$F22*Y22</f>
        <v>555539.232917986</v>
      </c>
      <c r="AJ22" s="704" cm="1">
        <f t="array" ref="AJ22">$F22*Z22</f>
        <v>605308.762280378</v>
      </c>
      <c r="AK22" s="704" cm="1">
        <f t="array" ref="AK22">$F22*AA22</f>
        <v>685223.396817008</v>
      </c>
      <c r="AL22" s="704" cm="1">
        <f t="array" ref="AL22">$F22*AB22</f>
        <v>828200.237261135</v>
      </c>
      <c r="AM22" s="704" cm="1">
        <f t="array" ref="AM22">$F22*AC22</f>
        <v>980695.62534876</v>
      </c>
      <c r="AN22" s="704" cm="1">
        <f t="array" ref="AN22">$F22*AD22</f>
        <v>1141657.92504758</v>
      </c>
      <c r="AO22" s="704" cm="1">
        <f t="array" ref="AO22">$F22*AE22</f>
        <v>2293247.50353032</v>
      </c>
      <c r="AP22" s="704" cm="1">
        <f t="array" ref="AP22">$F22*AF22</f>
        <v>3142750.2436</v>
      </c>
      <c r="AQ22" s="705"/>
      <c r="AR22" s="718" cm="1">
        <f t="array" ref="AR22">K21-K22</f>
        <v>9.5128</v>
      </c>
      <c r="AS22" s="718" cm="1">
        <f t="array" ref="AS22">D22-AR22</f>
        <v>10.85357</v>
      </c>
      <c r="AT22" s="705"/>
      <c r="AU22" s="719">
        <v>40624</v>
      </c>
      <c r="AV22" s="720">
        <v>1.0342</v>
      </c>
      <c r="AW22" s="719" cm="1">
        <f t="array" ref="AW22">ROUND(F22*AX22,0)</f>
        <v>4062</v>
      </c>
      <c r="AX22" s="720" cm="1">
        <f t="array" ref="AX22">ROUND($AX$11/$K$10*K21,4)</f>
        <v>0.1034</v>
      </c>
      <c r="AY22" s="721" cm="1">
        <f t="array" ref="AY22">SUM(AV22,AX22)</f>
        <v>1.1376</v>
      </c>
      <c r="AZ22" s="719" cm="1">
        <f t="array" ref="AZ22">SUM(AU22,AW22)</f>
        <v>44686</v>
      </c>
      <c r="BA22" s="722">
        <v>127441</v>
      </c>
      <c r="BB22" s="723" cm="1">
        <f t="array" ref="BB22">ROUND(BA22/$F22,4)</f>
        <v>3.2444</v>
      </c>
      <c r="BC22" s="722" cm="1">
        <f t="array" ref="BC22">J22-SUM(AZ22,BA22,BG22)</f>
        <v>246228</v>
      </c>
      <c r="BD22" s="723" cm="1">
        <f t="array" ref="BD22">ROUND(BC22/$F22,4)</f>
        <v>6.2685</v>
      </c>
      <c r="BE22" s="724" cm="1">
        <f t="array" ref="BE22">BC22+BA22</f>
        <v>373669</v>
      </c>
      <c r="BF22" s="723" cm="1">
        <f t="array" ref="BF22">ROUND((BA22+BC22)/F22,4)</f>
        <v>9.5128</v>
      </c>
      <c r="BG22" s="725">
        <v>381645</v>
      </c>
      <c r="BH22" s="726" cm="1">
        <f t="array" ref="BH22">ROUND(BG22/$F22,4)</f>
        <v>9.7159</v>
      </c>
      <c r="BI22" s="711" cm="1">
        <f t="array" ref="BI22">M21-M22</f>
        <v>222749</v>
      </c>
      <c r="BJ22" s="711" cm="1">
        <f t="array" ref="BJ22">BE22-BI22</f>
        <v>150920</v>
      </c>
      <c r="BK22" s="711" cm="1">
        <f t="array" ref="BK22">-BJ22</f>
        <v>-150920</v>
      </c>
      <c r="BL22" s="711" cm="1">
        <f t="array" ref="BL22">BG22+BJ22</f>
        <v>532565</v>
      </c>
      <c r="BM22" s="711" cm="1">
        <f t="array" ref="BM22">AVERAGE(BL20:BL22)</f>
        <v>651830.333333333</v>
      </c>
      <c r="BN22" s="727" cm="1">
        <f t="array" ref="BN22">BH21-BH22</f>
        <v>0.1162</v>
      </c>
      <c r="BO22" s="705" cm="1">
        <f t="array" ref="BO22">K21*((1+'depto - Departamento'!$D$8)^(1/12)-1)</f>
        <v>9.658059398160439</v>
      </c>
      <c r="BP22" s="728" cm="1">
        <f t="array" ref="BP22">(BA22+BC22)/BG22</f>
        <v>0.97910099699983</v>
      </c>
      <c r="BQ22" s="728" cm="1">
        <f t="array" ref="BQ22">Y22-BB22</f>
        <v>10.8984938038639</v>
      </c>
      <c r="BR22" s="728" cm="1">
        <f t="array" ref="BR22">(BR$4*(1+BR$4)^BR$3*K21)/((1+BR$4)^BR$3-1)</f>
        <v>12.7784734955282</v>
      </c>
      <c r="BS22" s="728"/>
      <c r="BT22" s="704"/>
      <c r="BU22" s="704" cm="1">
        <f t="array" ref="BU22">SUM(C$5:C22)</f>
        <v>122344544</v>
      </c>
      <c r="BV22" s="704" cm="1">
        <f t="array" ref="BV22">BA22+BC22+BV21</f>
        <v>61116579</v>
      </c>
      <c r="BW22" s="704" cm="1">
        <f t="array" ref="BW22">BG22+BW21</f>
        <v>6444138</v>
      </c>
      <c r="BX22" s="714" cm="1">
        <f t="array" ref="BX22">BF22+BX21</f>
        <v>1531.0183</v>
      </c>
      <c r="BY22" s="714" cm="1">
        <f t="array" ref="BY22">BH22+BY21</f>
        <v>168.2032</v>
      </c>
      <c r="BZ22" s="704" cm="1">
        <f t="array" ref="BZ22">SUM(BJ$6:BJ22)</f>
        <v>8147923</v>
      </c>
      <c r="CA22" s="714"/>
      <c r="CB22" s="714"/>
      <c r="CC22" s="704" cm="1">
        <f t="array" ref="CC22">SUM(BE$6:BE22)</f>
        <v>61116579</v>
      </c>
      <c r="CD22" s="714"/>
      <c r="CE22" s="714"/>
      <c r="CF22" s="704" cm="1">
        <f t="array" ref="CF22">'net worth - Table 1-1'!K99</f>
        <v>362597</v>
      </c>
      <c r="CG22" s="704" cm="1">
        <f t="array" ref="CG22">'net worth - Table 1-3'!E100</f>
        <v>9319731</v>
      </c>
      <c r="CH22" s="704" cm="1">
        <f t="array" ref="CH22">'net worth - Table 1-2'!C99</f>
        <v>2730431</v>
      </c>
      <c r="CI22" s="704" cm="1">
        <f t="array" ref="CI22">SUM(CF22:CH22)</f>
        <v>12412759</v>
      </c>
      <c r="CJ22" s="704" cm="1">
        <f t="array" ref="CJ22">('net worth - Table 1-3'!AY100+'net worth - Table 1-3'!BF100)*0.85+'net worth - Table 1-3'!AJ100</f>
        <v>48103634.1</v>
      </c>
      <c r="CK22" s="704" cm="1">
        <f t="array" ref="CK22">CI22+CJ22</f>
        <v>60516393.1</v>
      </c>
      <c r="CL22" s="704" cm="1">
        <f t="array" ref="CL22">M22-CK22</f>
        <v>33147482.9</v>
      </c>
      <c r="CM22" s="704" cm="1">
        <f t="array" ref="CM22">M22-CI22</f>
        <v>81251117</v>
      </c>
    </row>
    <row r="23" ht="19.35" customHeight="1">
      <c r="A23" s="689">
        <v>18</v>
      </c>
      <c r="B23" s="703">
        <v>45880</v>
      </c>
      <c r="C23" s="704">
        <v>821802</v>
      </c>
      <c r="D23" s="705" cm="1">
        <f t="array" ref="D23">ROUND(C23/F23,5)</f>
        <v>20.98785</v>
      </c>
      <c r="E23" s="706" cm="1">
        <f t="array" ref="E23">D23/K22</f>
        <v>0.00880181593479765</v>
      </c>
      <c r="F23" s="707">
        <v>39156.08</v>
      </c>
      <c r="G23" s="706" cm="1">
        <f t="array" ref="G23">ROUND((F23-F22)/F22,3)</f>
        <v>-0.003</v>
      </c>
      <c r="H23" s="706" cm="1">
        <f t="array" ref="H23">SUM(G10:G23)</f>
        <v>0.041791411754883</v>
      </c>
      <c r="I23" s="708" cm="1">
        <f t="array" ref="I23">H23+4.95/100</f>
        <v>0.09129141175488301</v>
      </c>
      <c r="J23" s="704" cm="1">
        <f t="array" ref="J23">ROUND(D23*F23,0)</f>
        <v>821802</v>
      </c>
      <c r="K23" s="709" cm="1">
        <f t="array" ref="K23">K22-IF(ISBLANK(D23),0,BF23)</f>
        <v>2374.3177</v>
      </c>
      <c r="L23" s="710" cm="1">
        <f t="array" ref="L23">K23/K$5</f>
        <v>0.601093088607595</v>
      </c>
      <c r="M23" s="711" cm="1">
        <f t="array" ref="M23">ROUND(K23*F23,0)</f>
        <v>92968974</v>
      </c>
      <c r="N23" s="712" cm="1">
        <f t="array" ref="N23">M23/M$5</f>
        <v>0.634026929303792</v>
      </c>
      <c r="O23" s="711" cm="1">
        <f t="array" ref="O23">M23-M22</f>
        <v>-694902</v>
      </c>
      <c r="P23" s="713" cm="1">
        <f t="array" ref="P23">T23-K23</f>
        <v>3025.6823</v>
      </c>
      <c r="Q23" s="711" cm="1">
        <f t="array" ref="Q23">ROUND(P23*F23,0)</f>
        <v>118473858</v>
      </c>
      <c r="R23" s="714" cm="1">
        <f t="array" ref="R23">$K$5-K23</f>
        <v>1575.6823</v>
      </c>
      <c r="S23" s="711" cm="1">
        <f t="array" ref="S23">Q23-Q22</f>
        <v>23304</v>
      </c>
      <c r="T23" s="714">
        <v>5400</v>
      </c>
      <c r="U23" s="711" cm="1">
        <f t="array" ref="U23">T23*F23</f>
        <v>211442832</v>
      </c>
      <c r="V23" s="704" cm="1">
        <f t="array" ref="V23">-S23</f>
        <v>-23304</v>
      </c>
      <c r="W23" s="715"/>
      <c r="X23" s="715" cm="1">
        <f t="array" ref="X23">$K22*4.95/12/100/(1-(1+4.95/12/100)^-(360-$A23))+$AY23</f>
        <v>14.1593415300188</v>
      </c>
      <c r="Y23" s="716" cm="1">
        <f t="array" ref="Y23">K22*4.95/12/100/(1-(1+4.95/12/100)^-(360-$A23+3))+$AY23</f>
        <v>14.1077743541944</v>
      </c>
      <c r="Z23" s="705" cm="1">
        <f t="array" ref="Z23">IF(Z$3*12&lt;=$A23,0,$K22*'depto - Departamento'!$D$8/12/(1-(1+'depto - Departamento'!$D$8/12)^-(12*Z$3-$A23+3))+$AY24)</f>
        <v>15.3789712448639</v>
      </c>
      <c r="AA23" s="705" cm="1">
        <f t="array" ref="AA23">IF(AA$3*12&lt;=$A23,0,$K22*'depto - Departamento'!$D$8/12/(1-(1+'depto - Departamento'!$D$8/12)^-(12*AA$3-$A23+3))+$AY24)</f>
        <v>17.4229451612061</v>
      </c>
      <c r="AB23" s="705" cm="1">
        <f t="array" ref="AB23">IF(AB$3*12&lt;=$A23,0,$K22*'depto - Departamento'!$D$8/12/(1-(1+'depto - Departamento'!$D$8/12)^-(12*AB$3-$A23+3))+$AY24)</f>
        <v>21.0885633753121</v>
      </c>
      <c r="AC23" s="705" cm="1">
        <f t="array" ref="AC23">IF(AC$3*12&lt;=$A23,0,$K22*'depto - Departamento'!$D$8/12/(1-(1+'depto - Departamento'!$D$8/12)^-(12*AC$3-$A23+3))+$AY24)</f>
        <v>25.0105730615115</v>
      </c>
      <c r="AD23" s="705" cm="1">
        <f t="array" ref="AD23">IF(AD$3*12&lt;=$A23,0,$K22*'depto - Departamento'!$D$8/12/(1-(1+'depto - Departamento'!$D$8/12)^-(12*AD$3-$A23+3))+$AY24)</f>
        <v>29.1642462195323</v>
      </c>
      <c r="AE23" s="705" cm="1">
        <f t="array" ref="AE23">IF(AE$3*12&lt;=$A23,0,$K22*'depto - Departamento'!$D$8/12/(1-(1+'depto - Departamento'!$D$8/12)^-(12*AE$3-$A23+3))+$AY24)</f>
        <v>59.3044646244935</v>
      </c>
      <c r="AF23" s="705" cm="1">
        <f t="array" ref="AF23">AF22-(AF21-AF22)</f>
        <v>80.0056</v>
      </c>
      <c r="AG23" s="705"/>
      <c r="AH23" s="705"/>
      <c r="AI23" s="717" cm="1">
        <f t="array" ref="AI23">$F23*Y23</f>
        <v>552405.141234784</v>
      </c>
      <c r="AJ23" s="704" cm="1">
        <f t="array" ref="AJ23">$F23*Z23</f>
        <v>602180.22838159</v>
      </c>
      <c r="AK23" s="704" cm="1">
        <f t="array" ref="AK23">$F23*AA23</f>
        <v>682214.234567799</v>
      </c>
      <c r="AL23" s="704" cm="1">
        <f t="array" ref="AL23">$F23*AB23</f>
        <v>825745.4746087909</v>
      </c>
      <c r="AM23" s="704" cm="1">
        <f t="array" ref="AM23">$F23*AC23</f>
        <v>979315.999642389</v>
      </c>
      <c r="AN23" s="704" cm="1">
        <f t="array" ref="AN23">$F23*AD23</f>
        <v>1141957.5581117</v>
      </c>
      <c r="AO23" s="704" cm="1">
        <f t="array" ref="AO23">$F23*AE23</f>
        <v>2322130.36119384</v>
      </c>
      <c r="AP23" s="704" cm="1">
        <f t="array" ref="AP23">$F23*AF23</f>
        <v>3132705.674048</v>
      </c>
      <c r="AQ23" s="705"/>
      <c r="AR23" s="718" cm="1">
        <f t="array" ref="AR23">K22-K23</f>
        <v>10.1732</v>
      </c>
      <c r="AS23" s="718" cm="1">
        <f t="array" ref="AS23">D23-AR23</f>
        <v>10.81465</v>
      </c>
      <c r="AT23" s="705"/>
      <c r="AU23" s="719" cm="1">
        <f t="array" ref="AU23">ROUND(AV23*F23,0)</f>
        <v>40495</v>
      </c>
      <c r="AV23" s="720">
        <v>1.0342</v>
      </c>
      <c r="AW23" s="719" cm="1">
        <f t="array" ref="AW23">ROUND(F23*AX23,0)</f>
        <v>4033</v>
      </c>
      <c r="AX23" s="720" cm="1">
        <f t="array" ref="AX23">ROUND(AX$11/K$10*K22,4)</f>
        <v>0.103</v>
      </c>
      <c r="AY23" s="721" cm="1">
        <f t="array" ref="AY23">SUM(AV23,AX23)</f>
        <v>1.1372</v>
      </c>
      <c r="AZ23" s="719" cm="1">
        <f t="array" ref="AZ23">SUM(AU23,AW23)</f>
        <v>44528</v>
      </c>
      <c r="BA23" s="722">
        <v>127218</v>
      </c>
      <c r="BB23" s="723" cm="1">
        <f t="array" ref="BB23">ROUND(BA23/$F23,4)</f>
        <v>3.249</v>
      </c>
      <c r="BC23" s="722" cm="1">
        <f t="array" ref="BC23">J23-SUM(AZ23,BA23,BG23)</f>
        <v>271123</v>
      </c>
      <c r="BD23" s="723" cm="1">
        <f t="array" ref="BD23">ROUND(BC23/$F23,4)</f>
        <v>6.9242</v>
      </c>
      <c r="BE23" s="724" cm="1">
        <f t="array" ref="BE23">BC23+BA23</f>
        <v>398341</v>
      </c>
      <c r="BF23" s="723" cm="1">
        <f t="array" ref="BF23">ROUND((BA23+BC23)/F23,4)</f>
        <v>10.1732</v>
      </c>
      <c r="BG23" s="725">
        <v>378933</v>
      </c>
      <c r="BH23" s="726" cm="1">
        <f t="array" ref="BH23">ROUND(BG23/$F23,4)</f>
        <v>9.6775</v>
      </c>
      <c r="BI23" s="711" cm="1">
        <f t="array" ref="BI23">M22-M23</f>
        <v>694902</v>
      </c>
      <c r="BJ23" s="711" cm="1">
        <f t="array" ref="BJ23">BE23-BI23</f>
        <v>-296561</v>
      </c>
      <c r="BK23" s="711" cm="1">
        <f t="array" ref="BK23">-BJ23</f>
        <v>296561</v>
      </c>
      <c r="BL23" s="711" cm="1">
        <f t="array" ref="BL23">BG23+BJ23</f>
        <v>82372</v>
      </c>
      <c r="BM23" s="711" cm="1">
        <f t="array" ref="BM23">AVERAGE(BL21:BL23)</f>
        <v>396865.333333333</v>
      </c>
      <c r="BN23" s="727" cm="1">
        <f t="array" ref="BN23">BH22-BH23</f>
        <v>0.0384</v>
      </c>
      <c r="BO23" s="705" cm="1">
        <f t="array" ref="BO23">K22*((1+'depto - Departamento'!$D$8)^(1/12)-1)</f>
        <v>9.61968218619422</v>
      </c>
      <c r="BP23" s="728" cm="1">
        <f t="array" ref="BP23">(BA23+BC23)/BG23</f>
        <v>1.05121749755234</v>
      </c>
      <c r="BQ23" s="728" cm="1">
        <f t="array" ref="BQ23">Y23-BB23</f>
        <v>10.8587743541944</v>
      </c>
      <c r="BR23" s="728" cm="1">
        <f t="array" ref="BR23">(BR$4*(1+BR$4)^BR$3*K22)/((1+BR$4)^BR$3-1)</f>
        <v>12.7276970231826</v>
      </c>
      <c r="BS23" s="728"/>
      <c r="BT23" s="704"/>
      <c r="BU23" s="704" cm="1">
        <f t="array" ref="BU23">SUM(C$5:C23)</f>
        <v>123166346</v>
      </c>
      <c r="BV23" s="704" cm="1">
        <f t="array" ref="BV23">BA23+BC23+BV22</f>
        <v>61514920</v>
      </c>
      <c r="BW23" s="704" cm="1">
        <f t="array" ref="BW23">BG23+BW22</f>
        <v>6823071</v>
      </c>
      <c r="BX23" s="714" cm="1">
        <f t="array" ref="BX23">BF23+BX22</f>
        <v>1541.1915</v>
      </c>
      <c r="BY23" s="714" cm="1">
        <f t="array" ref="BY23">BH23+BY22</f>
        <v>177.8807</v>
      </c>
      <c r="BZ23" s="704" cm="1">
        <f t="array" ref="BZ23">SUM(BJ$6:BJ23)</f>
        <v>7851362</v>
      </c>
      <c r="CA23" s="714"/>
      <c r="CB23" s="714"/>
      <c r="CC23" s="704" cm="1">
        <f t="array" ref="CC23">SUM(BE$6:BE23)</f>
        <v>61514920</v>
      </c>
      <c r="CD23" s="714"/>
      <c r="CE23" s="714"/>
      <c r="CF23" s="704" cm="1">
        <f t="array" ref="CF23">'net worth - Table 1-1'!K100</f>
        <v>1144754</v>
      </c>
      <c r="CG23" s="704" cm="1">
        <f t="array" ref="CG23">'net worth - Table 1-3'!E101</f>
        <v>9399360</v>
      </c>
      <c r="CH23" s="704" cm="1">
        <f t="array" ref="CH23">'net worth - Table 1-2'!C100</f>
        <v>2617689</v>
      </c>
      <c r="CI23" s="704" cm="1">
        <f t="array" ref="CI23">SUM(CF23:CH23)</f>
        <v>13161803</v>
      </c>
      <c r="CJ23" s="704" cm="1">
        <f t="array" ref="CJ23">('net worth - Table 1-3'!AY101+'net worth - Table 1-3'!BF101)*0.85+'net worth - Table 1-3'!AJ101</f>
        <v>48599533.95</v>
      </c>
      <c r="CK23" s="704" cm="1">
        <f t="array" ref="CK23">CI23+CJ23</f>
        <v>61761336.95</v>
      </c>
      <c r="CL23" s="704" cm="1">
        <f t="array" ref="CL23">M23-CK23</f>
        <v>31207637.05</v>
      </c>
      <c r="CM23" s="704" cm="1">
        <f t="array" ref="CM23">M23-CI23</f>
        <v>79807171</v>
      </c>
    </row>
    <row r="24" ht="19.35" customHeight="1">
      <c r="A24" s="689">
        <v>19</v>
      </c>
      <c r="B24" s="703">
        <v>45930</v>
      </c>
      <c r="C24" s="704" cm="1">
        <f t="array" ref="C24">J24</f>
        <v>1385591</v>
      </c>
      <c r="D24" s="705">
        <v>35.091</v>
      </c>
      <c r="E24" s="706" cm="1">
        <f t="array" ref="E24">D24/K23</f>
        <v>0.014779403784085</v>
      </c>
      <c r="F24" s="707">
        <v>39485.65</v>
      </c>
      <c r="G24" s="706" cm="1">
        <f t="array" ref="G24">ROUND((F24-F23)/F23,4)</f>
        <v>0.008399999999999999</v>
      </c>
      <c r="H24" s="706" cm="1">
        <f t="array" ref="H24">SUM(G11:G24)</f>
        <v>0.0433429240361318</v>
      </c>
      <c r="I24" s="708" cm="1">
        <f t="array" ref="I24">H24+4.95/100</f>
        <v>0.0928429240361318</v>
      </c>
      <c r="J24" s="704" cm="1">
        <f t="array" ref="J24">ROUND(D24*F24,0)</f>
        <v>1385591</v>
      </c>
      <c r="K24" s="709" cm="1">
        <f t="array" ref="K24">K23-IF(ISBLANK(D24),0,BF24)</f>
        <v>2350</v>
      </c>
      <c r="L24" s="710" cm="1">
        <f t="array" ref="L24">K24/K$5</f>
        <v>0.594936708860759</v>
      </c>
      <c r="M24" s="711" cm="1">
        <f t="array" ref="M24">ROUND(K24*F24,0)</f>
        <v>92791278</v>
      </c>
      <c r="N24" s="712" cm="1">
        <f t="array" ref="N24">M24/M$5</f>
        <v>0.632815083626872</v>
      </c>
      <c r="O24" s="711" cm="1">
        <f t="array" ref="O24">M24-M23</f>
        <v>-177696</v>
      </c>
      <c r="P24" s="713" cm="1">
        <f t="array" ref="P24">T24-K24</f>
        <v>3050</v>
      </c>
      <c r="Q24" s="711" cm="1">
        <f t="array" ref="Q24">ROUND(P24*F24,0)</f>
        <v>120431233</v>
      </c>
      <c r="R24" s="714" cm="1">
        <f t="array" ref="R24">$K$5-K24</f>
        <v>1600</v>
      </c>
      <c r="S24" s="711" cm="1">
        <f t="array" ref="S24">Q24-Q23</f>
        <v>1957375</v>
      </c>
      <c r="T24" s="714">
        <v>5400</v>
      </c>
      <c r="U24" s="711" cm="1">
        <f t="array" ref="U24">T24*F24</f>
        <v>213222510</v>
      </c>
      <c r="V24" s="704" cm="1">
        <f t="array" ref="V24">-S24</f>
        <v>-1957375</v>
      </c>
      <c r="W24" s="715"/>
      <c r="X24" s="715" cm="1">
        <f t="array" ref="X24">$K23*4.95/12/100/(1-(1+4.95/12/100)^-(360-$A24))+$AY24</f>
        <v>14.1207327337434</v>
      </c>
      <c r="Y24" s="716" cm="1">
        <f t="array" ref="Y24">14.0259</f>
        <v>14.0259</v>
      </c>
      <c r="Z24" s="705" cm="1">
        <f t="array" ref="Z24">IF(Z$3*12&lt;=$A24,0,$K23*'depto - Departamento'!$D$8/12/(1-(1+'depto - Departamento'!$D$8/12)^-(12*Z$3-$A24+3))+$AY25)</f>
        <v>15.3433618155267</v>
      </c>
      <c r="AA24" s="705" cm="1">
        <f t="array" ref="AA24">IF(AA$3*12&lt;=$A24,0,$K23*'depto - Departamento'!$D$8/12/(1-(1+'depto - Departamento'!$D$8/12)^-(12*AA$3-$A24+3))+$AY25)</f>
        <v>17.3963474411478</v>
      </c>
      <c r="AB24" s="705" cm="1">
        <f t="array" ref="AB24">IF(AB$3*12&lt;=$A24,0,$K23*'depto - Departamento'!$D$8/12/(1-(1+'depto - Departamento'!$D$8/12)^-(12*AB$3-$A24+3))+$AY25)</f>
        <v>21.0869805282839</v>
      </c>
      <c r="AC24" s="705" cm="1">
        <f t="array" ref="AC24">IF(AC$3*12&lt;=$A24,0,$K23*'depto - Departamento'!$D$8/12/(1-(1+'depto - Departamento'!$D$8/12)^-(12*AC$3-$A24+3))+$AY25)</f>
        <v>25.0483944568688</v>
      </c>
      <c r="AD24" s="705" cm="1">
        <f t="array" ref="AD24">IF(AD$3*12&lt;=$A24,0,$K23*'depto - Departamento'!$D$8/12/(1-(1+'depto - Departamento'!$D$8/12)^-(12*AD$3-$A24+3))+$AY25)</f>
        <v>29.2581174043196</v>
      </c>
      <c r="AE24" s="705" cm="1">
        <f t="array" ref="AE24">IF(AE$3*12&lt;=$A24,0,$K23*'depto - Departamento'!$D$8/12/(1-(1+'depto - Departamento'!$D$8/12)^-(12*AE$3-$A24+3))+$AY25)</f>
        <v>60.2534656550763</v>
      </c>
      <c r="AF24" s="705" cm="1">
        <f t="array" ref="AF24">79.7912</f>
        <v>79.7912</v>
      </c>
      <c r="AG24" s="705"/>
      <c r="AH24" s="705"/>
      <c r="AI24" s="717" cm="1">
        <f t="array" ref="AI24">$F24*Y24</f>
        <v>553821.778335</v>
      </c>
      <c r="AJ24" s="704" cm="1">
        <f t="array" ref="AJ24">$F24*Z24</f>
        <v>605842.614471252</v>
      </c>
      <c r="AK24" s="704" cm="1">
        <f t="array" ref="AK24">$F24*AA24</f>
        <v>686906.086339558</v>
      </c>
      <c r="AL24" s="704" cm="1">
        <f t="array" ref="AL24">$F24*AB24</f>
        <v>832633.132696633</v>
      </c>
      <c r="AM24" s="704" cm="1">
        <f t="array" ref="AM24">$F24*AC24</f>
        <v>989052.136585862</v>
      </c>
      <c r="AN24" s="704" cm="1">
        <f t="array" ref="AN24">$F24*AD24</f>
        <v>1155275.78348587</v>
      </c>
      <c r="AO24" s="704" cm="1">
        <f t="array" ref="AO24">$F24*AE24</f>
        <v>2379147.25614336</v>
      </c>
      <c r="AP24" s="704" cm="1">
        <f t="array" ref="AP24">$F24*AF24</f>
        <v>3150607.39628</v>
      </c>
      <c r="AQ24" s="705"/>
      <c r="AR24" s="718" cm="1">
        <f t="array" ref="AR24">K23-K24</f>
        <v>24.3177</v>
      </c>
      <c r="AS24" s="718" cm="1">
        <f t="array" ref="AS24">D24-AR24</f>
        <v>10.7733</v>
      </c>
      <c r="AT24" s="705"/>
      <c r="AU24" s="719" cm="1">
        <f t="array" ref="AU24">ROUND(AV24*F24,0)</f>
        <v>40836</v>
      </c>
      <c r="AV24" s="720">
        <v>1.0342</v>
      </c>
      <c r="AW24" s="719" cm="1">
        <f t="array" ref="AW24">ROUND(F24*AX24,0)</f>
        <v>4051</v>
      </c>
      <c r="AX24" s="720" cm="1">
        <f t="array" ref="AX24">ROUND(AX$11/K$10*K23,4)</f>
        <v>0.1026</v>
      </c>
      <c r="AY24" s="721" cm="1">
        <f t="array" ref="AY24">SUM(AV24,AX24)</f>
        <v>1.1368</v>
      </c>
      <c r="AZ24" s="719" cm="1">
        <f t="array" ref="AZ24">SUM(AU24,AW24)</f>
        <v>44887</v>
      </c>
      <c r="BA24" s="722">
        <v>128431</v>
      </c>
      <c r="BB24" s="723" cm="1">
        <f t="array" ref="BB24">ROUND(BA24/$F24,4)</f>
        <v>3.2526</v>
      </c>
      <c r="BC24" s="722" cm="1">
        <f t="array" ref="BC24">J24-SUM(AZ24,BA24,BG24)</f>
        <v>831770</v>
      </c>
      <c r="BD24" s="723" cm="1">
        <f t="array" ref="BD24">ROUND(BC24/$F24,4)</f>
        <v>21.0651</v>
      </c>
      <c r="BE24" s="724" cm="1">
        <f t="array" ref="BE24">BC24+BA24</f>
        <v>960201</v>
      </c>
      <c r="BF24" s="723" cm="1">
        <f t="array" ref="BF24">ROUND((BA24+BC24)/F24,4)</f>
        <v>24.3177</v>
      </c>
      <c r="BG24" s="725">
        <v>380503</v>
      </c>
      <c r="BH24" s="726" cm="1">
        <f t="array" ref="BH24">ROUND(BG24/$F24,4)</f>
        <v>9.6365</v>
      </c>
      <c r="BI24" s="711" cm="1">
        <f t="array" ref="BI24">M23-M24</f>
        <v>177696</v>
      </c>
      <c r="BJ24" s="711" cm="1">
        <f t="array" ref="BJ24">BE24-BI24</f>
        <v>782505</v>
      </c>
      <c r="BK24" s="711" cm="1">
        <f t="array" ref="BK24">-BJ24</f>
        <v>-782505</v>
      </c>
      <c r="BL24" s="711" cm="1">
        <f t="array" ref="BL24">BG24+BJ24</f>
        <v>1163008</v>
      </c>
      <c r="BM24" s="711" cm="1">
        <f t="array" ref="BM24">AVERAGE(BL22:BL24)</f>
        <v>592648.333333333</v>
      </c>
      <c r="BN24" s="727" cm="1">
        <f t="array" ref="BN24">BH23-BH24</f>
        <v>0.041</v>
      </c>
      <c r="BO24" s="705" cm="1">
        <f t="array" ref="BO24">K23*((1+'depto - Departamento'!$D$8)^(1/12)-1)</f>
        <v>9.578640741743079</v>
      </c>
      <c r="BP24" s="728" cm="1">
        <f t="array" ref="BP24">(BA24+BC24)/BG24</f>
        <v>2.52350441389424</v>
      </c>
      <c r="BQ24" s="728" cm="1">
        <f t="array" ref="BQ24">Y24-BB24</f>
        <v>10.7733</v>
      </c>
      <c r="BR24" s="728" cm="1">
        <f t="array" ref="BR24">(BR$4*(1+BR$4)^BR$3*K23)/((1+BR$4)^BR$3-1)</f>
        <v>12.6733955337719</v>
      </c>
      <c r="BS24" s="728"/>
      <c r="BT24" s="704"/>
      <c r="BU24" s="704" cm="1">
        <f t="array" ref="BU24">SUM(C$5:C24)</f>
        <v>124551937</v>
      </c>
      <c r="BV24" s="704" cm="1">
        <f t="array" ref="BV24">BA24+BC24+BV23</f>
        <v>62475121</v>
      </c>
      <c r="BW24" s="704" cm="1">
        <f t="array" ref="BW24">BG24+BW23</f>
        <v>7203574</v>
      </c>
      <c r="BX24" s="714" cm="1">
        <f t="array" ref="BX24">BF24+BX23</f>
        <v>1565.5092</v>
      </c>
      <c r="BY24" s="714" cm="1">
        <f t="array" ref="BY24">BH24+BY23</f>
        <v>187.5172</v>
      </c>
      <c r="BZ24" s="704" cm="1">
        <f t="array" ref="BZ24">SUM(BJ$6:BJ24)</f>
        <v>8633867</v>
      </c>
      <c r="CA24" s="714"/>
      <c r="CB24" s="714"/>
      <c r="CC24" s="704" cm="1">
        <f t="array" ref="CC24">SUM(BE$6:BE24)</f>
        <v>62475121</v>
      </c>
      <c r="CD24" s="714"/>
      <c r="CE24" s="714"/>
      <c r="CF24" s="704" cm="1">
        <f t="array" ref="CF24">'net worth - Table 1-1'!K101</f>
        <v>2199193</v>
      </c>
      <c r="CG24" s="704" cm="1">
        <f t="array" ref="CG24">'net worth - Table 1-3'!E102</f>
        <v>9865241</v>
      </c>
      <c r="CH24" s="704" cm="1">
        <f t="array" ref="CH24">'net worth - Table 1-2'!C101</f>
        <v>2700878</v>
      </c>
      <c r="CI24" s="704" cm="1">
        <f t="array" ref="CI24">SUM(CF24:CH24)</f>
        <v>14765312</v>
      </c>
      <c r="CJ24" s="704" cm="1">
        <f t="array" ref="CJ24">('net worth - Table 1-3'!AY102+'net worth - Table 1-3'!BF102)*0.85+'net worth - Table 1-3'!AJ102</f>
        <v>51068875.3</v>
      </c>
      <c r="CK24" s="704" cm="1">
        <f t="array" ref="CK24">CI24+CJ24</f>
        <v>65834187.3</v>
      </c>
      <c r="CL24" s="704" cm="1">
        <f t="array" ref="CL24">M24-CK24</f>
        <v>26957090.7</v>
      </c>
      <c r="CM24" s="704" cm="1">
        <f t="array" ref="CM24">M24-CI24</f>
        <v>78025966</v>
      </c>
    </row>
    <row r="25" ht="19.35" customHeight="1">
      <c r="A25" s="689">
        <v>20</v>
      </c>
      <c r="B25" s="703">
        <v>45941</v>
      </c>
      <c r="C25" s="704" cm="1">
        <f t="array" ref="C25">J25</f>
        <v>816537</v>
      </c>
      <c r="D25" s="705" cm="1">
        <f t="array" ref="D25">20.6695+0.0045</f>
        <v>20.674</v>
      </c>
      <c r="E25" s="706" cm="1">
        <f t="array" ref="E25">D25/K24</f>
        <v>0.008797446808510641</v>
      </c>
      <c r="F25" s="707">
        <v>39495.82</v>
      </c>
      <c r="G25" s="706" cm="1">
        <f t="array" ref="G25">ROUND((F25-F24)/F24,4)</f>
        <v>0.0003</v>
      </c>
      <c r="H25" s="706" cm="1">
        <f t="array" ref="H25">SUM(G13:G25)</f>
        <v>0.0408785600988065</v>
      </c>
      <c r="I25" s="708" cm="1">
        <f t="array" ref="I25">H25+4.95/100</f>
        <v>0.0903785600988065</v>
      </c>
      <c r="J25" s="704" cm="1">
        <f t="array" ref="J25">ROUND(D25*F25,0)</f>
        <v>816537</v>
      </c>
      <c r="K25" s="709" cm="1">
        <f t="array" ref="K25">K24-IF(ISBLANK(D25),0,BF25)</f>
        <v>2340</v>
      </c>
      <c r="L25" s="710" cm="1">
        <f t="array" ref="L25">K25/K$5</f>
        <v>0.592405063291139</v>
      </c>
      <c r="M25" s="711" cm="1">
        <f t="array" ref="M25">ROUND(K25*F25,0)</f>
        <v>92420219</v>
      </c>
      <c r="N25" s="712" cm="1">
        <f t="array" ref="N25">M25/M$5</f>
        <v>0.630284546951696</v>
      </c>
      <c r="O25" s="711" cm="1">
        <f t="array" ref="O25">M25-M24</f>
        <v>-371059</v>
      </c>
      <c r="P25" s="713" cm="1">
        <f t="array" ref="P25">T25-K25</f>
        <v>3060</v>
      </c>
      <c r="Q25" s="711" cm="1">
        <f t="array" ref="Q25">ROUND(P25*F25,0)</f>
        <v>120857209</v>
      </c>
      <c r="R25" s="714" cm="1">
        <f t="array" ref="R25">$K$5-K25</f>
        <v>1610</v>
      </c>
      <c r="S25" s="711" cm="1">
        <f t="array" ref="S25">Q25-Q24</f>
        <v>425976</v>
      </c>
      <c r="T25" s="714">
        <v>5400</v>
      </c>
      <c r="U25" s="711" cm="1">
        <f t="array" ref="U25">T25*F25</f>
        <v>213277428</v>
      </c>
      <c r="V25" s="704" cm="1">
        <f t="array" ref="V25">-S25</f>
        <v>-425976</v>
      </c>
      <c r="W25" s="715"/>
      <c r="X25" s="715" cm="1">
        <f t="array" ref="X25">$K24*4.95/12/100/(1-(1+4.95/12/100)^-(360-$A25))+$AY25</f>
        <v>14.0039399855601</v>
      </c>
      <c r="Y25" s="716" cm="1">
        <f t="array" ref="Y25">13.911</f>
        <v>13.911</v>
      </c>
      <c r="Z25" s="705" cm="1">
        <f t="array" ref="Z25">IF(Z$3*12&lt;=$A25,0,$K24*'depto - Departamento'!$D$8/12/(1-(1+'depto - Departamento'!$D$8/12)^-(12*Z$3-$A25+3))+$AY26)</f>
        <v>15.2152360153034</v>
      </c>
      <c r="AA25" s="705" cm="1">
        <f t="array" ref="AA25">IF(AA$3*12&lt;=$A25,0,$K24*'depto - Departamento'!$D$8/12/(1-(1+'depto - Departamento'!$D$8/12)^-(12*AA$3-$A25+3))+$AY26)</f>
        <v>17.2649592199193</v>
      </c>
      <c r="AB25" s="705" cm="1">
        <f t="array" ref="AB25">IF(AB$3*12&lt;=$A25,0,$K24*'depto - Departamento'!$D$8/12/(1-(1+'depto - Departamento'!$D$8/12)^-(12*AB$3-$A25+3))+$AY26)</f>
        <v>20.9586794576196</v>
      </c>
      <c r="AC25" s="705" cm="1">
        <f t="array" ref="AC25">IF(AC$3*12&lt;=$A25,0,$K24*'depto - Departamento'!$D$8/12/(1-(1+'depto - Departamento'!$D$8/12)^-(12*AC$3-$A25+3))+$AY26)</f>
        <v>24.9362611601815</v>
      </c>
      <c r="AD25" s="705" cm="1">
        <f t="array" ref="AD25">IF(AD$3*12&lt;=$A25,0,$K24*'depto - Departamento'!$D$8/12/(1-(1+'depto - Departamento'!$D$8/12)^-(12*AD$3-$A25+3))+$AY26)</f>
        <v>29.1778252274306</v>
      </c>
      <c r="AE25" s="705" cm="1">
        <f t="array" ref="AE25">IF(AE$3*12&lt;=$A25,0,$K24*'depto - Departamento'!$D$8/12/(1-(1+'depto - Departamento'!$D$8/12)^-(12*AE$3-$A25+3))+$AY26)</f>
        <v>60.8804948895854</v>
      </c>
      <c r="AF25" s="705" cm="1">
        <f t="array" ref="AF25">79.7901</f>
        <v>79.7901</v>
      </c>
      <c r="AG25" s="705"/>
      <c r="AH25" s="705"/>
      <c r="AI25" s="717" cm="1">
        <f t="array" ref="AI25">$F25*Y25</f>
        <v>549426.35202</v>
      </c>
      <c r="AJ25" s="704" cm="1">
        <f t="array" ref="AJ25">$F25*Z25</f>
        <v>600938.22291794</v>
      </c>
      <c r="AK25" s="704" cm="1">
        <f t="array" ref="AK25">$F25*AA25</f>
        <v>681893.721657273</v>
      </c>
      <c r="AL25" s="704" cm="1">
        <f t="array" ref="AL25">$F25*AB25</f>
        <v>827780.231295841</v>
      </c>
      <c r="AM25" s="704" cm="1">
        <f t="array" ref="AM25">$F25*AC25</f>
        <v>984878.08225552</v>
      </c>
      <c r="AN25" s="704" cm="1">
        <f t="array" ref="AN25">$F25*AD25</f>
        <v>1152402.13317406</v>
      </c>
      <c r="AO25" s="704" cm="1">
        <f t="array" ref="AO25">$F25*AE25</f>
        <v>2404525.06766998</v>
      </c>
      <c r="AP25" s="704" cm="1">
        <f t="array" ref="AP25">$F25*AF25</f>
        <v>3151375.427382</v>
      </c>
      <c r="AQ25" s="705"/>
      <c r="AR25" s="718" cm="1">
        <f t="array" ref="AR25">K24-K25</f>
        <v>10</v>
      </c>
      <c r="AS25" s="718" cm="1">
        <f t="array" ref="AS25">D25-AR25</f>
        <v>10.674</v>
      </c>
      <c r="AT25" s="705"/>
      <c r="AU25" s="719" cm="1">
        <f t="array" ref="AU25">ROUND(AV25*F25,0)</f>
        <v>40847</v>
      </c>
      <c r="AV25" s="720">
        <v>1.0342</v>
      </c>
      <c r="AW25" s="719" cm="1">
        <f t="array" ref="AW25">ROUND(F25*AX25,0)</f>
        <v>4009</v>
      </c>
      <c r="AX25" s="720" cm="1">
        <f t="array" ref="AX25">ROUND(AX$11/K$10*K24,4)</f>
        <v>0.1015</v>
      </c>
      <c r="AY25" s="721" cm="1">
        <f t="array" ref="AY25">SUM(AV25,AX25)</f>
        <v>1.1357</v>
      </c>
      <c r="AZ25" s="719" cm="1">
        <f t="array" ref="AZ25">SUM(AU25,AW25)</f>
        <v>44856</v>
      </c>
      <c r="BA25" s="722">
        <v>127848</v>
      </c>
      <c r="BB25" s="723" cm="1">
        <f t="array" ref="BB25">ROUND(BA25/$F25,4)</f>
        <v>3.237</v>
      </c>
      <c r="BC25" s="722" cm="1">
        <f t="array" ref="BC25">J25-SUM(AZ25,BA25,BG25)</f>
        <v>267110</v>
      </c>
      <c r="BD25" s="723" cm="1">
        <f t="array" ref="BD25">ROUND(BC25/$F25,4)</f>
        <v>6.763</v>
      </c>
      <c r="BE25" s="724" cm="1">
        <f t="array" ref="BE25">BC25+BA25</f>
        <v>394958</v>
      </c>
      <c r="BF25" s="723" cm="1">
        <f t="array" ref="BF25">ROUND((BA25+BC25)/F25,4)</f>
        <v>10</v>
      </c>
      <c r="BG25" s="725">
        <v>376723</v>
      </c>
      <c r="BH25" s="726" cm="1">
        <f t="array" ref="BH25">ROUND(BG25/$F25,4)</f>
        <v>9.5383</v>
      </c>
      <c r="BI25" s="711" cm="1">
        <f t="array" ref="BI25">M24-M25</f>
        <v>371059</v>
      </c>
      <c r="BJ25" s="711" cm="1">
        <f t="array" ref="BJ25">BE25-BI25</f>
        <v>23899</v>
      </c>
      <c r="BK25" s="711" cm="1">
        <f t="array" ref="BK25">-BJ25</f>
        <v>-23899</v>
      </c>
      <c r="BL25" s="711" cm="1">
        <f t="array" ref="BL25">BG25+BJ25</f>
        <v>400622</v>
      </c>
      <c r="BM25" s="711" cm="1">
        <f t="array" ref="BM25">AVERAGE(BL23:BL25)</f>
        <v>548667.333333333</v>
      </c>
      <c r="BN25" s="727" cm="1">
        <f t="array" ref="BN25">BH24-BH25</f>
        <v>0.0982</v>
      </c>
      <c r="BO25" s="705" cm="1">
        <f t="array" ref="BO25">K24*((1+'depto - Departamento'!$D$8)^(1/12)-1)</f>
        <v>9.480536552920549</v>
      </c>
      <c r="BP25" s="728" cm="1">
        <f t="array" ref="BP25">(BA25+BC25)/BG25</f>
        <v>1.04840426520281</v>
      </c>
      <c r="BQ25" s="728" cm="1">
        <f t="array" ref="BQ25">Y25-BB25</f>
        <v>10.674</v>
      </c>
      <c r="BR25" s="728" cm="1">
        <f t="array" ref="BR25">(BR$4*(1+BR$4)^BR$3*K24)/((1+BR$4)^BR$3-1)</f>
        <v>12.543594947030</v>
      </c>
      <c r="BS25" s="728"/>
      <c r="BT25" s="704"/>
      <c r="BU25" s="704" cm="1">
        <f t="array" ref="BU25">SUM(C$5:C25)</f>
        <v>125368474</v>
      </c>
      <c r="BV25" s="704" cm="1">
        <f t="array" ref="BV25">BA25+BC25+BV24</f>
        <v>62870079</v>
      </c>
      <c r="BW25" s="704" cm="1">
        <f t="array" ref="BW25">BG25+BW24</f>
        <v>7580297</v>
      </c>
      <c r="BX25" s="714" cm="1">
        <f t="array" ref="BX25">BF25+BX24</f>
        <v>1575.5092</v>
      </c>
      <c r="BY25" s="714" cm="1">
        <f t="array" ref="BY25">BH25+BY24</f>
        <v>197.0555</v>
      </c>
      <c r="BZ25" s="704" cm="1">
        <f t="array" ref="BZ25">SUM(BJ$6:BJ25)</f>
        <v>8657766</v>
      </c>
      <c r="CA25" s="714"/>
      <c r="CB25" s="714"/>
      <c r="CC25" s="704" cm="1">
        <f t="array" ref="CC25">SUM(BE$6:BE25)</f>
        <v>62870079</v>
      </c>
      <c r="CD25" s="714"/>
      <c r="CE25" s="714"/>
      <c r="CF25" s="704" cm="1">
        <f t="array" ref="CF25">'net worth - Table 1-1'!K102</f>
        <v>-1316399</v>
      </c>
      <c r="CG25" s="704" cm="1">
        <f t="array" ref="CG25">'net worth - Table 1-3'!E103</f>
        <v>10062691</v>
      </c>
      <c r="CH25" s="704" cm="1">
        <f t="array" ref="CH25">'net worth - Table 1-2'!C102</f>
        <v>2520334</v>
      </c>
      <c r="CI25" s="704" cm="1">
        <f t="array" ref="CI25">SUM(CF25:CH25)</f>
        <v>11266626</v>
      </c>
      <c r="CJ25" s="704" cm="1">
        <f t="array" ref="CJ25">('net worth - Table 1-3'!AY103+'net worth - Table 1-3'!BF103)*0.85+'net worth - Table 1-3'!AJ103</f>
        <v>52220248.7</v>
      </c>
      <c r="CK25" s="704" cm="1">
        <f t="array" ref="CK25">CI25+CJ25</f>
        <v>63486874.7</v>
      </c>
      <c r="CL25" s="704" cm="1">
        <f t="array" ref="CL25">M25-CK25</f>
        <v>28933344.3</v>
      </c>
      <c r="CM25" s="704" cm="1">
        <f t="array" ref="CM25">M25-CI25</f>
        <v>81153593</v>
      </c>
    </row>
    <row r="26" ht="19.35" customHeight="1">
      <c r="A26" s="689">
        <v>21</v>
      </c>
      <c r="B26" s="703">
        <v>45986</v>
      </c>
      <c r="C26" s="704" cm="1">
        <f t="array" ref="C26">J26</f>
        <v>1015871</v>
      </c>
      <c r="D26" s="705">
        <v>25.6251</v>
      </c>
      <c r="E26" s="706" cm="1">
        <f t="array" ref="E26">D26/K25</f>
        <v>0.0109508974358974</v>
      </c>
      <c r="F26" s="707">
        <v>39643.59</v>
      </c>
      <c r="G26" s="706" cm="1">
        <f t="array" ref="G26">ROUND((F26-F25)/F25,4)</f>
        <v>0.0037</v>
      </c>
      <c r="H26" s="706" cm="1">
        <f t="array" ref="H26">SUM(G14:G26)</f>
        <v>0.0429792220755926</v>
      </c>
      <c r="I26" s="708" cm="1">
        <f t="array" ref="I26">H26+4.95/100</f>
        <v>0.0924792220755926</v>
      </c>
      <c r="J26" s="704" cm="1">
        <f t="array" ref="J26">ROUND(D26*F26,0)</f>
        <v>1015871</v>
      </c>
      <c r="K26" s="709" cm="1">
        <f t="array" ref="K26">K25-IF(ISBLANK(D26),0,BF26)</f>
        <v>2325</v>
      </c>
      <c r="L26" s="710" cm="1">
        <f t="array" ref="L26">K26/K$5</f>
        <v>0.588607594936709</v>
      </c>
      <c r="M26" s="711" cm="1">
        <f t="array" ref="M26">ROUND(K26*F26,0)</f>
        <v>92171347</v>
      </c>
      <c r="N26" s="712" cm="1">
        <f t="array" ref="N26">M26/M$5</f>
        <v>0.628587297394551</v>
      </c>
      <c r="O26" s="711" cm="1">
        <f t="array" ref="O26">M26-M25</f>
        <v>-248872</v>
      </c>
      <c r="P26" s="713" cm="1">
        <f t="array" ref="P26">T26-K26</f>
        <v>3075</v>
      </c>
      <c r="Q26" s="711" cm="1">
        <f t="array" ref="Q26">ROUND(P26*F26,0)</f>
        <v>121904039</v>
      </c>
      <c r="R26" s="714" cm="1">
        <f t="array" ref="R26">$K$5-K26</f>
        <v>1625</v>
      </c>
      <c r="S26" s="711" cm="1">
        <f t="array" ref="S26">Q26-Q25</f>
        <v>1046830</v>
      </c>
      <c r="T26" s="714">
        <v>5400</v>
      </c>
      <c r="U26" s="711" cm="1">
        <f t="array" ref="U26">T26*F26</f>
        <v>214075386</v>
      </c>
      <c r="V26" s="704" cm="1">
        <f t="array" ref="V26">-S26</f>
        <v>-1046830</v>
      </c>
      <c r="W26" s="715"/>
      <c r="X26" s="715" cm="1">
        <f t="array" ref="X26">$K25*4.95/12/100/(1-(1+4.95/12/100)^-(360-$A26))+$AY26</f>
        <v>13.9577139815752</v>
      </c>
      <c r="Y26" s="716" cm="1">
        <f t="array" ref="Y26">13.8657</f>
        <v>13.8657</v>
      </c>
      <c r="Z26" s="705" cm="1">
        <f t="array" ref="Z26">IF(Z$3*12&lt;=$A26,0,$K25*'depto - Departamento'!$D$8/12/(1-(1+'depto - Departamento'!$D$8/12)^-(12*Z$3-$A26+3))+$AY27)</f>
        <v>15.1809683936095</v>
      </c>
      <c r="AA26" s="705" cm="1">
        <f t="array" ref="AA26">IF(AA$3*12&lt;=$A26,0,$K25*'depto - Departamento'!$D$8/12/(1-(1+'depto - Departamento'!$D$8/12)^-(12*AA$3-$A26+3))+$AY27)</f>
        <v>17.2398742253436</v>
      </c>
      <c r="AB26" s="705" cm="1">
        <f t="array" ref="AB26">IF(AB$3*12&lt;=$A26,0,$K25*'depto - Departamento'!$D$8/12/(1-(1+'depto - Departamento'!$D$8/12)^-(12*AB$3-$A26+3))+$AY27)</f>
        <v>20.9592493427652</v>
      </c>
      <c r="AC26" s="705" cm="1">
        <f t="array" ref="AC26">IF(AC$3*12&lt;=$A26,0,$K25*'depto - Departamento'!$D$8/12/(1-(1+'depto - Departamento'!$D$8/12)^-(12*AC$3-$A26+3))+$AY27)</f>
        <v>24.9776110413382</v>
      </c>
      <c r="AD26" s="705" cm="1">
        <f t="array" ref="AD26">IF(AD$3*12&lt;=$A26,0,$K25*'depto - Departamento'!$D$8/12/(1-(1+'depto - Departamento'!$D$8/12)^-(12*AD$3-$A26+3))+$AY27)</f>
        <v>29.2777665688945</v>
      </c>
      <c r="AE26" s="705" cm="1">
        <f t="array" ref="AE26">IF(AE$3*12&lt;=$A26,0,$K25*'depto - Departamento'!$D$8/12/(1-(1+'depto - Departamento'!$D$8/12)^-(12*AE$3-$A26+3))+$AY27)</f>
        <v>61.9206696843352</v>
      </c>
      <c r="AF26" s="705" cm="1">
        <f t="array" ref="AF26">79.7813</f>
        <v>79.7813</v>
      </c>
      <c r="AG26" s="705"/>
      <c r="AH26" s="705"/>
      <c r="AI26" s="717" cm="1">
        <f t="array" ref="AI26">$F26*Y26</f>
        <v>549686.1258630001</v>
      </c>
      <c r="AJ26" s="704" cm="1">
        <f t="array" ref="AJ26">$F26*Z26</f>
        <v>601828.086799214</v>
      </c>
      <c r="AK26" s="704" cm="1">
        <f t="array" ref="AK26">$F26*AA26</f>
        <v>683450.505441089</v>
      </c>
      <c r="AL26" s="704" cm="1">
        <f t="array" ref="AL26">$F26*AB26</f>
        <v>830899.887652353</v>
      </c>
      <c r="AM26" s="704" cm="1">
        <f t="array" ref="AM26">$F26*AC26</f>
        <v>990202.171302285</v>
      </c>
      <c r="AN26" s="704" cm="1">
        <f t="array" ref="AN26">$F26*AD26</f>
        <v>1160675.77397296</v>
      </c>
      <c r="AO26" s="704" cm="1">
        <f t="array" ref="AO26">$F26*AE26</f>
        <v>2454757.64149121</v>
      </c>
      <c r="AP26" s="704" cm="1">
        <f t="array" ref="AP26">$F26*AF26</f>
        <v>3162817.146867</v>
      </c>
      <c r="AQ26" s="705"/>
      <c r="AR26" s="718" cm="1">
        <f t="array" ref="AR26">K25-K26</f>
        <v>15</v>
      </c>
      <c r="AS26" s="718" cm="1">
        <f t="array" ref="AS26">D26-AR26</f>
        <v>10.6251</v>
      </c>
      <c r="AT26" s="705"/>
      <c r="AU26" s="719" cm="1">
        <f t="array" ref="AU26">ROUND(AV26*F26,0)</f>
        <v>40999</v>
      </c>
      <c r="AV26" s="720">
        <v>1.0342</v>
      </c>
      <c r="AW26" s="719" cm="1">
        <f t="array" ref="AW26">ROUND(F26*AX26,0)</f>
        <v>3675</v>
      </c>
      <c r="AX26" s="720" cm="1">
        <f t="array" ref="AX26">0.0927</f>
        <v>0.0927</v>
      </c>
      <c r="AY26" s="721" cm="1">
        <f t="array" ref="AY26">SUM(AV26,AX26)</f>
        <v>1.1269</v>
      </c>
      <c r="AZ26" s="719" cm="1">
        <f t="array" ref="AZ26">SUM(AU26,AW26)</f>
        <v>44674</v>
      </c>
      <c r="BA26" s="722" cm="1">
        <f t="array" ref="BA26">AI26-AZ26-BG26</f>
        <v>128469.125863</v>
      </c>
      <c r="BB26" s="723" cm="1">
        <f t="array" ref="BB26">ROUND(BA26/$F26,4)</f>
        <v>3.2406</v>
      </c>
      <c r="BC26" s="722" cm="1">
        <f t="array" ref="BC26">J26-SUM(AZ26,BA26,BG26)</f>
        <v>466184.874137</v>
      </c>
      <c r="BD26" s="723" cm="1">
        <f t="array" ref="BD26">ROUND(BC26/$F26,4)</f>
        <v>11.7594</v>
      </c>
      <c r="BE26" s="724" cm="1">
        <f t="array" ref="BE26">BC26+BA26</f>
        <v>594654</v>
      </c>
      <c r="BF26" s="723" cm="1">
        <f t="array" ref="BF26">ROUND((BA26+BC26)/F26,4)</f>
        <v>15</v>
      </c>
      <c r="BG26" s="725" cm="1">
        <f t="array" ref="BG26">376543</f>
        <v>376543</v>
      </c>
      <c r="BH26" s="726" cm="1">
        <f t="array" ref="BH26">ROUND(BG26/$F26,4)</f>
        <v>9.498200000000001</v>
      </c>
      <c r="BI26" s="711" cm="1">
        <f t="array" ref="BI26">M25-M26</f>
        <v>248872</v>
      </c>
      <c r="BJ26" s="711" cm="1">
        <f t="array" ref="BJ26">BE26-BI26</f>
        <v>345782</v>
      </c>
      <c r="BK26" s="711" cm="1">
        <f t="array" ref="BK26">-BJ26</f>
        <v>-345782</v>
      </c>
      <c r="BL26" s="711" cm="1">
        <f t="array" ref="BL26">BG26+BJ26</f>
        <v>722325</v>
      </c>
      <c r="BM26" s="711" cm="1">
        <f t="array" ref="BM26">AVERAGE(BL24:BL26)</f>
        <v>761985</v>
      </c>
      <c r="BN26" s="727" cm="1">
        <f t="array" ref="BN26">BH25-BH26</f>
        <v>0.0401</v>
      </c>
      <c r="BO26" s="705" cm="1">
        <f t="array" ref="BO26">K25*((1+'depto - Departamento'!$D$8)^(1/12)-1)</f>
        <v>9.440193844184719</v>
      </c>
      <c r="BP26" s="728" cm="1">
        <f t="array" ref="BP26">(BA26+BC26)/BG26</f>
        <v>1.57924592941576</v>
      </c>
      <c r="BQ26" s="728" cm="1">
        <f t="array" ref="BQ26">Y26-BB26</f>
        <v>10.6251</v>
      </c>
      <c r="BR26" s="728" cm="1">
        <f t="array" ref="BR26">(BR$4*(1+BR$4)^BR$3*K25)/((1+BR$4)^BR$3-1)</f>
        <v>12.4902179472554</v>
      </c>
      <c r="BS26" s="728"/>
      <c r="BT26" s="704"/>
      <c r="BU26" s="704" cm="1">
        <f t="array" ref="BU26">SUM(C$5:C26)</f>
        <v>126384345</v>
      </c>
      <c r="BV26" s="704" cm="1">
        <f t="array" ref="BV26">BA26+BC26+BV25</f>
        <v>63464733</v>
      </c>
      <c r="BW26" s="704" cm="1">
        <f t="array" ref="BW26">BG26+BW25</f>
        <v>7956840</v>
      </c>
      <c r="BX26" s="714" cm="1">
        <f t="array" ref="BX26">BF26+BX25</f>
        <v>1590.5092</v>
      </c>
      <c r="BY26" s="714" cm="1">
        <f t="array" ref="BY26">BH26+BY25</f>
        <v>206.5537</v>
      </c>
      <c r="BZ26" s="704" cm="1">
        <f t="array" ref="BZ26">SUM(BJ$6:BJ26)</f>
        <v>9003548</v>
      </c>
      <c r="CA26" s="714"/>
      <c r="CB26" s="714"/>
      <c r="CC26" s="704" cm="1">
        <f t="array" ref="CC26">SUM(BE$6:BE26)</f>
        <v>63464733</v>
      </c>
      <c r="CD26" s="714"/>
      <c r="CE26" s="714"/>
      <c r="CF26" s="704" cm="1">
        <f t="array" ref="CF26">'net worth - Table 1-1'!K103</f>
        <v>-141123</v>
      </c>
      <c r="CG26" s="704" cm="1">
        <f t="array" ref="CG26">'net worth - Table 1-3'!E104</f>
        <v>9804175</v>
      </c>
      <c r="CH26" s="704" cm="1">
        <f t="array" ref="CH26">'net worth - Table 1-2'!C103</f>
        <v>1971851</v>
      </c>
      <c r="CI26" s="704" cm="1">
        <f t="array" ref="CI26">SUM(CF26:CH26)</f>
        <v>11634903</v>
      </c>
      <c r="CJ26" s="704" cm="1">
        <f t="array" ref="CJ26">('net worth - Table 1-3'!AY104+'net worth - Table 1-3'!BF104)*0.85+'net worth - Table 1-3'!AJ104</f>
        <v>51386420.1</v>
      </c>
      <c r="CK26" s="704" cm="1">
        <f t="array" ref="CK26">CI26+CJ26</f>
        <v>63021323.1</v>
      </c>
      <c r="CL26" s="704" cm="1">
        <f t="array" ref="CL26">M26-CK26</f>
        <v>29150023.9</v>
      </c>
      <c r="CM26" s="704" cm="1">
        <f t="array" ref="CM26">M26-CI26</f>
        <v>80536444</v>
      </c>
    </row>
    <row r="27" ht="19.35" customHeight="1">
      <c r="A27" s="689">
        <v>22</v>
      </c>
      <c r="B27" s="703">
        <v>46002</v>
      </c>
      <c r="C27" s="704" cm="1">
        <f t="array" ref="C27">J27</f>
        <v>855091</v>
      </c>
      <c r="D27" s="705">
        <v>21.5653</v>
      </c>
      <c r="E27" s="706" cm="1">
        <f t="array" ref="E27">D27/K26</f>
        <v>0.00927539784946237</v>
      </c>
      <c r="F27" s="707">
        <v>39651.25</v>
      </c>
      <c r="G27" s="706" cm="1">
        <f t="array" ref="G27">ROUND((F27-F26)/F26,4)</f>
        <v>0.0002</v>
      </c>
      <c r="H27" s="706" cm="1">
        <f t="array" ref="H27">SUM(G15:G27)</f>
        <v>0.0337187557061995</v>
      </c>
      <c r="I27" s="708" cm="1">
        <f t="array" ref="I27">H27+4.95/100</f>
        <v>0.08321875570619949</v>
      </c>
      <c r="J27" s="704" cm="1">
        <f t="array" ref="J27">IF(K26=0,0,ROUND(D27*F27,0))</f>
        <v>855091</v>
      </c>
      <c r="K27" s="709" cm="1">
        <f t="array" ref="K27">K26-IF(ISBLANK(D27),0,BF27)</f>
        <v>2313.9986</v>
      </c>
      <c r="L27" s="710" cm="1">
        <f t="array" ref="L27">K27/K$5</f>
        <v>0.585822430379747</v>
      </c>
      <c r="M27" s="711" cm="1">
        <f t="array" ref="M27">ROUND(K27*F27,0)</f>
        <v>91752937</v>
      </c>
      <c r="N27" s="712" cm="1">
        <f t="array" ref="N27">M27/M$5</f>
        <v>0.625733837836204</v>
      </c>
      <c r="O27" s="711" cm="1">
        <f t="array" ref="O27">M27-M26</f>
        <v>-418410</v>
      </c>
      <c r="P27" s="713" cm="1">
        <f t="array" ref="P27">T27-K27</f>
        <v>3086.0014</v>
      </c>
      <c r="Q27" s="711" cm="1">
        <f t="array" ref="Q27">ROUND(P27*F27,0)</f>
        <v>122363813</v>
      </c>
      <c r="R27" s="714" cm="1">
        <f t="array" ref="R27">$K$5-K27</f>
        <v>1636.0014</v>
      </c>
      <c r="S27" s="711" cm="1">
        <f t="array" ref="S27">Q27-Q26</f>
        <v>459774</v>
      </c>
      <c r="T27" s="714">
        <v>5400</v>
      </c>
      <c r="U27" s="711" cm="1">
        <f t="array" ref="U27">T27*F27</f>
        <v>214116750</v>
      </c>
      <c r="V27" s="704" cm="1">
        <f t="array" ref="V27">-S27</f>
        <v>-459774</v>
      </c>
      <c r="W27" s="715"/>
      <c r="X27" s="715" cm="1">
        <f t="array" ref="X27">$K26*4.95/12/100/(1-(1+4.95/12/100)^-(360-$A27))+$AY27</f>
        <v>13.8922045128046</v>
      </c>
      <c r="Y27" s="716" cm="1">
        <f t="array" ref="Y27">K26*4.95/12/100/(1-(1+4.95/12/100)^-(360-$A27+3))+AY27</f>
        <v>13.8405393816772</v>
      </c>
      <c r="Z27" s="705" cm="1">
        <f t="array" ref="Z27">IF(Z$3*12&lt;=$A27,0,$K26*'depto - Departamento'!$D$8/12/(1-(1+'depto - Departamento'!$D$8/12)^-(12*Z$3-$A27+3))+$AY28)</f>
        <v>15.1166949961078</v>
      </c>
      <c r="AA27" s="705" cm="1">
        <f t="array" ref="AA27">IF(AA$3*12&lt;=$A27,0,$K26*'depto - Departamento'!$D$8/12/(1-(1+'depto - Departamento'!$D$8/12)^-(12*AA$3-$A27+3))+$AY28)</f>
        <v>17.1804111573806</v>
      </c>
      <c r="AB27" s="705" cm="1">
        <f t="array" ref="AB27">P26*4.95/12/100/(1-(1+4.95/12/100)^-(360-$A27+3))+BB27</f>
        <v>20.0530069241538</v>
      </c>
      <c r="AC27" s="705" cm="1">
        <f t="array" ref="AC27">IF(AC$3*12&lt;=$A27,0,$K26*'depto - Departamento'!$D$8/12/(1-(1+'depto - Departamento'!$D$8/12)^-(12*AC$3-$A27+3))+$AY28)</f>
        <v>24.968894772834</v>
      </c>
      <c r="AD27" s="705" cm="1">
        <f t="array" ref="AD27">IF(AD$3*12&lt;=$A27,0,$K26*'depto - Departamento'!$D$8/12/(1-(1+'depto - Departamento'!$D$8/12)^-(12*AD$3-$A27+3))+$AY28)</f>
        <v>29.3196964618695</v>
      </c>
      <c r="AE27" s="705" cm="1">
        <f t="array" ref="AE27">IF(AE$3*12&lt;=$A27,0,$K26*'depto - Departamento'!$D$8/12/(1-(1+'depto - Departamento'!$D$8/12)^-(12*AE$3-$A27+3))+$AY28)</f>
        <v>62.8801340253184</v>
      </c>
      <c r="AF27" s="705" cm="1">
        <f t="array" ref="AF27">AF26-(AF25-AF26)</f>
        <v>79.77249999999999</v>
      </c>
      <c r="AG27" s="705"/>
      <c r="AH27" s="705"/>
      <c r="AI27" s="717" cm="1">
        <f t="array" ref="AI27">$F27*Y27</f>
        <v>548794.687157728</v>
      </c>
      <c r="AJ27" s="704" cm="1">
        <f t="array" ref="AJ27">$F27*Z27</f>
        <v>599395.852464419</v>
      </c>
      <c r="AK27" s="704" cm="1">
        <f t="array" ref="AK27">$F27*AA27</f>
        <v>681224.777904088</v>
      </c>
      <c r="AL27" s="704" cm="1">
        <f t="array" ref="AL27">$F27*AB27</f>
        <v>795126.7908013531</v>
      </c>
      <c r="AM27" s="704" cm="1">
        <f t="array" ref="AM27">$F27*AC27</f>
        <v>990047.888861334</v>
      </c>
      <c r="AN27" s="704" cm="1">
        <f t="array" ref="AN27">$F27*AD27</f>
        <v>1162562.6143337</v>
      </c>
      <c r="AO27" s="704" cm="1">
        <f t="array" ref="AO27">$F27*AE27</f>
        <v>2493275.91427141</v>
      </c>
      <c r="AP27" s="704" cm="1">
        <f t="array" ref="AP27">$F27*AF27</f>
        <v>3163079.340625</v>
      </c>
      <c r="AQ27" s="705"/>
      <c r="AR27" s="718" cm="1">
        <f t="array" ref="AR27">K26-K27</f>
        <v>11.0014</v>
      </c>
      <c r="AS27" s="718" cm="1">
        <f t="array" ref="AS27">D27-AR27</f>
        <v>10.5639</v>
      </c>
      <c r="AT27" s="705"/>
      <c r="AU27" s="719" cm="1">
        <f t="array" ref="AU27">ROUND(AV27*F27,0)</f>
        <v>41007</v>
      </c>
      <c r="AV27" s="720">
        <v>1.0342</v>
      </c>
      <c r="AW27" s="719" cm="1">
        <f t="array" ref="AW27">ROUND(F27*AX27,0)</f>
        <v>3652</v>
      </c>
      <c r="AX27" s="720">
        <v>0.0921</v>
      </c>
      <c r="AY27" s="721" cm="1">
        <f t="array" ref="AY27">SUM(AV27,AX27)</f>
        <v>1.1263</v>
      </c>
      <c r="AZ27" s="719" cm="1">
        <f t="array" ref="AZ27">SUM(AU27,AW27)</f>
        <v>44659</v>
      </c>
      <c r="BA27" s="722">
        <v>128367</v>
      </c>
      <c r="BB27" s="723" cm="1">
        <f t="array" ref="BB27">ROUND(BA27/$F27,4)</f>
        <v>3.2374</v>
      </c>
      <c r="BC27" s="722" cm="1">
        <f t="array" ref="BC27">J27-SUM(AZ27,BA27,BG27)</f>
        <v>307852</v>
      </c>
      <c r="BD27" s="723" cm="1">
        <f t="array" ref="BD27">ROUND(BC27/$F27,4)</f>
        <v>7.764</v>
      </c>
      <c r="BE27" s="724" cm="1">
        <f t="array" ref="BE27">BC27+BA27</f>
        <v>436219</v>
      </c>
      <c r="BF27" s="723" cm="1">
        <f t="array" ref="BF27">ROUND((BA27+BC27)/F27,4)</f>
        <v>11.0014</v>
      </c>
      <c r="BG27" s="725">
        <v>374213</v>
      </c>
      <c r="BH27" s="726" cm="1">
        <f t="array" ref="BH27">ROUND(BG27/$F27,4)</f>
        <v>9.4376</v>
      </c>
      <c r="BI27" s="711" cm="1">
        <f t="array" ref="BI27">M26-M27</f>
        <v>418410</v>
      </c>
      <c r="BJ27" s="711" cm="1">
        <f t="array" ref="BJ27">BE27-BI27</f>
        <v>17809</v>
      </c>
      <c r="BK27" s="711" cm="1">
        <f t="array" ref="BK27">-BJ27</f>
        <v>-17809</v>
      </c>
      <c r="BL27" s="711" cm="1">
        <f t="array" ref="BL27">BG27+BJ27</f>
        <v>392022</v>
      </c>
      <c r="BM27" s="711" cm="1">
        <f t="array" ref="BM27">AVERAGE(BL25:BL27)</f>
        <v>504989.666666667</v>
      </c>
      <c r="BN27" s="727" cm="1">
        <f t="array" ref="BN27">BH26-BH27</f>
        <v>0.0606</v>
      </c>
      <c r="BO27" s="705" cm="1">
        <f t="array" ref="BO27">K26*((1+'depto - Departamento'!$D$8)^(1/12)-1)</f>
        <v>9.37967978108097</v>
      </c>
      <c r="BP27" s="728" cm="1">
        <f t="array" ref="BP27">(BA27+BC27)/BG27</f>
        <v>1.16569707626405</v>
      </c>
      <c r="BQ27" s="728" cm="1">
        <f t="array" ref="BQ27">Y27-BB27</f>
        <v>10.6031393816772</v>
      </c>
      <c r="BR27" s="728" cm="1">
        <f t="array" ref="BR27">(BR$4*(1+BR$4)^BR$3*K26)/((1+BR$4)^BR$3-1)</f>
        <v>12.4101524475935</v>
      </c>
      <c r="BS27" s="728"/>
      <c r="BT27" s="704"/>
      <c r="BU27" s="704" cm="1">
        <f t="array" ref="BU27">SUM(C$5:C27)</f>
        <v>127239436</v>
      </c>
      <c r="BV27" s="704" cm="1">
        <f t="array" ref="BV27">BA27+BC27+BV26</f>
        <v>63900952</v>
      </c>
      <c r="BW27" s="704" cm="1">
        <f t="array" ref="BW27">BG27+BW26</f>
        <v>8331053</v>
      </c>
      <c r="BX27" s="714" cm="1">
        <f t="array" ref="BX27">BF27+BX26</f>
        <v>1601.5106</v>
      </c>
      <c r="BY27" s="714" cm="1">
        <f t="array" ref="BY27">BH27+BY26</f>
        <v>215.9913</v>
      </c>
      <c r="BZ27" s="704" cm="1">
        <f t="array" ref="BZ27">SUM(BJ$6:BJ27)</f>
        <v>9021357</v>
      </c>
      <c r="CA27" s="714"/>
      <c r="CB27" s="714"/>
      <c r="CC27" s="704" cm="1">
        <f t="array" ref="CC27">SUM(BE$6:BE27)</f>
        <v>63900952</v>
      </c>
      <c r="CD27" s="714"/>
      <c r="CE27" s="714"/>
      <c r="CF27" s="704" cm="1">
        <f t="array" ref="CF27">'net worth - Table 1-1'!K104</f>
        <v>-1645628</v>
      </c>
      <c r="CG27" s="704" cm="1">
        <f t="array" ref="CG27">'net worth - Table 1-3'!E105</f>
        <v>9693331</v>
      </c>
      <c r="CH27" s="704" cm="1">
        <f t="array" ref="CH27">'net worth - Table 1-2'!C104</f>
        <v>1922666</v>
      </c>
      <c r="CI27" s="704" cm="1">
        <f t="array" ref="CI27">SUM(CF27:CH27)</f>
        <v>9970369</v>
      </c>
      <c r="CJ27" s="704" cm="1">
        <f t="array" ref="CJ27">('net worth - Table 1-3'!AY105+'net worth - Table 1-3'!BF105)*0.85+'net worth - Table 1-3'!AJ105</f>
        <v>51007527.9</v>
      </c>
      <c r="CK27" s="704" cm="1">
        <f t="array" ref="CK27">CI27+CJ27</f>
        <v>60977896.9</v>
      </c>
      <c r="CL27" s="704" cm="1">
        <f t="array" ref="CL27">M27-CK27</f>
        <v>30775040.1</v>
      </c>
      <c r="CM27" s="704" cm="1">
        <f t="array" ref="CM27">M27-CI27</f>
        <v>81782568</v>
      </c>
    </row>
    <row r="28" ht="19.35" customHeight="1">
      <c r="A28" s="689">
        <v>23</v>
      </c>
      <c r="B28" s="675">
        <v>46062</v>
      </c>
      <c r="C28" s="247" cm="1">
        <f t="array" ref="C28">J28</f>
        <v>972618</v>
      </c>
      <c r="D28" s="597">
        <v>24.5097</v>
      </c>
      <c r="E28" s="676" cm="1">
        <f t="array" ref="E28">D28/K27</f>
        <v>0.0105919251636539</v>
      </c>
      <c r="F28" s="296">
        <v>39682.99</v>
      </c>
      <c r="G28" s="676" cm="1">
        <f t="array" ref="G28">ROUND((F28-F27)/F27,4)</f>
        <v>0.0008</v>
      </c>
      <c r="H28" s="676" cm="1">
        <f t="array" ref="H28">SUM(G17:G28)</f>
        <v>0.0342612441488045</v>
      </c>
      <c r="I28" s="299" cm="1">
        <f t="array" ref="I28">H28+4.95/100</f>
        <v>0.0837612441488045</v>
      </c>
      <c r="J28" s="247" cm="1">
        <f t="array" ref="J28">IF(K27=0,0,ROUND(D28*F28,0))</f>
        <v>972618</v>
      </c>
      <c r="K28" s="677" cm="1">
        <f t="array" ref="K28">IF(K27-BF28&lt;0,0,K27-BF28)</f>
        <v>2300.0078</v>
      </c>
      <c r="L28" s="678" cm="1">
        <f t="array" ref="L28">K28/K$5</f>
        <v>0.582280455696203</v>
      </c>
      <c r="M28" s="679" cm="1">
        <f t="array" ref="M28">ROUND(K28*F28,0)</f>
        <v>91271187</v>
      </c>
      <c r="N28" s="680" cm="1">
        <f t="array" ref="N28">M28/M$5</f>
        <v>0.622448414107723</v>
      </c>
      <c r="O28" s="679" cm="1">
        <f t="array" ref="O28">M28-M27</f>
        <v>-481750</v>
      </c>
      <c r="P28" s="681" cm="1">
        <f t="array" ref="P28">T28-K28</f>
        <v>3099.9922</v>
      </c>
      <c r="Q28" s="679" cm="1">
        <f t="array" ref="Q28">ROUND(P28*F28,0)</f>
        <v>123016959</v>
      </c>
      <c r="R28" s="596" cm="1">
        <f t="array" ref="R28">$K$5-K28</f>
        <v>1649.9922</v>
      </c>
      <c r="S28" s="679" cm="1">
        <f t="array" ref="S28">Q28-Q27</f>
        <v>653146</v>
      </c>
      <c r="T28" s="596">
        <v>5400</v>
      </c>
      <c r="U28" s="679" cm="1">
        <f t="array" ref="U28">T28*F28</f>
        <v>214288146</v>
      </c>
      <c r="V28" s="247" cm="1">
        <f t="array" ref="V28">-S28</f>
        <v>-653146</v>
      </c>
      <c r="W28" s="690"/>
      <c r="X28" s="690" cm="1">
        <f t="array" ref="X28">$K27*4.95/12/100/(1-(1+4.95/12/100)^-(360-$A28))+$AY28</f>
        <v>13.8486747759069</v>
      </c>
      <c r="Y28" s="682" cm="1">
        <f t="array" ref="Y28">13.7587</f>
        <v>13.7587</v>
      </c>
      <c r="Z28" s="597" cm="1">
        <f t="array" ref="Z28">IF(Z$3*12&lt;=$A28,0,$K27*'depto - Departamento'!$D$8/12/(1-(1+'depto - Departamento'!$D$8/12)^-(12*Z$3-$A28+3))+$AY29)</f>
        <v>15.0763967855219</v>
      </c>
      <c r="AA28" s="597" cm="1">
        <f t="array" ref="AA28">IF(AA$3*12&lt;=$A28,0,$K27*'depto - Departamento'!$D$8/12/(1-(1+'depto - Departamento'!$D$8/12)^-(12*AA$3-$A28+3))+$AY29)</f>
        <v>17.1484920142366</v>
      </c>
      <c r="AB28" s="597" cm="1">
        <f t="array" ref="AB28">IF(AB$3*12&lt;=$A28,0,$K27*'depto - Departamento'!$D$8/12/(1-(1+'depto - Departamento'!$D$8/12)^-(12*AB$3-$A28+3))+$AY29)</f>
        <v>20.9103811571143</v>
      </c>
      <c r="AC28" s="597" cm="1">
        <f t="array" ref="AC28">IF(AC$3*12&lt;=$A28,0,$K27*'depto - Departamento'!$D$8/12/(1-(1+'depto - Departamento'!$D$8/12)^-(12*AC$3-$A28+3))+$AY29)</f>
        <v>25.001940438768</v>
      </c>
      <c r="AD28" s="597" cm="1">
        <f t="array" ref="AD28">IF(AD$3*12&lt;=$A28,0,$K27*'depto - Departamento'!$D$8/12/(1-(1+'depto - Departamento'!$D$8/12)^-(12*AD$3-$A28+3))+$AY29)</f>
        <v>29.4121233960176</v>
      </c>
      <c r="AE28" s="597" cm="1">
        <f t="array" ref="AE28">IF(AE$3*12&lt;=$A28,0,$K27*'depto - Departamento'!$D$8/12/(1-(1+'depto - Departamento'!$D$8/12)^-(12*AE$3-$A28+3))+$AY29)</f>
        <v>63.9980388091987</v>
      </c>
      <c r="AF28" s="597" cm="1">
        <f t="array" ref="AF28">79.7802</f>
        <v>79.78019999999999</v>
      </c>
      <c r="AG28" s="597"/>
      <c r="AH28" s="597"/>
      <c r="AI28" s="696" cm="1">
        <f t="array" ref="AI28">$F28*Y28</f>
        <v>545986.354513</v>
      </c>
      <c r="AJ28" s="247" cm="1">
        <f t="array" ref="AJ28">$F28*Z28</f>
        <v>598276.502875898</v>
      </c>
      <c r="AK28" s="247" cm="1">
        <f t="array" ref="AK28">$F28*AA28</f>
        <v>680503.437116031</v>
      </c>
      <c r="AL28" s="247" cm="1">
        <f t="array" ref="AL28">$F28*AB28</f>
        <v>829786.446353955</v>
      </c>
      <c r="AM28" s="247" cm="1">
        <f t="array" ref="AM28">$F28*AC28</f>
        <v>992151.7524122261</v>
      </c>
      <c r="AN28" s="247" cm="1">
        <f t="array" ref="AN28">$F28*AD28</f>
        <v>1167160.99860293</v>
      </c>
      <c r="AO28" s="247" cm="1">
        <f t="array" ref="AO28">$F28*AE28</f>
        <v>2539633.53408504</v>
      </c>
      <c r="AP28" s="247" cm="1">
        <f t="array" ref="AP28">$F28*AF28</f>
        <v>3165916.878798</v>
      </c>
      <c r="AQ28" s="597"/>
      <c r="AR28" s="691" cm="1">
        <f t="array" ref="AR28">K27-K28</f>
        <v>13.9908</v>
      </c>
      <c r="AS28" s="691" cm="1">
        <f t="array" ref="AS28">D28-AR28</f>
        <v>10.5189</v>
      </c>
      <c r="AT28" s="597"/>
      <c r="AU28" s="684" cm="1">
        <f t="array" ref="AU28">ROUND(AV28*F28,0)</f>
        <v>41040</v>
      </c>
      <c r="AV28" s="692">
        <v>1.0342</v>
      </c>
      <c r="AW28" s="684" cm="1">
        <f t="array" ref="AW28">ROUND(F28*AX28,0)</f>
        <v>3635</v>
      </c>
      <c r="AX28" s="692">
        <v>0.0916</v>
      </c>
      <c r="AY28" s="693" cm="1">
        <f t="array" ref="AY28">SUM(AV28,AX28)</f>
        <v>1.1258</v>
      </c>
      <c r="AZ28" s="684" cm="1">
        <f t="array" ref="AZ28">ROUND(SUM(AV28,AX28)*F28,0)</f>
        <v>44675</v>
      </c>
      <c r="BA28" s="685" cm="1">
        <f t="array" ref="BA28">AI28-AZ28-BG28</f>
        <v>128565.354513</v>
      </c>
      <c r="BB28" s="694" cm="1">
        <f t="array" ref="BB28">ROUND(BA28/$F28,4)</f>
        <v>3.2398</v>
      </c>
      <c r="BC28" s="685" cm="1">
        <f t="array" ref="BC28">J28-SUM(AZ28,BA28,BG28)</f>
        <v>426631.645487</v>
      </c>
      <c r="BD28" s="694" cm="1">
        <f t="array" ref="BD28">ROUND(BC28/$F28,4)</f>
        <v>10.751</v>
      </c>
      <c r="BE28" s="686" cm="1">
        <f t="array" ref="BE28">BC28+BA28</f>
        <v>555197</v>
      </c>
      <c r="BF28" s="694" cm="1">
        <f t="array" ref="BF28">ROUND((BA28+BC28)/F28,4)</f>
        <v>13.9908</v>
      </c>
      <c r="BG28" s="687">
        <v>372746</v>
      </c>
      <c r="BH28" s="697" cm="1">
        <f t="array" ref="BH28">ROUND(BG28/$F28,4)</f>
        <v>9.3931</v>
      </c>
      <c r="BI28" s="679" cm="1">
        <f t="array" ref="BI28">M27-M28</f>
        <v>481750</v>
      </c>
      <c r="BJ28" s="679" cm="1">
        <f t="array" ref="BJ28">BE28-BI28</f>
        <v>73447</v>
      </c>
      <c r="BK28" s="679" cm="1">
        <f t="array" ref="BK28">-BJ28</f>
        <v>-73447</v>
      </c>
      <c r="BL28" s="679" cm="1">
        <f t="array" ref="BL28">BG28+BJ28</f>
        <v>446193</v>
      </c>
      <c r="BM28" s="679" cm="1">
        <f t="array" ref="BM28">AVERAGE(BL26:BL28)</f>
        <v>520180</v>
      </c>
      <c r="BN28" s="699" cm="1">
        <f t="array" ref="BN28">BH27-BH28</f>
        <v>0.0445</v>
      </c>
      <c r="BO28" s="597" cm="1">
        <f t="array" ref="BO28">K27*((1+'depto - Departamento'!$D$8)^(1/12)-1)</f>
        <v>9.335297153492331</v>
      </c>
      <c r="BP28" s="698" cm="1">
        <f t="array" ref="BP28">(BA28+BC28)/BG28</f>
        <v>1.48947808963745</v>
      </c>
      <c r="BQ28" s="698" cm="1">
        <f t="array" ref="BQ28">Y28-BB28</f>
        <v>10.5189</v>
      </c>
      <c r="BR28" s="698" cm="1">
        <f t="array" ref="BR28">(BR$4*(1+BR$4)^BR$3*K27)/((1+BR$4)^BR$3-1)</f>
        <v>12.3514302750615</v>
      </c>
      <c r="BS28" s="698"/>
      <c r="BT28" s="247"/>
      <c r="BU28" s="247" cm="1">
        <f t="array" ref="BU28">SUM(C$5:C28)</f>
        <v>128212054</v>
      </c>
      <c r="BV28" s="247" cm="1">
        <f t="array" ref="BV28">BA28+BC28+BV27</f>
        <v>64456149</v>
      </c>
      <c r="BW28" s="247" cm="1">
        <f t="array" ref="BW28">BG28+BW27</f>
        <v>8703799</v>
      </c>
      <c r="BX28" s="596" cm="1">
        <f t="array" ref="BX28">BF28+BX27</f>
        <v>1615.5014</v>
      </c>
      <c r="BY28" s="596" cm="1">
        <f t="array" ref="BY28">BH28+BY27</f>
        <v>225.3844</v>
      </c>
      <c r="BZ28" s="247" cm="1">
        <f t="array" ref="BZ28">SUM(BJ$6:BJ28)</f>
        <v>9094804</v>
      </c>
      <c r="CA28" s="596"/>
      <c r="CB28" s="596"/>
      <c r="CC28" s="247" cm="1">
        <f t="array" ref="CC28">SUM(BE$6:BE28)</f>
        <v>64456149</v>
      </c>
      <c r="CD28" s="596"/>
      <c r="CE28" s="596"/>
      <c r="CF28" s="247" cm="1">
        <f t="array" ref="CF28">'net worth - Table 1-1'!K105</f>
        <v>18610</v>
      </c>
      <c r="CG28" s="247" cm="1">
        <f t="array" ref="CG28">'net worth - Table 1-3'!E106</f>
        <v>9477852</v>
      </c>
      <c r="CH28" s="247" cm="1">
        <f t="array" ref="CH28">'net worth - Table 1-2'!C105</f>
        <v>1654148</v>
      </c>
      <c r="CI28" s="247" cm="1">
        <f t="array" ref="CI28">SUM(CF28:CH28)</f>
        <v>11150610</v>
      </c>
      <c r="CJ28" s="247" cm="1">
        <f t="array" ref="CJ28">('net worth - Table 1-3'!AY106+'net worth - Table 1-3'!BF106)*0.85+'net worth - Table 1-3'!AJ106</f>
        <v>50071109.1</v>
      </c>
      <c r="CK28" s="247" cm="1">
        <f t="array" ref="CK28">CI28+CJ28</f>
        <v>61221719.1</v>
      </c>
      <c r="CL28" s="247" cm="1">
        <f t="array" ref="CL28">M28-CK28</f>
        <v>30049467.9</v>
      </c>
      <c r="CM28" s="247" cm="1">
        <f t="array" ref="CM28">M28-CI28</f>
        <v>80120577</v>
      </c>
    </row>
    <row r="29" ht="19.35" customHeight="1">
      <c r="A29" s="689">
        <v>24</v>
      </c>
      <c r="B29" s="675">
        <v>46064</v>
      </c>
      <c r="C29" s="247" cm="1">
        <f t="array" ref="C29">J29</f>
        <v>891578</v>
      </c>
      <c r="D29" s="597">
        <v>22.4611</v>
      </c>
      <c r="E29" s="676" cm="1">
        <f t="array" ref="E29">D29/K28</f>
        <v>0.0097656625338401</v>
      </c>
      <c r="F29" s="296">
        <v>39694.31</v>
      </c>
      <c r="G29" s="676" cm="1">
        <f t="array" ref="G29">ROUND((F29-F28)/F28,4)</f>
        <v>0.0003</v>
      </c>
      <c r="H29" s="676" cm="1">
        <f t="array" ref="H29">SUM(G18:G29)</f>
        <v>0.0341703859571073</v>
      </c>
      <c r="I29" s="299" cm="1">
        <f t="array" ref="I29">H29+4.95/100</f>
        <v>0.0836703859571073</v>
      </c>
      <c r="J29" s="247" cm="1">
        <f t="array" ref="J29">IF(K28=0,0,ROUND(D29*F29,0))</f>
        <v>891578</v>
      </c>
      <c r="K29" s="677" cm="1">
        <f t="array" ref="K29">IF(K28-BF29&lt;0,0,K28-BF29)</f>
        <v>2288.0087</v>
      </c>
      <c r="L29" s="678" cm="1">
        <f t="array" ref="L29">K29/K$5</f>
        <v>0.579242708860759</v>
      </c>
      <c r="M29" s="679" cm="1">
        <f t="array" ref="M29">ROUND(K29*F29,0)</f>
        <v>90820927</v>
      </c>
      <c r="N29" s="680" cm="1">
        <f t="array" ref="N29">M29/M$5</f>
        <v>0.619377744905885</v>
      </c>
      <c r="O29" s="679" cm="1">
        <f t="array" ref="O29">M29-M28</f>
        <v>-450260</v>
      </c>
      <c r="P29" s="681" cm="1">
        <f t="array" ref="P29">T29-K29</f>
        <v>3111.9913</v>
      </c>
      <c r="Q29" s="679" cm="1">
        <f t="array" ref="Q29">ROUND(P29*F29,0)</f>
        <v>123528347</v>
      </c>
      <c r="R29" s="596" cm="1">
        <f t="array" ref="R29">$K$5-K29</f>
        <v>1661.9913</v>
      </c>
      <c r="S29" s="679" cm="1">
        <f t="array" ref="S29">Q29-Q28</f>
        <v>511388</v>
      </c>
      <c r="T29" s="596">
        <v>5400</v>
      </c>
      <c r="U29" s="679" cm="1">
        <f t="array" ref="U29">T29*F29</f>
        <v>214349274</v>
      </c>
      <c r="V29" s="247" cm="1">
        <f t="array" ref="V29">-S29</f>
        <v>-511388</v>
      </c>
      <c r="W29" s="690"/>
      <c r="X29" s="690" cm="1">
        <f t="array" ref="X29">$K28*4.95/12/100/(1-(1+4.95/12/100)^-(360-$A29))+$AY29</f>
        <v>13.7886398302532</v>
      </c>
      <c r="Y29" s="682" cm="1">
        <f t="array" ref="Y29">13.6998</f>
        <v>13.6998</v>
      </c>
      <c r="Z29" s="597" cm="1">
        <f t="array" ref="Z29">IF(Z$3*12&lt;=$A29,0,$K28*'depto - Departamento'!$D$8/12/(1-(1+'depto - Departamento'!$D$8/12)^-(12*Z$3-$A29+3))+$AY31)</f>
        <v>15.006098903066</v>
      </c>
      <c r="AA29" s="597" cm="1">
        <f t="array" ref="AA29">IF(AA$3*12&lt;=$A29,0,$K28*'depto - Departamento'!$D$8/12/(1-(1+'depto - Departamento'!$D$8/12)^-(12*AA$3-$A29+3))+$AY31)</f>
        <v>17.0839235218627</v>
      </c>
      <c r="AB29" s="597" cm="1">
        <f t="array" ref="AB29">IF(AB$3*12&lt;=$A29,0,$K28*'depto - Departamento'!$D$8/12/(1-(1+'depto - Departamento'!$D$8/12)^-(12*AB$3-$A29+3))+$AY30)</f>
        <v>19.7528672335451</v>
      </c>
      <c r="AC29" s="597" cm="1">
        <f t="array" ref="AC29">IF(AC$3*12&lt;=$A29,0,$K28*'depto - Departamento'!$D$8/12/(1-(1+'depto - Departamento'!$D$8/12)^-(12*AC$3-$A29+3))+$AY31)</f>
        <v>24.9930767301573</v>
      </c>
      <c r="AD29" s="597" cm="1">
        <f t="array" ref="AD29">IF(AD$3*12&lt;=$A29,0,$K28*'depto - Departamento'!$D$8/12/(1-(1+'depto - Departamento'!$D$8/12)^-(12*AD$3-$A29+3))+$AY31)</f>
        <v>29.4582721555616</v>
      </c>
      <c r="AE29" s="597" cm="1">
        <f t="array" ref="AE29">IF(AE$3*12&lt;=$A29,0,$K28*'depto - Departamento'!$D$8/12/(1-(1+'depto - Departamento'!$D$8/12)^-(12*AE$3-$A29+3))+$AY31)</f>
        <v>65.07965275854519</v>
      </c>
      <c r="AF29" s="597" cm="1">
        <f t="array" ref="AF29">79.7797</f>
        <v>79.77970000000001</v>
      </c>
      <c r="AG29" s="597"/>
      <c r="AH29" s="597"/>
      <c r="AI29" s="696" cm="1">
        <f t="array" ref="AI29">$F29*Y29</f>
        <v>543804.108138</v>
      </c>
      <c r="AJ29" s="247" cm="1">
        <f t="array" ref="AJ29">$F29*Z29</f>
        <v>595656.741748962</v>
      </c>
      <c r="AK29" s="247" cm="1">
        <f t="array" ref="AK29">$F29*AA29</f>
        <v>678134.55629311</v>
      </c>
      <c r="AL29" s="247" cm="1">
        <f t="array" ref="AL29">$F29*AB29</f>
        <v>784076.4353571821</v>
      </c>
      <c r="AM29" s="247" cm="1">
        <f t="array" ref="AM29">$F29*AC29</f>
        <v>992082.93558065</v>
      </c>
      <c r="AN29" s="247" cm="1">
        <f t="array" ref="AN29">$F29*AD29</f>
        <v>1169325.78700723</v>
      </c>
      <c r="AO29" s="247" cm="1">
        <f t="array" ref="AO29">$F29*AE29</f>
        <v>2583291.91129005</v>
      </c>
      <c r="AP29" s="247" cm="1">
        <f t="array" ref="AP29">$F29*AF29</f>
        <v>3166800.143507</v>
      </c>
      <c r="AQ29" s="597"/>
      <c r="AR29" s="691" cm="1">
        <f t="array" ref="AR29">K28-K29</f>
        <v>11.9991</v>
      </c>
      <c r="AS29" s="691" cm="1">
        <f t="array" ref="AS29">D29-AR29</f>
        <v>10.462</v>
      </c>
      <c r="AT29" s="597"/>
      <c r="AU29" s="684" cm="1">
        <f t="array" ref="AU29">ROUND(AV29*F29,0)</f>
        <v>41052</v>
      </c>
      <c r="AV29" s="692">
        <v>1.0342</v>
      </c>
      <c r="AW29" s="684" cm="1">
        <f t="array" ref="AW29">ROUND(F29*AX29,0)</f>
        <v>3616</v>
      </c>
      <c r="AX29" s="692">
        <v>0.0911</v>
      </c>
      <c r="AY29" s="693" cm="1">
        <f t="array" ref="AY29">SUM(AV29,AX29)</f>
        <v>1.1253</v>
      </c>
      <c r="AZ29" s="684" cm="1">
        <f t="array" ref="AZ29">ROUND(SUM(AV29,AX29)*F29,0)</f>
        <v>44668</v>
      </c>
      <c r="BA29" s="685">
        <v>128522</v>
      </c>
      <c r="BB29" s="694" cm="1">
        <f t="array" ref="BB29">ROUND(BA29/$F29,4)</f>
        <v>3.2378</v>
      </c>
      <c r="BC29" s="685" cm="1">
        <f t="array" ref="BC29">J29-SUM(AZ29,BA29,BG29)</f>
        <v>347774</v>
      </c>
      <c r="BD29" s="694" cm="1">
        <f t="array" ref="BD29">ROUND(BC29/$F29,4)</f>
        <v>8.7613</v>
      </c>
      <c r="BE29" s="686" cm="1">
        <f t="array" ref="BE29">BC29+BA29</f>
        <v>476296</v>
      </c>
      <c r="BF29" s="694" cm="1">
        <f t="array" ref="BF29">ROUND((BA29+BC29)/F29,4)</f>
        <v>11.9991</v>
      </c>
      <c r="BG29" s="687">
        <v>370614</v>
      </c>
      <c r="BH29" s="697" cm="1">
        <f t="array" ref="BH29">ROUND(BG29/$F29,4)</f>
        <v>9.3367</v>
      </c>
      <c r="BI29" s="679" cm="1">
        <f t="array" ref="BI29">M28-M29</f>
        <v>450260</v>
      </c>
      <c r="BJ29" s="679" cm="1">
        <f t="array" ref="BJ29">BE29-BI29</f>
        <v>26036</v>
      </c>
      <c r="BK29" s="679" cm="1">
        <f t="array" ref="BK29">-BJ29</f>
        <v>-26036</v>
      </c>
      <c r="BL29" s="679" cm="1">
        <f t="array" ref="BL29">BG29+BJ29</f>
        <v>396650</v>
      </c>
      <c r="BM29" s="679" cm="1">
        <f t="array" ref="BM29">AVERAGE(BL27:BL29)</f>
        <v>411621.666666667</v>
      </c>
      <c r="BN29" s="699" cm="1">
        <f t="array" ref="BN29">BH28-BH29</f>
        <v>0.0564</v>
      </c>
      <c r="BO29" s="597" cm="1">
        <f t="array" ref="BO29">K28*((1+'depto - Departamento'!$D$8)^(1/12)-1)</f>
        <v>9.2788544765542</v>
      </c>
      <c r="BP29" s="698" cm="1">
        <f t="array" ref="BP29">(BA29+BC29)/BG29</f>
        <v>1.28515382581338</v>
      </c>
      <c r="BQ29" s="698" cm="1">
        <f t="array" ref="BQ29">Y29-BB29</f>
        <v>10.462</v>
      </c>
      <c r="BR29" s="698" cm="1">
        <f t="array" ref="BR29">(BR$4*(1+BR$4)^BR$3*K28)/((1+BR$4)^BR$3-1)</f>
        <v>12.2767515822169</v>
      </c>
      <c r="BS29" s="698"/>
      <c r="BT29" s="247"/>
      <c r="BU29" s="247" cm="1">
        <f t="array" ref="BU29">SUM(C$5:C29)</f>
        <v>129103632</v>
      </c>
      <c r="BV29" s="247" cm="1">
        <f t="array" ref="BV29">BA29+BC29+BV28</f>
        <v>64932445</v>
      </c>
      <c r="BW29" s="247" cm="1">
        <f t="array" ref="BW29">BG29+BW28</f>
        <v>9074413</v>
      </c>
      <c r="BX29" s="596" cm="1">
        <f t="array" ref="BX29">BF29+BX28</f>
        <v>1627.5005</v>
      </c>
      <c r="BY29" s="596" cm="1">
        <f t="array" ref="BY29">BH29+BY28</f>
        <v>234.7211</v>
      </c>
      <c r="BZ29" s="247" cm="1">
        <f t="array" ref="BZ29">SUM(BJ$6:BJ29)</f>
        <v>9120840</v>
      </c>
      <c r="CA29" s="596"/>
      <c r="CB29" s="596"/>
      <c r="CC29" s="247" cm="1">
        <f t="array" ref="CC29">SUM(BE$6:BE29)</f>
        <v>64932445</v>
      </c>
      <c r="CD29" s="596"/>
      <c r="CE29" s="596"/>
      <c r="CF29" s="247" cm="1">
        <f t="array" ref="CF29">'net worth - Table 1-1'!K106</f>
        <v>245877</v>
      </c>
      <c r="CG29" s="247" cm="1">
        <f t="array" ref="CG29">'net worth - Table 1-3'!E107</f>
        <v>9501503</v>
      </c>
      <c r="CH29" s="247" cm="1">
        <f t="array" ref="CH29">'net worth - Table 1-2'!C106</f>
        <v>1408789</v>
      </c>
      <c r="CI29" s="247" cm="1">
        <f t="array" ref="CI29">SUM(CF29:CH29)</f>
        <v>11156169</v>
      </c>
      <c r="CJ29" s="247" cm="1">
        <f t="array" ref="CJ29">('net worth - Table 1-3'!AY107+'net worth - Table 1-3'!BF107)*0.85+'net worth - Table 1-3'!AJ107</f>
        <v>50324079.5</v>
      </c>
      <c r="CK29" s="247" cm="1">
        <f t="array" ref="CK29">CI29+CJ29</f>
        <v>61480248.5</v>
      </c>
      <c r="CL29" s="247" cm="1">
        <f t="array" ref="CL29">M29-CK29</f>
        <v>29340678.5</v>
      </c>
      <c r="CM29" s="247" cm="1">
        <f t="array" ref="CM29">M29-CI29</f>
        <v>79664758</v>
      </c>
    </row>
    <row r="30" ht="20.35" customHeight="1">
      <c r="A30" t="s" s="700">
        <v>1019</v>
      </c>
      <c r="B30" s="675">
        <v>45726</v>
      </c>
      <c r="C30" s="247">
        <v>12020000</v>
      </c>
      <c r="D30" s="597" cm="1">
        <f t="array" ref="D30">ROUND(C30/F30,5)</f>
        <v>301.6938</v>
      </c>
      <c r="E30" s="676" cm="1">
        <f t="array" ref="E30">D30/K29</f>
        <v>0.131858676935975</v>
      </c>
      <c r="F30" s="296">
        <v>39841.72</v>
      </c>
      <c r="G30" s="32"/>
      <c r="H30" s="676"/>
      <c r="I30" s="299"/>
      <c r="J30" s="247" cm="1">
        <f t="array" ref="J30">ROUND(D30*F30,0)</f>
        <v>12020000</v>
      </c>
      <c r="K30" s="677" cm="1">
        <f t="array" ref="K30">K29-BF30</f>
        <v>1988.4457</v>
      </c>
      <c r="L30" s="678" cm="1">
        <f t="array" ref="L30">K30/K$5</f>
        <v>0.503403974683544</v>
      </c>
      <c r="M30" s="679" cm="1">
        <f t="array" ref="M30">ROUND(K30*F30,0)</f>
        <v>79223097</v>
      </c>
      <c r="N30" s="680" cm="1">
        <f t="array" ref="N30">M30/M$5</f>
        <v>0.540283223098132</v>
      </c>
      <c r="O30" s="679" cm="1">
        <f t="array" ref="O30">M30-M29</f>
        <v>-11597830</v>
      </c>
      <c r="P30" s="681" cm="1">
        <f t="array" ref="P30">T30-K30</f>
        <v>3411.5543</v>
      </c>
      <c r="Q30" s="679" cm="1">
        <f t="array" ref="Q30">ROUND(P30*F30,0)</f>
        <v>135922191</v>
      </c>
      <c r="R30" s="596" cm="1">
        <f t="array" ref="R30">$K$5-K30</f>
        <v>1961.5543</v>
      </c>
      <c r="S30" s="679" cm="1">
        <f t="array" ref="S30">Q30-Q29</f>
        <v>12393844</v>
      </c>
      <c r="T30" s="596">
        <v>5400</v>
      </c>
      <c r="U30" s="679" cm="1">
        <f t="array" ref="U30">T30*F30</f>
        <v>215145288</v>
      </c>
      <c r="V30" s="247" cm="1">
        <f t="array" ref="V30">-S30</f>
        <v>-12393844</v>
      </c>
      <c r="W30" s="690"/>
      <c r="X30" s="690"/>
      <c r="Y30" s="682"/>
      <c r="Z30" s="705"/>
      <c r="AA30" s="705"/>
      <c r="AB30" s="597"/>
      <c r="AC30" s="597"/>
      <c r="AD30" s="597"/>
      <c r="AE30" s="597"/>
      <c r="AF30" s="597"/>
      <c r="AG30" s="701"/>
      <c r="AH30" s="701"/>
      <c r="AI30" s="696"/>
      <c r="AJ30" s="705"/>
      <c r="AK30" s="705"/>
      <c r="AL30" s="597"/>
      <c r="AM30" s="247"/>
      <c r="AN30" s="597"/>
      <c r="AO30" s="597"/>
      <c r="AP30" s="702"/>
      <c r="AQ30" s="597"/>
      <c r="AR30" s="691" cm="1">
        <f t="array" ref="AR30">K29-K30</f>
        <v>299.563</v>
      </c>
      <c r="AS30" s="691" cm="1">
        <f t="array" ref="AS30">D30-AR30</f>
        <v>2.1308</v>
      </c>
      <c r="AT30" s="597"/>
      <c r="AU30" s="684"/>
      <c r="AV30" s="692"/>
      <c r="AW30" s="684"/>
      <c r="AX30" s="692"/>
      <c r="AY30" s="693"/>
      <c r="AZ30" s="684"/>
      <c r="BA30" s="685"/>
      <c r="BB30" s="694"/>
      <c r="BC30" s="685" cm="1">
        <f t="array" ref="BC30">J30-SUM(AZ30,BA30,BG30)</f>
        <v>11935107</v>
      </c>
      <c r="BD30" s="694" cm="1">
        <f t="array" ref="BD30">ROUND(BC30/$F30,4)</f>
        <v>299.563</v>
      </c>
      <c r="BE30" s="686" cm="1">
        <f t="array" ref="BE30">BC30+BA30</f>
        <v>11935107</v>
      </c>
      <c r="BF30" s="694" cm="1">
        <f t="array" ref="BF30">ROUND(BB30+BD30,4)</f>
        <v>299.563</v>
      </c>
      <c r="BG30" s="687">
        <v>84893</v>
      </c>
      <c r="BH30" s="697" cm="1">
        <f t="array" ref="BH30">TRUNC(BG30/$F30,4)</f>
        <v>2.1307</v>
      </c>
      <c r="BI30" s="679" cm="1">
        <f t="array" ref="BI30">M29-M30</f>
        <v>11597830</v>
      </c>
      <c r="BJ30" s="679" cm="1">
        <f t="array" ref="BJ30">BE30-BI30</f>
        <v>337277</v>
      </c>
      <c r="BK30" s="679" cm="1">
        <f t="array" ref="BK30">-BJ30</f>
        <v>-337277</v>
      </c>
      <c r="BL30" s="679" cm="1">
        <f t="array" ref="BL30">BG30+BJ30</f>
        <v>422170</v>
      </c>
      <c r="BM30" s="679"/>
      <c r="BN30" s="699"/>
      <c r="BO30" s="596"/>
      <c r="BP30" s="698"/>
      <c r="BQ30" s="698"/>
      <c r="BR30" s="698" cm="1">
        <f t="array" ref="BR30">(BR$4*(1+BR$4)^BR$3*K29)/((1+BR$4)^BR$3-1)</f>
        <v>12.2127039864173</v>
      </c>
      <c r="BS30" s="690"/>
      <c r="BT30" s="247"/>
      <c r="BU30" s="247" cm="1">
        <f t="array" ref="BU30">SUM(C$5:C30)</f>
        <v>141123632</v>
      </c>
      <c r="BV30" s="247" cm="1">
        <f t="array" ref="BV30">BA30+BC30+BV29</f>
        <v>76867552</v>
      </c>
      <c r="BW30" s="247" cm="1">
        <f t="array" ref="BW30">BG30+BW29</f>
        <v>9159306</v>
      </c>
      <c r="BX30" s="596" cm="1">
        <f t="array" ref="BX30">BF30+BX29</f>
        <v>1927.0635</v>
      </c>
      <c r="BY30" s="596" cm="1">
        <f t="array" ref="BY30">BH30+BY29</f>
        <v>236.8518</v>
      </c>
      <c r="BZ30" s="247" cm="1">
        <f t="array" ref="BZ30">SUM(BJ$6:BJ30)</f>
        <v>9458117</v>
      </c>
      <c r="CA30" s="596"/>
      <c r="CB30" s="247"/>
      <c r="CC30" s="247" cm="1">
        <f t="array" ref="CC30">SUM(BE$6:BE30)</f>
        <v>76867552</v>
      </c>
      <c r="CD30" s="247"/>
      <c r="CE30" s="247"/>
      <c r="CF30" s="247" cm="1">
        <f t="array" ref="CF30">'net worth - Table 1-1'!K107</f>
        <v>1880927</v>
      </c>
      <c r="CG30" s="247" cm="1">
        <f t="array" ref="CG30">'net worth - Table 1-3'!E108</f>
        <v>9862963</v>
      </c>
      <c r="CH30" s="247" cm="1">
        <f t="array" ref="CH30">'net worth - Table 1-2'!C107</f>
        <v>1524311</v>
      </c>
      <c r="CI30" s="247" cm="1">
        <f t="array" ref="CI30">SUM(CF30:CH30)</f>
        <v>13268201</v>
      </c>
      <c r="CJ30" s="247" cm="1">
        <f t="array" ref="CJ30">('net worth - Table 1-3'!AY108+'net worth - Table 1-3'!BF108)*0.85+'net worth - Table 1-3'!AJ108</f>
        <v>50453424.65</v>
      </c>
      <c r="CK30" s="247" cm="1">
        <f t="array" ref="CK30">CI30+CJ31</f>
        <v>63721625.65</v>
      </c>
      <c r="CL30" s="247" cm="1">
        <f t="array" ref="CL30">M30-CK30</f>
        <v>15501471.35</v>
      </c>
      <c r="CM30" s="247" cm="1">
        <f t="array" ref="CM30">M30-CI30</f>
        <v>65954896</v>
      </c>
    </row>
    <row r="31" ht="19.35" customHeight="1">
      <c r="A31" s="689">
        <v>25</v>
      </c>
      <c r="B31" s="675">
        <v>46106</v>
      </c>
      <c r="C31" s="247" cm="1">
        <f t="array" ref="C31">J31</f>
        <v>822265</v>
      </c>
      <c r="D31" s="597">
        <v>20.6383</v>
      </c>
      <c r="E31" s="676" cm="1">
        <f t="array" ref="E31">D31/K30</f>
        <v>0.0103791116850714</v>
      </c>
      <c r="F31" s="296">
        <v>39841.72</v>
      </c>
      <c r="G31" s="676" cm="1">
        <f t="array" ref="G31">ROUND((F31-F29)/F29,4)</f>
        <v>0.0037</v>
      </c>
      <c r="H31" s="676" cm="1">
        <f t="array" ref="H31">SUM(G19:G31)</f>
        <v>0.0274</v>
      </c>
      <c r="I31" s="299" cm="1">
        <f t="array" ref="I31">H31+4.95/100</f>
        <v>0.0769</v>
      </c>
      <c r="J31" s="247" cm="1">
        <f t="array" ref="J31">IF(K30=0,0,ROUND(D31*F31,0))</f>
        <v>822265</v>
      </c>
      <c r="K31" s="677" cm="1">
        <f t="array" ref="K31">IF(K30-BF31&lt;0,0,K30-BF31)</f>
        <v>1977</v>
      </c>
      <c r="L31" s="678" cm="1">
        <f t="array" ref="L31">K31/K$5</f>
        <v>0.500506329113924</v>
      </c>
      <c r="M31" s="679" cm="1">
        <f t="array" ref="M31">ROUND(K31*F31,0)</f>
        <v>78767080</v>
      </c>
      <c r="N31" s="680" cm="1">
        <f t="array" ref="N31">M31/M$5</f>
        <v>0.537173292486008</v>
      </c>
      <c r="O31" s="679" cm="1">
        <f t="array" ref="O31">M31-M30</f>
        <v>-456017</v>
      </c>
      <c r="P31" s="681" cm="1">
        <f t="array" ref="P31">T31-K31</f>
        <v>3423</v>
      </c>
      <c r="Q31" s="679" cm="1">
        <f t="array" ref="Q31">ROUND(P31*F31,0)</f>
        <v>136378208</v>
      </c>
      <c r="R31" s="596" cm="1">
        <f t="array" ref="R31">$K$5-K31</f>
        <v>1973</v>
      </c>
      <c r="S31" s="679" cm="1">
        <f t="array" ref="S31">Q31-Q30</f>
        <v>456017</v>
      </c>
      <c r="T31" s="596">
        <v>5400</v>
      </c>
      <c r="U31" s="679" cm="1">
        <f t="array" ref="U31">T31*F31</f>
        <v>215145288</v>
      </c>
      <c r="V31" s="247" cm="1">
        <f t="array" ref="V31">-S31</f>
        <v>-456017</v>
      </c>
      <c r="W31" s="690"/>
      <c r="X31" s="690" cm="1">
        <f t="array" ref="X31">$K30*4.95/12/100/(1-(1+4.95/12/100)^-(360-$A31+3))+$AY31</f>
        <v>12.0308819075686</v>
      </c>
      <c r="Y31" s="682" cm="1">
        <f t="array" ref="Y31">12.0098</f>
        <v>12.0098</v>
      </c>
      <c r="Z31" s="597" cm="1">
        <f t="array" ref="Z31">IF(Z$3*12&lt;=$A31,0,$K29*'depto - Departamento'!$D$8/12/(1-(1+'depto - Departamento'!$D$8/12)^-(12*Z$3-$A31+3))+$AY32)</f>
        <v>14.9597427344098</v>
      </c>
      <c r="AA31" s="597" cm="1">
        <f t="array" ref="AA31">IF(AA$3*12&lt;=$A31,0,$K29*'depto - Departamento'!$D$8/12/(1-(1+'depto - Departamento'!$D$8/12)^-(12*AA$3-$A31+3))+$AY32)</f>
        <v>17.0451154198843</v>
      </c>
      <c r="AB31" s="597" cm="1">
        <f t="array" ref="AB31">IF(AB$3*12&lt;$A31,0,$K30*'depto - Departamento'!$D$8/12/(1-(1+'depto - Departamento'!$D$8/12)^-(12*AB$3-$A31+3))+$AY31)</f>
        <v>18.2665775487185</v>
      </c>
      <c r="AC31" s="597" cm="1">
        <f t="array" ref="AC31">IF(AC$3*12&lt;$A31,0,$K30*'depto - Departamento'!$D$8/12/(1-(1+'depto - Departamento'!$D$8/12)^-(12*AC$3-$A31+3))+$AY31)</f>
        <v>21.8882412122784</v>
      </c>
      <c r="AD31" s="597" cm="1">
        <f t="array" ref="AD31">IF(AD$3*12&lt;$A31,0,$K30*'depto - Departamento'!$D$8/12/(1-(1+'depto - Departamento'!$D$8/12)^-(12*AD$3-$A31+3))+$AY31)</f>
        <v>25.8211543302615</v>
      </c>
      <c r="AE31" s="597" cm="1">
        <f t="array" ref="AE31">IF(AE$3*12&lt;$A31,0,$K30*'depto - Departamento'!$D$8/12/(1-(1+'depto - Departamento'!$D$8/12)^-(12*AE$3-$A31+3))+$AY31)</f>
        <v>57.7563182275009</v>
      </c>
      <c r="AF31" s="597" cm="1">
        <f t="array" ref="AF31">79.7673</f>
        <v>79.76730000000001</v>
      </c>
      <c r="AG31" s="597"/>
      <c r="AH31" s="597"/>
      <c r="AI31" s="696" cm="1">
        <f t="array" ref="AI31">$F31*Y31</f>
        <v>478491.088856</v>
      </c>
      <c r="AJ31" s="247" cm="1">
        <f t="array" ref="AJ31">$F31*Z31</f>
        <v>596021.88129639</v>
      </c>
      <c r="AK31" s="247" cm="1">
        <f t="array" ref="AK31">$F31*AA31</f>
        <v>679106.715926713</v>
      </c>
      <c r="AL31" s="247" cm="1">
        <f t="array" ref="AL31">$F31*AB31</f>
        <v>727771.868054329</v>
      </c>
      <c r="AM31" s="247" cm="1">
        <f t="array" ref="AM31">$F31*AC31</f>
        <v>872065.1776720569</v>
      </c>
      <c r="AN31" s="247" cm="1">
        <f t="array" ref="AN31">$F31*AD31</f>
        <v>1028759.20090307</v>
      </c>
      <c r="AO31" s="247" cm="1">
        <f t="array" ref="AO31">$F31*AE31</f>
        <v>2301111.05905099</v>
      </c>
      <c r="AP31" s="247" cm="1">
        <f t="array" ref="AP31">$F31*AF31</f>
        <v>3178066.431756</v>
      </c>
      <c r="AQ31" s="597"/>
      <c r="AR31" s="691" cm="1">
        <f t="array" ref="AR31">K30-K31</f>
        <v>11.4457</v>
      </c>
      <c r="AS31" s="691" cm="1">
        <f t="array" ref="AS31">D31-AR31</f>
        <v>9.192600000000001</v>
      </c>
      <c r="AT31" s="597"/>
      <c r="AU31" s="684" cm="1">
        <f t="array" ref="AU31">ROUND(AV31*F31,0)</f>
        <v>41204</v>
      </c>
      <c r="AV31" s="692">
        <v>1.0342</v>
      </c>
      <c r="AW31" s="684" cm="1">
        <f t="array" ref="AW31">ROUND(F31*AX31,0)</f>
        <v>3136</v>
      </c>
      <c r="AX31" s="692" cm="1">
        <f t="array" ref="AX31">0.0787</f>
        <v>0.07870000000000001</v>
      </c>
      <c r="AY31" s="693" cm="1">
        <f t="array" ref="AY31">SUM(AV31,AX31)</f>
        <v>1.1129</v>
      </c>
      <c r="AZ31" s="684" cm="1">
        <f t="array" ref="AZ31">ROUND(SUM(AV31,AX31)*F31,0)</f>
        <v>44340</v>
      </c>
      <c r="BA31" s="685">
        <v>112242</v>
      </c>
      <c r="BB31" s="694" cm="1">
        <f t="array" ref="BB31">ROUND(BA31/$F31,4)</f>
        <v>2.8172</v>
      </c>
      <c r="BC31" s="685" cm="1">
        <f t="array" ref="BC31">J31-SUM(AZ31,BA31,BG31)</f>
        <v>343774</v>
      </c>
      <c r="BD31" s="694" cm="1">
        <f t="array" ref="BD31">ROUND(BC31/$F31,4)</f>
        <v>8.628500000000001</v>
      </c>
      <c r="BE31" s="686" cm="1">
        <f t="array" ref="BE31">BC31+BA31</f>
        <v>456016</v>
      </c>
      <c r="BF31" s="694" cm="1">
        <f t="array" ref="BF31">ROUND((BA31+BC31)/F31,4)</f>
        <v>11.4457</v>
      </c>
      <c r="BG31" s="687">
        <v>321909</v>
      </c>
      <c r="BH31" s="697" cm="1">
        <f t="array" ref="BH31">ROUND(BG31/$F31,4)</f>
        <v>8.079700000000001</v>
      </c>
      <c r="BI31" s="679" cm="1">
        <f t="array" ref="BI31">M30-M31</f>
        <v>456017</v>
      </c>
      <c r="BJ31" s="679" cm="1">
        <f t="array" ref="BJ31">BE31-BI31</f>
        <v>-1</v>
      </c>
      <c r="BK31" s="679" cm="1">
        <f t="array" ref="BK31">-BJ31</f>
        <v>1</v>
      </c>
      <c r="BL31" s="679" cm="1">
        <f t="array" ref="BL31">BG31+BJ31</f>
        <v>321908</v>
      </c>
      <c r="BM31" s="679" cm="1">
        <f t="array" ref="BM31">AVERAGE(BL28:BL29,BL31)</f>
        <v>388250.333333333</v>
      </c>
      <c r="BN31" s="699" cm="1">
        <f t="array" ref="BN31">BH29-BH31</f>
        <v>1.257</v>
      </c>
      <c r="BO31" s="597" cm="1">
        <f t="array" ref="BO31">K30*((1+'depto - Departamento'!$D$8)^(1/12)-1)</f>
        <v>8.021928571211779</v>
      </c>
      <c r="BP31" s="698" cm="1">
        <f t="array" ref="BP31">(BA31+BC31)/BG31</f>
        <v>1.41659910098817</v>
      </c>
      <c r="BQ31" s="698" cm="1">
        <f t="array" ref="BQ31">Y31-BB31</f>
        <v>9.192600000000001</v>
      </c>
      <c r="BR31" s="698" cm="1">
        <f t="array" ref="BR31">(BR$4*(1+BR$4)^BR$3*K30)/((1+BR$4)^BR$3-1)</f>
        <v>10.6137265680696</v>
      </c>
      <c r="BS31" s="698"/>
      <c r="BT31" s="247"/>
      <c r="BU31" s="247" cm="1">
        <f t="array" ref="BU31">SUM(C$5:C31)</f>
        <v>141945897</v>
      </c>
      <c r="BV31" s="247" cm="1">
        <f t="array" ref="BV31">BA31+BC31+BV30</f>
        <v>77323568</v>
      </c>
      <c r="BW31" s="247" cm="1">
        <f t="array" ref="BW31">BG31+BW30</f>
        <v>9481215</v>
      </c>
      <c r="BX31" s="596" cm="1">
        <f t="array" ref="BX31">BF31+BX30</f>
        <v>1938.5092</v>
      </c>
      <c r="BY31" s="596" cm="1">
        <f t="array" ref="BY31">BH31+BY30</f>
        <v>244.9315</v>
      </c>
      <c r="BZ31" s="247" cm="1">
        <f t="array" ref="BZ31">SUM(BJ$6:BJ31)</f>
        <v>9458116</v>
      </c>
      <c r="CA31" s="596"/>
      <c r="CB31" s="596"/>
      <c r="CC31" s="247" cm="1">
        <f t="array" ref="CC31">SUM(BE$6:BE31)</f>
        <v>77323568</v>
      </c>
      <c r="CD31" s="596"/>
      <c r="CE31" s="596"/>
      <c r="CF31" s="247" cm="1">
        <f t="array" ref="CF31">'net worth - Table 1-1'!K107</f>
        <v>1880927</v>
      </c>
      <c r="CG31" s="247" cm="1">
        <f t="array" ref="CG31">'net worth - Table 1-3'!E108</f>
        <v>9862963</v>
      </c>
      <c r="CH31" s="247" cm="1">
        <f t="array" ref="CH31">'net worth - Table 1-2'!C107</f>
        <v>1524311</v>
      </c>
      <c r="CI31" s="247" cm="1">
        <f t="array" ref="CI31">SUM(CF31:CH31)</f>
        <v>13268201</v>
      </c>
      <c r="CJ31" s="247" cm="1">
        <f t="array" ref="CJ31">('net worth - Table 1-3'!AY108+'net worth - Table 1-3'!BF108)*0.85+'net worth - Table 1-3'!AJ108</f>
        <v>50453424.65</v>
      </c>
      <c r="CK31" s="247" cm="1">
        <f t="array" ref="CK31">CI31+CJ31</f>
        <v>63721625.65</v>
      </c>
      <c r="CL31" s="247" cm="1">
        <f t="array" ref="CL31">M31-CK31</f>
        <v>15045454.35</v>
      </c>
      <c r="CM31" s="247" cm="1">
        <f t="array" ref="CM31">M31-CI31</f>
        <v>65498879</v>
      </c>
    </row>
    <row r="32" ht="19.35" customHeight="1">
      <c r="A32" s="689">
        <v>26</v>
      </c>
      <c r="B32" s="675">
        <v>46123</v>
      </c>
      <c r="C32" s="247" cm="1">
        <f t="array" ref="C32">J32</f>
        <v>3180160</v>
      </c>
      <c r="D32" s="597" cm="1">
        <f t="array" ref="D32">AF32</f>
        <v>79.76690000000001</v>
      </c>
      <c r="E32" s="676" cm="1">
        <f t="array" ref="E32">D32/K31</f>
        <v>0.0403474456246839</v>
      </c>
      <c r="F32" s="296">
        <v>39868.16</v>
      </c>
      <c r="G32" s="676" cm="1">
        <f t="array" ref="G32">ROUND((F32-F31)/F31,4)</f>
        <v>0.0007</v>
      </c>
      <c r="H32" s="676" cm="1">
        <f t="array" ref="H32">SUM(G20:G32)</f>
        <v>0.0241</v>
      </c>
      <c r="I32" s="299" cm="1">
        <f t="array" ref="I32">H32+4.95/100</f>
        <v>0.0736</v>
      </c>
      <c r="J32" s="247" cm="1">
        <f t="array" ref="J32">IF(K31=0,0,ROUND(D32*F32,0))</f>
        <v>3180160</v>
      </c>
      <c r="K32" s="677" cm="1">
        <f t="array" ref="K32">IF(K31-BF32&lt;0,0,K31-BF32)</f>
        <v>1906.3793</v>
      </c>
      <c r="L32" s="678" cm="1">
        <f t="array" ref="L32">K32/K$5</f>
        <v>0.482627670886076</v>
      </c>
      <c r="M32" s="679" cm="1">
        <f t="array" ref="M32">ROUND(K32*F32,0)</f>
        <v>76003835</v>
      </c>
      <c r="N32" s="680" cm="1">
        <f t="array" ref="N32">M32/M$5</f>
        <v>0.5183285998225819</v>
      </c>
      <c r="O32" s="679" cm="1">
        <f t="array" ref="O32">M32-M31</f>
        <v>-2763245</v>
      </c>
      <c r="P32" s="681" cm="1">
        <f t="array" ref="P32">T32-K32</f>
        <v>3493.6207</v>
      </c>
      <c r="Q32" s="679" cm="1">
        <f t="array" ref="Q32">ROUND(P32*F32,0)</f>
        <v>139284229</v>
      </c>
      <c r="R32" s="596" cm="1">
        <f t="array" ref="R32">$K$5-K32</f>
        <v>2043.6207</v>
      </c>
      <c r="S32" s="679" cm="1">
        <f t="array" ref="S32">Q32-Q31</f>
        <v>2906021</v>
      </c>
      <c r="T32" s="596">
        <v>5400</v>
      </c>
      <c r="U32" s="679" cm="1">
        <f t="array" ref="U32">T32*F32</f>
        <v>215288064</v>
      </c>
      <c r="V32" s="247" cm="1">
        <f t="array" ref="V32">-S32</f>
        <v>-2906021</v>
      </c>
      <c r="W32" s="690"/>
      <c r="X32" s="690" cm="1">
        <f t="array" ref="X32">$K31*4.95/12/100/(1-(1+4.95/12/100)^-(360-$A32+3))+$AY32</f>
        <v>11.9824821304853</v>
      </c>
      <c r="Y32" s="682" cm="1">
        <f t="array" ref="Y32">11.9624</f>
        <v>11.9624</v>
      </c>
      <c r="Z32" s="597" cm="1">
        <f t="array" ref="Z32">IF(Z$3*12&lt;=$A32,0,$K31*'depto - Departamento'!$D$8/12/(1-(1+'depto - Departamento'!$D$8/12)^-(12*Z$3-$A32+3))+$AY33)</f>
        <v>13.0977911552177</v>
      </c>
      <c r="AA32" s="597" cm="1">
        <f t="array" ref="AA32">IF(AA$3*12&lt;=$A32,0,$K31*'depto - Departamento'!$D$8/12/(1-(1+'depto - Departamento'!$D$8/12)^-(12*AA$3-$A32+3))+$AY33)</f>
        <v>14.915786231303</v>
      </c>
      <c r="AB32" s="597" cm="1">
        <f t="array" ref="AB32">IF(AB$3*12&lt;$A32,0,$K31*'depto - Departamento'!$D$8/12/(1-(1+'depto - Departamento'!$D$8/12)^-(12*AB$3-$A32+3))+$AY32)</f>
        <v>18.2445621986036</v>
      </c>
      <c r="AC32" s="597" cm="1">
        <f t="array" ref="AC32">IF(AC$3*12&lt;$A32,0,$K31*'depto - Departamento'!$D$8/12/(1-(1+'depto - Departamento'!$D$8/12)^-(12*AC$3-$A32+3))+$AY32)</f>
        <v>21.8996942523398</v>
      </c>
      <c r="AD32" s="597" cm="1">
        <f t="array" ref="AD32">IF(AD$3*12&lt;$A32,0,$K31*'depto - Departamento'!$D$8/12/(1-(1+'depto - Departamento'!$D$8/12)^-(12*AD$3-$A32+3))+$AY32)</f>
        <v>25.8841584465505</v>
      </c>
      <c r="AE32" s="597" cm="1">
        <f t="array" ref="AE32">IF(AE$3*12&lt;$A32,0,$K31*'depto - Departamento'!$D$8/12/(1-(1+'depto - Departamento'!$D$8/12)^-(12*AE$3-$A32+3))+$AY32)</f>
        <v>58.8360933692355</v>
      </c>
      <c r="AF32" s="597" cm="1">
        <f t="array" ref="AF32">79.7669</f>
        <v>79.76690000000001</v>
      </c>
      <c r="AG32" s="597"/>
      <c r="AH32" s="597"/>
      <c r="AI32" s="696" cm="1">
        <f t="array" ref="AI32">$F32*Y32</f>
        <v>476918.877184</v>
      </c>
      <c r="AJ32" s="247" cm="1">
        <f t="array" ref="AJ32">$F32*Z32</f>
        <v>522184.833422804</v>
      </c>
      <c r="AK32" s="247" cm="1">
        <f t="array" ref="AK32">$F32*AA32</f>
        <v>594664.951995385</v>
      </c>
      <c r="AL32" s="247" cm="1">
        <f t="array" ref="AL32">$F32*AB32</f>
        <v>727377.12486388</v>
      </c>
      <c r="AM32" s="247" cm="1">
        <f t="array" ref="AM32">$F32*AC32</f>
        <v>873100.514403364</v>
      </c>
      <c r="AN32" s="247" cm="1">
        <f t="array" ref="AN32">$F32*AD32</f>
        <v>1031953.77041243</v>
      </c>
      <c r="AO32" s="247" cm="1">
        <f t="array" ref="AO32">$F32*AE32</f>
        <v>2345686.78421962</v>
      </c>
      <c r="AP32" s="247" cm="1">
        <f t="array" ref="AP32">$F32*AF32</f>
        <v>3180159.531904</v>
      </c>
      <c r="AQ32" s="597"/>
      <c r="AR32" s="691" cm="1">
        <f t="array" ref="AR32">K31-K32</f>
        <v>70.6207</v>
      </c>
      <c r="AS32" s="691" cm="1">
        <f t="array" ref="AS32">D32-AR32</f>
        <v>9.1462</v>
      </c>
      <c r="AT32" s="597"/>
      <c r="AU32" s="684" cm="1">
        <f t="array" ref="AU32">ROUND(AV32*F32,0)</f>
        <v>41232</v>
      </c>
      <c r="AV32" s="692">
        <v>1.0342</v>
      </c>
      <c r="AW32" s="684" cm="1">
        <f t="array" ref="AW32">ROUND(F32*AX32,0)</f>
        <v>3122</v>
      </c>
      <c r="AX32" s="692" cm="1">
        <f t="array" ref="AX32">0.0783</f>
        <v>0.07829999999999999</v>
      </c>
      <c r="AY32" s="693" cm="1">
        <f t="array" ref="AY32">SUM(AV32,AX32)</f>
        <v>1.1125</v>
      </c>
      <c r="AZ32" s="684" cm="1">
        <f t="array" ref="AZ32">AU32+AW32</f>
        <v>44354</v>
      </c>
      <c r="BA32" s="685" cm="1">
        <f t="array" ref="BA32">AI32-AZ32-BG32</f>
        <v>112275.877184</v>
      </c>
      <c r="BB32" s="694" cm="1">
        <f t="array" ref="BB32">ROUND(BA32/$F32,4)</f>
        <v>2.8162</v>
      </c>
      <c r="BC32" s="685" cm="1">
        <f t="array" ref="BC32">J32-SUM(AZ32,BA32,BG32)</f>
        <v>2703241.122816</v>
      </c>
      <c r="BD32" s="694" cm="1">
        <f t="array" ref="BD32">ROUND(BC32/$F32,4)</f>
        <v>67.8045</v>
      </c>
      <c r="BE32" s="686" cm="1">
        <f t="array" ref="BE32">BC32+BA32</f>
        <v>2815517</v>
      </c>
      <c r="BF32" s="694" cm="1">
        <f t="array" ref="BF32">ROUND((BA32+BC32)/F32,4)</f>
        <v>70.6207</v>
      </c>
      <c r="BG32" s="687">
        <v>320289</v>
      </c>
      <c r="BH32" s="697" cm="1">
        <f t="array" ref="BH32">ROUND(BG32/$F32,4)</f>
        <v>8.0337</v>
      </c>
      <c r="BI32" s="679" cm="1">
        <f t="array" ref="BI32">M31-M32</f>
        <v>2763245</v>
      </c>
      <c r="BJ32" s="679" cm="1">
        <f t="array" ref="BJ32">BE32-BI32</f>
        <v>52272</v>
      </c>
      <c r="BK32" s="679" cm="1">
        <f t="array" ref="BK32">-BJ32</f>
        <v>-52272</v>
      </c>
      <c r="BL32" s="679" cm="1">
        <f t="array" ref="BL32">BG32+BJ32</f>
        <v>372561</v>
      </c>
      <c r="BM32" s="679" cm="1">
        <f t="array" ref="BM32">AVERAGE(BL29,BL31:BL32)</f>
        <v>363706.333333333</v>
      </c>
      <c r="BN32" s="699" cm="1">
        <f t="array" ref="BN32">BH31-BH32</f>
        <v>0.046</v>
      </c>
      <c r="BO32" s="597" cm="1">
        <f t="array" ref="BO32">K31*((1+'depto - Departamento'!$D$8)^(1/12)-1)</f>
        <v>7.97575351707401</v>
      </c>
      <c r="BP32" s="698" cm="1">
        <f t="array" ref="BP32">(BA32+BC32)/BG32</f>
        <v>8.79055165803384</v>
      </c>
      <c r="BQ32" s="698" cm="1">
        <f t="array" ref="BQ32">Y32-BB32</f>
        <v>9.1462</v>
      </c>
      <c r="BR32" s="698" cm="1">
        <f t="array" ref="BR32">(BR$4*(1+BR$4)^BR$3*K31)/((1+BR$4)^BR$3-1)</f>
        <v>10.5526328554376</v>
      </c>
      <c r="BS32" s="698"/>
      <c r="BT32" s="247"/>
      <c r="BU32" s="247" cm="1">
        <f t="array" ref="BU32">SUM(C$5:C32)</f>
        <v>145126057</v>
      </c>
      <c r="BV32" s="247" cm="1">
        <f t="array" ref="BV32">BA32+BC32+BV31</f>
        <v>80139085</v>
      </c>
      <c r="BW32" s="247" cm="1">
        <f t="array" ref="BW32">BG32+BW31</f>
        <v>9801504</v>
      </c>
      <c r="BX32" s="596" cm="1">
        <f t="array" ref="BX32">BF32+BX31</f>
        <v>2009.1299</v>
      </c>
      <c r="BY32" s="596" cm="1">
        <f t="array" ref="BY32">BH32+BY31</f>
        <v>252.9652</v>
      </c>
      <c r="BZ32" s="247" cm="1">
        <f t="array" ref="BZ32">SUM(BJ$6:BJ32)</f>
        <v>9510388</v>
      </c>
      <c r="CA32" s="596"/>
      <c r="CB32" s="596"/>
      <c r="CC32" s="247" cm="1">
        <f t="array" ref="CC32">SUM(BE$6:BE32)</f>
        <v>80139085</v>
      </c>
      <c r="CD32" s="596"/>
      <c r="CE32" s="596"/>
      <c r="CF32" s="247" cm="1">
        <f t="array" ref="CF32">'net worth - Table 1-1'!K108</f>
        <v>20268684</v>
      </c>
      <c r="CG32" s="247" cm="1">
        <f t="array" ref="CG32">'net worth - Table 1-3'!E109</f>
        <v>10970244</v>
      </c>
      <c r="CH32" s="247" cm="1">
        <f t="array" ref="CH32">'net worth - Table 1-2'!C108</f>
        <v>1693457</v>
      </c>
      <c r="CI32" s="247" cm="1">
        <f t="array" ref="CI32">SUM(CF32:CH32)</f>
        <v>32932385</v>
      </c>
      <c r="CJ32" s="247" cm="1">
        <f t="array" ref="CJ32">('net worth - Table 1-3'!AY109+'net worth - Table 1-3'!BF109)*0.85+'net worth - Table 1-3'!AJ109</f>
        <v>55994290.05</v>
      </c>
      <c r="CK32" s="247" cm="1">
        <f t="array" ref="CK32">CI32+CJ32</f>
        <v>88926675.05</v>
      </c>
      <c r="CL32" s="247" cm="1">
        <f t="array" ref="CL32">M32-CK32</f>
        <v>-12922840.05</v>
      </c>
      <c r="CM32" s="247" cm="1">
        <f t="array" ref="CM32">M32-CI32</f>
        <v>43071450</v>
      </c>
    </row>
    <row r="33" ht="19.35" customHeight="1">
      <c r="A33" s="689">
        <v>27</v>
      </c>
      <c r="B33" s="675">
        <v>46153</v>
      </c>
      <c r="C33" s="247" cm="1">
        <f t="array" ref="C33">J33</f>
        <v>3212395</v>
      </c>
      <c r="D33" s="597" cm="1">
        <f t="array" ref="D33">AF33</f>
        <v>79.7641</v>
      </c>
      <c r="E33" s="676" cm="1">
        <f t="array" ref="E33">D33/K32</f>
        <v>0.0418406242661154</v>
      </c>
      <c r="F33" s="296">
        <v>40273.69</v>
      </c>
      <c r="G33" s="676" cm="1">
        <f t="array" ref="G33">ROUND((F33-F32)/F32,4)</f>
        <v>0.0102</v>
      </c>
      <c r="H33" s="676" cm="1">
        <f t="array" ref="H33">SUM(G21:G33)</f>
        <v>0.0293</v>
      </c>
      <c r="I33" s="299" cm="1">
        <f t="array" ref="I33">H33+4.95/100</f>
        <v>0.0788</v>
      </c>
      <c r="J33" s="247" cm="1">
        <f t="array" ref="J33">IF(K32=0,0,ROUND(D33*F33,0))</f>
        <v>3212395</v>
      </c>
      <c r="K33" s="677" cm="1">
        <f t="array" ref="K33">IF(K32-BF33&lt;0,0,K32-BF33)</f>
        <v>1835.4735</v>
      </c>
      <c r="L33" s="678" cm="1">
        <f t="array" ref="L33">K33/K$5</f>
        <v>0.464676835443038</v>
      </c>
      <c r="M33" s="679" cm="1">
        <f t="array" ref="M33">ROUND(K33*F33,0)</f>
        <v>73921291</v>
      </c>
      <c r="N33" s="680" cm="1">
        <f t="array" ref="N33">M33/M$5</f>
        <v>0.504126130755213</v>
      </c>
      <c r="O33" s="679" cm="1">
        <f t="array" ref="O33">M33-M32</f>
        <v>-2082544</v>
      </c>
      <c r="P33" s="681" cm="1">
        <f t="array" ref="P33">T33-K33</f>
        <v>3564.5265</v>
      </c>
      <c r="Q33" s="679" cm="1">
        <f t="array" ref="Q33">ROUND(P33*F33,0)</f>
        <v>143556635</v>
      </c>
      <c r="R33" s="596" cm="1">
        <f t="array" ref="R33">$K$5-K33</f>
        <v>2114.5265</v>
      </c>
      <c r="S33" s="679" cm="1">
        <f t="array" ref="S33">Q33-Q32</f>
        <v>4272406</v>
      </c>
      <c r="T33" s="596">
        <v>5400</v>
      </c>
      <c r="U33" s="679" cm="1">
        <f t="array" ref="U33">T33*F33</f>
        <v>217477926</v>
      </c>
      <c r="V33" s="247" cm="1">
        <f t="array" ref="V33">-S33</f>
        <v>-4272406</v>
      </c>
      <c r="W33" s="690"/>
      <c r="X33" s="690" cm="1">
        <f t="array" ref="X33">$K32*4.95/12/100/(1-(1+4.95/12/100)^-(360-$A33+3))+$AY33</f>
        <v>11.6058074137489</v>
      </c>
      <c r="Y33" s="682" cm="1">
        <f t="array" ref="Y33">11.5896</f>
        <v>11.5896</v>
      </c>
      <c r="Z33" s="597" cm="1">
        <f t="array" ref="Z33">IF(Z$3*12&lt;=$A33,0,$K32*'depto - Departamento'!$D$8/12/(1-(1+'depto - Departamento'!$D$8/12)^-(12*Z$3-$A33+3))+$AY34)</f>
        <v>12.6891183911038</v>
      </c>
      <c r="AA33" s="597" cm="1">
        <f t="array" ref="AA33">IF(AA$3*12&lt;=$A33,0,$K32*'depto - Departamento'!$D$8/12/(1-(1+'depto - Departamento'!$D$8/12)^-(12*AA$3-$A33+3))+$AY34)</f>
        <v>14.4578791279307</v>
      </c>
      <c r="AB33" s="597" cm="1">
        <f t="array" ref="AB33">$K32*4.95/12/100/(1-(1+4.95/12/100)^-(12*AB$3-$A33+3))+$AY33</f>
        <v>17.7051400428824</v>
      </c>
      <c r="AC33" s="597" cm="1">
        <f t="array" ref="AC33">$K32*4.95/12/100/(1-(1+4.95/12/100)^-(12*AC$3-$A33+3))+$AY33</f>
        <v>21.2832510987784</v>
      </c>
      <c r="AD33" s="597" cm="1">
        <f t="array" ref="AD33">$K32*4.95/12/100/(1-(1+4.95/12/100)^-(12*AD$3-$A33+3))+$AY33</f>
        <v>25.198954829413</v>
      </c>
      <c r="AE33" s="597" cm="1">
        <f t="array" ref="AE33">$K32*4.95/12/100/(1-(1+4.95/12/100)^-(12*AE$3-$A33+3))+$AY33</f>
        <v>58.202811591685</v>
      </c>
      <c r="AF33" s="597" cm="1">
        <f t="array" ref="AF33">79.7641</f>
        <v>79.7641</v>
      </c>
      <c r="AG33" s="597"/>
      <c r="AH33" s="597"/>
      <c r="AI33" s="696" cm="1">
        <f t="array" ref="AI33">$F33*Y33</f>
        <v>466755.957624</v>
      </c>
      <c r="AJ33" s="247" cm="1">
        <f t="array" ref="AJ33">$F33*Z33</f>
        <v>511037.620456613</v>
      </c>
      <c r="AK33" s="247" cm="1">
        <f t="array" ref="AK33">$F33*AA33</f>
        <v>582272.1420557511</v>
      </c>
      <c r="AL33" s="247" cm="1">
        <f t="array" ref="AL33">$F33*AB33</f>
        <v>713051.321493632</v>
      </c>
      <c r="AM33" s="247" cm="1">
        <f t="array" ref="AM33">$F33*AC33</f>
        <v>857155.056944361</v>
      </c>
      <c r="AN33" s="247" cm="1">
        <f t="array" ref="AN33">$F33*AD33</f>
        <v>1014854.89512378</v>
      </c>
      <c r="AO33" s="247" cm="1">
        <f t="array" ref="AO33">$F33*AE33</f>
        <v>2344041.99117193</v>
      </c>
      <c r="AP33" s="247" cm="1">
        <f t="array" ref="AP33">$F33*AF33</f>
        <v>3212394.636529</v>
      </c>
      <c r="AQ33" s="597"/>
      <c r="AR33" s="691" cm="1">
        <f t="array" ref="AR33">K32-K33</f>
        <v>70.9058</v>
      </c>
      <c r="AS33" s="691" cm="1">
        <f t="array" ref="AS33">D33-AR33</f>
        <v>8.8583</v>
      </c>
      <c r="AT33" s="597"/>
      <c r="AU33" s="684" cm="1">
        <f t="array" ref="AU33">ROUND(AV33*F33,0)</f>
        <v>41651</v>
      </c>
      <c r="AV33" s="692">
        <v>1.0342</v>
      </c>
      <c r="AW33" s="684" cm="1">
        <f t="array" ref="AW33">ROUND(F33*AX33,0)</f>
        <v>3041</v>
      </c>
      <c r="AX33" s="692" cm="1">
        <f t="array" ref="AX33">ROUND(AX$31/K$30*K32,4)</f>
        <v>0.0755</v>
      </c>
      <c r="AY33" s="693" cm="1">
        <f t="array" ref="AY33">SUM(AV33,AX33)</f>
        <v>1.1097</v>
      </c>
      <c r="AZ33" s="684" cm="1">
        <f t="array" ref="AZ33">AU33+AW33</f>
        <v>44692</v>
      </c>
      <c r="BA33" s="685" cm="1">
        <f t="array" ref="BA33">AI33-AZ33-BG33+1</f>
        <v>109999.957624</v>
      </c>
      <c r="BB33" s="694" cm="1">
        <f t="array" ref="BB33">ROUND(BA33/$F33,4)</f>
        <v>2.7313</v>
      </c>
      <c r="BC33" s="685" cm="1">
        <f t="array" ref="BC33">J33-SUM(AZ33,BA33,BG33)</f>
        <v>2745638.042376</v>
      </c>
      <c r="BD33" s="694" cm="1">
        <f t="array" ref="BD33">ROUND(BC33/$F33,4)</f>
        <v>68.17449999999999</v>
      </c>
      <c r="BE33" s="686" cm="1">
        <f t="array" ref="BE33">BC33+BA33</f>
        <v>2855638</v>
      </c>
      <c r="BF33" s="694" cm="1">
        <f t="array" ref="BF33">ROUND((BA33+BC33)/F33,4)</f>
        <v>70.9058</v>
      </c>
      <c r="BG33" s="687">
        <v>312065</v>
      </c>
      <c r="BH33" s="697" cm="1">
        <f t="array" ref="BH33">ROUND(BG33/$F33,4)</f>
        <v>7.7486</v>
      </c>
      <c r="BI33" s="679" cm="1">
        <f t="array" ref="BI33">M32-M33</f>
        <v>2082544</v>
      </c>
      <c r="BJ33" s="679" cm="1">
        <f t="array" ref="BJ33">BE33-BI33</f>
        <v>773094</v>
      </c>
      <c r="BK33" s="679" cm="1">
        <f t="array" ref="BK33">-BJ33</f>
        <v>-773094</v>
      </c>
      <c r="BL33" s="679" cm="1">
        <f t="array" ref="BL33">BG33+BJ33</f>
        <v>1085159</v>
      </c>
      <c r="BM33" s="679" cm="1">
        <f t="array" ref="BM33">AVERAGE(BL31:BL33)</f>
        <v>593209.333333333</v>
      </c>
      <c r="BN33" s="699" cm="1">
        <f t="array" ref="BN33">BH32-BH33</f>
        <v>0.2851</v>
      </c>
      <c r="BO33" s="597" cm="1">
        <f t="array" ref="BO33">K32*((1+'depto - Departamento'!$D$8)^(1/12)-1)</f>
        <v>7.69085048399195</v>
      </c>
      <c r="BP33" s="698" cm="1">
        <f t="array" ref="BP33">(BA33+BC33)/BG33</f>
        <v>9.150779485043181</v>
      </c>
      <c r="BQ33" s="698" cm="1">
        <f t="array" ref="BQ33">Y33-BB33</f>
        <v>8.8583</v>
      </c>
      <c r="BR33" s="698" cm="1">
        <f t="array" ref="BR33">(BR$4*(1+BR$4)^BR$3*K32)/((1+BR$4)^BR$3-1)</f>
        <v>10.1756807466394</v>
      </c>
      <c r="BS33" s="698"/>
      <c r="BT33" s="247"/>
      <c r="BU33" s="247" cm="1">
        <f t="array" ref="BU33">SUM(C$5:C33)</f>
        <v>148338452</v>
      </c>
      <c r="BV33" s="247" cm="1">
        <f t="array" ref="BV33">BA33+BC33+BV32</f>
        <v>82994723</v>
      </c>
      <c r="BW33" s="247" cm="1">
        <f t="array" ref="BW33">BG33+BW32</f>
        <v>10113569</v>
      </c>
      <c r="BX33" s="596" cm="1">
        <f t="array" ref="BX33">BF33+BX32</f>
        <v>2080.0357</v>
      </c>
      <c r="BY33" s="596" cm="1">
        <f t="array" ref="BY33">BH33+BY32</f>
        <v>260.7138</v>
      </c>
      <c r="BZ33" s="247" cm="1">
        <f t="array" ref="BZ33">SUM(BJ$6:BJ33)</f>
        <v>10283482</v>
      </c>
      <c r="CA33" s="596"/>
      <c r="CB33" s="596"/>
      <c r="CC33" s="247" cm="1">
        <f t="array" ref="CC33">SUM(BE$6:BE33)</f>
        <v>82994723</v>
      </c>
      <c r="CD33" s="596"/>
      <c r="CE33" s="596"/>
      <c r="CF33" s="247" cm="1">
        <f t="array" ref="CF33">'net worth - Table 1-1'!K109</f>
        <v>17512018</v>
      </c>
      <c r="CG33" s="247" cm="1">
        <f t="array" ref="CG33">'net worth - Table 1-3'!E110</f>
        <v>11447471</v>
      </c>
      <c r="CH33" s="247" cm="1">
        <f t="array" ref="CH33">'net worth - Table 1-2'!C109</f>
        <v>1693457</v>
      </c>
      <c r="CI33" s="247" cm="1">
        <f t="array" ref="CI33">SUM(CF33:CH33)</f>
        <v>30652946</v>
      </c>
      <c r="CJ33" s="247" cm="1">
        <f t="array" ref="CJ33">('net worth - Table 1-3'!AY110+'net worth - Table 1-3'!BF110)*0.85+'net worth - Table 1-3'!AJ110</f>
        <v>55587944.85</v>
      </c>
      <c r="CK33" s="247" cm="1">
        <f t="array" ref="CK33">CI33+CJ33</f>
        <v>86240890.84999999</v>
      </c>
      <c r="CL33" s="247" cm="1">
        <f t="array" ref="CL33">M33-CK33</f>
        <v>-12319599.85</v>
      </c>
      <c r="CM33" s="247" cm="1">
        <f t="array" ref="CM33">M33-CI33</f>
        <v>43268345</v>
      </c>
    </row>
    <row r="34" ht="19.35" customHeight="1">
      <c r="A34" s="689">
        <v>28</v>
      </c>
      <c r="B34" s="675">
        <v>46184</v>
      </c>
      <c r="C34" s="247"/>
      <c r="D34" s="597" cm="1">
        <f t="array" ref="D34">AF34</f>
        <v>79.76130000000001</v>
      </c>
      <c r="E34" s="676" cm="1">
        <f t="array" ref="E34">D34/K33</f>
        <v>0.0434554353413438</v>
      </c>
      <c r="F34" s="731" cm="1">
        <f t="array" ref="F34">F33*(1+G34)</f>
        <v>40797.24797</v>
      </c>
      <c r="G34" s="676">
        <v>0.013</v>
      </c>
      <c r="H34" s="676" cm="1">
        <f t="array" ref="H34">SUM(G22:G34)</f>
        <v>0.0403</v>
      </c>
      <c r="I34" s="299" cm="1">
        <f t="array" ref="I34">H34+4.95/100</f>
        <v>0.0898</v>
      </c>
      <c r="J34" s="247" cm="1">
        <f t="array" ref="J34">IF(K33=0,0,ROUND(D34*F34,0))</f>
        <v>3254042</v>
      </c>
      <c r="K34" s="677" cm="1">
        <f t="array" ref="K34">IF(K33-BF34&lt;0,0,K33-BF34)</f>
        <v>1764.2238</v>
      </c>
      <c r="L34" s="678" cm="1">
        <f t="array" ref="L34">K34/K$5</f>
        <v>0.446638936708861</v>
      </c>
      <c r="M34" s="679" cm="1">
        <f t="array" ref="M34">ROUND(K34*F34,0)</f>
        <v>71975476</v>
      </c>
      <c r="N34" s="680" cm="1">
        <f t="array" ref="N34">M34/M$5</f>
        <v>0.490856121887058</v>
      </c>
      <c r="O34" s="679" cm="1">
        <f t="array" ref="O34">M34-M33</f>
        <v>-1945815</v>
      </c>
      <c r="P34" s="681" cm="1">
        <f t="array" ref="P34">T34-K34</f>
        <v>3635.7762</v>
      </c>
      <c r="Q34" s="679" cm="1">
        <f t="array" ref="Q34">ROUND(P34*F34,0)</f>
        <v>148329663</v>
      </c>
      <c r="R34" s="596" cm="1">
        <f t="array" ref="R34">$K$5-K34</f>
        <v>2185.7762</v>
      </c>
      <c r="S34" s="679" cm="1">
        <f t="array" ref="S34">Q34-Q33</f>
        <v>4773028</v>
      </c>
      <c r="T34" s="596">
        <v>5400</v>
      </c>
      <c r="U34" s="679" cm="1">
        <f t="array" ref="U34">T34*F34</f>
        <v>220305139.038</v>
      </c>
      <c r="V34" s="247" cm="1">
        <f t="array" ref="V34">-S34</f>
        <v>-4773028</v>
      </c>
      <c r="W34" s="690"/>
      <c r="X34" s="690" cm="1">
        <f t="array" ref="X34">$K33*4.95/12/100/(1-(1+4.95/12/100)^-(360-$A34+3))+$AY34</f>
        <v>11.2264886656896</v>
      </c>
      <c r="Y34" s="682" cm="1">
        <f t="array" ref="Y34">K33*4.95/12/100/(1-(1+4.95/12/100)^-(360-$A34+3))+AY34</f>
        <v>11.2264886656896</v>
      </c>
      <c r="Z34" s="597" cm="1">
        <f t="array" ref="Z34">IF(Z$3*12&lt;=$A34,0,$K33*'depto - Departamento'!$D$8/12/(1-(1+'depto - Departamento'!$D$8/12)^-(12*Z$3-$A34+3))+$AY35)</f>
        <v>12.2773202879111</v>
      </c>
      <c r="AA34" s="597" cm="1">
        <f t="array" ref="AA34">IF(AA$3*12&lt;=$A34,0,$K33*'depto - Departamento'!$D$8/12/(1-(1+'depto - Departamento'!$D$8/12)^-(12*AA$3-$A34+3))+$AY35)</f>
        <v>13.9956064028187</v>
      </c>
      <c r="AB34" s="597" cm="1">
        <f t="array" ref="AB34">IF(AB$3*12&lt;$A34,0,$K33*'depto - Departamento'!$D$8/12/(1-(1+'depto - Departamento'!$D$8/12)^-(12*AB$3-$A34+3))+$AY34)</f>
        <v>17.1585101397433</v>
      </c>
      <c r="AC34" s="597" cm="1">
        <f t="array" ref="AC34">IF(AC$3*12&lt;$A34,0,$K33*'depto - Departamento'!$D$8/12/(1-(1+'depto - Departamento'!$D$8/12)^-(12*AC$3-$A34+3))+$AY34)</f>
        <v>20.656250113127</v>
      </c>
      <c r="AD34" s="597" cm="1">
        <f t="array" ref="AD34">IF(AD$3*12&lt;$A34,0,$K33*'depto - Departamento'!$D$8/12/(1-(1+'depto - Departamento'!$D$8/12)^-(12*AD$3-$A34+3))+$AY34)</f>
        <v>24.4991755176252</v>
      </c>
      <c r="AE34" s="597" cm="1">
        <f t="array" ref="AE34">IF(AE$3*12&lt;$A34,0,$K33*'depto - Departamento'!$D$8/12/(1-(1+'depto - Departamento'!$D$8/12)^-(12*AE$3-$A34+3))+$AY34)</f>
        <v>57.5335254603161</v>
      </c>
      <c r="AF34" s="597" cm="1">
        <f t="array" ref="AF34">AF33-(AF32-AF33)</f>
        <v>79.76130000000001</v>
      </c>
      <c r="AG34" s="597"/>
      <c r="AH34" s="597"/>
      <c r="AI34" s="696" cm="1">
        <f t="array" ref="AI34">$F34*Y34</f>
        <v>458009.841926533</v>
      </c>
      <c r="AJ34" s="247" cm="1">
        <f t="array" ref="AJ34">$F34*Z34</f>
        <v>500880.880193021</v>
      </c>
      <c r="AK34" s="247" cm="1">
        <f t="array" ref="AK34">$F34*AA34</f>
        <v>570982.224906314</v>
      </c>
      <c r="AL34" s="247" cm="1">
        <f t="array" ref="AL34">$F34*AB34</f>
        <v>700019.9929668671</v>
      </c>
      <c r="AM34" s="247" cm="1">
        <f t="array" ref="AM34">$F34*AC34</f>
        <v>842718.157995583</v>
      </c>
      <c r="AN34" s="247" cm="1">
        <f t="array" ref="AN34">$F34*AD34</f>
        <v>999498.938653108</v>
      </c>
      <c r="AO34" s="247" cm="1">
        <f t="array" ref="AO34">$F34*AE34</f>
        <v>2347209.50479282</v>
      </c>
      <c r="AP34" s="247" cm="1">
        <f t="array" ref="AP34">$F34*AF34</f>
        <v>3254041.53450956</v>
      </c>
      <c r="AQ34" s="597"/>
      <c r="AR34" s="691" cm="1">
        <f t="array" ref="AR34">K33-K34</f>
        <v>71.2497</v>
      </c>
      <c r="AS34" s="691" cm="1">
        <f t="array" ref="AS34">D34-AR34</f>
        <v>8.5116</v>
      </c>
      <c r="AT34" s="597"/>
      <c r="AU34" s="684" cm="1">
        <f t="array" ref="AU34">ROUND(AV34*F34,0)</f>
        <v>42193</v>
      </c>
      <c r="AV34" s="692" cm="1">
        <f t="array" ref="AV34">P$165</f>
        <v>1.0342</v>
      </c>
      <c r="AW34" s="684" cm="1">
        <f t="array" ref="AW34">ROUND(F34*AX34,0)</f>
        <v>2962</v>
      </c>
      <c r="AX34" s="692" cm="1">
        <f t="array" ref="AX34">ROUND(AX$31/K$30*K33,4)</f>
        <v>0.0726</v>
      </c>
      <c r="AY34" s="693" cm="1">
        <f t="array" ref="AY34">SUM(AV34,AX34)</f>
        <v>1.1068</v>
      </c>
      <c r="AZ34" s="684" cm="1">
        <f t="array" ref="AZ34">AU34+AW34</f>
        <v>45155</v>
      </c>
      <c r="BA34" s="685" cm="1">
        <f t="array" ref="BA34">AI34-AZ34-BG34</f>
        <v>110759.491115212</v>
      </c>
      <c r="BB34" s="694" cm="1">
        <f t="array" ref="BB34">ROUND(BA34/$F34,4)</f>
        <v>2.7149</v>
      </c>
      <c r="BC34" s="685" cm="1">
        <f t="array" ref="BC34">J34-SUM(AZ34,BA34,BG34)</f>
        <v>2796032.15807347</v>
      </c>
      <c r="BD34" s="694" cm="1">
        <f t="array" ref="BD34">ROUND(BC34/$F34,4)</f>
        <v>68.5348</v>
      </c>
      <c r="BE34" s="686" cm="1">
        <f t="array" ref="BE34">BC34+BA34</f>
        <v>2906791.64918868</v>
      </c>
      <c r="BF34" s="694" cm="1">
        <f t="array" ref="BF34">ROUND((BA34+BC34)/F34,4)</f>
        <v>71.2497</v>
      </c>
      <c r="BG34" s="687" cm="1">
        <f t="array" ref="BG34">BO34*F34</f>
        <v>302095.350811321</v>
      </c>
      <c r="BH34" s="697" cm="1">
        <f t="array" ref="BH34">ROUND(BG34/$F34,4)</f>
        <v>7.4048</v>
      </c>
      <c r="BI34" s="679" cm="1">
        <f t="array" ref="BI34">M33-M34</f>
        <v>1945815</v>
      </c>
      <c r="BJ34" s="679" cm="1">
        <f t="array" ref="BJ34">BE34-BI34</f>
        <v>960976.64918868</v>
      </c>
      <c r="BK34" s="679" cm="1">
        <f t="array" ref="BK34">-BJ34</f>
        <v>-960976.64918868</v>
      </c>
      <c r="BL34" s="679" cm="1">
        <f t="array" ref="BL34">BG34+BJ34</f>
        <v>1263072</v>
      </c>
      <c r="BM34" s="679" cm="1">
        <f t="array" ref="BM34">AVERAGE(BL32:BL34)</f>
        <v>906930.666666667</v>
      </c>
      <c r="BN34" s="699" cm="1">
        <f t="array" ref="BN34">BH33-BH34</f>
        <v>0.3438</v>
      </c>
      <c r="BO34" s="597" cm="1">
        <f t="array" ref="BO34">K33*((1+'depto - Departamento'!$D$8)^(1/12)-1)</f>
        <v>7.40479728028384</v>
      </c>
      <c r="BP34" s="698" cm="1">
        <f t="array" ref="BP34">(BA34+BC34)/BG34</f>
        <v>9.622099914421289</v>
      </c>
      <c r="BQ34" s="698" cm="1">
        <f t="array" ref="BQ34">Y34-BB34</f>
        <v>8.511588665689599</v>
      </c>
      <c r="BR34" s="698" cm="1">
        <f t="array" ref="BR34">(BR$4*(1+BR$4)^BR$3*K33)/((1+BR$4)^BR$3-1)</f>
        <v>9.79720685957767</v>
      </c>
      <c r="BS34" s="698"/>
      <c r="BT34" s="247"/>
      <c r="BU34" s="247" cm="1">
        <f t="array" ref="BU34">SUM(C$5:C34)</f>
        <v>148338452</v>
      </c>
      <c r="BV34" s="247" cm="1">
        <f t="array" ref="BV34">BA34+BC34+BV33</f>
        <v>85901514.6491887</v>
      </c>
      <c r="BW34" s="247" cm="1">
        <f t="array" ref="BW34">BG34+BW33</f>
        <v>10415664.3508113</v>
      </c>
      <c r="BX34" s="596" cm="1">
        <f t="array" ref="BX34">BF34+BX33</f>
        <v>2151.2854</v>
      </c>
      <c r="BY34" s="596" cm="1">
        <f t="array" ref="BY34">BH34+BY33</f>
        <v>268.1186</v>
      </c>
      <c r="BZ34" s="247" cm="1">
        <f t="array" ref="BZ34">SUM(BJ$6:BJ34)</f>
        <v>11244458.6491887</v>
      </c>
      <c r="CA34" s="596"/>
      <c r="CB34" s="596"/>
      <c r="CC34" s="247" cm="1">
        <f t="array" ref="CC34">SUM(BE$6:BE34)</f>
        <v>85901514.6491887</v>
      </c>
      <c r="CD34" s="596"/>
      <c r="CE34" s="596"/>
      <c r="CF34" s="247" cm="1">
        <f t="array" ref="CF34">'net worth - Table 1-1'!K110</f>
        <v>14512018</v>
      </c>
      <c r="CG34" s="247" cm="1">
        <f t="array" ref="CG34">'net worth - Table 1-3'!E111</f>
        <v>11447471</v>
      </c>
      <c r="CH34" s="247" cm="1">
        <f t="array" ref="CH34">'net worth - Table 1-2'!C110</f>
        <v>1693457</v>
      </c>
      <c r="CI34" s="247" cm="1">
        <f t="array" ref="CI34">SUM(CF34:CH34)</f>
        <v>27652946</v>
      </c>
      <c r="CJ34" s="247" cm="1">
        <f t="array" ref="CJ34">('net worth - Table 1-3'!AY111+'net worth - Table 1-3'!BF111)*0.85+'net worth - Table 1-3'!AJ111</f>
        <v>55587944.85</v>
      </c>
      <c r="CK34" s="247" cm="1">
        <f t="array" ref="CK34">CI34+CJ34</f>
        <v>83240890.84999999</v>
      </c>
      <c r="CL34" s="247" cm="1">
        <f t="array" ref="CL34">M34-CK34</f>
        <v>-11265414.85</v>
      </c>
      <c r="CM34" s="247" cm="1">
        <f t="array" ref="CM34">M34-CI34</f>
        <v>44322530</v>
      </c>
    </row>
    <row r="35" ht="19.35" customHeight="1">
      <c r="A35" s="689">
        <v>29</v>
      </c>
      <c r="B35" s="675">
        <v>46214</v>
      </c>
      <c r="C35" s="247"/>
      <c r="D35" s="597">
        <v>26</v>
      </c>
      <c r="E35" s="676" cm="1">
        <f t="array" ref="E35">D35/K34</f>
        <v>0.0147373592851428</v>
      </c>
      <c r="F35" s="731" cm="1">
        <f t="array" ref="F35">F34*(1+G35)</f>
        <v>41233.778523279</v>
      </c>
      <c r="G35" s="732" cm="1">
        <f t="array" ref="G35">H35-SUM(G23:G34)</f>
        <v>0.0107</v>
      </c>
      <c r="H35" s="733">
        <v>0.049</v>
      </c>
      <c r="I35" s="299" cm="1">
        <f t="array" ref="I35">H35+4.95/100</f>
        <v>0.0985</v>
      </c>
      <c r="J35" s="247" cm="1">
        <f t="array" ref="J35">IF(K34=0,0,ROUND(D35*F35,0))</f>
        <v>1072078</v>
      </c>
      <c r="K35" s="677" cm="1">
        <f t="array" ref="K35">IF(K34-BF35&lt;0,0,K34-BF35)</f>
        <v>1746.4452</v>
      </c>
      <c r="L35" s="678" cm="1">
        <f t="array" ref="L35">K35/K$5</f>
        <v>0.442138025316456</v>
      </c>
      <c r="M35" s="679" cm="1">
        <f t="array" ref="M35">ROUND(K35*F35,0)</f>
        <v>72012535</v>
      </c>
      <c r="N35" s="680" cm="1">
        <f t="array" ref="N35">M35/M$5</f>
        <v>0.491108855707409</v>
      </c>
      <c r="O35" s="679" cm="1">
        <f t="array" ref="O35">M35-M34</f>
        <v>37059</v>
      </c>
      <c r="P35" s="681" cm="1">
        <f t="array" ref="P35">T35-K35</f>
        <v>3653.5548</v>
      </c>
      <c r="Q35" s="679" cm="1">
        <f t="array" ref="Q35">ROUND(P35*F35,0)</f>
        <v>150649869</v>
      </c>
      <c r="R35" s="596" cm="1">
        <f t="array" ref="R35">$K$5-K35</f>
        <v>2203.5548</v>
      </c>
      <c r="S35" s="679" cm="1">
        <f t="array" ref="S35">Q35-Q34</f>
        <v>2320206</v>
      </c>
      <c r="T35" s="596">
        <v>5400</v>
      </c>
      <c r="U35" s="679" cm="1">
        <f t="array" ref="U35">T35*F35</f>
        <v>222662404.025707</v>
      </c>
      <c r="V35" s="247" cm="1">
        <f t="array" ref="V35">-S35</f>
        <v>-2320206</v>
      </c>
      <c r="W35" s="690"/>
      <c r="X35" s="690" cm="1">
        <f t="array" ref="X35">$K34*4.95/12/100/(1-(1+4.95/12/100)^-(360-$A35+3))+$AY35</f>
        <v>10.8443844857829</v>
      </c>
      <c r="Y35" s="682" cm="1">
        <f t="array" ref="Y35">K34*4.95/12/100/(1-(1+4.95/12/100)^-(360-$A35+3))+AY35</f>
        <v>10.8443844857829</v>
      </c>
      <c r="Z35" s="597" cm="1">
        <f t="array" ref="Z35">IF(Z$3*12&lt;=$A35,0,$K34*'depto - Departamento'!$D$8/12/(1-(1+'depto - Departamento'!$D$8/12)^-(12*Z$3-$A35+3))+$AY36)</f>
        <v>11.8640097397118</v>
      </c>
      <c r="AA35" s="597" cm="1">
        <f t="array" ref="AA35">IF(AA$3*12&lt;=$A35,0,$K34*'depto - Departamento'!$D$8/12/(1-(1+'depto - Departamento'!$D$8/12)^-(12*AA$3-$A35+3))+$AY36)</f>
        <v>13.5304992996884</v>
      </c>
      <c r="AB35" s="597" cm="1">
        <f t="array" ref="AB35">IF(AB$3*12&lt;$A35,0,$K34*'depto - Departamento'!$D$8/12/(1-(1+'depto - Departamento'!$D$8/12)^-(12*AB$3-$A35+3))+$AY35)</f>
        <v>16.6042275484741</v>
      </c>
      <c r="AC35" s="597" cm="1">
        <f t="array" ref="AC35">IF(AC$3*12&lt;$A35,0,$K34*'depto - Departamento'!$D$8/12/(1-(1+'depto - Departamento'!$D$8/12)^-(12*AC$3-$A35+3))+$AY35)</f>
        <v>20.0180074503027</v>
      </c>
      <c r="AD35" s="597" cm="1">
        <f t="array" ref="AD35">IF(AD$3*12&lt;$A35,0,$K34*'depto - Departamento'!$D$8/12/(1-(1+'depto - Departamento'!$D$8/12)^-(12*AD$3-$A35+3))+$AY35)</f>
        <v>23.7838175476748</v>
      </c>
      <c r="AE35" s="597" cm="1">
        <f t="array" ref="AE35">IF(AE$3*12&lt;$A35,0,$K34*'depto - Departamento'!$D$8/12/(1-(1+'depto - Departamento'!$D$8/12)^-(12*AE$3-$A35+3))+$AY35)</f>
        <v>56.8234466244344</v>
      </c>
      <c r="AF35" s="597" cm="1">
        <f t="array" ref="AF35">AF34-(AF33-AF34)</f>
        <v>79.7585</v>
      </c>
      <c r="AG35" s="597"/>
      <c r="AH35" s="597"/>
      <c r="AI35" s="696" cm="1">
        <f t="array" ref="AI35">$F35*Y35</f>
        <v>447154.948108055</v>
      </c>
      <c r="AJ35" s="247" cm="1">
        <f t="array" ref="AJ35">$F35*Z35</f>
        <v>489197.950005301</v>
      </c>
      <c r="AK35" s="247" cm="1">
        <f t="array" ref="AK35">$F35*AA35</f>
        <v>557913.611432733</v>
      </c>
      <c r="AL35" s="247" cm="1">
        <f t="array" ref="AL35">$F35*AB35</f>
        <v>684655.041283909</v>
      </c>
      <c r="AM35" s="247" cm="1">
        <f t="array" ref="AM35">$F35*AC35</f>
        <v>825418.08568313</v>
      </c>
      <c r="AN35" s="247" cm="1">
        <f t="array" ref="AN35">$F35*AD35</f>
        <v>980696.665198899</v>
      </c>
      <c r="AO35" s="247" cm="1">
        <f t="array" ref="AO35">$F35*AE35</f>
        <v>2343045.41304129</v>
      </c>
      <c r="AP35" s="247" cm="1">
        <f t="array" ref="AP35">$F35*AF35</f>
        <v>3288744.32434895</v>
      </c>
      <c r="AQ35" s="597"/>
      <c r="AR35" s="691" cm="1">
        <f t="array" ref="AR35">K34-K35</f>
        <v>17.7786</v>
      </c>
      <c r="AS35" s="691" cm="1">
        <f t="array" ref="AS35">D35-AR35</f>
        <v>8.221399999999999</v>
      </c>
      <c r="AT35" s="597"/>
      <c r="AU35" s="684" cm="1">
        <f t="array" ref="AU35">ROUND(AV35*F35,0)</f>
        <v>42644</v>
      </c>
      <c r="AV35" s="692" cm="1">
        <f t="array" ref="AV35">IF(K34=0,0,AV34)</f>
        <v>1.0342</v>
      </c>
      <c r="AW35" s="684" cm="1">
        <f t="array" ref="AW35">ROUND(F35*AX35,0)</f>
        <v>2878</v>
      </c>
      <c r="AX35" s="692" cm="1">
        <f t="array" ref="AX35">ROUND(AX$31/K$30*K34,4)</f>
        <v>0.0698</v>
      </c>
      <c r="AY35" s="693" cm="1">
        <f t="array" ref="AY35">SUM(AV35,AX35)</f>
        <v>1.104</v>
      </c>
      <c r="AZ35" s="684" cm="1">
        <f t="array" ref="AZ35">AU35+AW35</f>
        <v>45522</v>
      </c>
      <c r="BA35" s="685" cm="1">
        <f t="array" ref="BA35">AI35-AZ35-BG35</f>
        <v>108157.438647511</v>
      </c>
      <c r="BB35" s="694" cm="1">
        <f t="array" ref="BB35">ROUND(BA35/$F35,4)</f>
        <v>2.623</v>
      </c>
      <c r="BC35" s="685" cm="1">
        <f t="array" ref="BC35">J35-SUM(AZ35,BA35,BG35)</f>
        <v>624923.051891945</v>
      </c>
      <c r="BD35" s="694" cm="1">
        <f t="array" ref="BD35">ROUND(BC35/$F35,4)</f>
        <v>15.1556</v>
      </c>
      <c r="BE35" s="686" cm="1">
        <f t="array" ref="BE35">BC35+BA35</f>
        <v>733080.490539456</v>
      </c>
      <c r="BF35" s="694" cm="1">
        <f t="array" ref="BF35">ROUND((BA35+BC35)/F35,4)</f>
        <v>17.7786</v>
      </c>
      <c r="BG35" s="687" cm="1">
        <f t="array" ref="BG35">BO35*F35</f>
        <v>293475.509460544</v>
      </c>
      <c r="BH35" s="697" cm="1">
        <f t="array" ref="BH35">ROUND(BG35/$F35,4)</f>
        <v>7.1174</v>
      </c>
      <c r="BI35" s="679" cm="1">
        <f t="array" ref="BI35">M34-M35</f>
        <v>-37059</v>
      </c>
      <c r="BJ35" s="679" cm="1">
        <f t="array" ref="BJ35">BE35-BI35</f>
        <v>770139.490539456</v>
      </c>
      <c r="BK35" s="679" cm="1">
        <f t="array" ref="BK35">-BJ35</f>
        <v>-770139.490539456</v>
      </c>
      <c r="BL35" s="679" cm="1">
        <f t="array" ref="BL35">BG35+BJ35</f>
        <v>1063615</v>
      </c>
      <c r="BM35" s="679" cm="1">
        <f t="array" ref="BM35">AVERAGE(BL33:BL35)</f>
        <v>1137282</v>
      </c>
      <c r="BN35" s="699" cm="1">
        <f t="array" ref="BN35">BH34-BH35</f>
        <v>0.2874</v>
      </c>
      <c r="BO35" s="597" cm="1">
        <f t="array" ref="BO35">K34*((1+'depto - Departamento'!$D$8)^(1/12)-1)</f>
        <v>7.11735669082229</v>
      </c>
      <c r="BP35" s="698" cm="1">
        <f t="array" ref="BP35">(BA35+BC35)/BG35</f>
        <v>2.49792731218689</v>
      </c>
      <c r="BQ35" s="698" cm="1">
        <f t="array" ref="BQ35">Y35-BB35</f>
        <v>8.221384485782901</v>
      </c>
      <c r="BR35" s="698" cm="1">
        <f t="array" ref="BR35">(BR$4*(1+BR$4)^BR$3*K34)/((1+BR$4)^BR$3-1)</f>
        <v>9.416897337493671</v>
      </c>
      <c r="BS35" s="698"/>
      <c r="BT35" s="247"/>
      <c r="BU35" s="247" cm="1">
        <f t="array" ref="BU35">SUM(C$5:C35)</f>
        <v>148338452</v>
      </c>
      <c r="BV35" s="247" cm="1">
        <f t="array" ref="BV35">BA35+BC35+BV34</f>
        <v>86634595.1397282</v>
      </c>
      <c r="BW35" s="247" cm="1">
        <f t="array" ref="BW35">BG35+BW34</f>
        <v>10709139.8602718</v>
      </c>
      <c r="BX35" s="596" cm="1">
        <f t="array" ref="BX35">BF35+BX34</f>
        <v>2169.064</v>
      </c>
      <c r="BY35" s="596" cm="1">
        <f t="array" ref="BY35">BH35+BY34</f>
        <v>275.236</v>
      </c>
      <c r="BZ35" s="247" cm="1">
        <f t="array" ref="BZ35">SUM(BJ$6:BJ35)</f>
        <v>12014598.1397281</v>
      </c>
      <c r="CA35" s="596"/>
      <c r="CB35" s="596"/>
      <c r="CC35" s="247" cm="1">
        <f t="array" ref="CC35">SUM(BE$6:BE35)</f>
        <v>86634595.1397281</v>
      </c>
      <c r="CD35" s="596"/>
      <c r="CE35" s="596"/>
      <c r="CF35" s="247" cm="1">
        <f t="array" ref="CF35">'net worth - Table 1-1'!K111</f>
        <v>11512018</v>
      </c>
      <c r="CG35" s="247" cm="1">
        <f t="array" ref="CG35">'net worth - Table 1-3'!E112</f>
        <v>11447471</v>
      </c>
      <c r="CH35" s="247" cm="1">
        <f t="array" ref="CH35">'net worth - Table 1-2'!C111</f>
        <v>1693457</v>
      </c>
      <c r="CI35" s="247" cm="1">
        <f t="array" ref="CI35">SUM(CF35:CH35)</f>
        <v>24652946</v>
      </c>
      <c r="CJ35" s="247" cm="1">
        <f t="array" ref="CJ35">('net worth - Table 1-3'!AY112+'net worth - Table 1-3'!BF112)*0.85+'net worth - Table 1-3'!AJ112</f>
        <v>55587944.85</v>
      </c>
      <c r="CK35" s="247" cm="1">
        <f t="array" ref="CK35">CI35+CJ35</f>
        <v>80240890.84999999</v>
      </c>
      <c r="CL35" s="247" cm="1">
        <f t="array" ref="CL35">M35-CK35</f>
        <v>-8228355.85</v>
      </c>
      <c r="CM35" s="247" cm="1">
        <f t="array" ref="CM35">M35-CI35</f>
        <v>47359589</v>
      </c>
    </row>
    <row r="36" ht="19.35" customHeight="1">
      <c r="A36" s="689">
        <v>30</v>
      </c>
      <c r="B36" s="675">
        <v>46245</v>
      </c>
      <c r="C36" s="247"/>
      <c r="D36" s="597">
        <v>22</v>
      </c>
      <c r="E36" s="676" cm="1">
        <f t="array" ref="E36">D36/K35</f>
        <v>0.0125970170721646</v>
      </c>
      <c r="F36" s="731" cm="1">
        <f t="array" ref="F36">F35*(1+G36)</f>
        <v>41233.778523279</v>
      </c>
      <c r="G36" s="732" cm="1">
        <f t="array" ref="G36">H36-SUM(G24:G35)</f>
        <v>0</v>
      </c>
      <c r="H36" s="733">
        <v>0.052</v>
      </c>
      <c r="I36" s="299" cm="1">
        <f t="array" ref="I36">H36+4.95/100</f>
        <v>0.1015</v>
      </c>
      <c r="J36" s="247" cm="1">
        <f t="array" ref="J36">IF(K35=0,0,ROUND(D36*F36,0))</f>
        <v>907143</v>
      </c>
      <c r="K36" s="677" cm="1">
        <f t="array" ref="K36">IF(K35-BF36&lt;0,0,K35-BF36)</f>
        <v>1732.5941</v>
      </c>
      <c r="L36" s="678" cm="1">
        <f t="array" ref="L36">K36/K$5</f>
        <v>0.438631417721519</v>
      </c>
      <c r="M36" s="679" cm="1">
        <f t="array" ref="M36">ROUND(K36*F36,0)</f>
        <v>71441401</v>
      </c>
      <c r="N36" s="680" cm="1">
        <f t="array" ref="N36">M36/M$5</f>
        <v>0.48721385374427</v>
      </c>
      <c r="O36" s="679" cm="1">
        <f t="array" ref="O36">M36-M35</f>
        <v>-571134</v>
      </c>
      <c r="P36" s="681" cm="1">
        <f t="array" ref="P36">T36-K36</f>
        <v>3667.4059</v>
      </c>
      <c r="Q36" s="679" cm="1">
        <f t="array" ref="Q36">ROUND(P36*F36,0)</f>
        <v>151221003</v>
      </c>
      <c r="R36" s="596" cm="1">
        <f t="array" ref="R36">$K$5-K36</f>
        <v>2217.4059</v>
      </c>
      <c r="S36" s="679" cm="1">
        <f t="array" ref="S36">Q36-Q35</f>
        <v>571134</v>
      </c>
      <c r="T36" s="596">
        <v>5400</v>
      </c>
      <c r="U36" s="679" cm="1">
        <f t="array" ref="U36">T36*F36</f>
        <v>222662404.025707</v>
      </c>
      <c r="V36" s="247" cm="1">
        <f t="array" ref="V36">-S36</f>
        <v>-571134</v>
      </c>
      <c r="W36" s="690"/>
      <c r="X36" s="690" cm="1">
        <f t="array" ref="X36">$K35*4.95/12/100/(1-(1+4.95/12/100)^-(360-$A36+3))+$AY36</f>
        <v>10.7590077202412</v>
      </c>
      <c r="Y36" s="682" cm="1">
        <f t="array" ref="Y36">K35*4.95/12/100/(1-(1+4.95/12/100)^-(360-$A36+3))+AY36</f>
        <v>10.7590077202412</v>
      </c>
      <c r="Z36" s="597" cm="1">
        <f t="array" ref="Z36">IF(Z$3*12&lt;=$A36,0,$K35*'depto - Departamento'!$D$8/12/(1-(1+'depto - Departamento'!$D$8/12)^-(12*Z$3-$A36+3))+$AY37)</f>
        <v>11.7761443855659</v>
      </c>
      <c r="AA36" s="597" cm="1">
        <f t="array" ref="AA36">IF(AA$3*12&lt;=$A36,0,$K35*'depto - Departamento'!$D$8/12/(1-(1+'depto - Departamento'!$D$8/12)^-(12*AA$3-$A36+3))+$AY37)</f>
        <v>13.4407813878274</v>
      </c>
      <c r="AB36" s="597" cm="1">
        <f t="array" ref="AB36">IF(AB$3*12&lt;$A36,0,$K35*'depto - Departamento'!$D$8/12/(1-(1+'depto - Departamento'!$D$8/12)^-(12*AB$3-$A36+3))+$AY36)</f>
        <v>16.5191785036918</v>
      </c>
      <c r="AC36" s="597" cm="1">
        <f t="array" ref="AC36">IF(AC$3*12&lt;$A36,0,$K35*'depto - Departamento'!$D$8/12/(1-(1+'depto - Departamento'!$D$8/12)^-(12*AC$3-$A36+3))+$AY36)</f>
        <v>19.9510225144465</v>
      </c>
      <c r="AD36" s="597" cm="1">
        <f t="array" ref="AD36">IF(AD$3*12&lt;$A36,0,$K35*'depto - Departamento'!$D$8/12/(1-(1+'depto - Departamento'!$D$8/12)^-(12*AD$3-$A36+3))+$AY36)</f>
        <v>23.7523014163591</v>
      </c>
      <c r="AE36" s="597" cm="1">
        <f t="array" ref="AE36">IF(AE$3*12&lt;$A36,0,$K35*'depto - Departamento'!$D$8/12/(1-(1+'depto - Departamento'!$D$8/12)^-(12*AE$3-$A36+3))+$AY36)</f>
        <v>57.8185311755723</v>
      </c>
      <c r="AF36" s="597" cm="1">
        <f t="array" ref="AF36">AF35-(AF34-AF35)</f>
        <v>79.7557</v>
      </c>
      <c r="AG36" s="597"/>
      <c r="AH36" s="597"/>
      <c r="AI36" s="696" cm="1">
        <f t="array" ref="AI36">$F36*Y36</f>
        <v>443634.541466675</v>
      </c>
      <c r="AJ36" s="247" cm="1">
        <f t="array" ref="AJ36">$F36*Z36</f>
        <v>485574.92945258</v>
      </c>
      <c r="AK36" s="247" cm="1">
        <f t="array" ref="AK36">$F36*AA36</f>
        <v>554214.202925486</v>
      </c>
      <c r="AL36" s="247" cm="1">
        <f t="array" ref="AL36">$F36*AB36</f>
        <v>681148.147807739</v>
      </c>
      <c r="AM36" s="247" cm="1">
        <f t="array" ref="AM36">$F36*AC36</f>
        <v>822656.04367364</v>
      </c>
      <c r="AN36" s="247" cm="1">
        <f t="array" ref="AN36">$F36*AD36</f>
        <v>979397.136020317</v>
      </c>
      <c r="AO36" s="247" cm="1">
        <f t="array" ref="AO36">$F36*AE36</f>
        <v>2384076.50903485</v>
      </c>
      <c r="AP36" s="247" cm="1">
        <f t="array" ref="AP36">$F36*AF36</f>
        <v>3288628.86976908</v>
      </c>
      <c r="AQ36" s="597"/>
      <c r="AR36" s="691" cm="1">
        <f t="array" ref="AR36">K35-K36</f>
        <v>13.8511</v>
      </c>
      <c r="AS36" s="691" cm="1">
        <f t="array" ref="AS36">D36-AR36</f>
        <v>8.148899999999999</v>
      </c>
      <c r="AT36" s="597"/>
      <c r="AU36" s="684" cm="1">
        <f t="array" ref="AU36">ROUND(AV36*F36,0)</f>
        <v>42644</v>
      </c>
      <c r="AV36" s="692" cm="1">
        <f t="array" ref="AV36">IF(K35=0,0,AV35)</f>
        <v>1.0342</v>
      </c>
      <c r="AW36" s="684" cm="1">
        <f t="array" ref="AW36">ROUND($F36*AX36,0)</f>
        <v>2849</v>
      </c>
      <c r="AX36" s="692" cm="1">
        <f t="array" ref="AX36">ROUND(AX$31/K$30*K35,4)</f>
        <v>0.06909999999999999</v>
      </c>
      <c r="AY36" s="693" cm="1">
        <f t="array" ref="AY36">SUM(AV36,AX36)</f>
        <v>1.1033</v>
      </c>
      <c r="AZ36" s="684" cm="1">
        <f t="array" ref="AZ36">AU36+AW36</f>
        <v>45493</v>
      </c>
      <c r="BA36" s="685" cm="1">
        <f t="array" ref="BA36">AI36-AZ36-BG36</f>
        <v>107623.470678308</v>
      </c>
      <c r="BB36" s="694" cm="1">
        <f t="array" ref="BB36">ROUND(BA36/$F36,4)</f>
        <v>2.6101</v>
      </c>
      <c r="BC36" s="685" cm="1">
        <f t="array" ref="BC36">J36-SUM(AZ36,BA36,BG36)</f>
        <v>463508.458533325</v>
      </c>
      <c r="BD36" s="694" cm="1">
        <f t="array" ref="BD36">ROUND(BC36/$F36,4)</f>
        <v>11.241</v>
      </c>
      <c r="BE36" s="686" cm="1">
        <f t="array" ref="BE36">BC36+BA36</f>
        <v>571131.929211633</v>
      </c>
      <c r="BF36" s="694" cm="1">
        <f t="array" ref="BF36">ROUND((BA36+BC36)/F36,4)</f>
        <v>13.8511</v>
      </c>
      <c r="BG36" s="687" cm="1">
        <f t="array" ref="BG36">BO36*F36</f>
        <v>290518.070788367</v>
      </c>
      <c r="BH36" s="697" cm="1">
        <f t="array" ref="BH36">ROUND(BG36/$F36,4)</f>
        <v>7.0456</v>
      </c>
      <c r="BI36" s="679" cm="1">
        <f t="array" ref="BI36">M35-M36</f>
        <v>571134</v>
      </c>
      <c r="BJ36" s="679" cm="1">
        <f t="array" ref="BJ36">BE36-BI36</f>
        <v>-2.070788367</v>
      </c>
      <c r="BK36" s="679" cm="1">
        <f t="array" ref="BK36">-BJ36</f>
        <v>2.070788367</v>
      </c>
      <c r="BL36" s="679" cm="1">
        <f t="array" ref="BL36">BG36+BJ36</f>
        <v>290516</v>
      </c>
      <c r="BM36" s="679" cm="1">
        <f t="array" ref="BM36">AVERAGE(BL34:BL36)</f>
        <v>872401</v>
      </c>
      <c r="BN36" s="699" cm="1">
        <f t="array" ref="BN36">BH35-BH36</f>
        <v>0.0718</v>
      </c>
      <c r="BO36" s="597" cm="1">
        <f t="array" ref="BO36">K35*((1+'depto - Departamento'!$D$8)^(1/12)-1)</f>
        <v>7.04563300266921</v>
      </c>
      <c r="BP36" s="698" cm="1">
        <f t="array" ref="BP36">(BA36+BC36)/BG36</f>
        <v>1.96590844645834</v>
      </c>
      <c r="BQ36" s="698" cm="1">
        <f t="array" ref="BQ36">Y36-BB36</f>
        <v>8.148907720241199</v>
      </c>
      <c r="BR36" s="698" cm="1">
        <f t="array" ref="BR36">(BR$4*(1+BR$4)^BR$3*K35)/((1+BR$4)^BR$3-1)</f>
        <v>9.32200050467441</v>
      </c>
      <c r="BS36" s="698"/>
      <c r="BT36" s="247"/>
      <c r="BU36" s="247" cm="1">
        <f t="array" ref="BU36">SUM(C$5:C36)</f>
        <v>148338452</v>
      </c>
      <c r="BV36" s="247" cm="1">
        <f t="array" ref="BV36">BA36+BC36+BV35</f>
        <v>87205727.06893981</v>
      </c>
      <c r="BW36" s="247" cm="1">
        <f t="array" ref="BW36">BG36+BW35</f>
        <v>10999657.9310602</v>
      </c>
      <c r="BX36" s="596" cm="1">
        <f t="array" ref="BX36">BF36+BX35</f>
        <v>2182.9151</v>
      </c>
      <c r="BY36" s="596" cm="1">
        <f t="array" ref="BY36">BH36+BY35</f>
        <v>282.2816</v>
      </c>
      <c r="BZ36" s="247" cm="1">
        <f t="array" ref="BZ36">SUM(BJ$6:BJ36)</f>
        <v>12014596.0689398</v>
      </c>
      <c r="CA36" s="596"/>
      <c r="CB36" s="596"/>
      <c r="CC36" s="247" cm="1">
        <f t="array" ref="CC36">SUM(BE$6:BE36)</f>
        <v>87205727.06893981</v>
      </c>
      <c r="CD36" s="596"/>
      <c r="CE36" s="596"/>
      <c r="CF36" s="247" cm="1">
        <f t="array" ref="CF36">'net worth - Table 1-1'!K112</f>
        <v>8512018</v>
      </c>
      <c r="CG36" s="247" cm="1">
        <f t="array" ref="CG36">'net worth - Table 1-3'!E113</f>
        <v>11447471</v>
      </c>
      <c r="CH36" s="247" cm="1">
        <f t="array" ref="CH36">'net worth - Table 1-2'!C112</f>
        <v>1693457</v>
      </c>
      <c r="CI36" s="247" cm="1">
        <f t="array" ref="CI36">SUM(CF36:CH36)</f>
        <v>21652946</v>
      </c>
      <c r="CJ36" s="247" cm="1">
        <f t="array" ref="CJ36">('net worth - Table 1-3'!AY113+'net worth - Table 1-3'!BF113)*0.85+'net worth - Table 1-3'!AJ113</f>
        <v>55587944.85</v>
      </c>
      <c r="CK36" s="247" cm="1">
        <f t="array" ref="CK36">CI36+CJ36</f>
        <v>77240890.84999999</v>
      </c>
      <c r="CL36" s="247" cm="1">
        <f t="array" ref="CL36">M36-CK36</f>
        <v>-5799489.85</v>
      </c>
      <c r="CM36" s="247" cm="1">
        <f t="array" ref="CM36">M36-CI36</f>
        <v>49788455</v>
      </c>
    </row>
    <row r="37" ht="19.35" customHeight="1">
      <c r="A37" s="689">
        <v>31</v>
      </c>
      <c r="B37" s="675">
        <v>46276</v>
      </c>
      <c r="C37" s="247"/>
      <c r="D37" s="597">
        <v>26</v>
      </c>
      <c r="E37" s="676" cm="1">
        <f t="array" ref="E37">D37/K36</f>
        <v>0.0150063999409902</v>
      </c>
      <c r="F37" s="731" cm="1">
        <f t="array" ref="F37">F36*(1+G37)</f>
        <v>41291.5058132116</v>
      </c>
      <c r="G37" s="732" cm="1">
        <f t="array" ref="G37">H37-SUM(G25:G36)</f>
        <v>0.0014</v>
      </c>
      <c r="H37" s="733">
        <v>0.045</v>
      </c>
      <c r="I37" s="299" cm="1">
        <f t="array" ref="I37">H37+4.95/100</f>
        <v>0.0945</v>
      </c>
      <c r="J37" s="247" cm="1">
        <f t="array" ref="J37">IF(K36=0,0,ROUND(D37*F37,0))</f>
        <v>1073579</v>
      </c>
      <c r="K37" s="677" cm="1">
        <f t="array" ref="K37">IF(K36-BF37&lt;0,0,K36-BF37)</f>
        <v>1714.6867</v>
      </c>
      <c r="L37" s="678" cm="1">
        <f t="array" ref="L37">K37/K$5</f>
        <v>0.434097898734177</v>
      </c>
      <c r="M37" s="679" cm="1">
        <f t="array" ref="M37">ROUND(K37*F37,0)</f>
        <v>70801996</v>
      </c>
      <c r="N37" s="680" cm="1">
        <f t="array" ref="N37">M37/M$5</f>
        <v>0.482853259329928</v>
      </c>
      <c r="O37" s="679" cm="1">
        <f t="array" ref="O37">M37-M36</f>
        <v>-639405</v>
      </c>
      <c r="P37" s="681" cm="1">
        <f t="array" ref="P37">T37-K37</f>
        <v>3685.3133</v>
      </c>
      <c r="Q37" s="679" cm="1">
        <f t="array" ref="Q37">ROUND(P37*F37,0)</f>
        <v>152172136</v>
      </c>
      <c r="R37" s="596" cm="1">
        <f t="array" ref="R37">$K$5-K37</f>
        <v>2235.3133</v>
      </c>
      <c r="S37" s="679" cm="1">
        <f t="array" ref="S37">Q37-Q36</f>
        <v>951133</v>
      </c>
      <c r="T37" s="596">
        <v>5400</v>
      </c>
      <c r="U37" s="679" cm="1">
        <f t="array" ref="U37">T37*F37</f>
        <v>222974131.391343</v>
      </c>
      <c r="V37" s="247" cm="1">
        <f t="array" ref="V37">-S37</f>
        <v>-951133</v>
      </c>
      <c r="W37" s="690"/>
      <c r="X37" s="690" cm="1">
        <f t="array" ref="X37">$K36*4.95/12/100/(1-(1+4.95/12/100)^-(360-$A37+3))+$AY37</f>
        <v>10.6953939358098</v>
      </c>
      <c r="Y37" s="682" cm="1">
        <f t="array" ref="Y37">K36*4.95/12/100/(1-(1+4.95/12/100)^-(360-$A37+3))+AY37</f>
        <v>10.6953939358098</v>
      </c>
      <c r="Z37" s="597" cm="1">
        <f t="array" ref="Z37">IF(Z$3*12&lt;=$A37,0,$K36*'depto - Departamento'!$D$8/12/(1-(1+'depto - Departamento'!$D$8/12)^-(12*Z$3-$A37+3))+$AY38)</f>
        <v>11.7118697985415</v>
      </c>
      <c r="AA37" s="597" cm="1">
        <f t="array" ref="AA37">IF(AA$3*12&lt;=$A37,0,$K36*'depto - Departamento'!$D$8/12/(1-(1+'depto - Departamento'!$D$8/12)^-(12*AA$3-$A37+3))+$AY38)</f>
        <v>13.3783160311687</v>
      </c>
      <c r="AB37" s="597" cm="1">
        <f t="array" ref="AB37">IF(AB$3*12&lt;$A37,0,$K36*'depto - Departamento'!$D$8/12/(1-(1+'depto - Departamento'!$D$8/12)^-(12*AB$3-$A37+3))+$AY37)</f>
        <v>16.4686651477479</v>
      </c>
      <c r="AC37" s="597" cm="1">
        <f t="array" ref="AC37">IF(AC$3*12&lt;$A37,0,$K36*'depto - Departamento'!$D$8/12/(1-(1+'depto - Departamento'!$D$8/12)^-(12*AC$3-$A37+3))+$AY37)</f>
        <v>19.9265395595179</v>
      </c>
      <c r="AD37" s="597" cm="1">
        <f t="array" ref="AD37">IF(AD$3*12&lt;$A37,0,$K36*'depto - Departamento'!$D$8/12/(1-(1+'depto - Departamento'!$D$8/12)^-(12*AD$3-$A37+3))+$AY37)</f>
        <v>23.772655438015</v>
      </c>
      <c r="AE37" s="597" cm="1">
        <f t="array" ref="AE37">IF(AE$3*12&lt;$A37,0,$K36*'depto - Departamento'!$D$8/12/(1-(1+'depto - Departamento'!$D$8/12)^-(12*AE$3-$A37+3))+$AY37)</f>
        <v>59.0098675195103</v>
      </c>
      <c r="AF37" s="597" cm="1">
        <f t="array" ref="AF37">AF36-(AF35-AF36)</f>
        <v>79.7529</v>
      </c>
      <c r="AG37" s="597"/>
      <c r="AH37" s="597"/>
      <c r="AI37" s="696" cm="1">
        <f t="array" ref="AI37">$F37*Y37</f>
        <v>441628.920875078</v>
      </c>
      <c r="AJ37" s="247" cm="1">
        <f t="array" ref="AJ37">$F37*Z37</f>
        <v>483600.739870054</v>
      </c>
      <c r="AK37" s="247" cm="1">
        <f t="array" ref="AK37">$F37*AA37</f>
        <v>552410.814171984</v>
      </c>
      <c r="AL37" s="247" cm="1">
        <f t="array" ref="AL37">$F37*AB37</f>
        <v>680015.982684068</v>
      </c>
      <c r="AM37" s="247" cm="1">
        <f t="array" ref="AM37">$F37*AC37</f>
        <v>822796.824059024</v>
      </c>
      <c r="AN37" s="247" cm="1">
        <f t="array" ref="AN37">$F37*AD37</f>
        <v>981608.740214273</v>
      </c>
      <c r="AO37" s="247" cm="1">
        <f t="array" ref="AO37">$F37*AE37</f>
        <v>2436606.28771871</v>
      </c>
      <c r="AP37" s="247" cm="1">
        <f t="array" ref="AP37">$F37*AF37</f>
        <v>3293117.33397048</v>
      </c>
      <c r="AQ37" s="597"/>
      <c r="AR37" s="691" cm="1">
        <f t="array" ref="AR37">K36-K37</f>
        <v>17.9074</v>
      </c>
      <c r="AS37" s="691" cm="1">
        <f t="array" ref="AS37">D37-AR37</f>
        <v>8.092599999999999</v>
      </c>
      <c r="AT37" s="597"/>
      <c r="AU37" s="684" cm="1">
        <f t="array" ref="AU37">ROUND(AV37*F37,0)</f>
        <v>42704</v>
      </c>
      <c r="AV37" s="692" cm="1">
        <f t="array" ref="AV37">IF(K36=0,0,AV36)</f>
        <v>1.0342</v>
      </c>
      <c r="AW37" s="684" cm="1">
        <f t="array" ref="AW37">ROUND(F37*AX37,0)</f>
        <v>2833</v>
      </c>
      <c r="AX37" s="692" cm="1">
        <f t="array" ref="AX37">ROUND(AX$31/K$30*K36,4)</f>
        <v>0.06859999999999999</v>
      </c>
      <c r="AY37" s="693" cm="1">
        <f t="array" ref="AY37">SUM(AV37,AX37)</f>
        <v>1.1028</v>
      </c>
      <c r="AZ37" s="684" cm="1">
        <f t="array" ref="AZ37">AU37+AW37</f>
        <v>45537</v>
      </c>
      <c r="BA37" s="685" cm="1">
        <f t="array" ref="BA37">AI37-AZ37-BG37</f>
        <v>107474.456528155</v>
      </c>
      <c r="BB37" s="694" cm="1">
        <f t="array" ref="BB37">ROUND(BA37/$F37,4)</f>
        <v>2.6028</v>
      </c>
      <c r="BC37" s="685" cm="1">
        <f t="array" ref="BC37">J37-SUM(AZ37,BA37,BG37)</f>
        <v>631950.079124922</v>
      </c>
      <c r="BD37" s="694" cm="1">
        <f t="array" ref="BD37">ROUND(BC37/$F37,4)</f>
        <v>15.3046</v>
      </c>
      <c r="BE37" s="686" cm="1">
        <f t="array" ref="BE37">BC37+BA37</f>
        <v>739424.5356530769</v>
      </c>
      <c r="BF37" s="694" cm="1">
        <f t="array" ref="BF37">ROUND((BA37+BC37)/F37,4)</f>
        <v>17.9074</v>
      </c>
      <c r="BG37" s="687" cm="1">
        <f t="array" ref="BG37">BO37*F37</f>
        <v>288617.464346923</v>
      </c>
      <c r="BH37" s="697" cm="1">
        <f t="array" ref="BH37">ROUND(BG37/$F37,4)</f>
        <v>6.9898</v>
      </c>
      <c r="BI37" s="679" cm="1">
        <f t="array" ref="BI37">M36-M37</f>
        <v>639405</v>
      </c>
      <c r="BJ37" s="679" cm="1">
        <f t="array" ref="BJ37">BE37-BI37</f>
        <v>100019.535653077</v>
      </c>
      <c r="BK37" s="679" cm="1">
        <f t="array" ref="BK37">-BJ37</f>
        <v>-100019.535653077</v>
      </c>
      <c r="BL37" s="679" cm="1">
        <f t="array" ref="BL37">BG37+BJ37</f>
        <v>388637</v>
      </c>
      <c r="BM37" s="679" cm="1">
        <f t="array" ref="BM37">AVERAGE(BL35:BL37)</f>
        <v>580922.666666667</v>
      </c>
      <c r="BN37" s="699" cm="1">
        <f t="array" ref="BN37">BH36-BH37</f>
        <v>0.0558</v>
      </c>
      <c r="BO37" s="597" cm="1">
        <f t="array" ref="BO37">K36*((1+'depto - Departamento'!$D$8)^(1/12)-1)</f>
        <v>6.98975391337212</v>
      </c>
      <c r="BP37" s="698" cm="1">
        <f t="array" ref="BP37">(BA37+BC37)/BG37</f>
        <v>2.56195354403182</v>
      </c>
      <c r="BQ37" s="698" cm="1">
        <f t="array" ref="BQ37">Y37-BB37</f>
        <v>8.0925939358098</v>
      </c>
      <c r="BR37" s="698" cm="1">
        <f t="array" ref="BR37">(BR$4*(1+BR$4)^BR$3*K36)/((1+BR$4)^BR$3-1)</f>
        <v>9.24806748851662</v>
      </c>
      <c r="BS37" s="698"/>
      <c r="BT37" s="247"/>
      <c r="BU37" s="247" cm="1">
        <f t="array" ref="BU37">SUM(C$5:C37)</f>
        <v>148338452</v>
      </c>
      <c r="BV37" s="247" cm="1">
        <f t="array" ref="BV37">BA37+BC37+BV36</f>
        <v>87945151.6045929</v>
      </c>
      <c r="BW37" s="247" cm="1">
        <f t="array" ref="BW37">BG37+BW36</f>
        <v>11288275.3954071</v>
      </c>
      <c r="BX37" s="596" cm="1">
        <f t="array" ref="BX37">BF37+BX36</f>
        <v>2200.8225</v>
      </c>
      <c r="BY37" s="596" cm="1">
        <f t="array" ref="BY37">BH37+BY36</f>
        <v>289.2714</v>
      </c>
      <c r="BZ37" s="247" cm="1">
        <f t="array" ref="BZ37">SUM(BJ$6:BJ37)</f>
        <v>12114615.6045928</v>
      </c>
      <c r="CA37" s="596"/>
      <c r="CB37" s="596"/>
      <c r="CC37" s="247" cm="1">
        <f t="array" ref="CC37">SUM(BE$6:BE37)</f>
        <v>87945151.6045928</v>
      </c>
      <c r="CD37" s="596"/>
      <c r="CE37" s="596"/>
      <c r="CF37" s="247" cm="1">
        <f t="array" ref="CF37">'net worth - Table 1-1'!K113</f>
        <v>5512018</v>
      </c>
      <c r="CG37" s="247" cm="1">
        <f t="array" ref="CG37">'net worth - Table 1-3'!E114</f>
        <v>11447471</v>
      </c>
      <c r="CH37" s="247" cm="1">
        <f t="array" ref="CH37">'net worth - Table 1-2'!C113</f>
        <v>1693457</v>
      </c>
      <c r="CI37" s="247" cm="1">
        <f t="array" ref="CI37">SUM(CF37:CH37)</f>
        <v>18652946</v>
      </c>
      <c r="CJ37" s="247" cm="1">
        <f t="array" ref="CJ37">('net worth - Table 1-3'!AY114+'net worth - Table 1-3'!BF114)*0.85+'net worth - Table 1-3'!AJ114</f>
        <v>55587944.85</v>
      </c>
      <c r="CK37" s="247" cm="1">
        <f t="array" ref="CK37">CI37+CJ37</f>
        <v>74240890.84999999</v>
      </c>
      <c r="CL37" s="247" cm="1">
        <f t="array" ref="CL37">M37-CK37</f>
        <v>-3438894.85</v>
      </c>
      <c r="CM37" s="247" cm="1">
        <f t="array" ref="CM37">M37-CI37</f>
        <v>52149050</v>
      </c>
    </row>
    <row r="38" ht="19.35" customHeight="1">
      <c r="A38" s="689">
        <v>32</v>
      </c>
      <c r="B38" s="675">
        <v>46306</v>
      </c>
      <c r="C38" s="247"/>
      <c r="D38" s="597">
        <v>22</v>
      </c>
      <c r="E38" s="676" cm="1">
        <f t="array" ref="E38">D38/K37</f>
        <v>0.0128303322117096</v>
      </c>
      <c r="F38" s="731" cm="1">
        <f t="array" ref="F38">F37*(1+G38)</f>
        <v>41510.3507940216</v>
      </c>
      <c r="G38" s="732" cm="1">
        <f t="array" ref="G38">H38-SUM(G26:G37)</f>
        <v>0.0053</v>
      </c>
      <c r="H38" s="733" cm="1">
        <f t="array" ref="H38">'depto - Table 5'!$F$2</f>
        <v>0.05</v>
      </c>
      <c r="I38" s="299" cm="1">
        <f t="array" ref="I38">H38+4.95/100</f>
        <v>0.09950000000000001</v>
      </c>
      <c r="J38" s="247" cm="1">
        <f t="array" ref="J38">IF(K37=0,0,ROUND(D38*F38,0))</f>
        <v>913228</v>
      </c>
      <c r="K38" s="677" cm="1">
        <f t="array" ref="K38">IF(K37-BF38&lt;0,0,K37-BF38)</f>
        <v>1700.7063</v>
      </c>
      <c r="L38" s="678" cm="1">
        <f t="array" ref="L38">K38/K$5</f>
        <v>0.430558556962025</v>
      </c>
      <c r="M38" s="679" cm="1">
        <f t="array" ref="M38">ROUND(K38*F38,0)</f>
        <v>70596915</v>
      </c>
      <c r="N38" s="680" cm="1">
        <f t="array" ref="N38">M38/M$5</f>
        <v>0.48145465427822</v>
      </c>
      <c r="O38" s="679" cm="1">
        <f t="array" ref="O38">M38-M37</f>
        <v>-205081</v>
      </c>
      <c r="P38" s="681" cm="1">
        <f t="array" ref="P38">T38-K38</f>
        <v>3699.2937</v>
      </c>
      <c r="Q38" s="679" cm="1">
        <f t="array" ref="Q38">ROUND(P38*F38,0)</f>
        <v>153558979</v>
      </c>
      <c r="R38" s="596" cm="1">
        <f t="array" ref="R38">$K$5-K38</f>
        <v>2249.2937</v>
      </c>
      <c r="S38" s="679" cm="1">
        <f t="array" ref="S38">Q38-Q37</f>
        <v>1386843</v>
      </c>
      <c r="T38" s="596">
        <v>5400</v>
      </c>
      <c r="U38" s="679" cm="1">
        <f t="array" ref="U38">T38*F38</f>
        <v>224155894.287717</v>
      </c>
      <c r="V38" s="247" cm="1">
        <f t="array" ref="V38">-S38</f>
        <v>-1386843</v>
      </c>
      <c r="W38" s="690"/>
      <c r="X38" s="690" cm="1">
        <f t="array" ref="X38">$K37*4.95/12/100/(1-(1+4.95/12/100)^-(360-$A38+3))+$AY38</f>
        <v>10.608968139716</v>
      </c>
      <c r="Y38" s="682" cm="1">
        <f t="array" ref="Y38">K37*4.95/12/100/(1-(1+4.95/12/100)^-(360-$A38+3))+AY38</f>
        <v>10.608968139716</v>
      </c>
      <c r="Z38" s="597" cm="1">
        <f t="array" ref="Z38">IF(Z$3*12&lt;=$A38,0,$K37*'depto - Departamento'!$D$8/12/(1-(1+'depto - Departamento'!$D$8/12)^-(12*Z$3-$A38+3))+$AY39)</f>
        <v>11.6226393518547</v>
      </c>
      <c r="AA38" s="597" cm="1">
        <f t="array" ref="AA38">IF(AA$3*12&lt;=$A38,0,$K37*'depto - Departamento'!$D$8/12/(1-(1+'depto - Departamento'!$D$8/12)^-(12*AA$3-$A38+3))+$AY39)</f>
        <v>13.2869083122127</v>
      </c>
      <c r="AB38" s="597" cm="1">
        <f t="array" ref="AB38">IF(AB$3*12&lt;$A38,0,$K37*'depto - Departamento'!$D$8/12/(1-(1+'depto - Departamento'!$D$8/12)^-(12*AB$3-$A38+3))+$AY38)</f>
        <v>16.3816312900375</v>
      </c>
      <c r="AC38" s="597" cm="1">
        <f t="array" ref="AC38">IF(AC$3*12&lt;$A38,0,$K37*'depto - Departamento'!$D$8/12/(1-(1+'depto - Departamento'!$D$8/12)^-(12*AC$3-$A38+3))+$AY38)</f>
        <v>19.8576878825358</v>
      </c>
      <c r="AD38" s="597" cm="1">
        <f t="array" ref="AD38">IF(AD$3*12&lt;$A38,0,$K37*'depto - Departamento'!$D$8/12/(1-(1+'depto - Departamento'!$D$8/12)^-(12*AD$3-$A38+3))+$AY38)</f>
        <v>23.7404738301573</v>
      </c>
      <c r="AE38" s="597" cm="1">
        <f t="array" ref="AE38">IF(AE$3*12&lt;$A38,0,$K37*'depto - Departamento'!$D$8/12/(1-(1+'depto - Departamento'!$D$8/12)^-(12*AE$3-$A38+3))+$AY38)</f>
        <v>60.1403163203467</v>
      </c>
      <c r="AF38" s="597" cm="1">
        <f t="array" ref="AF38">AF37-(AF36-AF37)</f>
        <v>79.7501</v>
      </c>
      <c r="AG38" s="597"/>
      <c r="AH38" s="597"/>
      <c r="AI38" s="696" cm="1">
        <f t="array" ref="AI38">$F38*Y38</f>
        <v>440381.98904221</v>
      </c>
      <c r="AJ38" s="247" cm="1">
        <f t="array" ref="AJ38">$F38*Z38</f>
        <v>482459.836647888</v>
      </c>
      <c r="AK38" s="247" cm="1">
        <f t="array" ref="AK38">$F38*AA38</f>
        <v>551544.225007951</v>
      </c>
      <c r="AL38" s="247" cm="1">
        <f t="array" ref="AL38">$F38*AB38</f>
        <v>680007.261427777</v>
      </c>
      <c r="AM38" s="247" cm="1">
        <f t="array" ref="AM38">$F38*AC38</f>
        <v>824299.589962253</v>
      </c>
      <c r="AN38" s="247" cm="1">
        <f t="array" ref="AN38">$F38*AD38</f>
        <v>985475.3967061189</v>
      </c>
      <c r="AO38" s="247" cm="1">
        <f t="array" ref="AO38">$F38*AE38</f>
        <v>2496445.62732101</v>
      </c>
      <c r="AP38" s="247" cm="1">
        <f t="array" ref="AP38">$F38*AF38</f>
        <v>3310454.6268583</v>
      </c>
      <c r="AQ38" s="597"/>
      <c r="AR38" s="691" cm="1">
        <f t="array" ref="AR38">K37-K38</f>
        <v>13.9804</v>
      </c>
      <c r="AS38" s="691" cm="1">
        <f t="array" ref="AS38">D38-AR38</f>
        <v>8.019600000000001</v>
      </c>
      <c r="AT38" s="597"/>
      <c r="AU38" s="684" cm="1">
        <f t="array" ref="AU38">ROUND(AV38*F38,0)</f>
        <v>42930</v>
      </c>
      <c r="AV38" s="692" cm="1">
        <f t="array" ref="AV38">IF(K37=0,0,AV37)</f>
        <v>1.0342</v>
      </c>
      <c r="AW38" s="684" cm="1">
        <f t="array" ref="AW38">ROUND(F38*AX38,0)</f>
        <v>2819</v>
      </c>
      <c r="AX38" s="692" cm="1">
        <f t="array" ref="AX38">ROUND(AX$31/K$30*K37,4)</f>
        <v>0.0679</v>
      </c>
      <c r="AY38" s="693" cm="1">
        <f t="array" ref="AY38">SUM(AV38,AX38)</f>
        <v>1.1021</v>
      </c>
      <c r="AZ38" s="684" cm="1">
        <f t="array" ref="AZ38">AU38+AW38</f>
        <v>45749</v>
      </c>
      <c r="BA38" s="685" cm="1">
        <f t="array" ref="BA38">AI38-AZ38-BG38</f>
        <v>107484.696952815</v>
      </c>
      <c r="BB38" s="694" cm="1">
        <f t="array" ref="BB38">ROUND(BA38/$F38,4)</f>
        <v>2.5893</v>
      </c>
      <c r="BC38" s="685" cm="1">
        <f t="array" ref="BC38">J38-SUM(AZ38,BA38,BG38)</f>
        <v>472846.01095779</v>
      </c>
      <c r="BD38" s="694" cm="1">
        <f t="array" ref="BD38">ROUND(BC38/$F38,4)</f>
        <v>11.391</v>
      </c>
      <c r="BE38" s="686" cm="1">
        <f t="array" ref="BE38">BC38+BA38</f>
        <v>580330.707910605</v>
      </c>
      <c r="BF38" s="694" cm="1">
        <f t="array" ref="BF38">ROUND((BA38+BC38)/F38,4)</f>
        <v>13.9804</v>
      </c>
      <c r="BG38" s="687" cm="1">
        <f t="array" ref="BG38">BO38*F38</f>
        <v>287148.292089395</v>
      </c>
      <c r="BH38" s="697" cm="1">
        <f t="array" ref="BH38">ROUND(BG38/$F38,4)</f>
        <v>6.9175</v>
      </c>
      <c r="BI38" s="679" cm="1">
        <f t="array" ref="BI38">M37-M38</f>
        <v>205081</v>
      </c>
      <c r="BJ38" s="679" cm="1">
        <f t="array" ref="BJ38">BE38-BI38</f>
        <v>375249.707910605</v>
      </c>
      <c r="BK38" s="679" cm="1">
        <f t="array" ref="BK38">-BJ38</f>
        <v>-375249.707910605</v>
      </c>
      <c r="BL38" s="679" cm="1">
        <f t="array" ref="BL38">BG38+BJ38</f>
        <v>662398</v>
      </c>
      <c r="BM38" s="679" cm="1">
        <f t="array" ref="BM38">AVERAGE(BL36:BL38)</f>
        <v>447183.666666667</v>
      </c>
      <c r="BN38" s="699" cm="1">
        <f t="array" ref="BN38">BH37-BH38</f>
        <v>0.0723</v>
      </c>
      <c r="BO38" s="597" cm="1">
        <f t="array" ref="BO38">K37*((1+'depto - Departamento'!$D$8)^(1/12)-1)</f>
        <v>6.91751061113052</v>
      </c>
      <c r="BP38" s="698" cm="1">
        <f t="array" ref="BP38">(BA38+BC38)/BG38</f>
        <v>2.02101396350962</v>
      </c>
      <c r="BQ38" s="698" cm="1">
        <f t="array" ref="BQ38">Y38-BB38</f>
        <v>8.019668139716</v>
      </c>
      <c r="BR38" s="698" cm="1">
        <f t="array" ref="BR38">(BR$4*(1+BR$4)^BR$3*K37)/((1+BR$4)^BR$3-1)</f>
        <v>9.15248315994026</v>
      </c>
      <c r="BS38" s="698"/>
      <c r="BT38" s="247"/>
      <c r="BU38" s="247" cm="1">
        <f t="array" ref="BU38">SUM(C$5:C38)</f>
        <v>148338452</v>
      </c>
      <c r="BV38" s="247" cm="1">
        <f t="array" ref="BV38">BA38+BC38+BV37</f>
        <v>88525482.3125035</v>
      </c>
      <c r="BW38" s="247" cm="1">
        <f t="array" ref="BW38">BG38+BW37</f>
        <v>11575423.6874965</v>
      </c>
      <c r="BX38" s="596" cm="1">
        <f t="array" ref="BX38">BF38+BX37</f>
        <v>2214.8029</v>
      </c>
      <c r="BY38" s="596" cm="1">
        <f t="array" ref="BY38">BH38+BY37</f>
        <v>296.1889</v>
      </c>
      <c r="BZ38" s="247" cm="1">
        <f t="array" ref="BZ38">SUM(BJ$6:BJ38)</f>
        <v>12489865.3125035</v>
      </c>
      <c r="CA38" s="596"/>
      <c r="CB38" s="596"/>
      <c r="CC38" s="247" cm="1">
        <f t="array" ref="CC38">SUM(BE$6:BE38)</f>
        <v>88525482.3125035</v>
      </c>
      <c r="CD38" s="596"/>
      <c r="CE38" s="596"/>
      <c r="CF38" s="247" cm="1">
        <f t="array" ref="CF38">'net worth - net worth'!$B$12</f>
        <v>17512018</v>
      </c>
      <c r="CG38" s="247" cm="1">
        <f t="array" ref="CG38">'net worth - net worth'!$B$3</f>
        <v>11447471</v>
      </c>
      <c r="CH38" s="247" cm="1">
        <f t="array" ref="CH38">'net worth - net worth'!$B$2</f>
        <v>1693457</v>
      </c>
      <c r="CI38" s="247" cm="1">
        <f t="array" ref="CI38">SUM(CF38:CH38)</f>
        <v>30652946</v>
      </c>
      <c r="CJ38" s="247" cm="1">
        <f t="array" ref="CJ38">SUM('net worth - balances'!$B$9:$B$10)*0.85+SUM('net worth - balances'!$B$12:$B$12)</f>
        <v>55587944.85</v>
      </c>
      <c r="CK38" s="247" cm="1">
        <f t="array" ref="CK38">CI38+CJ38</f>
        <v>86240890.84999999</v>
      </c>
      <c r="CL38" s="247" cm="1">
        <f t="array" ref="CL38">M38-CK38</f>
        <v>-15643975.85</v>
      </c>
      <c r="CM38" s="247" cm="1">
        <f t="array" ref="CM38">M38-CI38</f>
        <v>39943969</v>
      </c>
    </row>
    <row r="39" ht="19.35" customHeight="1">
      <c r="A39" s="689">
        <v>33</v>
      </c>
      <c r="B39" s="675">
        <v>46337</v>
      </c>
      <c r="C39" s="247"/>
      <c r="D39" s="597">
        <v>22</v>
      </c>
      <c r="E39" s="676" cm="1">
        <f t="array" ref="E39">D39/K38</f>
        <v>0.0129358020253115</v>
      </c>
      <c r="F39" s="731" cm="1">
        <f t="array" ref="F39">F38*(1+G39)</f>
        <v>41663.9390919595</v>
      </c>
      <c r="G39" s="732" cm="1">
        <f t="array" ref="G39">H39-SUM(G27:G38)</f>
        <v>0.0037</v>
      </c>
      <c r="H39" s="733" cm="1">
        <f t="array" ref="H39">'depto - Table 5'!$F$2</f>
        <v>0.05</v>
      </c>
      <c r="I39" s="299" cm="1">
        <f t="array" ref="I39">H39+4.95/100</f>
        <v>0.09950000000000001</v>
      </c>
      <c r="J39" s="247" cm="1">
        <f t="array" ref="J39">IF(K38=0,0,ROUND(D39*F39,0))</f>
        <v>916607</v>
      </c>
      <c r="K39" s="677" cm="1">
        <f t="array" ref="K39">IF(K38-BF39&lt;0,0,K38-BF39)</f>
        <v>1686.6689</v>
      </c>
      <c r="L39" s="678" cm="1">
        <f t="array" ref="L39">K39/K$5</f>
        <v>0.427004784810127</v>
      </c>
      <c r="M39" s="679" cm="1">
        <f t="array" ref="M39">ROUND(K39*F39,0)</f>
        <v>70273270</v>
      </c>
      <c r="N39" s="680" cm="1">
        <f t="array" ref="N39">M39/M$5</f>
        <v>0.479247470131662</v>
      </c>
      <c r="O39" s="679" cm="1">
        <f t="array" ref="O39">M39-M38</f>
        <v>-323645</v>
      </c>
      <c r="P39" s="681" cm="1">
        <f t="array" ref="P39">T39-K39</f>
        <v>3713.3311</v>
      </c>
      <c r="Q39" s="679" cm="1">
        <f t="array" ref="Q39">ROUND(P39*F39,0)</f>
        <v>154712001</v>
      </c>
      <c r="R39" s="596" cm="1">
        <f t="array" ref="R39">$K$5-K39</f>
        <v>2263.3311</v>
      </c>
      <c r="S39" s="679" cm="1">
        <f t="array" ref="S39">Q39-Q38</f>
        <v>1153022</v>
      </c>
      <c r="T39" s="596">
        <v>5400</v>
      </c>
      <c r="U39" s="679" cm="1">
        <f t="array" ref="U39">T39*F39</f>
        <v>224985271.096581</v>
      </c>
      <c r="V39" s="247" cm="1">
        <f t="array" ref="V39">-S39</f>
        <v>-1153022</v>
      </c>
      <c r="W39" s="690"/>
      <c r="X39" s="690" cm="1">
        <f t="array" ref="X39">$K38*4.95/12/100/(1-(1+4.95/12/100)^-(360-$A39+3))+$AY39</f>
        <v>10.5442583691552</v>
      </c>
      <c r="Y39" s="682" cm="1">
        <f t="array" ref="Y39">K38*4.95/12/100/(1-(1+4.95/12/100)^-(360-$A39+3))+AY39</f>
        <v>10.5442583691552</v>
      </c>
      <c r="Z39" s="597" cm="1">
        <f t="array" ref="Z39">IF(Z$3*12&lt;=$A39,0,$K38*'depto - Departamento'!$D$8/12/(1-(1+'depto - Departamento'!$D$8/12)^-(12*Z$3-$A39+3))+$AY40)</f>
        <v>11.557383771536</v>
      </c>
      <c r="AA39" s="597" cm="1">
        <f t="array" ref="AA39">IF(AA$3*12&lt;=$A39,0,$K38*'depto - Departamento'!$D$8/12/(1-(1+'depto - Departamento'!$D$8/12)^-(12*AA$3-$A39+3))+$AY40)</f>
        <v>13.2231989495669</v>
      </c>
      <c r="AB39" s="597" cm="1">
        <f t="array" ref="AB39">IF(AB$3*12&lt;$A39,0,$K38*'depto - Departamento'!$D$8/12/(1-(1+'depto - Departamento'!$D$8/12)^-(12*AB$3-$A39+3))+$AY39)</f>
        <v>16.3293323206466</v>
      </c>
      <c r="AC39" s="597" cm="1">
        <f t="array" ref="AC39">IF(AC$3*12&lt;$A39,0,$K38*'depto - Departamento'!$D$8/12/(1-(1+'depto - Departamento'!$D$8/12)^-(12*AC$3-$A39+3))+$AY39)</f>
        <v>19.8317806242482</v>
      </c>
      <c r="AD39" s="597" cm="1">
        <f t="array" ref="AD39">IF(AD$3*12&lt;$A39,0,$K38*'depto - Departamento'!$D$8/12/(1-(1+'depto - Departamento'!$D$8/12)^-(12*AD$3-$A39+3))+$AY39)</f>
        <v>23.7609902489803</v>
      </c>
      <c r="AE39" s="597" cm="1">
        <f t="array" ref="AE39">IF(AE$3*12&lt;$A39,0,$K38*'depto - Departamento'!$D$8/12/(1-(1+'depto - Departamento'!$D$8/12)^-(12*AE$3-$A39+3))+$AY39)</f>
        <v>61.4884393834665</v>
      </c>
      <c r="AF39" s="597" cm="1">
        <f t="array" ref="AF39">AF38-(AF37-AF38)</f>
        <v>79.7473</v>
      </c>
      <c r="AG39" s="597"/>
      <c r="AH39" s="597"/>
      <c r="AI39" s="696" cm="1">
        <f t="array" ref="AI39">$F39*Y39</f>
        <v>439315.338462366</v>
      </c>
      <c r="AJ39" s="247" cm="1">
        <f t="array" ref="AJ39">$F39*Z39</f>
        <v>481526.133519677</v>
      </c>
      <c r="AK39" s="247" cm="1">
        <f t="array" ref="AK39">$F39*AA39</f>
        <v>550930.555635618</v>
      </c>
      <c r="AL39" s="247" cm="1">
        <f t="array" ref="AL39">$F39*AB39</f>
        <v>680344.307219786</v>
      </c>
      <c r="AM39" s="247" cm="1">
        <f t="array" ref="AM39">$F39*AC39</f>
        <v>826270.1000137799</v>
      </c>
      <c r="AN39" s="247" cm="1">
        <f t="array" ref="AN39">$F39*AD39</f>
        <v>989976.450498159</v>
      </c>
      <c r="AO39" s="247" cm="1">
        <f t="array" ref="AO39">$F39*AE39</f>
        <v>2561850.59333239</v>
      </c>
      <c r="AP39" s="247" cm="1">
        <f t="array" ref="AP39">$F39*AF39</f>
        <v>3322586.64994822</v>
      </c>
      <c r="AQ39" s="597"/>
      <c r="AR39" s="691" cm="1">
        <f t="array" ref="AR39">K38-K39</f>
        <v>14.0374</v>
      </c>
      <c r="AS39" s="691" cm="1">
        <f t="array" ref="AS39">D39-AR39</f>
        <v>7.9626</v>
      </c>
      <c r="AT39" s="597"/>
      <c r="AU39" s="684" cm="1">
        <f t="array" ref="AU39">ROUND(AV39*F39,0)</f>
        <v>43089</v>
      </c>
      <c r="AV39" s="692" cm="1">
        <f t="array" ref="AV39">IF(K38=0,0,AV38)</f>
        <v>1.0342</v>
      </c>
      <c r="AW39" s="684" cm="1">
        <f t="array" ref="AW39">ROUND(F39*AX39,0)</f>
        <v>2804</v>
      </c>
      <c r="AX39" s="692" cm="1">
        <f t="array" ref="AX39">ROUND(AX$31/K$30*K38,4)</f>
        <v>0.0673</v>
      </c>
      <c r="AY39" s="693" cm="1">
        <f t="array" ref="AY39">SUM(AV39,AX39)</f>
        <v>1.1015</v>
      </c>
      <c r="AZ39" s="684" cm="1">
        <f t="array" ref="AZ39">AU39+AW39</f>
        <v>45893</v>
      </c>
      <c r="BA39" s="685" cm="1">
        <f t="array" ref="BA39">AI39-AZ39-BG39</f>
        <v>107561.473876772</v>
      </c>
      <c r="BB39" s="694" cm="1">
        <f t="array" ref="BB39">ROUND(BA39/$F39,4)</f>
        <v>2.5816</v>
      </c>
      <c r="BC39" s="685" cm="1">
        <f t="array" ref="BC39">J39-SUM(AZ39,BA39,BG39)</f>
        <v>477291.661537634</v>
      </c>
      <c r="BD39" s="694" cm="1">
        <f t="array" ref="BD39">ROUND(BC39/$F39,4)</f>
        <v>11.4557</v>
      </c>
      <c r="BE39" s="686" cm="1">
        <f t="array" ref="BE39">BC39+BA39</f>
        <v>584853.135414406</v>
      </c>
      <c r="BF39" s="694" cm="1">
        <f t="array" ref="BF39">ROUND((BA39+BC39)/F39,4)</f>
        <v>14.0374</v>
      </c>
      <c r="BG39" s="687" cm="1">
        <f t="array" ref="BG39">BO39*F39</f>
        <v>285860.864585594</v>
      </c>
      <c r="BH39" s="697" cm="1">
        <f t="array" ref="BH39">ROUND(BG39/$F39,4)</f>
        <v>6.8611</v>
      </c>
      <c r="BI39" s="679" cm="1">
        <f t="array" ref="BI39">M38-M39</f>
        <v>323645</v>
      </c>
      <c r="BJ39" s="679" cm="1">
        <f t="array" ref="BJ39">BE39-BI39</f>
        <v>261208.135414406</v>
      </c>
      <c r="BK39" s="679" cm="1">
        <f t="array" ref="BK39">-BJ39</f>
        <v>-261208.135414406</v>
      </c>
      <c r="BL39" s="679" cm="1">
        <f t="array" ref="BL39">BG39+BJ39</f>
        <v>547069</v>
      </c>
      <c r="BM39" s="679" cm="1">
        <f t="array" ref="BM39">AVERAGE(BL37:BL39)</f>
        <v>532701.333333333</v>
      </c>
      <c r="BN39" s="699" cm="1">
        <f t="array" ref="BN39">BH38-BH39</f>
        <v>0.0564</v>
      </c>
      <c r="BO39" s="597" cm="1">
        <f t="array" ref="BO39">K38*((1+'depto - Departamento'!$D$8)^(1/12)-1)</f>
        <v>6.86110989060947</v>
      </c>
      <c r="BP39" s="698" cm="1">
        <f t="array" ref="BP39">(BA39+BC39)/BG39</f>
        <v>2.04593635530437</v>
      </c>
      <c r="BQ39" s="698" cm="1">
        <f t="array" ref="BQ39">Y39-BB39</f>
        <v>7.9626583691552</v>
      </c>
      <c r="BR39" s="698" cm="1">
        <f t="array" ref="BR39">(BR$4*(1+BR$4)^BR$3*K38)/((1+BR$4)^BR$3-1)</f>
        <v>9.077859979175379</v>
      </c>
      <c r="BS39" s="698"/>
      <c r="BT39" s="247"/>
      <c r="BU39" s="247" cm="1">
        <f t="array" ref="BU39">SUM(C$5:C39)</f>
        <v>148338452</v>
      </c>
      <c r="BV39" s="247" cm="1">
        <f t="array" ref="BV39">BA39+BC39+BV38</f>
        <v>89110335.44791789</v>
      </c>
      <c r="BW39" s="247" cm="1">
        <f t="array" ref="BW39">BG39+BW38</f>
        <v>11861284.5520821</v>
      </c>
      <c r="BX39" s="596" cm="1">
        <f t="array" ref="BX39">BF39+BX38</f>
        <v>2228.8403</v>
      </c>
      <c r="BY39" s="596" cm="1">
        <f t="array" ref="BY39">BH39+BY38</f>
        <v>303.05</v>
      </c>
      <c r="BZ39" s="247" cm="1">
        <f t="array" ref="BZ39">SUM(BJ$6:BJ39)</f>
        <v>12751073.4479179</v>
      </c>
      <c r="CA39" s="596"/>
      <c r="CB39" s="596"/>
      <c r="CC39" s="247" cm="1">
        <f t="array" ref="CC39">SUM(BE$6:BE39)</f>
        <v>89110335.44791789</v>
      </c>
      <c r="CD39" s="596"/>
      <c r="CE39" s="596"/>
      <c r="CF39" s="247" cm="1">
        <f t="array" ref="CF39">'net worth - net worth'!$B$12</f>
        <v>17512018</v>
      </c>
      <c r="CG39" s="247" cm="1">
        <f t="array" ref="CG39">'net worth - net worth'!$B$3</f>
        <v>11447471</v>
      </c>
      <c r="CH39" s="247" cm="1">
        <f t="array" ref="CH39">'net worth - net worth'!$B$2</f>
        <v>1693457</v>
      </c>
      <c r="CI39" s="247" cm="1">
        <f t="array" ref="CI39">SUM(CF39:CH39)</f>
        <v>30652946</v>
      </c>
      <c r="CJ39" s="247" cm="1">
        <f t="array" ref="CJ39">SUM('net worth - balances'!$B$9:$B$10)*0.85+SUM('net worth - balances'!$B$12:$B$12)</f>
        <v>55587944.85</v>
      </c>
      <c r="CK39" s="247" cm="1">
        <f t="array" ref="CK39">CI39+CJ39</f>
        <v>86240890.84999999</v>
      </c>
      <c r="CL39" s="247" cm="1">
        <f t="array" ref="CL39">M39-CK39</f>
        <v>-15967620.85</v>
      </c>
      <c r="CM39" s="247" cm="1">
        <f t="array" ref="CM39">M39-CI39</f>
        <v>39620324</v>
      </c>
    </row>
    <row r="40" ht="19.35" customHeight="1">
      <c r="A40" s="734">
        <v>34</v>
      </c>
      <c r="B40" s="735">
        <v>46367</v>
      </c>
      <c r="C40" s="262"/>
      <c r="D40" s="736">
        <v>22</v>
      </c>
      <c r="E40" s="737" cm="1">
        <f t="array" ref="E40">D40/K39</f>
        <v>0.0130434609898837</v>
      </c>
      <c r="F40" s="738" cm="1">
        <f t="array" ref="F40">F39*(1+G40)</f>
        <v>41672.2718797779</v>
      </c>
      <c r="G40" s="739" cm="1">
        <f t="array" ref="G40">H40-SUM(G28:G39)</f>
        <v>0.0002</v>
      </c>
      <c r="H40" s="740" cm="1">
        <f t="array" ref="H40">'depto - Table 5'!$F$2</f>
        <v>0.05</v>
      </c>
      <c r="I40" s="741" cm="1">
        <f t="array" ref="I40">H40+0.0495</f>
        <v>0.09950000000000001</v>
      </c>
      <c r="J40" s="262" cm="1">
        <f t="array" ref="J40">IF(K39=0,0,ROUND(D40*F40,0))</f>
        <v>916790</v>
      </c>
      <c r="K40" s="742" cm="1">
        <f t="array" ref="K40">IF(K39-BF40&lt;0,0,K39-BF40)</f>
        <v>1672.5744</v>
      </c>
      <c r="L40" s="743" cm="1">
        <f t="array" ref="L40">K40/K$5</f>
        <v>0.423436556962025</v>
      </c>
      <c r="M40" s="744" cm="1">
        <f t="array" ref="M40">ROUND(K40*F40,0)</f>
        <v>69699975</v>
      </c>
      <c r="N40" s="745" cm="1">
        <f t="array" ref="N40">M40/M$5</f>
        <v>0.475337730647657</v>
      </c>
      <c r="O40" s="744" cm="1">
        <f t="array" ref="O40">M40-M39</f>
        <v>-573295</v>
      </c>
      <c r="P40" s="746" cm="1">
        <f t="array" ref="P40">T40-K40</f>
        <v>3727.4256</v>
      </c>
      <c r="Q40" s="744" cm="1">
        <f t="array" ref="Q40">ROUND(P40*F40,0)</f>
        <v>155330293</v>
      </c>
      <c r="R40" s="747" cm="1">
        <f t="array" ref="R40">$K$5-K40</f>
        <v>2277.4256</v>
      </c>
      <c r="S40" s="744" cm="1">
        <f t="array" ref="S40">Q40-Q39</f>
        <v>618292</v>
      </c>
      <c r="T40" s="747">
        <v>5400</v>
      </c>
      <c r="U40" s="744" cm="1">
        <f t="array" ref="U40">T40*F40</f>
        <v>225030268.150801</v>
      </c>
      <c r="V40" s="262" cm="1">
        <f t="array" ref="V40">-S40</f>
        <v>-618292</v>
      </c>
      <c r="W40" s="748"/>
      <c r="X40" s="748" cm="1">
        <f t="array" ref="X40">$K39*4.95/12/100/(1-(1+4.95/12/100)^-(360-$A40+3))+$AY40</f>
        <v>10.4792042246168</v>
      </c>
      <c r="Y40" s="749" cm="1">
        <f t="array" ref="Y40">K39*4.95/12/100/(1-(1+4.95/12/100)^-(360-$A40+3))+AY40</f>
        <v>10.4792042246168</v>
      </c>
      <c r="Z40" s="736" cm="1">
        <f t="array" ref="Z40">IF(Z$3*12&lt;=$A40,0,$K39*'depto - Departamento'!$D$8/12/(1-(1+'depto - Departamento'!$D$8/12)^-(12*Z$3-$A40+3))+$AY41)</f>
        <v>11.4975670510468</v>
      </c>
      <c r="AA40" s="736" cm="1">
        <f t="array" ref="AA40">IF(AA$3*12&lt;=$A40,0,$K39*'depto - Departamento'!$D$8/12/(1-(1+'depto - Departamento'!$D$8/12)^-(12*AA$3-$A40+3))+$AY41)</f>
        <v>13.1648170621912</v>
      </c>
      <c r="AB40" s="736" cm="1">
        <f t="array" ref="AB40">IF(AB$3*12&lt;$A40,0,$K39*'depto - Departamento'!$D$8/12/(1-(1+'depto - Departamento'!$D$8/12)^-(12*AB$3-$A40+3))+$AY40)</f>
        <v>16.2764233651597</v>
      </c>
      <c r="AC40" s="736" cm="1">
        <f t="array" ref="AC40">IF(AC$3*12&lt;$A40,0,$K39*'depto - Departamento'!$D$8/12/(1-(1+'depto - Departamento'!$D$8/12)^-(12*AC$3-$A40+3))+$AY40)</f>
        <v>19.8055246071119</v>
      </c>
      <c r="AD40" s="736" cm="1">
        <f t="array" ref="AD40">IF(AD$3*12&lt;$A40,0,$K39*'depto - Departamento'!$D$8/12/(1-(1+'depto - Departamento'!$D$8/12)^-(12*AD$3-$A40+3))+$AY40)</f>
        <v>23.7820956685951</v>
      </c>
      <c r="AE40" s="736" cm="1">
        <f t="array" ref="AE40">IF(AE$3*12&lt;$A40,0,$K39*'depto - Departamento'!$D$8/12/(1-(1+'depto - Departamento'!$D$8/12)^-(12*AE$3-$A40+3))+$AY40)</f>
        <v>62.9298244899551</v>
      </c>
      <c r="AF40" s="736" cm="1">
        <f t="array" ref="AF40">AF39-(AF38-AF39)</f>
        <v>79.7445</v>
      </c>
      <c r="AG40" s="736"/>
      <c r="AH40" s="736"/>
      <c r="AI40" s="750" cm="1">
        <f t="array" ref="AI40">$F40*Y40</f>
        <v>436692.247531948</v>
      </c>
      <c r="AJ40" s="262" cm="1">
        <f t="array" ref="AJ40">$F40*Z40</f>
        <v>479129.740107198</v>
      </c>
      <c r="AK40" s="262" cm="1">
        <f t="array" ref="AK40">$F40*AA40</f>
        <v>548607.835863171</v>
      </c>
      <c r="AL40" s="262" cm="1">
        <f t="array" ref="AL40">$F40*AB40</f>
        <v>678275.539703305</v>
      </c>
      <c r="AM40" s="262" cm="1">
        <f t="array" ref="AM40">$F40*AC40</f>
        <v>825341.206149198</v>
      </c>
      <c r="AN40" s="262" cm="1">
        <f t="array" ref="AN40">$F40*AD40</f>
        <v>991053.9565725829</v>
      </c>
      <c r="AO40" s="262" cm="1">
        <f t="array" ref="AO40">$F40*AE40</f>
        <v>2622428.75549211</v>
      </c>
      <c r="AP40" s="262" cm="1">
        <f t="array" ref="AP40">$F40*AF40</f>
        <v>3323134.48491695</v>
      </c>
      <c r="AQ40" s="736"/>
      <c r="AR40" s="751" cm="1">
        <f t="array" ref="AR40">K39-K40</f>
        <v>14.0945</v>
      </c>
      <c r="AS40" s="751" cm="1">
        <f t="array" ref="AS40">D40-AR40</f>
        <v>7.9055</v>
      </c>
      <c r="AT40" s="736"/>
      <c r="AU40" s="752" cm="1">
        <f t="array" ref="AU40">ROUND(AV40*F40,0)</f>
        <v>43097</v>
      </c>
      <c r="AV40" s="753" cm="1">
        <f t="array" ref="AV40">IF(K39=0,0,AV39)</f>
        <v>1.0342</v>
      </c>
      <c r="AW40" s="752" cm="1">
        <f t="array" ref="AW40">ROUND(F40*AX40,0)</f>
        <v>2784</v>
      </c>
      <c r="AX40" s="753" cm="1">
        <f t="array" ref="AX40">ROUND(AX$31/K$30*K39,4)</f>
        <v>0.0668</v>
      </c>
      <c r="AY40" s="754" cm="1">
        <f t="array" ref="AY40">SUM(AV40,AX40)</f>
        <v>1.101</v>
      </c>
      <c r="AZ40" s="752" cm="1">
        <f t="array" ref="AZ40">AU40+AW40</f>
        <v>45881</v>
      </c>
      <c r="BA40" s="755" cm="1">
        <f t="array" ref="BA40">AI40-AZ40-BG40</f>
        <v>107253.139615468</v>
      </c>
      <c r="BB40" s="756" cm="1">
        <f t="array" ref="BB40">ROUND(BA40/$F40,4)</f>
        <v>2.5737</v>
      </c>
      <c r="BC40" s="755" cm="1">
        <f t="array" ref="BC40">J40-SUM(AZ40,BA40,BG40)</f>
        <v>480097.752468052</v>
      </c>
      <c r="BD40" s="756" cm="1">
        <f t="array" ref="BD40">ROUND(BC40/$F40,4)</f>
        <v>11.5208</v>
      </c>
      <c r="BE40" s="757" cm="1">
        <f t="array" ref="BE40">BC40+BA40</f>
        <v>587350.89208352</v>
      </c>
      <c r="BF40" s="756" cm="1">
        <f t="array" ref="BF40">ROUND((BA40+BC40)/F40,4)</f>
        <v>14.0945</v>
      </c>
      <c r="BG40" s="758" cm="1">
        <f t="array" ref="BG40">BO40*F40</f>
        <v>283558.10791648</v>
      </c>
      <c r="BH40" s="759" cm="1">
        <f t="array" ref="BH40">ROUND(BG40/$F40,4)</f>
        <v>6.8045</v>
      </c>
      <c r="BI40" s="744" cm="1">
        <f t="array" ref="BI40">M39-M40</f>
        <v>573295</v>
      </c>
      <c r="BJ40" s="744" cm="1">
        <f t="array" ref="BJ40">BE40-BI40</f>
        <v>14055.89208352</v>
      </c>
      <c r="BK40" s="744" cm="1">
        <f t="array" ref="BK40">-BJ40</f>
        <v>-14055.89208352</v>
      </c>
      <c r="BL40" s="744" cm="1">
        <f t="array" ref="BL40">BG40+BJ40</f>
        <v>297614</v>
      </c>
      <c r="BM40" s="744" cm="1">
        <f t="array" ref="BM40">AVERAGE(BL38:BL40)</f>
        <v>502360.333333333</v>
      </c>
      <c r="BN40" s="760" cm="1">
        <f t="array" ref="BN40">BH39-BH40</f>
        <v>0.0566</v>
      </c>
      <c r="BO40" s="736" cm="1">
        <f t="array" ref="BO40">K39*((1+'depto - Departamento'!$D$8)^(1/12)-1)</f>
        <v>6.80447921664864</v>
      </c>
      <c r="BP40" s="761" cm="1">
        <f t="array" ref="BP40">(BA40+BC40)/BG40</f>
        <v>2.07135989303653</v>
      </c>
      <c r="BQ40" s="761" cm="1">
        <f t="array" ref="BQ40">Y40-BB40</f>
        <v>7.9055042246168</v>
      </c>
      <c r="BR40" s="761" cm="1">
        <f t="array" ref="BR40">(BR$4*(1+BR$4)^BR$3*K39)/((1+BR$4)^BR$3-1)</f>
        <v>9.00293254951179</v>
      </c>
      <c r="BS40" s="761"/>
      <c r="BT40" s="262"/>
      <c r="BU40" s="262" cm="1">
        <f t="array" ref="BU40">SUM(C$5:C40)</f>
        <v>148338452</v>
      </c>
      <c r="BV40" s="262" cm="1">
        <f t="array" ref="BV40">BA40+BC40+BV39</f>
        <v>89697686.3400014</v>
      </c>
      <c r="BW40" s="262" cm="1">
        <f t="array" ref="BW40">BG40+BW39</f>
        <v>12144842.6599986</v>
      </c>
      <c r="BX40" s="747" cm="1">
        <f t="array" ref="BX40">BF40+BX39</f>
        <v>2242.9348</v>
      </c>
      <c r="BY40" s="747" cm="1">
        <f t="array" ref="BY40">BH40+BY39</f>
        <v>309.8545</v>
      </c>
      <c r="BZ40" s="262" cm="1">
        <f t="array" ref="BZ40">SUM(BJ$6:BJ40)</f>
        <v>12765129.3400014</v>
      </c>
      <c r="CA40" s="747"/>
      <c r="CB40" s="747"/>
      <c r="CC40" s="262" cm="1">
        <f t="array" ref="CC40">SUM(BE$6:BE40)</f>
        <v>89697686.3400014</v>
      </c>
      <c r="CD40" s="747"/>
      <c r="CE40" s="747"/>
      <c r="CF40" s="262" cm="1">
        <f t="array" ref="CF40">'net worth - net worth'!$B$12</f>
        <v>17512018</v>
      </c>
      <c r="CG40" s="262" cm="1">
        <f t="array" ref="CG40">'net worth - net worth'!$B$3</f>
        <v>11447471</v>
      </c>
      <c r="CH40" s="262" cm="1">
        <f t="array" ref="CH40">'net worth - net worth'!$B$2</f>
        <v>1693457</v>
      </c>
      <c r="CI40" s="262" cm="1">
        <f t="array" ref="CI40">SUM(CF40:CH40)</f>
        <v>30652946</v>
      </c>
      <c r="CJ40" s="262" cm="1">
        <f t="array" ref="CJ40">SUM('net worth - balances'!$B$9:$B$10)*0.85+SUM('net worth - balances'!$B$12:$B$12)</f>
        <v>55587944.85</v>
      </c>
      <c r="CK40" s="262" cm="1">
        <f t="array" ref="CK40">CI40+CJ40</f>
        <v>86240890.84999999</v>
      </c>
      <c r="CL40" s="262" cm="1">
        <f t="array" ref="CL40">M40-CK40</f>
        <v>-16540915.85</v>
      </c>
      <c r="CM40" s="262" cm="1">
        <f t="array" ref="CM40">M40-CI40</f>
        <v>39047029</v>
      </c>
    </row>
    <row r="41" ht="19.35" customHeight="1" hidden="1">
      <c r="A41" s="762">
        <v>35</v>
      </c>
      <c r="B41" s="763">
        <v>46398</v>
      </c>
      <c r="C41" s="764"/>
      <c r="D41" s="765" cm="1">
        <f t="array" ref="D41">ROUND(850000/F41,4)</f>
        <v>20.381</v>
      </c>
      <c r="E41" s="766" cm="1">
        <f t="array" ref="E41">D41/K40</f>
        <v>0.0121854071185114</v>
      </c>
      <c r="F41" s="767" cm="1">
        <f t="array" ref="F41">F40*(1+G41)</f>
        <v>41705.6096972817</v>
      </c>
      <c r="G41" s="766" cm="1">
        <f t="array" ref="G41">H41-SUM(G29:G40)</f>
        <v>0.0008</v>
      </c>
      <c r="H41" s="768" cm="1">
        <f t="array" ref="H41">'depto - Table 5'!$G$2</f>
        <v>0.05</v>
      </c>
      <c r="I41" s="769" cm="1">
        <f t="array" ref="I41">H41+4.95/100</f>
        <v>0.09950000000000001</v>
      </c>
      <c r="J41" s="764" cm="1">
        <f t="array" ref="J41">IF(K40=0,0,ROUND(D41*F41,0))</f>
        <v>850002</v>
      </c>
      <c r="K41" s="770" cm="1">
        <f t="array" ref="K41">IF(K40-BF41&lt;0,0,K40-BF41)</f>
        <v>1660.0392</v>
      </c>
      <c r="L41" s="771" cm="1">
        <f t="array" ref="L41">K41/K$5</f>
        <v>0.420263088607595</v>
      </c>
      <c r="M41" s="772" cm="1">
        <f t="array" ref="M41">ROUND(K41*F41,0)</f>
        <v>69232947</v>
      </c>
      <c r="N41" s="773" cm="1">
        <f t="array" ref="N41">M41/M$5</f>
        <v>0.472152707558784</v>
      </c>
      <c r="O41" s="772" cm="1">
        <f t="array" ref="O41">M41-M40</f>
        <v>-467028</v>
      </c>
      <c r="P41" s="774" cm="1">
        <f t="array" ref="P41">T41-K41</f>
        <v>3739.9608</v>
      </c>
      <c r="Q41" s="772" cm="1">
        <f t="array" ref="Q41">ROUND(P41*F41,0)</f>
        <v>155977345</v>
      </c>
      <c r="R41" s="775" cm="1">
        <f t="array" ref="R41">$K$5-K41</f>
        <v>2289.9608</v>
      </c>
      <c r="S41" s="772" cm="1">
        <f t="array" ref="S41">Q41-Q40</f>
        <v>647052</v>
      </c>
      <c r="T41" s="775">
        <v>5400</v>
      </c>
      <c r="U41" s="772" cm="1">
        <f t="array" ref="U41">T41*F41</f>
        <v>225210292.365321</v>
      </c>
      <c r="V41" s="776" cm="1">
        <f t="array" ref="V41">-S41</f>
        <v>-647052</v>
      </c>
      <c r="W41" s="776"/>
      <c r="X41" s="776" cm="1">
        <f t="array" ref="X41">$K40*4.95/12/100/(1-(1+4.95/12/100)^-(360-$A41+3))+$AY41</f>
        <v>10.4196672898882</v>
      </c>
      <c r="Y41" s="777" cm="1">
        <f t="array" ref="Y41">K40*4.95/12/100/(1-(1+4.95/12/100)^-(360-$A41+3))+AY41</f>
        <v>10.4196672898882</v>
      </c>
      <c r="Z41" s="765" cm="1">
        <f t="array" ref="Z41">IF(Z$3*12&lt;=$A41,0,$K40*'depto - Departamento'!$D$8/12/(1-(1+'depto - Departamento'!$D$8/12)^-(12*Z$3-$A41+3))+$AY42)</f>
        <v>11.4312125708169</v>
      </c>
      <c r="AA41" s="765" cm="1">
        <f t="array" ref="AA41">IF(AA$3*12&lt;=$A41,0,$K40*'depto - Departamento'!$D$8/12/(1-(1+'depto - Departamento'!$D$8/12)^-(12*AA$3-$A41+3))+$AY42)</f>
        <v>13.0997828756057</v>
      </c>
      <c r="AB41" s="765" cm="1">
        <f t="array" ref="AB41">IF(AB$3*12&lt;$A41,0,$K40*'depto - Departamento'!$D$8/12/(1-(1+'depto - Departamento'!$D$8/12)^-(12*AB$3-$A41+3))+$AY41)</f>
        <v>16.2287561954763</v>
      </c>
      <c r="AC41" s="765" cm="1">
        <f t="array" ref="AC41">IF(AC$3*12&lt;$A41,0,$K40*'depto - Departamento'!$D$8/12/(1-(1+'depto - Departamento'!$D$8/12)^-(12*AC$3-$A41+3))+$AY41)</f>
        <v>19.7847742664177</v>
      </c>
      <c r="AD41" s="765" cm="1">
        <f t="array" ref="AD41">IF(AD$3*12&lt;$A41,0,$K40*'depto - Departamento'!$D$8/12/(1-(1+'depto - Departamento'!$D$8/12)^-(12*AD$3-$A41+3))+$AY41)</f>
        <v>23.8096735416744</v>
      </c>
      <c r="AE41" s="765" cm="1">
        <f t="array" ref="AE41">IF(AE$3*12&lt;$A41,0,$K40*'depto - Departamento'!$D$8/12/(1-(1+'depto - Departamento'!$D$8/12)^-(12*AE$3-$A41+3))+$AY41)</f>
        <v>64.48032333240791</v>
      </c>
      <c r="AF41" s="765" cm="1">
        <f t="array" ref="AF41">AF40-(AF39-AF40)</f>
        <v>79.74169999999999</v>
      </c>
      <c r="AG41" s="765"/>
      <c r="AH41" s="765"/>
      <c r="AI41" s="778" cm="1">
        <f t="array" ref="AI41">$F41*Y41</f>
        <v>434558.57716761</v>
      </c>
      <c r="AJ41" s="764" cm="1">
        <f t="array" ref="AJ41">$F41*Z41</f>
        <v>476745.68984515</v>
      </c>
      <c r="AK41" s="764" cm="1">
        <f t="array" ref="AK41">$F41*AA41</f>
        <v>546334.431729146</v>
      </c>
      <c r="AL41" s="764" cm="1">
        <f t="array" ref="AL41">$F41*AB41</f>
        <v>676830.171760877</v>
      </c>
      <c r="AM41" s="764" cm="1">
        <f t="array" ref="AM41">$F41*AC41</f>
        <v>825136.073504039</v>
      </c>
      <c r="AN41" s="764" cm="1">
        <f t="array" ref="AN41">$F41*AD41</f>
        <v>992996.9517487671</v>
      </c>
      <c r="AO41" s="764" cm="1">
        <f t="array" ref="AO41">$F41*AE41</f>
        <v>2689191.19805593</v>
      </c>
      <c r="AP41" s="764" cm="1">
        <f t="array" ref="AP41">$F41*AF41</f>
        <v>3325676.21679773</v>
      </c>
      <c r="AQ41" s="765"/>
      <c r="AR41" s="779" cm="1">
        <f t="array" ref="AR41">K40-K41</f>
        <v>12.5352</v>
      </c>
      <c r="AS41" s="779" cm="1">
        <f t="array" ref="AS41">D41-AR41</f>
        <v>7.8458</v>
      </c>
      <c r="AT41" s="765"/>
      <c r="AU41" s="780" cm="1">
        <f t="array" ref="AU41">ROUND(AV41*F41,0)</f>
        <v>43132</v>
      </c>
      <c r="AV41" s="781" cm="1">
        <f t="array" ref="AV41">IF(K40=0,0,AV40)</f>
        <v>1.0342</v>
      </c>
      <c r="AW41" s="780" cm="1">
        <f t="array" ref="AW41">ROUND(F41*AX41,0)</f>
        <v>3014</v>
      </c>
      <c r="AX41" s="781" cm="1">
        <f t="array" ref="AX41">AX$11/K$10*K40</f>
        <v>0.0722649616251884</v>
      </c>
      <c r="AY41" s="782" cm="1">
        <f t="array" ref="AY41">SUM(AV41,AX41)</f>
        <v>1.10646496162519</v>
      </c>
      <c r="AZ41" s="780" cm="1">
        <f t="array" ref="AZ41">AU41+AW41</f>
        <v>46146</v>
      </c>
      <c r="BA41" s="783" cm="1">
        <f t="array" ref="BA41">AI41-AZ41-BG41</f>
        <v>107343.067365406</v>
      </c>
      <c r="BB41" s="784" cm="1">
        <f t="array" ref="BB41">ROUND(BA41/$F41,4)</f>
        <v>2.5738</v>
      </c>
      <c r="BC41" s="783" cm="1">
        <f t="array" ref="BC41">J41-SUM(AZ41,BA41,BG41)</f>
        <v>415443.42283239</v>
      </c>
      <c r="BD41" s="784" cm="1">
        <f t="array" ref="BD41">ROUND(BC41/$F41,4)</f>
        <v>9.9613</v>
      </c>
      <c r="BE41" s="785" cm="1">
        <f t="array" ref="BE41">BC41+BA41</f>
        <v>522786.490197796</v>
      </c>
      <c r="BF41" s="784" cm="1">
        <f t="array" ref="BF41">ROUND((BA41+BC41)/F41,4)</f>
        <v>12.5352</v>
      </c>
      <c r="BG41" s="786" cm="1">
        <f t="array" ref="BG41">BO41*F41</f>
        <v>281069.509802204</v>
      </c>
      <c r="BH41" s="787" cm="1">
        <f t="array" ref="BH41">ROUND(BG41/$F41,4)</f>
        <v>6.7394</v>
      </c>
      <c r="BI41" s="772" cm="1">
        <f t="array" ref="BI41">M40-M41</f>
        <v>467028</v>
      </c>
      <c r="BJ41" s="772" cm="1">
        <f t="array" ref="BJ41">BE41-BI41</f>
        <v>55758.490197796</v>
      </c>
      <c r="BK41" s="772" cm="1">
        <f t="array" ref="BK41">-BJ41</f>
        <v>-55758.490197796</v>
      </c>
      <c r="BL41" s="772" cm="1">
        <f t="array" ref="BL41">BG41+BJ41</f>
        <v>336828</v>
      </c>
      <c r="BM41" s="772" cm="1">
        <f t="array" ref="BM41">AVERAGE(BL39:BL41)</f>
        <v>393837</v>
      </c>
      <c r="BN41" s="788" cm="1">
        <f t="array" ref="BN41">BH40-BH41</f>
        <v>0.06510000000000001</v>
      </c>
      <c r="BO41" s="775" cm="1">
        <f t="array" ref="BO41">K40*0.0495/12-0.16</f>
        <v>6.7393694</v>
      </c>
      <c r="BP41" s="789" cm="1">
        <f t="array" ref="BP41">(BA41+BC41)/BG41</f>
        <v>1.85999004504507</v>
      </c>
      <c r="BQ41" s="789" cm="1">
        <f t="array" ref="BQ41">Y41-BB41</f>
        <v>7.8458672898882</v>
      </c>
      <c r="BR41" s="789" cm="1">
        <f t="array" ref="BR41">(BR$4*(1+BR$4)^BR$3*K40)/((1+BR$4)^BR$3-1)</f>
        <v>8.927700337179489</v>
      </c>
      <c r="BS41" s="789"/>
      <c r="BT41" s="764"/>
      <c r="BU41" s="764"/>
      <c r="BV41" s="764" cm="1">
        <f t="array" ref="BV41">BA41+BC41+BV40</f>
        <v>90220472.8301992</v>
      </c>
      <c r="BW41" s="764" cm="1">
        <f t="array" ref="BW41">BG41+BW40</f>
        <v>12425912.1698008</v>
      </c>
      <c r="BX41" s="775" cm="1">
        <f t="array" ref="BX41">BF41+BX40</f>
        <v>2255.47</v>
      </c>
      <c r="BY41" s="775" cm="1">
        <f t="array" ref="BY41">BH41+BY40</f>
        <v>316.5939</v>
      </c>
      <c r="BZ41" s="764" cm="1">
        <f t="array" ref="BZ41">SUM(BJ$6:BJ41)</f>
        <v>12820887.8301992</v>
      </c>
      <c r="CA41" s="775"/>
      <c r="CB41" s="775"/>
      <c r="CC41" s="764" cm="1">
        <f t="array" ref="CC41">SUM(BE$6:BE41)</f>
        <v>90220472.8301992</v>
      </c>
      <c r="CD41" s="775"/>
      <c r="CE41" s="775"/>
      <c r="CF41" s="775"/>
      <c r="CG41" s="775"/>
      <c r="CH41" s="775"/>
      <c r="CI41" s="775"/>
      <c r="CJ41" s="775"/>
      <c r="CK41" s="775"/>
      <c r="CL41" s="775"/>
      <c r="CM41" s="775"/>
    </row>
    <row r="42" ht="19.35" customHeight="1" hidden="1">
      <c r="A42" s="762">
        <v>36</v>
      </c>
      <c r="B42" s="763">
        <v>46429</v>
      </c>
      <c r="C42" s="764"/>
      <c r="D42" s="765" cm="1">
        <f t="array" ref="D42">ROUND(850000/F42,4)</f>
        <v>20.3748</v>
      </c>
      <c r="E42" s="766" cm="1">
        <f t="array" ref="E42">D42/K41</f>
        <v>0.0122736860671724</v>
      </c>
      <c r="F42" s="767" cm="1">
        <f t="array" ref="F42">F41*(1+G42)</f>
        <v>41718.1213801909</v>
      </c>
      <c r="G42" s="766" cm="1">
        <f t="array" ref="G42">H42-SUM(G31:G41)</f>
        <v>0.0003</v>
      </c>
      <c r="H42" s="768" cm="1">
        <f t="array" ref="H42">'depto - Table 5'!$G$2</f>
        <v>0.05</v>
      </c>
      <c r="I42" s="769" cm="1">
        <f t="array" ref="I42">H42+4.95/100</f>
        <v>0.09950000000000001</v>
      </c>
      <c r="J42" s="764" cm="1">
        <f t="array" ref="J42">IF(K41=0,0,ROUND(D42*F42,0))</f>
        <v>849998</v>
      </c>
      <c r="K42" s="770" cm="1">
        <f t="array" ref="K42">IF(K41-BF42&lt;0,0,K41-BF42)</f>
        <v>1647.458</v>
      </c>
      <c r="L42" s="771" cm="1">
        <f t="array" ref="L42">K42/K$5</f>
        <v>0.417077974683544</v>
      </c>
      <c r="M42" s="772" cm="1">
        <f t="array" ref="M42">ROUND(K42*F42,0)</f>
        <v>68728853</v>
      </c>
      <c r="N42" s="773" cm="1">
        <f t="array" ref="N42">M42/M$5</f>
        <v>0.468714902911177</v>
      </c>
      <c r="O42" s="772" cm="1">
        <f t="array" ref="O42">M42-M41</f>
        <v>-504094</v>
      </c>
      <c r="P42" s="774" cm="1">
        <f t="array" ref="P42">T42-K42</f>
        <v>3752.542</v>
      </c>
      <c r="Q42" s="772" cm="1">
        <f t="array" ref="Q42">ROUND(P42*F42,0)</f>
        <v>156549003</v>
      </c>
      <c r="R42" s="775" cm="1">
        <f t="array" ref="R42">$K$5-K42</f>
        <v>2302.542</v>
      </c>
      <c r="S42" s="772" cm="1">
        <f t="array" ref="S42">Q42-Q41</f>
        <v>571658</v>
      </c>
      <c r="T42" s="775">
        <v>5400</v>
      </c>
      <c r="U42" s="772" cm="1">
        <f t="array" ref="U42">T42*F42</f>
        <v>225277855.453031</v>
      </c>
      <c r="V42" s="776" cm="1">
        <f t="array" ref="V42">-S42</f>
        <v>-571658</v>
      </c>
      <c r="W42" s="776"/>
      <c r="X42" s="776" cm="1">
        <f t="array" ref="X42">$K41*4.95/12/100/(1-(1+4.95/12/100)^-(360-$A42+3))+$AY42</f>
        <v>10.3626866080997</v>
      </c>
      <c r="Y42" s="777" cm="1">
        <f t="array" ref="Y42">K41*4.95/12/100/(1-(1+4.95/12/100)^-(360-$A42+3))+AY42</f>
        <v>10.3626866080997</v>
      </c>
      <c r="Z42" s="765" cm="1">
        <f t="array" ref="Z42">IF(Z$3*12&lt;=$A42,0,$K41*'depto - Departamento'!$D$8/12/(1-(1+'depto - Departamento'!$D$8/12)^-(12*Z$3-$A42+3))+$AY43)</f>
        <v>11.3743193277881</v>
      </c>
      <c r="AA42" s="765" cm="1">
        <f t="array" ref="AA42">IF(AA$3*12&lt;=$A42,0,$K41*'depto - Departamento'!$D$8/12/(1-(1+'depto - Departamento'!$D$8/12)^-(12*AA$3-$A42+3))+$AY43)</f>
        <v>13.0457197116554</v>
      </c>
      <c r="AB42" s="765" cm="1">
        <f t="array" ref="AB42">IF(AB$3*12&lt;$A42,0,$K41*'depto - Departamento'!$D$8/12/(1-(1+'depto - Departamento'!$D$8/12)^-(12*AB$3-$A42+3))+$AY42)</f>
        <v>16.1890332586799</v>
      </c>
      <c r="AC42" s="765" cm="1">
        <f t="array" ref="AC42">IF(AC$3*12&lt;$A42,0,$K41*'depto - Departamento'!$D$8/12/(1-(1+'depto - Departamento'!$D$8/12)^-(12*AC$3-$A42+3))+$AY42)</f>
        <v>19.775727314712</v>
      </c>
      <c r="AD42" s="765" cm="1">
        <f t="array" ref="AD42">IF(AD$3*12&lt;$A42,0,$K41*'depto - Departamento'!$D$8/12/(1-(1+'depto - Departamento'!$D$8/12)^-(12*AD$3-$A42+3))+$AY42)</f>
        <v>23.8539230607834</v>
      </c>
      <c r="AE42" s="765" cm="1">
        <f t="array" ref="AE42">IF(AE$3*12&lt;$A42,0,$K41*'depto - Departamento'!$D$8/12/(1-(1+'depto - Departamento'!$D$8/12)^-(12*AE$3-$A42+3))+$AY42)</f>
        <v>66.2028201827756</v>
      </c>
      <c r="AF42" s="765" cm="1">
        <f t="array" ref="AF42">AF41-(AF40-AF41)</f>
        <v>79.7389</v>
      </c>
      <c r="AG42" s="765"/>
      <c r="AH42" s="765"/>
      <c r="AI42" s="778" cm="1">
        <f t="array" ref="AI42">$F42*Y42</f>
        <v>432311.817741582</v>
      </c>
      <c r="AJ42" s="764" cm="1">
        <f t="array" ref="AJ42">$F42*Z42</f>
        <v>474515.234333715</v>
      </c>
      <c r="AK42" s="764" cm="1">
        <f t="array" ref="AK42">$F42*AA42</f>
        <v>544242.918422789</v>
      </c>
      <c r="AL42" s="764" cm="1">
        <f t="array" ref="AL42">$F42*AB42</f>
        <v>675376.054513555</v>
      </c>
      <c r="AM42" s="764" cm="1">
        <f t="array" ref="AM42">$F42*AC42</f>
        <v>825006.192496712</v>
      </c>
      <c r="AN42" s="764" cm="1">
        <f t="array" ref="AN42">$F42*AD42</f>
        <v>995140.8576434969</v>
      </c>
      <c r="AO42" s="764" cm="1">
        <f t="array" ref="AO42">$F42*AE42</f>
        <v>2761857.28809598</v>
      </c>
      <c r="AP42" s="764" cm="1">
        <f t="array" ref="AP42">$F42*AF42</f>
        <v>3326557.1089229</v>
      </c>
      <c r="AQ42" s="765"/>
      <c r="AR42" s="779" cm="1">
        <f t="array" ref="AR42">K41-K42</f>
        <v>12.5812</v>
      </c>
      <c r="AS42" s="779" cm="1">
        <f t="array" ref="AS42">D42-AR42</f>
        <v>7.7936</v>
      </c>
      <c r="AT42" s="765"/>
      <c r="AU42" s="780" cm="1">
        <f t="array" ref="AU42">ROUND(AV42*F42,0)</f>
        <v>43145</v>
      </c>
      <c r="AV42" s="781" cm="1">
        <f t="array" ref="AV42">IF(K41=0,0,AV41)</f>
        <v>1.0342</v>
      </c>
      <c r="AW42" s="780" cm="1">
        <f t="array" ref="AW42">ROUND(F42*AX42,0)</f>
        <v>2992</v>
      </c>
      <c r="AX42" s="781" cm="1">
        <f t="array" ref="AX42">AX$11/K$10*K41</f>
        <v>0.0717233679316797</v>
      </c>
      <c r="AY42" s="782" cm="1">
        <f t="array" ref="AY42">SUM(AV42,AX42)</f>
        <v>1.10592336793168</v>
      </c>
      <c r="AZ42" s="780" cm="1">
        <f t="array" ref="AZ42">AU42+AW42</f>
        <v>46137</v>
      </c>
      <c r="BA42" s="783" cm="1">
        <f t="array" ref="BA42">AI42-AZ42-BG42</f>
        <v>107178.135191328</v>
      </c>
      <c r="BB42" s="784" cm="1">
        <f t="array" ref="BB42">ROUND(BA42/$F42,4)</f>
        <v>2.5691</v>
      </c>
      <c r="BC42" s="783" cm="1">
        <f t="array" ref="BC42">J42-SUM(AZ42,BA42,BG42)</f>
        <v>417686.182258418</v>
      </c>
      <c r="BD42" s="784" cm="1">
        <f t="array" ref="BD42">ROUND(BC42/$F42,4)</f>
        <v>10.0121</v>
      </c>
      <c r="BE42" s="785" cm="1">
        <f t="array" ref="BE42">BC42+BA42</f>
        <v>524864.317449746</v>
      </c>
      <c r="BF42" s="784" cm="1">
        <f t="array" ref="BF42">ROUND((BA42+BC42)/F42,4)</f>
        <v>12.5812</v>
      </c>
      <c r="BG42" s="786" cm="1">
        <f t="array" ref="BG42">BO42*F42</f>
        <v>278996.682550254</v>
      </c>
      <c r="BH42" s="787" cm="1">
        <f t="array" ref="BH42">ROUND(BG42/$F42,4)</f>
        <v>6.6877</v>
      </c>
      <c r="BI42" s="772" cm="1">
        <f t="array" ref="BI42">M41-M42</f>
        <v>504094</v>
      </c>
      <c r="BJ42" s="772" cm="1">
        <f t="array" ref="BJ42">BE42-BI42</f>
        <v>20770.317449746</v>
      </c>
      <c r="BK42" s="772" cm="1">
        <f t="array" ref="BK42">-BJ42</f>
        <v>-20770.317449746</v>
      </c>
      <c r="BL42" s="772" cm="1">
        <f t="array" ref="BL42">BG42+BJ42</f>
        <v>299767</v>
      </c>
      <c r="BM42" s="772" cm="1">
        <f t="array" ref="BM42">AVERAGE(BL40:BL42)</f>
        <v>311403</v>
      </c>
      <c r="BN42" s="788" cm="1">
        <f t="array" ref="BN42">BH41-BH42</f>
        <v>0.0517</v>
      </c>
      <c r="BO42" s="775" cm="1">
        <f t="array" ref="BO42">K41*0.0495/12-0.16</f>
        <v>6.6876617</v>
      </c>
      <c r="BP42" s="789" cm="1">
        <f t="array" ref="BP42">(BA42+BC42)/BG42</f>
        <v>1.88125648180496</v>
      </c>
      <c r="BQ42" s="789" cm="1">
        <f t="array" ref="BQ42">Y42-BB42</f>
        <v>7.7935866080997</v>
      </c>
      <c r="BR42" s="789" cm="1">
        <f t="array" ref="BR42">(BR$4*(1+BR$4)^BR$3*K41)/((1+BR$4)^BR$3-1)</f>
        <v>8.86079120042203</v>
      </c>
      <c r="BS42" s="789"/>
      <c r="BT42" s="764"/>
      <c r="BU42" s="764"/>
      <c r="BV42" s="764" cm="1">
        <f t="array" ref="BV42">BA42+BC42+BV41</f>
        <v>90745337.1476489</v>
      </c>
      <c r="BW42" s="764" cm="1">
        <f t="array" ref="BW42">BG42+BW41</f>
        <v>12704908.8523511</v>
      </c>
      <c r="BX42" s="775" cm="1">
        <f t="array" ref="BX42">BF42+BX41</f>
        <v>2268.0512</v>
      </c>
      <c r="BY42" s="775" cm="1">
        <f t="array" ref="BY42">BH42+BY41</f>
        <v>323.2816</v>
      </c>
      <c r="BZ42" s="764" cm="1">
        <f t="array" ref="BZ42">SUM(BJ$6:BJ42)</f>
        <v>12841658.1476489</v>
      </c>
      <c r="CA42" s="775"/>
      <c r="CB42" s="775"/>
      <c r="CC42" s="764" cm="1">
        <f t="array" ref="CC42">SUM(BE$6:BE42)</f>
        <v>90745337.1476489</v>
      </c>
      <c r="CD42" s="775"/>
      <c r="CE42" s="775"/>
      <c r="CF42" s="775"/>
      <c r="CG42" s="775"/>
      <c r="CH42" s="775"/>
      <c r="CI42" s="775"/>
      <c r="CJ42" s="775"/>
      <c r="CK42" s="775"/>
      <c r="CL42" s="775"/>
      <c r="CM42" s="775"/>
    </row>
    <row r="43" ht="19.35" customHeight="1" hidden="1">
      <c r="A43" s="762">
        <v>37</v>
      </c>
      <c r="B43" s="763">
        <v>46457</v>
      </c>
      <c r="C43" s="764"/>
      <c r="D43" s="765" cm="1">
        <f t="array" ref="D43">ROUND(850000/F43,4)</f>
        <v>20.2997</v>
      </c>
      <c r="E43" s="766" cm="1">
        <f t="array" ref="E43">D43/K42</f>
        <v>0.012321831573248</v>
      </c>
      <c r="F43" s="767" cm="1">
        <f t="array" ref="F43">F42*(1+G43)</f>
        <v>41872.4784292976</v>
      </c>
      <c r="G43" s="766" cm="1">
        <f t="array" ref="G43">H43-SUM(G32:G42)</f>
        <v>0.0037</v>
      </c>
      <c r="H43" s="768" cm="1">
        <f t="array" ref="H43">'depto - Table 5'!$G$2</f>
        <v>0.05</v>
      </c>
      <c r="I43" s="769" cm="1">
        <f t="array" ref="I43">H43+4.95/100</f>
        <v>0.09950000000000001</v>
      </c>
      <c r="J43" s="764" cm="1">
        <f t="array" ref="J43">IF(K42=0,0,ROUND(D43*F43,0))</f>
        <v>849999</v>
      </c>
      <c r="K43" s="770" cm="1">
        <f t="array" ref="K43">IF(K42-BF43&lt;0,0,K42-BF43)</f>
        <v>1634.8994</v>
      </c>
      <c r="L43" s="771" cm="1">
        <f t="array" ref="L43">K43/K$5</f>
        <v>0.413898582278481</v>
      </c>
      <c r="M43" s="772" cm="1">
        <f t="array" ref="M43">ROUND(K43*F43,0)</f>
        <v>68457290</v>
      </c>
      <c r="N43" s="773" cm="1">
        <f t="array" ref="N43">M43/M$5</f>
        <v>0.466862905975053</v>
      </c>
      <c r="O43" s="772" cm="1">
        <f t="array" ref="O43">M43-M42</f>
        <v>-271563</v>
      </c>
      <c r="P43" s="774" cm="1">
        <f t="array" ref="P43">T43-K43</f>
        <v>3765.1006</v>
      </c>
      <c r="Q43" s="772" cm="1">
        <f t="array" ref="Q43">ROUND(P43*F43,0)</f>
        <v>157654094</v>
      </c>
      <c r="R43" s="775" cm="1">
        <f t="array" ref="R43">$K$5-K43</f>
        <v>2315.1006</v>
      </c>
      <c r="S43" s="772" cm="1">
        <f t="array" ref="S43">Q43-Q42</f>
        <v>1105091</v>
      </c>
      <c r="T43" s="775">
        <v>5400</v>
      </c>
      <c r="U43" s="772" cm="1">
        <f t="array" ref="U43">T43*F43</f>
        <v>226111383.518207</v>
      </c>
      <c r="V43" s="776" cm="1">
        <f t="array" ref="V43">-S43</f>
        <v>-1105091</v>
      </c>
      <c r="W43" s="776"/>
      <c r="X43" s="776" cm="1">
        <f t="array" ref="X43">$K42*4.95/12/100/(1-(1+4.95/12/100)^-(360-$A43+3))+$AY43</f>
        <v>10.3053386124998</v>
      </c>
      <c r="Y43" s="777" cm="1">
        <f t="array" ref="Y43">K42*4.95/12/100/(1-(1+4.95/12/100)^-(360-$A43+3))+AY43</f>
        <v>10.3053386124998</v>
      </c>
      <c r="Z43" s="765" cm="1">
        <f t="array" ref="Z43">IF(Z$3*12&lt;=$A43,0,$K42*'depto - Departamento'!$D$8/12/(1-(1+'depto - Departamento'!$D$8/12)^-(12*Z$3-$A43+3))+$AY44)</f>
        <v>11.3169967706264</v>
      </c>
      <c r="AA43" s="765" cm="1">
        <f t="array" ref="AA43">IF(AA$3*12&lt;=$A43,0,$K42*'depto - Departamento'!$D$8/12/(1-(1+'depto - Departamento'!$D$8/12)^-(12*AA$3-$A43+3))+$AY44)</f>
        <v>12.9911478713459</v>
      </c>
      <c r="AB43" s="765" cm="1">
        <f t="array" ref="AB43">IF(AB$3*12&lt;$A43,0,$K42*'depto - Departamento'!$D$8/12/(1-(1+'depto - Departamento'!$D$8/12)^-(12*AB$3-$A43+3))+$AY43)</f>
        <v>16.1488073290401</v>
      </c>
      <c r="AC43" s="765" cm="1">
        <f t="array" ref="AC43">IF(AC$3*12&lt;$A43,0,$K42*'depto - Departamento'!$D$8/12/(1-(1+'depto - Departamento'!$D$8/12)^-(12*AC$3-$A43+3))+$AY43)</f>
        <v>19.7665856794469</v>
      </c>
      <c r="AD43" s="765" cm="1">
        <f t="array" ref="AD43">IF(AD$3*12&lt;$A43,0,$K42*'depto - Departamento'!$D$8/12/(1-(1+'depto - Departamento'!$D$8/12)^-(12*AD$3-$A43+3))+$AY43)</f>
        <v>23.899302455951</v>
      </c>
      <c r="AE43" s="765" cm="1">
        <f t="array" ref="AE43">IF(AE$3*12&lt;$A43,0,$K42*'depto - Departamento'!$D$8/12/(1-(1+'depto - Departamento'!$D$8/12)^-(12*AE$3-$A43+3))+$AY43)</f>
        <v>68.05822990059769</v>
      </c>
      <c r="AF43" s="765" cm="1">
        <f t="array" ref="AF43">AF42-(AF41-AF42)</f>
        <v>79.73609999999999</v>
      </c>
      <c r="AG43" s="765"/>
      <c r="AH43" s="765"/>
      <c r="AI43" s="778" cm="1">
        <f t="array" ref="AI43">$F43*Y43</f>
        <v>431510.068758506</v>
      </c>
      <c r="AJ43" s="764" cm="1">
        <f t="array" ref="AJ43">$F43*Z43</f>
        <v>473870.703162485</v>
      </c>
      <c r="AK43" s="764" cm="1">
        <f t="array" ref="AK43">$F43*AA43</f>
        <v>543971.559014747</v>
      </c>
      <c r="AL43" s="764" cm="1">
        <f t="array" ref="AL43">$F43*AB43</f>
        <v>676190.586544115</v>
      </c>
      <c r="AM43" s="764" cm="1">
        <f t="array" ref="AM43">$F43*AC43</f>
        <v>827675.932483503</v>
      </c>
      <c r="AN43" s="764" cm="1">
        <f t="array" ref="AN43">$F43*AD43</f>
        <v>1000723.02656207</v>
      </c>
      <c r="AO43" s="764" cm="1">
        <f t="array" ref="AO43">$F43*AE43</f>
        <v>2849766.76344895</v>
      </c>
      <c r="AP43" s="764" cm="1">
        <f t="array" ref="AP43">$F43*AF43</f>
        <v>3338748.12728632</v>
      </c>
      <c r="AQ43" s="765"/>
      <c r="AR43" s="779" cm="1">
        <f t="array" ref="AR43">K42-K43</f>
        <v>12.5586</v>
      </c>
      <c r="AS43" s="779" cm="1">
        <f t="array" ref="AS43">D43-AR43</f>
        <v>7.7411</v>
      </c>
      <c r="AT43" s="765"/>
      <c r="AU43" s="780" cm="1">
        <f t="array" ref="AU43">ROUND(AV43*F43,0)</f>
        <v>43305</v>
      </c>
      <c r="AV43" s="781" cm="1">
        <f t="array" ref="AV43">IF(K42=0,0,AV42)</f>
        <v>1.0342</v>
      </c>
      <c r="AW43" s="780" cm="1">
        <f t="array" ref="AW43">ROUND(F43*AX43,0)</f>
        <v>2980</v>
      </c>
      <c r="AX43" s="781" cm="1">
        <f t="array" ref="AX43">AX$11/K$10*K42</f>
        <v>0.0711797867700891</v>
      </c>
      <c r="AY43" s="782" cm="1">
        <f t="array" ref="AY43">SUM(AV43,AX43)</f>
        <v>1.10537978677009</v>
      </c>
      <c r="AZ43" s="780" cm="1">
        <f t="array" ref="AZ43">AU43+AW43</f>
        <v>46285</v>
      </c>
      <c r="BA43" s="783" cm="1">
        <f t="array" ref="BA43">AI43-AZ43-BG43</f>
        <v>107369.173338477</v>
      </c>
      <c r="BB43" s="784" cm="1">
        <f t="array" ref="BB43">ROUND(BA43/$F43,4)</f>
        <v>2.5642</v>
      </c>
      <c r="BC43" s="783" cm="1">
        <f t="array" ref="BC43">J43-SUM(AZ43,BA43,BG43)</f>
        <v>418488.931241494</v>
      </c>
      <c r="BD43" s="784" cm="1">
        <f t="array" ref="BD43">ROUND(BC43/$F43,4)</f>
        <v>9.994400000000001</v>
      </c>
      <c r="BE43" s="785" cm="1">
        <f t="array" ref="BE43">BC43+BA43</f>
        <v>525858.1045799711</v>
      </c>
      <c r="BF43" s="784" cm="1">
        <f t="array" ref="BF43">ROUND((BA43+BC43)/F43,4)</f>
        <v>12.5586</v>
      </c>
      <c r="BG43" s="786" cm="1">
        <f t="array" ref="BG43">BO43*F43</f>
        <v>277855.895420029</v>
      </c>
      <c r="BH43" s="787" cm="1">
        <f t="array" ref="BH43">ROUND(BG43/$F43,4)</f>
        <v>6.6358</v>
      </c>
      <c r="BI43" s="772" cm="1">
        <f t="array" ref="BI43">M42-M43</f>
        <v>271563</v>
      </c>
      <c r="BJ43" s="772" cm="1">
        <f t="array" ref="BJ43">BE43-BI43</f>
        <v>254295.104579971</v>
      </c>
      <c r="BK43" s="772" cm="1">
        <f t="array" ref="BK43">-BJ43</f>
        <v>-254295.104579971</v>
      </c>
      <c r="BL43" s="772" cm="1">
        <f t="array" ref="BL43">BG43+BJ43</f>
        <v>532151</v>
      </c>
      <c r="BM43" s="772" cm="1">
        <f t="array" ref="BM43">AVERAGE(BL41:BL43)</f>
        <v>389582</v>
      </c>
      <c r="BN43" s="788" cm="1">
        <f t="array" ref="BN43">BH42-BH43</f>
        <v>0.0519</v>
      </c>
      <c r="BO43" s="775" cm="1">
        <f t="array" ref="BO43">K42*0.0495/12-0.16</f>
        <v>6.63576425</v>
      </c>
      <c r="BP43" s="789" cm="1">
        <f t="array" ref="BP43">(BA43+BC43)/BG43</f>
        <v>1.89255694497697</v>
      </c>
      <c r="BQ43" s="789" cm="1">
        <f t="array" ref="BQ43">Y43-BB43</f>
        <v>7.7411386124998</v>
      </c>
      <c r="BR43" s="789" cm="1">
        <f t="array" ref="BR43">(BR$4*(1+BR$4)^BR$3*K42)/((1+BR$4)^BR$3-1)</f>
        <v>8.793636529465619</v>
      </c>
      <c r="BS43" s="789"/>
      <c r="BT43" s="764"/>
      <c r="BU43" s="764"/>
      <c r="BV43" s="764" cm="1">
        <f t="array" ref="BV43">BA43+BC43+BV42</f>
        <v>91271195.2522289</v>
      </c>
      <c r="BW43" s="764" cm="1">
        <f t="array" ref="BW43">BG43+BW42</f>
        <v>12982764.7477711</v>
      </c>
      <c r="BX43" s="775" cm="1">
        <f t="array" ref="BX43">BF43+BX42</f>
        <v>2280.6098</v>
      </c>
      <c r="BY43" s="775" cm="1">
        <f t="array" ref="BY43">BH43+BY42</f>
        <v>329.9174</v>
      </c>
      <c r="BZ43" s="764" cm="1">
        <f t="array" ref="BZ43">SUM(BJ$6:BJ43)</f>
        <v>13095953.2522289</v>
      </c>
      <c r="CA43" s="775"/>
      <c r="CB43" s="775"/>
      <c r="CC43" s="764" cm="1">
        <f t="array" ref="CC43">SUM(BE$6:BE43)</f>
        <v>91271195.2522289</v>
      </c>
      <c r="CD43" s="775"/>
      <c r="CE43" s="775"/>
      <c r="CF43" s="775"/>
      <c r="CG43" s="775"/>
      <c r="CH43" s="775"/>
      <c r="CI43" s="775"/>
      <c r="CJ43" s="775"/>
      <c r="CK43" s="775"/>
      <c r="CL43" s="775"/>
      <c r="CM43" s="775"/>
    </row>
    <row r="44" ht="19.35" customHeight="1" hidden="1">
      <c r="A44" s="762">
        <v>38</v>
      </c>
      <c r="B44" s="763">
        <v>46488</v>
      </c>
      <c r="C44" s="764"/>
      <c r="D44" s="765" cm="1">
        <f t="array" ref="D44">ROUND(850000/F44,4)</f>
        <v>20.2855</v>
      </c>
      <c r="E44" s="766" cm="1">
        <f t="array" ref="E44">D44/K43</f>
        <v>0.0124077970791353</v>
      </c>
      <c r="F44" s="767" cm="1">
        <f t="array" ref="F44">F43*(1+G44)</f>
        <v>41901.7891641981</v>
      </c>
      <c r="G44" s="766" cm="1">
        <f t="array" ref="G44">H44-SUM(G33:G43)</f>
        <v>0.0007</v>
      </c>
      <c r="H44" s="768" cm="1">
        <f t="array" ref="H44">'depto - Table 5'!$G$2</f>
        <v>0.05</v>
      </c>
      <c r="I44" s="769" cm="1">
        <f t="array" ref="I44">H44+4.95/100</f>
        <v>0.09950000000000001</v>
      </c>
      <c r="J44" s="764" cm="1">
        <f t="array" ref="J44">IF(K43=0,0,ROUND(D44*F44,0))</f>
        <v>849999</v>
      </c>
      <c r="K44" s="770" cm="1">
        <f t="array" ref="K44">IF(K43-BF44&lt;0,0,K43-BF44)</f>
        <v>1622.3027</v>
      </c>
      <c r="L44" s="771" cm="1">
        <f t="array" ref="L44">K44/K$5</f>
        <v>0.410709544303797</v>
      </c>
      <c r="M44" s="772" cm="1">
        <f t="array" ref="M44">ROUND(K44*F44,0)</f>
        <v>67977386</v>
      </c>
      <c r="N44" s="773" cm="1">
        <f t="array" ref="N44">M44/M$5</f>
        <v>0.463590071540195</v>
      </c>
      <c r="O44" s="772" cm="1">
        <f t="array" ref="O44">M44-M43</f>
        <v>-479904</v>
      </c>
      <c r="P44" s="774" cm="1">
        <f t="array" ref="P44">T44-K44</f>
        <v>3777.6973</v>
      </c>
      <c r="Q44" s="772" cm="1">
        <f t="array" ref="Q44">ROUND(P44*F44,0)</f>
        <v>158292276</v>
      </c>
      <c r="R44" s="775" cm="1">
        <f t="array" ref="R44">$K$5-K44</f>
        <v>2327.6973</v>
      </c>
      <c r="S44" s="772" cm="1">
        <f t="array" ref="S44">Q44-Q43</f>
        <v>638182</v>
      </c>
      <c r="T44" s="775">
        <v>5400</v>
      </c>
      <c r="U44" s="772" cm="1">
        <f t="array" ref="U44">T44*F44</f>
        <v>226269661.48667</v>
      </c>
      <c r="V44" s="776" cm="1">
        <f t="array" ref="V44">-S44</f>
        <v>-638182</v>
      </c>
      <c r="W44" s="776"/>
      <c r="X44" s="776" cm="1">
        <f t="array" ref="X44">$K43*4.95/12/100/(1-(1+4.95/12/100)^-(360-$A44+3))+$AY44</f>
        <v>10.2480075237325</v>
      </c>
      <c r="Y44" s="777" cm="1">
        <f t="array" ref="Y44">K43*4.95/12/100/(1-(1+4.95/12/100)^-(360-$A44+3))+AY44</f>
        <v>10.2480075237325</v>
      </c>
      <c r="Z44" s="765" cm="1">
        <f t="array" ref="Z44">IF(Z$3*12&lt;=$A44,0,$K43*'depto - Departamento'!$D$8/12/(1-(1+'depto - Departamento'!$D$8/12)^-(12*Z$3-$A44+3))+$AY45)</f>
        <v>11.2596646302653</v>
      </c>
      <c r="AA44" s="765" cm="1">
        <f t="array" ref="AA44">IF(AA$3*12&lt;=$A44,0,$K43*'depto - Departamento'!$D$8/12/(1-(1+'depto - Departamento'!$D$8/12)^-(12*AA$3-$A44+3))+$AY45)</f>
        <v>12.9365550550074</v>
      </c>
      <c r="AB44" s="765" cm="1">
        <f t="array" ref="AB44">IF(AB$3*12&lt;$A44,0,$K43*'depto - Departamento'!$D$8/12/(1-(1+'depto - Departamento'!$D$8/12)^-(12*AB$3-$A44+3))+$AY44)</f>
        <v>16.1087022212458</v>
      </c>
      <c r="AC44" s="765" cm="1">
        <f t="array" ref="AC44">IF(AC$3*12&lt;$A44,0,$K43*'depto - Departamento'!$D$8/12/(1-(1+'depto - Departamento'!$D$8/12)^-(12*AC$3-$A44+3))+$AY44)</f>
        <v>19.7581345214998</v>
      </c>
      <c r="AD44" s="765" cm="1">
        <f t="array" ref="AD44">IF(AD$3*12&lt;$A44,0,$K43*'depto - Departamento'!$D$8/12/(1-(1+'depto - Departamento'!$D$8/12)^-(12*AD$3-$A44+3))+$AY44)</f>
        <v>23.946815602676</v>
      </c>
      <c r="AE44" s="765" cm="1">
        <f t="array" ref="AE44">IF(AE$3*12&lt;$A44,0,$K43*'depto - Departamento'!$D$8/12/(1-(1+'depto - Departamento'!$D$8/12)^-(12*AE$3-$A44+3))+$AY44)</f>
        <v>70.065406349852</v>
      </c>
      <c r="AF44" s="765" cm="1">
        <f t="array" ref="AF44">AF43-(AF42-AF43)</f>
        <v>79.7333</v>
      </c>
      <c r="AG44" s="765"/>
      <c r="AH44" s="765"/>
      <c r="AI44" s="778" cm="1">
        <f t="array" ref="AI44">$F44*Y44</f>
        <v>429409.850612555</v>
      </c>
      <c r="AJ44" s="764" cm="1">
        <f t="array" ref="AJ44">$F44*Z44</f>
        <v>471800.093396955</v>
      </c>
      <c r="AK44" s="764" cm="1">
        <f t="array" ref="AK44">$F44*AA44</f>
        <v>542064.802425961</v>
      </c>
      <c r="AL44" s="764" cm="1">
        <f t="array" ref="AL44">$F44*AB44</f>
        <v>674983.4441834911</v>
      </c>
      <c r="AM44" s="764" cm="1">
        <f t="array" ref="AM44">$F44*AC44</f>
        <v>827901.186997749</v>
      </c>
      <c r="AN44" s="764" cm="1">
        <f t="array" ref="AN44">$F44*AD44</f>
        <v>1003414.41853726</v>
      </c>
      <c r="AO44" s="764" cm="1">
        <f t="array" ref="AO44">$F44*AE44</f>
        <v>2935865.88457537</v>
      </c>
      <c r="AP44" s="764" cm="1">
        <f t="array" ref="AP44">$F44*AF44</f>
        <v>3340967.92596576</v>
      </c>
      <c r="AQ44" s="765"/>
      <c r="AR44" s="779" cm="1">
        <f t="array" ref="AR44">K43-K44</f>
        <v>12.5967</v>
      </c>
      <c r="AS44" s="779" cm="1">
        <f t="array" ref="AS44">D44-AR44</f>
        <v>7.6888</v>
      </c>
      <c r="AT44" s="765"/>
      <c r="AU44" s="780" cm="1">
        <f t="array" ref="AU44">ROUND(AV44*F44,0)</f>
        <v>43335</v>
      </c>
      <c r="AV44" s="781" cm="1">
        <f t="array" ref="AV44">IF(K43=0,0,AV43)</f>
        <v>1.0342</v>
      </c>
      <c r="AW44" s="780" cm="1">
        <f t="array" ref="AW44">ROUND(F44*AX44,0)</f>
        <v>2960</v>
      </c>
      <c r="AX44" s="781" cm="1">
        <f t="array" ref="AX44">AX$11/K$10*K43</f>
        <v>0.07063718206020821</v>
      </c>
      <c r="AY44" s="782" cm="1">
        <f t="array" ref="AY44">SUM(AV44,AX44)</f>
        <v>1.10483718206021</v>
      </c>
      <c r="AZ44" s="780" cm="1">
        <f t="array" ref="AZ44">AU44+AW44</f>
        <v>46295</v>
      </c>
      <c r="BA44" s="783" cm="1">
        <f t="array" ref="BA44">AI44-AZ44-BG44</f>
        <v>107235.145779497</v>
      </c>
      <c r="BB44" s="784" cm="1">
        <f t="array" ref="BB44">ROUND(BA44/$F44,4)</f>
        <v>2.5592</v>
      </c>
      <c r="BC44" s="783" cm="1">
        <f t="array" ref="BC44">J44-SUM(AZ44,BA44,BG44)</f>
        <v>420589.149387445</v>
      </c>
      <c r="BD44" s="784" cm="1">
        <f t="array" ref="BD44">ROUND(BC44/$F44,4)</f>
        <v>10.0375</v>
      </c>
      <c r="BE44" s="785" cm="1">
        <f t="array" ref="BE44">BC44+BA44</f>
        <v>527824.2951669421</v>
      </c>
      <c r="BF44" s="784" cm="1">
        <f t="array" ref="BF44">ROUND((BA44+BC44)/F44,4)</f>
        <v>12.5967</v>
      </c>
      <c r="BG44" s="786" cm="1">
        <f t="array" ref="BG44">BO44*F44</f>
        <v>275879.704833058</v>
      </c>
      <c r="BH44" s="787" cm="1">
        <f t="array" ref="BH44">ROUND(BG44/$F44,4)</f>
        <v>6.584</v>
      </c>
      <c r="BI44" s="772" cm="1">
        <f t="array" ref="BI44">M43-M44</f>
        <v>479904</v>
      </c>
      <c r="BJ44" s="772" cm="1">
        <f t="array" ref="BJ44">BE44-BI44</f>
        <v>47920.295166942</v>
      </c>
      <c r="BK44" s="772" cm="1">
        <f t="array" ref="BK44">-BJ44</f>
        <v>-47920.295166942</v>
      </c>
      <c r="BL44" s="772" cm="1">
        <f t="array" ref="BL44">BG44+BJ44</f>
        <v>323800</v>
      </c>
      <c r="BM44" s="772" cm="1">
        <f t="array" ref="BM44">AVERAGE(BL42:BL44)</f>
        <v>385239.333333333</v>
      </c>
      <c r="BN44" s="788" cm="1">
        <f t="array" ref="BN44">BH43-BH44</f>
        <v>0.0518</v>
      </c>
      <c r="BO44" s="775" cm="1">
        <f t="array" ref="BO44">K43*0.0495/12-0.16</f>
        <v>6.583960025</v>
      </c>
      <c r="BP44" s="789" cm="1">
        <f t="array" ref="BP44">(BA44+BC44)/BG44</f>
        <v>1.91324075646065</v>
      </c>
      <c r="BQ44" s="789" cm="1">
        <f t="array" ref="BQ44">Y44-BB44</f>
        <v>7.6888075237325</v>
      </c>
      <c r="BR44" s="789" cm="1">
        <f t="array" ref="BR44">(BR$4*(1+BR$4)^BR$3*K43)/((1+BR$4)^BR$3-1)</f>
        <v>8.7266024905287</v>
      </c>
      <c r="BS44" s="789"/>
      <c r="BT44" s="764"/>
      <c r="BU44" s="764"/>
      <c r="BV44" s="764" cm="1">
        <f t="array" ref="BV44">BA44+BC44+BV43</f>
        <v>91799019.5473958</v>
      </c>
      <c r="BW44" s="764" cm="1">
        <f t="array" ref="BW44">BG44+BW43</f>
        <v>13258644.4526042</v>
      </c>
      <c r="BX44" s="775" cm="1">
        <f t="array" ref="BX44">BF44+BX43</f>
        <v>2293.2065</v>
      </c>
      <c r="BY44" s="775" cm="1">
        <f t="array" ref="BY44">BH44+BY43</f>
        <v>336.5014</v>
      </c>
      <c r="BZ44" s="764" cm="1">
        <f t="array" ref="BZ44">SUM(BJ$6:BJ44)</f>
        <v>13143873.5473958</v>
      </c>
      <c r="CA44" s="775"/>
      <c r="CB44" s="775"/>
      <c r="CC44" s="764" cm="1">
        <f t="array" ref="CC44">SUM(BE$6:BE44)</f>
        <v>91799019.5473958</v>
      </c>
      <c r="CD44" s="775"/>
      <c r="CE44" s="775"/>
      <c r="CF44" s="775"/>
      <c r="CG44" s="775"/>
      <c r="CH44" s="775"/>
      <c r="CI44" s="775"/>
      <c r="CJ44" s="775"/>
      <c r="CK44" s="775"/>
      <c r="CL44" s="775"/>
      <c r="CM44" s="775"/>
    </row>
    <row r="45" ht="19.35" customHeight="1" hidden="1">
      <c r="A45" s="762">
        <v>39</v>
      </c>
      <c r="B45" s="763">
        <v>46518</v>
      </c>
      <c r="C45" s="764"/>
      <c r="D45" s="765" cm="1">
        <f t="array" ref="D45">ROUND(850000/F45,4)</f>
        <v>20.0807</v>
      </c>
      <c r="E45" s="766" cm="1">
        <f t="array" ref="E45">D45/K44</f>
        <v>0.012377899636116</v>
      </c>
      <c r="F45" s="767" cm="1">
        <f t="array" ref="F45">F44*(1+G45)</f>
        <v>42329.1874136729</v>
      </c>
      <c r="G45" s="766" cm="1">
        <f t="array" ref="G45">H45-SUM(G34:G44)</f>
        <v>0.0102</v>
      </c>
      <c r="H45" s="768" cm="1">
        <f t="array" ref="H45">'depto - Table 5'!$G$2</f>
        <v>0.05</v>
      </c>
      <c r="I45" s="769" cm="1">
        <f t="array" ref="I45">H45+4.95/100</f>
        <v>0.09950000000000001</v>
      </c>
      <c r="J45" s="764" cm="1">
        <f t="array" ref="J45">IF(K44=0,0,ROUND(D45*F45,0))</f>
        <v>850000</v>
      </c>
      <c r="K45" s="770" cm="1">
        <f t="array" ref="K45">IF(K44-BF45&lt;0,0,K44-BF45)</f>
        <v>1609.8583</v>
      </c>
      <c r="L45" s="771" cm="1">
        <f t="array" ref="L45">K45/K$5</f>
        <v>0.407559063291139</v>
      </c>
      <c r="M45" s="772" cm="1">
        <f t="array" ref="M45">ROUND(K45*F45,0)</f>
        <v>68143994</v>
      </c>
      <c r="N45" s="773" cm="1">
        <f t="array" ref="N45">M45/M$5</f>
        <v>0.46472629961815</v>
      </c>
      <c r="O45" s="772" cm="1">
        <f t="array" ref="O45">M45-M44</f>
        <v>166608</v>
      </c>
      <c r="P45" s="774" cm="1">
        <f t="array" ref="P45">T45-K45</f>
        <v>3790.1417</v>
      </c>
      <c r="Q45" s="772" cm="1">
        <f t="array" ref="Q45">ROUND(P45*F45,0)</f>
        <v>160433618</v>
      </c>
      <c r="R45" s="775" cm="1">
        <f t="array" ref="R45">$K$5-K45</f>
        <v>2340.1417</v>
      </c>
      <c r="S45" s="772" cm="1">
        <f t="array" ref="S45">Q45-Q44</f>
        <v>2141342</v>
      </c>
      <c r="T45" s="775">
        <v>5400</v>
      </c>
      <c r="U45" s="772" cm="1">
        <f t="array" ref="U45">T45*F45</f>
        <v>228577612.033834</v>
      </c>
      <c r="V45" s="776" cm="1">
        <f t="array" ref="V45">-S45</f>
        <v>-2141342</v>
      </c>
      <c r="W45" s="776"/>
      <c r="X45" s="776" cm="1">
        <f t="array" ref="X45">$K44*4.95/12/100/(1-(1+4.95/12/100)^-(360-$A45+3))+$AY45</f>
        <v>10.1903500266945</v>
      </c>
      <c r="Y45" s="777" cm="1">
        <f t="array" ref="Y45">K44*4.95/12/100/(1-(1+4.95/12/100)^-(360-$A45+3))+AY45</f>
        <v>10.1903500266945</v>
      </c>
      <c r="Z45" s="765" cm="1">
        <f t="array" ref="Z45">IF(Z$3*12&lt;=$A45,0,$K44*'depto - Departamento'!$D$8/12/(1-(1+'depto - Departamento'!$D$8/12)^-(12*Z$3-$A45+3))+$AY46)</f>
        <v>11.2019521488255</v>
      </c>
      <c r="AA45" s="765" cm="1">
        <f t="array" ref="AA45">IF(AA$3*12&lt;=$A45,0,$K44*'depto - Departamento'!$D$8/12/(1-(1+'depto - Departamento'!$D$8/12)^-(12*AA$3-$A45+3))+$AY46)</f>
        <v>12.881507182447</v>
      </c>
      <c r="AB45" s="765" cm="1">
        <f t="array" ref="AB45">IF(AB$3*12&lt;$A45,0,$K44*'depto - Departamento'!$D$8/12/(1-(1+'depto - Departamento'!$D$8/12)^-(12*AB$3-$A45+3))+$AY45)</f>
        <v>16.0681560604007</v>
      </c>
      <c r="AC45" s="765" cm="1">
        <f t="array" ref="AC45">IF(AC$3*12&lt;$A45,0,$K44*'depto - Departamento'!$D$8/12/(1-(1+'depto - Departamento'!$D$8/12)^-(12*AC$3-$A45+3))+$AY45)</f>
        <v>19.7496902958738</v>
      </c>
      <c r="AD45" s="765" cm="1">
        <f t="array" ref="AD45">IF(AD$3*12&lt;$A45,0,$K44*'depto - Departamento'!$D$8/12/(1-(1+'depto - Departamento'!$D$8/12)^-(12*AD$3-$A45+3))+$AY45)</f>
        <v>23.9956764487959</v>
      </c>
      <c r="AE45" s="765" cm="1">
        <f t="array" ref="AE45">IF(AE$3*12&lt;$A45,0,$K44*'depto - Departamento'!$D$8/12/(1-(1+'depto - Departamento'!$D$8/12)^-(12*AE$3-$A45+3))+$AY45)</f>
        <v>72.2406455414297</v>
      </c>
      <c r="AF45" s="765" cm="1">
        <f t="array" ref="AF45">AF44-(AF43-AF44)</f>
        <v>79.73050000000001</v>
      </c>
      <c r="AG45" s="765"/>
      <c r="AH45" s="765"/>
      <c r="AI45" s="778" cm="1">
        <f t="array" ref="AI45">$F45*Y45</f>
        <v>431349.236090878</v>
      </c>
      <c r="AJ45" s="764" cm="1">
        <f t="array" ref="AJ45">$F45*Z45</f>
        <v>474169.53190663</v>
      </c>
      <c r="AK45" s="764" cm="1">
        <f t="array" ref="AK45">$F45*AA45</f>
        <v>545263.731696373</v>
      </c>
      <c r="AL45" s="764" cm="1">
        <f t="array" ref="AL45">$F45*AB45</f>
        <v>680151.989272845</v>
      </c>
      <c r="AM45" s="764" cm="1">
        <f t="array" ref="AM45">$F45*AC45</f>
        <v>835988.341896039</v>
      </c>
      <c r="AN45" s="764" cm="1">
        <f t="array" ref="AN45">$F45*AD45</f>
        <v>1015717.48551894</v>
      </c>
      <c r="AO45" s="764" cm="1">
        <f t="array" ref="AO45">$F45*AE45</f>
        <v>3057887.82400789</v>
      </c>
      <c r="AP45" s="764" cm="1">
        <f t="array" ref="AP45">$F45*AF45</f>
        <v>3374927.27708585</v>
      </c>
      <c r="AQ45" s="765"/>
      <c r="AR45" s="779" cm="1">
        <f t="array" ref="AR45">K44-K45</f>
        <v>12.4444</v>
      </c>
      <c r="AS45" s="779" cm="1">
        <f t="array" ref="AS45">D45-AR45</f>
        <v>7.6363</v>
      </c>
      <c r="AT45" s="765"/>
      <c r="AU45" s="780" cm="1">
        <f t="array" ref="AU45">ROUND(AV45*F45,0)</f>
        <v>43777</v>
      </c>
      <c r="AV45" s="781" cm="1">
        <f t="array" ref="AV45">IF(K44=0,0,AV44)</f>
        <v>1.0342</v>
      </c>
      <c r="AW45" s="780" cm="1">
        <f t="array" ref="AW45">ROUND(F45*AX45,0)</f>
        <v>2967</v>
      </c>
      <c r="AX45" s="781" cm="1">
        <f t="array" ref="AX45">AX$11/K$10*K44</f>
        <v>0.07009293120828559</v>
      </c>
      <c r="AY45" s="782" cm="1">
        <f t="array" ref="AY45">SUM(AV45,AX45)</f>
        <v>1.10429293120829</v>
      </c>
      <c r="AZ45" s="780" cm="1">
        <f t="array" ref="AZ45">AU45+AW45</f>
        <v>46744</v>
      </c>
      <c r="BA45" s="783" cm="1">
        <f t="array" ref="BA45">AI45-AZ45-BG45</f>
        <v>108111.041578284</v>
      </c>
      <c r="BB45" s="784" cm="1">
        <f t="array" ref="BB45">ROUND(BA45/$F45,4)</f>
        <v>2.5541</v>
      </c>
      <c r="BC45" s="783" cm="1">
        <f t="array" ref="BC45">J45-SUM(AZ45,BA45,BG45)</f>
        <v>418650.763909122</v>
      </c>
      <c r="BD45" s="784" cm="1">
        <f t="array" ref="BD45">ROUND(BC45/$F45,4)</f>
        <v>9.8904</v>
      </c>
      <c r="BE45" s="785" cm="1">
        <f t="array" ref="BE45">BC45+BA45</f>
        <v>526761.805487406</v>
      </c>
      <c r="BF45" s="784" cm="1">
        <f t="array" ref="BF45">ROUND((BA45+BC45)/F45,4)</f>
        <v>12.4444</v>
      </c>
      <c r="BG45" s="786" cm="1">
        <f t="array" ref="BG45">BO45*F45</f>
        <v>276494.194512594</v>
      </c>
      <c r="BH45" s="787" cm="1">
        <f t="array" ref="BH45">ROUND(BG45/$F45,4)</f>
        <v>6.532</v>
      </c>
      <c r="BI45" s="772" cm="1">
        <f t="array" ref="BI45">M44-M45</f>
        <v>-166608</v>
      </c>
      <c r="BJ45" s="772" cm="1">
        <f t="array" ref="BJ45">BE45-BI45</f>
        <v>693369.805487406</v>
      </c>
      <c r="BK45" s="772" cm="1">
        <f t="array" ref="BK45">-BJ45</f>
        <v>-693369.805487406</v>
      </c>
      <c r="BL45" s="772" cm="1">
        <f t="array" ref="BL45">BG45+BJ45</f>
        <v>969864</v>
      </c>
      <c r="BM45" s="772" cm="1">
        <f t="array" ref="BM45">AVERAGE(BL43:BL45)</f>
        <v>608605</v>
      </c>
      <c r="BN45" s="788" cm="1">
        <f t="array" ref="BN45">BH44-BH45</f>
        <v>0.052</v>
      </c>
      <c r="BO45" s="775" cm="1">
        <f t="array" ref="BO45">K44*0.0495/12-0.16</f>
        <v>6.5319986375</v>
      </c>
      <c r="BP45" s="789" cm="1">
        <f t="array" ref="BP45">(BA45+BC45)/BG45</f>
        <v>1.90514598838498</v>
      </c>
      <c r="BQ45" s="789" cm="1">
        <f t="array" ref="BQ45">Y45-BB45</f>
        <v>7.6362500266945</v>
      </c>
      <c r="BR45" s="789" cm="1">
        <f t="array" ref="BR45">(BR$4*(1+BR$4)^BR$3*K44)/((1+BR$4)^BR$3-1)</f>
        <v>8.65936508522263</v>
      </c>
      <c r="BS45" s="789"/>
      <c r="BT45" s="764"/>
      <c r="BU45" s="764"/>
      <c r="BV45" s="764" cm="1">
        <f t="array" ref="BV45">BA45+BC45+BV44</f>
        <v>92325781.3528832</v>
      </c>
      <c r="BW45" s="764" cm="1">
        <f t="array" ref="BW45">BG45+BW44</f>
        <v>13535138.6471168</v>
      </c>
      <c r="BX45" s="775" cm="1">
        <f t="array" ref="BX45">BF45+BX44</f>
        <v>2305.6509</v>
      </c>
      <c r="BY45" s="775" cm="1">
        <f t="array" ref="BY45">BH45+BY44</f>
        <v>343.0334</v>
      </c>
      <c r="BZ45" s="764" cm="1">
        <f t="array" ref="BZ45">SUM(BJ$6:BJ45)</f>
        <v>13837243.3528832</v>
      </c>
      <c r="CA45" s="775"/>
      <c r="CB45" s="775"/>
      <c r="CC45" s="764" cm="1">
        <f t="array" ref="CC45">SUM(BE$6:BE45)</f>
        <v>92325781.3528832</v>
      </c>
      <c r="CD45" s="775"/>
      <c r="CE45" s="775"/>
      <c r="CF45" s="775"/>
      <c r="CG45" s="775"/>
      <c r="CH45" s="775"/>
      <c r="CI45" s="775"/>
      <c r="CJ45" s="775"/>
      <c r="CK45" s="775"/>
      <c r="CL45" s="775"/>
      <c r="CM45" s="775"/>
    </row>
    <row r="46" ht="19.35" customHeight="1" hidden="1">
      <c r="A46" s="762">
        <v>40</v>
      </c>
      <c r="B46" s="763">
        <v>46549</v>
      </c>
      <c r="C46" s="764"/>
      <c r="D46" s="765" cm="1">
        <f t="array" ref="D46">ROUND(850000/F46,4)</f>
        <v>19.823</v>
      </c>
      <c r="E46" s="766" cm="1">
        <f t="array" ref="E46">D46/K45</f>
        <v>0.0123135061017482</v>
      </c>
      <c r="F46" s="767" cm="1">
        <f t="array" ref="F46">F45*(1+G46)</f>
        <v>42879.4668500506</v>
      </c>
      <c r="G46" s="766" cm="1">
        <f t="array" ref="G46">H46-SUM(G35:G45)</f>
        <v>0.013</v>
      </c>
      <c r="H46" s="768" cm="1">
        <f t="array" ref="H46">'depto - Table 5'!$G$2</f>
        <v>0.05</v>
      </c>
      <c r="I46" s="769" cm="1">
        <f t="array" ref="I46">H46+4.95/100</f>
        <v>0.09950000000000001</v>
      </c>
      <c r="J46" s="764" cm="1">
        <f t="array" ref="J46">IF(K45=0,0,ROUND(D46*F46,0))</f>
        <v>850000</v>
      </c>
      <c r="K46" s="770" cm="1">
        <f t="array" ref="K46">IF(K45-BF46&lt;0,0,K45-BF46)</f>
        <v>1597.6197</v>
      </c>
      <c r="L46" s="771" cm="1">
        <f t="array" ref="L46">K46/K$5</f>
        <v>0.404460683544304</v>
      </c>
      <c r="M46" s="772" cm="1">
        <f t="array" ref="M46">ROUND(K46*F46,0)</f>
        <v>68505081</v>
      </c>
      <c r="N46" s="773" cm="1">
        <f t="array" ref="N46">M46/M$5</f>
        <v>0.467188829556595</v>
      </c>
      <c r="O46" s="772" cm="1">
        <f t="array" ref="O46">M46-M45</f>
        <v>361087</v>
      </c>
      <c r="P46" s="774" cm="1">
        <f t="array" ref="P46">T46-K46</f>
        <v>3802.3803</v>
      </c>
      <c r="Q46" s="772" cm="1">
        <f t="array" ref="Q46">ROUND(P46*F46,0)</f>
        <v>163044040</v>
      </c>
      <c r="R46" s="775" cm="1">
        <f t="array" ref="R46">$K$5-K46</f>
        <v>2352.3803</v>
      </c>
      <c r="S46" s="772" cm="1">
        <f t="array" ref="S46">Q46-Q45</f>
        <v>2610422</v>
      </c>
      <c r="T46" s="775">
        <v>5400</v>
      </c>
      <c r="U46" s="772" cm="1">
        <f t="array" ref="U46">T46*F46</f>
        <v>231549120.990273</v>
      </c>
      <c r="V46" s="776" cm="1">
        <f t="array" ref="V46">-S46</f>
        <v>-2610422</v>
      </c>
      <c r="W46" s="776"/>
      <c r="X46" s="776" cm="1">
        <f t="array" ref="X46">$K45*4.95/12/100/(1-(1+4.95/12/100)^-(360-$A46+3))+$AY46</f>
        <v>10.1334400553702</v>
      </c>
      <c r="Y46" s="777" cm="1">
        <f t="array" ref="Y46">K45*4.95/12/100/(1-(1+4.95/12/100)^-(360-$A46+3))+AY46</f>
        <v>10.1334400553702</v>
      </c>
      <c r="Z46" s="765" cm="1">
        <f t="array" ref="Z46">IF(Z$3*12&lt;=$A46,0,$K45*'depto - Departamento'!$D$8/12/(1-(1+'depto - Departamento'!$D$8/12)^-(12*Z$3-$A46+3))+$AY47)</f>
        <v>11.1450457444306</v>
      </c>
      <c r="AA46" s="765" cm="1">
        <f t="array" ref="AA46">IF(AA$3*12&lt;=$A46,0,$K45*'depto - Departamento'!$D$8/12/(1-(1+'depto - Departamento'!$D$8/12)^-(12*AA$3-$A46+3))+$AY47)</f>
        <v>12.8273873775659</v>
      </c>
      <c r="AB46" s="765" cm="1">
        <f t="array" ref="AB46">IF(AB$3*12&lt;$A46,0,$K45*'depto - Departamento'!$D$8/12/(1-(1+'depto - Departamento'!$D$8/12)^-(12*AB$3-$A46+3))+$AY46)</f>
        <v>16.0289343393592</v>
      </c>
      <c r="AC46" s="765" cm="1">
        <f t="array" ref="AC46">IF(AC$3*12&lt;$A46,0,$K45*'depto - Departamento'!$D$8/12/(1-(1+'depto - Departamento'!$D$8/12)^-(12*AC$3-$A46+3))+$AY46)</f>
        <v>19.743467576795</v>
      </c>
      <c r="AD46" s="765" cm="1">
        <f t="array" ref="AD46">IF(AD$3*12&lt;$A46,0,$K45*'depto - Departamento'!$D$8/12/(1-(1+'depto - Departamento'!$D$8/12)^-(12*AD$3-$A46+3))+$AY46)</f>
        <v>24.0486576260662</v>
      </c>
      <c r="AE46" s="765" cm="1">
        <f t="array" ref="AE46">IF(AE$3*12&lt;$A46,0,$K45*'depto - Departamento'!$D$8/12/(1-(1+'depto - Departamento'!$D$8/12)^-(12*AE$3-$A46+3))+$AY46)</f>
        <v>74.6145773281748</v>
      </c>
      <c r="AF46" s="765" cm="1">
        <f t="array" ref="AF46">AF45-(AF44-AF45)</f>
        <v>79.7277</v>
      </c>
      <c r="AG46" s="765"/>
      <c r="AH46" s="765"/>
      <c r="AI46" s="778" cm="1">
        <f t="array" ref="AI46">$F46*Y46</f>
        <v>434516.506931221</v>
      </c>
      <c r="AJ46" s="764" cm="1">
        <f t="array" ref="AJ46">$F46*Z46</f>
        <v>477893.619540609</v>
      </c>
      <c r="AK46" s="764" cm="1">
        <f t="array" ref="AK46">$F46*AA46</f>
        <v>550031.531829095</v>
      </c>
      <c r="AL46" s="764" cm="1">
        <f t="array" ref="AL46">$F46*AB46</f>
        <v>687312.158646191</v>
      </c>
      <c r="AM46" s="764" cm="1">
        <f t="array" ref="AM46">$F46*AC46</f>
        <v>846589.36346423</v>
      </c>
      <c r="AN46" s="764" cm="1">
        <f t="array" ref="AN46">$F46*AD46</f>
        <v>1031193.61746512</v>
      </c>
      <c r="AO46" s="764" cm="1">
        <f t="array" ref="AO46">$F46*AE46</f>
        <v>3199433.29507401</v>
      </c>
      <c r="AP46" s="764" cm="1">
        <f t="array" ref="AP46">$F46*AF46</f>
        <v>3418681.26918078</v>
      </c>
      <c r="AQ46" s="765"/>
      <c r="AR46" s="779" cm="1">
        <f t="array" ref="AR46">K45-K46</f>
        <v>12.2386</v>
      </c>
      <c r="AS46" s="779" cm="1">
        <f t="array" ref="AS46">D46-AR46</f>
        <v>7.5844</v>
      </c>
      <c r="AT46" s="765"/>
      <c r="AU46" s="780" cm="1">
        <f t="array" ref="AU46">ROUND(AV46*F46,0)</f>
        <v>44346</v>
      </c>
      <c r="AV46" s="781" cm="1">
        <f t="array" ref="AV46">IF(K45=0,0,AV45)</f>
        <v>1.0342</v>
      </c>
      <c r="AW46" s="780" cm="1">
        <f t="array" ref="AW46">ROUND(F46*AX46,0)</f>
        <v>2982</v>
      </c>
      <c r="AX46" s="781" cm="1">
        <f t="array" ref="AX46">AX$11/K$10*K45</f>
        <v>0.0695552606039475</v>
      </c>
      <c r="AY46" s="782" cm="1">
        <f t="array" ref="AY46">SUM(AV46,AX46)</f>
        <v>1.10375526060395</v>
      </c>
      <c r="AZ46" s="780" cm="1">
        <f t="array" ref="AZ46">AU46+AW46</f>
        <v>47328</v>
      </c>
      <c r="BA46" s="783" cm="1">
        <f t="array" ref="BA46">AI46-AZ46-BG46</f>
        <v>109301.025993698</v>
      </c>
      <c r="BB46" s="784" cm="1">
        <f t="array" ref="BB46">ROUND(BA46/$F46,4)</f>
        <v>2.549</v>
      </c>
      <c r="BC46" s="783" cm="1">
        <f t="array" ref="BC46">J46-SUM(AZ46,BA46,BG46)</f>
        <v>415483.493068779</v>
      </c>
      <c r="BD46" s="784" cm="1">
        <f t="array" ref="BD46">ROUND(BC46/$F46,4)</f>
        <v>9.6896</v>
      </c>
      <c r="BE46" s="785" cm="1">
        <f t="array" ref="BE46">BC46+BA46</f>
        <v>524784.519062477</v>
      </c>
      <c r="BF46" s="784" cm="1">
        <f t="array" ref="BF46">ROUND((BA46+BC46)/F46,4)</f>
        <v>12.2386</v>
      </c>
      <c r="BG46" s="786" cm="1">
        <f t="array" ref="BG46">BO46*F46</f>
        <v>277887.480937523</v>
      </c>
      <c r="BH46" s="787" cm="1">
        <f t="array" ref="BH46">ROUND(BG46/$F46,4)</f>
        <v>6.4807</v>
      </c>
      <c r="BI46" s="772" cm="1">
        <f t="array" ref="BI46">M45-M46</f>
        <v>-361087</v>
      </c>
      <c r="BJ46" s="772" cm="1">
        <f t="array" ref="BJ46">BE46-BI46</f>
        <v>885871.519062477</v>
      </c>
      <c r="BK46" s="772" cm="1">
        <f t="array" ref="BK46">-BJ46</f>
        <v>-885871.519062477</v>
      </c>
      <c r="BL46" s="772" cm="1">
        <f t="array" ref="BL46">BG46+BJ46</f>
        <v>1163759</v>
      </c>
      <c r="BM46" s="772" cm="1">
        <f t="array" ref="BM46">AVERAGE(BL44:BL46)</f>
        <v>819141</v>
      </c>
      <c r="BN46" s="788" cm="1">
        <f t="array" ref="BN46">BH45-BH46</f>
        <v>0.0513</v>
      </c>
      <c r="BO46" s="775" cm="1">
        <f t="array" ref="BO46">K45*0.0495/12-0.16</f>
        <v>6.4806654875</v>
      </c>
      <c r="BP46" s="789" cm="1">
        <f t="array" ref="BP46">(BA46+BC46)/BG46</f>
        <v>1.88847844923415</v>
      </c>
      <c r="BQ46" s="789" cm="1">
        <f t="array" ref="BQ46">Y46-BB46</f>
        <v>7.5844400553702</v>
      </c>
      <c r="BR46" s="789" cm="1">
        <f t="array" ref="BR46">(BR$4*(1+BR$4)^BR$3*K45)/((1+BR$4)^BR$3-1)</f>
        <v>8.592940611623129</v>
      </c>
      <c r="BS46" s="789"/>
      <c r="BT46" s="764"/>
      <c r="BU46" s="764"/>
      <c r="BV46" s="764" cm="1">
        <f t="array" ref="BV46">BA46+BC46+BV45</f>
        <v>92850565.87194569</v>
      </c>
      <c r="BW46" s="764" cm="1">
        <f t="array" ref="BW46">BG46+BW45</f>
        <v>13813026.1280543</v>
      </c>
      <c r="BX46" s="775" cm="1">
        <f t="array" ref="BX46">BF46+BX45</f>
        <v>2317.8895</v>
      </c>
      <c r="BY46" s="775" cm="1">
        <f t="array" ref="BY46">BH46+BY45</f>
        <v>349.5141</v>
      </c>
      <c r="BZ46" s="764" cm="1">
        <f t="array" ref="BZ46">SUM(BJ$6:BJ46)</f>
        <v>14723114.8719457</v>
      </c>
      <c r="CA46" s="775"/>
      <c r="CB46" s="775"/>
      <c r="CC46" s="764" cm="1">
        <f t="array" ref="CC46">SUM(BE$6:BE46)</f>
        <v>92850565.87194569</v>
      </c>
      <c r="CD46" s="775"/>
      <c r="CE46" s="775"/>
      <c r="CF46" s="775"/>
      <c r="CG46" s="775"/>
      <c r="CH46" s="775"/>
      <c r="CI46" s="775"/>
      <c r="CJ46" s="775"/>
      <c r="CK46" s="775"/>
      <c r="CL46" s="775"/>
      <c r="CM46" s="775"/>
    </row>
    <row r="47" ht="19.35" customHeight="1" hidden="1">
      <c r="A47" s="762">
        <v>41</v>
      </c>
      <c r="B47" s="763">
        <v>46579</v>
      </c>
      <c r="C47" s="764"/>
      <c r="D47" s="765" cm="1">
        <f t="array" ref="D47">ROUND(850000/F47,4)</f>
        <v>19.6131</v>
      </c>
      <c r="E47" s="766" cm="1">
        <f t="array" ref="E47">D47/K46</f>
        <v>0.0122764510227309</v>
      </c>
      <c r="F47" s="767" cm="1">
        <f t="array" ref="F47">F46*(1+G47)</f>
        <v>43338.2771453461</v>
      </c>
      <c r="G47" s="766" cm="1">
        <f t="array" ref="G47">H47-SUM(G36:G46)</f>
        <v>0.0107</v>
      </c>
      <c r="H47" s="768" cm="1">
        <f t="array" ref="H47">'depto - Table 5'!$G$2</f>
        <v>0.05</v>
      </c>
      <c r="I47" s="769" cm="1">
        <f t="array" ref="I47">H47+4.95/100</f>
        <v>0.09950000000000001</v>
      </c>
      <c r="J47" s="764" cm="1">
        <f t="array" ref="J47">IF(K46=0,0,ROUND(D47*F47,0))</f>
        <v>849998</v>
      </c>
      <c r="K47" s="770" cm="1">
        <f t="array" ref="K47">IF(K46-BF47&lt;0,0,K46-BF47)</f>
        <v>1585.54</v>
      </c>
      <c r="L47" s="771" cm="1">
        <f t="array" ref="L47">K47/K$5</f>
        <v>0.40140253164557</v>
      </c>
      <c r="M47" s="772" cm="1">
        <f t="array" ref="M47">ROUND(K47*F47,0)</f>
        <v>68714572</v>
      </c>
      <c r="N47" s="773" cm="1">
        <f t="array" ref="N47">M47/M$5</f>
        <v>0.46861750978971</v>
      </c>
      <c r="O47" s="772" cm="1">
        <f t="array" ref="O47">M47-M46</f>
        <v>209491</v>
      </c>
      <c r="P47" s="774" cm="1">
        <f t="array" ref="P47">T47-K47</f>
        <v>3814.46</v>
      </c>
      <c r="Q47" s="772" cm="1">
        <f t="array" ref="Q47">ROUND(P47*F47,0)</f>
        <v>165312125</v>
      </c>
      <c r="R47" s="775" cm="1">
        <f t="array" ref="R47">$K$5-K47</f>
        <v>2364.46</v>
      </c>
      <c r="S47" s="772" cm="1">
        <f t="array" ref="S47">Q47-Q46</f>
        <v>2268085</v>
      </c>
      <c r="T47" s="775">
        <v>5400</v>
      </c>
      <c r="U47" s="772" cm="1">
        <f t="array" ref="U47">T47*F47</f>
        <v>234026696.584869</v>
      </c>
      <c r="V47" s="776" cm="1">
        <f t="array" ref="V47">-S47</f>
        <v>-2268085</v>
      </c>
      <c r="W47" s="776"/>
      <c r="X47" s="776" cm="1">
        <f t="array" ref="X47">$K46*4.95/12/100/(1-(1+4.95/12/100)^-(360-$A47+3))+$AY47</f>
        <v>10.077582935210</v>
      </c>
      <c r="Y47" s="777" cm="1">
        <f t="array" ref="Y47">K46*4.95/12/100/(1-(1+4.95/12/100)^-(360-$A47+3))+AY47</f>
        <v>10.077582935210</v>
      </c>
      <c r="Z47" s="765" cm="1">
        <f t="array" ref="Z47">IF(Z$3*12&lt;=$A47,0,$K46*'depto - Departamento'!$D$8/12/(1-(1+'depto - Departamento'!$D$8/12)^-(12*Z$3-$A47+3))+$AY48)</f>
        <v>11.089281748785</v>
      </c>
      <c r="AA47" s="765" cm="1">
        <f t="array" ref="AA47">IF(AA$3*12&lt;=$A47,0,$K46*'depto - Departamento'!$D$8/12/(1-(1+'depto - Departamento'!$D$8/12)^-(12*AA$3-$A47+3))+$AY48)</f>
        <v>12.7745917138043</v>
      </c>
      <c r="AB47" s="765" cm="1">
        <f t="array" ref="AB47">IF(AB$3*12&lt;$A47,0,$K46*'depto - Departamento'!$D$8/12/(1-(1+'depto - Departamento'!$D$8/12)^-(12*AB$3-$A47+3))+$AY47)</f>
        <v>15.991557150379</v>
      </c>
      <c r="AC47" s="765" cm="1">
        <f t="array" ref="AC47">IF(AC$3*12&lt;$A47,0,$K46*'depto - Departamento'!$D$8/12/(1-(1+'depto - Departamento'!$D$8/12)^-(12*AC$3-$A47+3))+$AY47)</f>
        <v>19.7401443076413</v>
      </c>
      <c r="AD47" s="765" cm="1">
        <f t="array" ref="AD47">IF(AD$3*12&lt;$A47,0,$K46*'depto - Departamento'!$D$8/12/(1-(1+'depto - Departamento'!$D$8/12)^-(12*AD$3-$A47+3))+$AY47)</f>
        <v>24.1066682111356</v>
      </c>
      <c r="AE47" s="765" cm="1">
        <f t="array" ref="AE47">IF(AE$3*12&lt;$A47,0,$K46*'depto - Departamento'!$D$8/12/(1-(1+'depto - Departamento'!$D$8/12)^-(12*AE$3-$A47+3))+$AY47)</f>
        <v>77.2167974117615</v>
      </c>
      <c r="AF47" s="765" cm="1">
        <f t="array" ref="AF47">AF46-(AF45-AF46)</f>
        <v>79.72490000000001</v>
      </c>
      <c r="AG47" s="765"/>
      <c r="AH47" s="765"/>
      <c r="AI47" s="778" cm="1">
        <f t="array" ref="AI47">$F47*Y47</f>
        <v>436745.082201341</v>
      </c>
      <c r="AJ47" s="764" cm="1">
        <f t="array" ref="AJ47">$F47*Z47</f>
        <v>480590.365771673</v>
      </c>
      <c r="AK47" s="764" cm="1">
        <f t="array" ref="AK47">$F47*AA47</f>
        <v>553628.796111493</v>
      </c>
      <c r="AL47" s="764" cm="1">
        <f t="array" ref="AL47">$F47*AB47</f>
        <v>693046.535768766</v>
      </c>
      <c r="AM47" s="764" cm="1">
        <f t="array" ref="AM47">$F47*AC47</f>
        <v>855503.844893685</v>
      </c>
      <c r="AN47" s="764" cm="1">
        <f t="array" ref="AN47">$F47*AD47</f>
        <v>1044741.4679851</v>
      </c>
      <c r="AO47" s="764" cm="1">
        <f t="array" ref="AO47">$F47*AE47</f>
        <v>3346442.96650696</v>
      </c>
      <c r="AP47" s="764" cm="1">
        <f t="array" ref="AP47">$F47*AF47</f>
        <v>3455139.811585</v>
      </c>
      <c r="AQ47" s="765"/>
      <c r="AR47" s="779" cm="1">
        <f t="array" ref="AR47">K46-K47</f>
        <v>12.0797</v>
      </c>
      <c r="AS47" s="779" cm="1">
        <f t="array" ref="AS47">D47-AR47</f>
        <v>7.5334</v>
      </c>
      <c r="AT47" s="765"/>
      <c r="AU47" s="780" cm="1">
        <f t="array" ref="AU47">ROUND(AV47*F47,0)</f>
        <v>44820</v>
      </c>
      <c r="AV47" s="781" cm="1">
        <f t="array" ref="AV47">IF(K46=0,0,AV46)</f>
        <v>1.0342</v>
      </c>
      <c r="AW47" s="780" cm="1">
        <f t="array" ref="AW47">ROUND(F47*AX47,0)</f>
        <v>2991</v>
      </c>
      <c r="AX47" s="781" cm="1">
        <f t="array" ref="AX47">AX$11/K$10*K46</f>
        <v>0.06902648175898481</v>
      </c>
      <c r="AY47" s="782" cm="1">
        <f t="array" ref="AY47">SUM(AV47,AX47)</f>
        <v>1.10322648175898</v>
      </c>
      <c r="AZ47" s="780" cm="1">
        <f t="array" ref="AZ47">AU47+AW47</f>
        <v>47811</v>
      </c>
      <c r="BA47" s="783" cm="1">
        <f t="array" ref="BA47">AI47-AZ47-BG47</f>
        <v>110261.104552305</v>
      </c>
      <c r="BB47" s="784" cm="1">
        <f t="array" ref="BB47">ROUND(BA47/$F47,4)</f>
        <v>2.5442</v>
      </c>
      <c r="BC47" s="783" cm="1">
        <f t="array" ref="BC47">J47-SUM(AZ47,BA47,BG47)</f>
        <v>413252.917798659</v>
      </c>
      <c r="BD47" s="784" cm="1">
        <f t="array" ref="BD47">ROUND(BC47/$F47,4)</f>
        <v>9.535500000000001</v>
      </c>
      <c r="BE47" s="785" cm="1">
        <f t="array" ref="BE47">BC47+BA47</f>
        <v>523514.022350964</v>
      </c>
      <c r="BF47" s="784" cm="1">
        <f t="array" ref="BF47">ROUND((BA47+BC47)/F47,4)</f>
        <v>12.0797</v>
      </c>
      <c r="BG47" s="786" cm="1">
        <f t="array" ref="BG47">BO47*F47</f>
        <v>278672.977649036</v>
      </c>
      <c r="BH47" s="787" cm="1">
        <f t="array" ref="BH47">ROUND(BG47/$F47,4)</f>
        <v>6.4302</v>
      </c>
      <c r="BI47" s="772" cm="1">
        <f t="array" ref="BI47">M46-M47</f>
        <v>-209491</v>
      </c>
      <c r="BJ47" s="772" cm="1">
        <f t="array" ref="BJ47">BE47-BI47</f>
        <v>733005.022350964</v>
      </c>
      <c r="BK47" s="772" cm="1">
        <f t="array" ref="BK47">-BJ47</f>
        <v>-733005.022350964</v>
      </c>
      <c r="BL47" s="772" cm="1">
        <f t="array" ref="BL47">BG47+BJ47</f>
        <v>1011678</v>
      </c>
      <c r="BM47" s="772" cm="1">
        <f t="array" ref="BM47">AVERAGE(BL45:BL47)</f>
        <v>1048433.66666667</v>
      </c>
      <c r="BN47" s="788" cm="1">
        <f t="array" ref="BN47">BH46-BH47</f>
        <v>0.0505</v>
      </c>
      <c r="BO47" s="775" cm="1">
        <f t="array" ref="BO47">K46*0.0495/12-0.16</f>
        <v>6.4301812625</v>
      </c>
      <c r="BP47" s="789" cm="1">
        <f t="array" ref="BP47">(BA47+BC47)/BG47</f>
        <v>1.87859629149362</v>
      </c>
      <c r="BQ47" s="789" cm="1">
        <f t="array" ref="BQ47">Y47-BB47</f>
        <v>7.533382935210</v>
      </c>
      <c r="BR47" s="789" cm="1">
        <f t="array" ref="BR47">(BR$4*(1+BR$4)^BR$3*K46)/((1+BR$4)^BR$3-1)</f>
        <v>8.527614636679001</v>
      </c>
      <c r="BS47" s="789"/>
      <c r="BT47" s="764"/>
      <c r="BU47" s="764"/>
      <c r="BV47" s="764" cm="1">
        <f t="array" ref="BV47">BA47+BC47+BV46</f>
        <v>93374079.89429671</v>
      </c>
      <c r="BW47" s="764" cm="1">
        <f t="array" ref="BW47">BG47+BW46</f>
        <v>14091699.1057033</v>
      </c>
      <c r="BX47" s="775" cm="1">
        <f t="array" ref="BX47">BF47+BX46</f>
        <v>2329.9692</v>
      </c>
      <c r="BY47" s="775" cm="1">
        <f t="array" ref="BY47">BH47+BY46</f>
        <v>355.9443</v>
      </c>
      <c r="BZ47" s="764" cm="1">
        <f t="array" ref="BZ47">SUM(BJ$6:BJ47)</f>
        <v>15456119.8942967</v>
      </c>
      <c r="CA47" s="775"/>
      <c r="CB47" s="775"/>
      <c r="CC47" s="764" cm="1">
        <f t="array" ref="CC47">SUM(BE$6:BE47)</f>
        <v>93374079.89429671</v>
      </c>
      <c r="CD47" s="775"/>
      <c r="CE47" s="775"/>
      <c r="CF47" s="775"/>
      <c r="CG47" s="775"/>
      <c r="CH47" s="775"/>
      <c r="CI47" s="775"/>
      <c r="CJ47" s="775"/>
      <c r="CK47" s="775"/>
      <c r="CL47" s="775"/>
      <c r="CM47" s="775"/>
    </row>
    <row r="48" ht="19.35" customHeight="1" hidden="1">
      <c r="A48" s="762">
        <v>42</v>
      </c>
      <c r="B48" s="763">
        <v>46610</v>
      </c>
      <c r="C48" s="764"/>
      <c r="D48" s="765" cm="1">
        <f t="array" ref="D48">ROUND(850000/F48,4)</f>
        <v>19.6131</v>
      </c>
      <c r="E48" s="766" cm="1">
        <f t="array" ref="E48">D48/K47</f>
        <v>0.0123699812051415</v>
      </c>
      <c r="F48" s="767" cm="1">
        <f t="array" ref="F48">F47*(1+G48)</f>
        <v>43338.2771453461</v>
      </c>
      <c r="G48" s="766" cm="1">
        <f t="array" ref="G48">H48-SUM(G37:G47)</f>
        <v>0</v>
      </c>
      <c r="H48" s="768" cm="1">
        <f t="array" ref="H48">'depto - Table 5'!$G$2</f>
        <v>0.05</v>
      </c>
      <c r="I48" s="769" cm="1">
        <f t="array" ref="I48">H48+4.95/100</f>
        <v>0.09950000000000001</v>
      </c>
      <c r="J48" s="764" cm="1">
        <f t="array" ref="J48">IF(K47=0,0,ROUND(D48*F48,0))</f>
        <v>849998</v>
      </c>
      <c r="K48" s="770" cm="1">
        <f t="array" ref="K48">IF(K47-BF48&lt;0,0,K47-BF48)</f>
        <v>1573.4099</v>
      </c>
      <c r="L48" s="771" cm="1">
        <f t="array" ref="L48">K48/K$5</f>
        <v>0.398331620253165</v>
      </c>
      <c r="M48" s="772" cm="1">
        <f t="array" ref="M48">ROUND(K48*F48,0)</f>
        <v>68188874</v>
      </c>
      <c r="N48" s="773" cm="1">
        <f t="array" ref="N48">M48/M$5</f>
        <v>0.465032370852056</v>
      </c>
      <c r="O48" s="772" cm="1">
        <f t="array" ref="O48">M48-M47</f>
        <v>-525698</v>
      </c>
      <c r="P48" s="774" cm="1">
        <f t="array" ref="P48">T48-K48</f>
        <v>3826.5901</v>
      </c>
      <c r="Q48" s="772" cm="1">
        <f t="array" ref="Q48">ROUND(P48*F48,0)</f>
        <v>165837822</v>
      </c>
      <c r="R48" s="775" cm="1">
        <f t="array" ref="R48">$K$5-K48</f>
        <v>2376.5901</v>
      </c>
      <c r="S48" s="772" cm="1">
        <f t="array" ref="S48">Q48-Q47</f>
        <v>525697</v>
      </c>
      <c r="T48" s="775">
        <v>5400</v>
      </c>
      <c r="U48" s="772" cm="1">
        <f t="array" ref="U48">T48*F48</f>
        <v>234026696.584869</v>
      </c>
      <c r="V48" s="776" cm="1">
        <f t="array" ref="V48">-S48</f>
        <v>-525697</v>
      </c>
      <c r="W48" s="776"/>
      <c r="X48" s="776" cm="1">
        <f t="array" ref="X48">$K47*4.95/12/100/(1-(1+4.95/12/100)^-(360-$A48+3))+$AY48</f>
        <v>10.0225166649745</v>
      </c>
      <c r="Y48" s="777" cm="1">
        <f t="array" ref="Y48">K47*4.95/12/100/(1-(1+4.95/12/100)^-(360-$A48+3))+AY48</f>
        <v>10.0225166649745</v>
      </c>
      <c r="Z48" s="765" cm="1">
        <f t="array" ref="Z48">IF(Z$3*12&lt;=$A48,0,$K47*'depto - Departamento'!$D$8/12/(1-(1+'depto - Departamento'!$D$8/12)^-(12*Z$3-$A48+3))+$AY49)</f>
        <v>11.0343634670873</v>
      </c>
      <c r="AA48" s="765" cm="1">
        <f t="array" ref="AA48">IF(AA$3*12&lt;=$A48,0,$K47*'depto - Departamento'!$D$8/12/(1-(1+'depto - Departamento'!$D$8/12)^-(12*AA$3-$A48+3))+$AY49)</f>
        <v>12.7227785497019</v>
      </c>
      <c r="AB48" s="765" cm="1">
        <f t="array" ref="AB48">IF(AB$3*12&lt;$A48,0,$K47*'depto - Departamento'!$D$8/12/(1-(1+'depto - Departamento'!$D$8/12)^-(12*AB$3-$A48+3))+$AY48)</f>
        <v>15.9556107027036</v>
      </c>
      <c r="AC48" s="765" cm="1">
        <f t="array" ref="AC48">IF(AC$3*12&lt;$A48,0,$K47*'depto - Departamento'!$D$8/12/(1-(1+'depto - Departamento'!$D$8/12)^-(12*AC$3-$A48+3))+$AY48)</f>
        <v>19.7392349400305</v>
      </c>
      <c r="AD48" s="765" cm="1">
        <f t="array" ref="AD48">IF(AD$3*12&lt;$A48,0,$K47*'depto - Departamento'!$D$8/12/(1-(1+'depto - Departamento'!$D$8/12)^-(12*AD$3-$A48+3))+$AY48)</f>
        <v>24.1691910736273</v>
      </c>
      <c r="AE48" s="765" cm="1">
        <f t="array" ref="AE48">IF(AE$3*12&lt;$A48,0,$K47*'depto - Departamento'!$D$8/12/(1-(1+'depto - Departamento'!$D$8/12)^-(12*AE$3-$A48+3))+$AY48)</f>
        <v>80.0775116117958</v>
      </c>
      <c r="AF48" s="765" cm="1">
        <f t="array" ref="AF48">AF47-(AF46-AF47)</f>
        <v>79.7221</v>
      </c>
      <c r="AG48" s="765"/>
      <c r="AH48" s="765"/>
      <c r="AI48" s="778" cm="1">
        <f t="array" ref="AI48">$F48*Y48</f>
        <v>434358.604920515</v>
      </c>
      <c r="AJ48" s="764" cm="1">
        <f t="array" ref="AJ48">$F48*Z48</f>
        <v>478210.302059111</v>
      </c>
      <c r="AK48" s="764" cm="1">
        <f t="array" ref="AK48">$F48*AA48</f>
        <v>551383.302845845</v>
      </c>
      <c r="AL48" s="764" cm="1">
        <f t="array" ref="AL48">$F48*AB48</f>
        <v>691488.678657019</v>
      </c>
      <c r="AM48" s="764" cm="1">
        <f t="array" ref="AM48">$F48*AC48</f>
        <v>855464.4344681409</v>
      </c>
      <c r="AN48" s="764" cm="1">
        <f t="array" ref="AN48">$F48*AD48</f>
        <v>1047451.10112768</v>
      </c>
      <c r="AO48" s="764" cm="1">
        <f t="array" ref="AO48">$F48*AE48</f>
        <v>3470421.39134168</v>
      </c>
      <c r="AP48" s="764" cm="1">
        <f t="array" ref="AP48">$F48*AF48</f>
        <v>3455018.464409</v>
      </c>
      <c r="AQ48" s="765"/>
      <c r="AR48" s="779" cm="1">
        <f t="array" ref="AR48">K47-K48</f>
        <v>12.1301</v>
      </c>
      <c r="AS48" s="779" cm="1">
        <f t="array" ref="AS48">D48-AR48</f>
        <v>7.483</v>
      </c>
      <c r="AT48" s="765"/>
      <c r="AU48" s="780" cm="1">
        <f t="array" ref="AU48">ROUND(AV48*F48,0)</f>
        <v>44820</v>
      </c>
      <c r="AV48" s="781" cm="1">
        <f t="array" ref="AV48">IF(K47=0,0,AV47)</f>
        <v>1.0342</v>
      </c>
      <c r="AW48" s="780" cm="1">
        <f t="array" ref="AW48">ROUND(F48*AX48,0)</f>
        <v>2969</v>
      </c>
      <c r="AX48" s="781" cm="1">
        <f t="array" ref="AX48">AX$11/K$10*K47</f>
        <v>0.06850456832007069</v>
      </c>
      <c r="AY48" s="782" cm="1">
        <f t="array" ref="AY48">SUM(AV48,AX48)</f>
        <v>1.10270456832007</v>
      </c>
      <c r="AZ48" s="780" cm="1">
        <f t="array" ref="AZ48">AU48+AW48</f>
        <v>47789</v>
      </c>
      <c r="BA48" s="783" cm="1">
        <f t="array" ref="BA48">AI48-AZ48-BG48</f>
        <v>110056.119990513</v>
      </c>
      <c r="BB48" s="784" cm="1">
        <f t="array" ref="BB48">ROUND(BA48/$F48,4)</f>
        <v>2.5395</v>
      </c>
      <c r="BC48" s="783" cm="1">
        <f t="array" ref="BC48">J48-SUM(AZ48,BA48,BG48)</f>
        <v>415639.395079485</v>
      </c>
      <c r="BD48" s="784" cm="1">
        <f t="array" ref="BD48">ROUND(BC48/$F48,4)</f>
        <v>9.5906</v>
      </c>
      <c r="BE48" s="785" cm="1">
        <f t="array" ref="BE48">BC48+BA48</f>
        <v>525695.515069998</v>
      </c>
      <c r="BF48" s="784" cm="1">
        <f t="array" ref="BF48">ROUND((BA48+BC48)/F48,4)</f>
        <v>12.1301</v>
      </c>
      <c r="BG48" s="786" cm="1">
        <f t="array" ref="BG48">BO48*F48</f>
        <v>276513.484930002</v>
      </c>
      <c r="BH48" s="787" cm="1">
        <f t="array" ref="BH48">ROUND(BG48/$F48,4)</f>
        <v>6.3804</v>
      </c>
      <c r="BI48" s="772" cm="1">
        <f t="array" ref="BI48">M47-M48</f>
        <v>525698</v>
      </c>
      <c r="BJ48" s="772" cm="1">
        <f t="array" ref="BJ48">BE48-BI48</f>
        <v>-2.484930002</v>
      </c>
      <c r="BK48" s="772" cm="1">
        <f t="array" ref="BK48">-BJ48</f>
        <v>2.484930002</v>
      </c>
      <c r="BL48" s="772" cm="1">
        <f t="array" ref="BL48">BG48+BJ48</f>
        <v>276511</v>
      </c>
      <c r="BM48" s="772" cm="1">
        <f t="array" ref="BM48">AVERAGE(BL46:BL48)</f>
        <v>817316</v>
      </c>
      <c r="BN48" s="788" cm="1">
        <f t="array" ref="BN48">BH47-BH48</f>
        <v>0.0498</v>
      </c>
      <c r="BO48" s="775" cm="1">
        <f t="array" ref="BO48">K47*0.0495/12-0.16</f>
        <v>6.3803525</v>
      </c>
      <c r="BP48" s="789" cm="1">
        <f t="array" ref="BP48">(BA48+BC48)/BG48</f>
        <v>1.90115688283006</v>
      </c>
      <c r="BQ48" s="789" cm="1">
        <f t="array" ref="BQ48">Y48-BB48</f>
        <v>7.4830166649745</v>
      </c>
      <c r="BR48" s="789" cm="1">
        <f t="array" ref="BR48">(BR$4*(1+BR$4)^BR$3*K47)/((1+BR$4)^BR$3-1)</f>
        <v>8.46313682226128</v>
      </c>
      <c r="BS48" s="789"/>
      <c r="BT48" s="764"/>
      <c r="BU48" s="764"/>
      <c r="BV48" s="764" cm="1">
        <f t="array" ref="BV48">BA48+BC48+BV47</f>
        <v>93899775.4093667</v>
      </c>
      <c r="BW48" s="764" cm="1">
        <f t="array" ref="BW48">BG48+BW47</f>
        <v>14368212.5906333</v>
      </c>
      <c r="BX48" s="775" cm="1">
        <f t="array" ref="BX48">BF48+BX47</f>
        <v>2342.0993</v>
      </c>
      <c r="BY48" s="775" cm="1">
        <f t="array" ref="BY48">BH48+BY47</f>
        <v>362.3247</v>
      </c>
      <c r="BZ48" s="764" cm="1">
        <f t="array" ref="BZ48">SUM(BJ$6:BJ48)</f>
        <v>15456117.4093667</v>
      </c>
      <c r="CA48" s="775"/>
      <c r="CB48" s="775"/>
      <c r="CC48" s="764" cm="1">
        <f t="array" ref="CC48">SUM(BE$6:BE48)</f>
        <v>93899775.4093667</v>
      </c>
      <c r="CD48" s="775"/>
      <c r="CE48" s="775"/>
      <c r="CF48" s="775"/>
      <c r="CG48" s="775"/>
      <c r="CH48" s="775"/>
      <c r="CI48" s="775"/>
      <c r="CJ48" s="775"/>
      <c r="CK48" s="775"/>
      <c r="CL48" s="775"/>
      <c r="CM48" s="775"/>
    </row>
    <row r="49" ht="19.35" customHeight="1" hidden="1">
      <c r="A49" s="762">
        <v>43</v>
      </c>
      <c r="B49" s="763">
        <v>46641</v>
      </c>
      <c r="C49" s="764"/>
      <c r="D49" s="765" cm="1">
        <f t="array" ref="D49">ROUND(850000/F49,4)</f>
        <v>19.5857</v>
      </c>
      <c r="E49" s="766" cm="1">
        <f t="array" ref="E49">D49/K48</f>
        <v>0.0124479323538005</v>
      </c>
      <c r="F49" s="767" cm="1">
        <f t="array" ref="F49">F48*(1+G49)</f>
        <v>43398.9507333496</v>
      </c>
      <c r="G49" s="766" cm="1">
        <f t="array" ref="G49">H49-SUM(G38:G48)</f>
        <v>0.0014</v>
      </c>
      <c r="H49" s="768" cm="1">
        <f t="array" ref="H49">'depto - Table 5'!$G$2</f>
        <v>0.05</v>
      </c>
      <c r="I49" s="769" cm="1">
        <f t="array" ref="I49">H49+4.95/100</f>
        <v>0.09950000000000001</v>
      </c>
      <c r="J49" s="764" cm="1">
        <f t="array" ref="J49">IF(K48=0,0,ROUND(D49*F49,0))</f>
        <v>849999</v>
      </c>
      <c r="K49" s="770" cm="1">
        <f t="array" ref="K49">IF(K48-BF49&lt;0,0,K48-BF49)</f>
        <v>1561.2567</v>
      </c>
      <c r="L49" s="771" cm="1">
        <f t="array" ref="L49">K49/K$5</f>
        <v>0.395254860759494</v>
      </c>
      <c r="M49" s="772" cm="1">
        <f t="array" ref="M49">ROUND(K49*F49,0)</f>
        <v>67756903</v>
      </c>
      <c r="N49" s="773" cm="1">
        <f t="array" ref="N49">M49/M$5</f>
        <v>0.462086428405942</v>
      </c>
      <c r="O49" s="772" cm="1">
        <f t="array" ref="O49">M49-M48</f>
        <v>-431971</v>
      </c>
      <c r="P49" s="774" cm="1">
        <f t="array" ref="P49">T49-K49</f>
        <v>3838.7433</v>
      </c>
      <c r="Q49" s="772" cm="1">
        <f t="array" ref="Q49">ROUND(P49*F49,0)</f>
        <v>166597431</v>
      </c>
      <c r="R49" s="775" cm="1">
        <f t="array" ref="R49">$K$5-K49</f>
        <v>2388.7433</v>
      </c>
      <c r="S49" s="772" cm="1">
        <f t="array" ref="S49">Q49-Q48</f>
        <v>759609</v>
      </c>
      <c r="T49" s="775">
        <v>5400</v>
      </c>
      <c r="U49" s="772" cm="1">
        <f t="array" ref="U49">T49*F49</f>
        <v>234354333.960088</v>
      </c>
      <c r="V49" s="776" cm="1">
        <f t="array" ref="V49">-S49</f>
        <v>-759609</v>
      </c>
      <c r="W49" s="776"/>
      <c r="X49" s="776" cm="1">
        <f t="array" ref="X49">$K48*4.95/12/100/(1-(1+4.95/12/100)^-(360-$A49+3))+$AY49</f>
        <v>9.96705570685317</v>
      </c>
      <c r="Y49" s="777" cm="1">
        <f t="array" ref="Y49">K48*4.95/12/100/(1-(1+4.95/12/100)^-(360-$A49+3))+AY49</f>
        <v>9.96705570685317</v>
      </c>
      <c r="Z49" s="765" cm="1">
        <f t="array" ref="Z49">IF(Z$3*12&lt;=$A49,0,$K48*'depto - Departamento'!$D$8/12/(1-(1+'depto - Departamento'!$D$8/12)^-(12*Z$3-$A49+3))+$AY50)</f>
        <v>10.9789825222525</v>
      </c>
      <c r="AA49" s="765" cm="1">
        <f t="array" ref="AA49">IF(AA$3*12&lt;=$A49,0,$K48*'depto - Departamento'!$D$8/12/(1-(1+'depto - Departamento'!$D$8/12)^-(12*AA$3-$A49+3))+$AY50)</f>
        <v>12.6704182117189</v>
      </c>
      <c r="AB49" s="765" cm="1">
        <f t="array" ref="AB49">IF(AB$3*12&lt;$A49,0,$K48*'depto - Departamento'!$D$8/12/(1-(1+'depto - Departamento'!$D$8/12)^-(12*AB$3-$A49+3))+$AY49)</f>
        <v>15.9191364017432</v>
      </c>
      <c r="AC49" s="765" cm="1">
        <f t="array" ref="AC49">IF(AC$3*12&lt;$A49,0,$K48*'depto - Departamento'!$D$8/12/(1-(1+'depto - Departamento'!$D$8/12)^-(12*AC$3-$A49+3))+$AY49)</f>
        <v>19.7383090610638</v>
      </c>
      <c r="AD49" s="765" cm="1">
        <f t="array" ref="AD49">IF(AD$3*12&lt;$A49,0,$K48*'depto - Departamento'!$D$8/12/(1-(1+'depto - Departamento'!$D$8/12)^-(12*AD$3-$A49+3))+$AY49)</f>
        <v>24.2332942375154</v>
      </c>
      <c r="AE49" s="765" cm="1">
        <f t="array" ref="AE49">IF(AE$3*12&lt;$A49,0,$K48*'depto - Departamento'!$D$8/12/(1-(1+'depto - Departamento'!$D$8/12)^-(12*AE$3-$A49+3))+$AY49)</f>
        <v>83.2245040825015</v>
      </c>
      <c r="AF49" s="765" cm="1">
        <f t="array" ref="AF49">AF48-(AF47-AF48)</f>
        <v>79.7193</v>
      </c>
      <c r="AG49" s="765"/>
      <c r="AH49" s="765"/>
      <c r="AI49" s="778" cm="1">
        <f t="array" ref="AI49">$F49*Y49</f>
        <v>432559.759578272</v>
      </c>
      <c r="AJ49" s="764" cm="1">
        <f t="array" ref="AJ49">$F49*Z49</f>
        <v>476476.321585543</v>
      </c>
      <c r="AK49" s="764" cm="1">
        <f t="array" ref="AK49">$F49*AA49</f>
        <v>549882.855741324</v>
      </c>
      <c r="AL49" s="764" cm="1">
        <f t="array" ref="AL49">$F49*AB49</f>
        <v>690873.8164167251</v>
      </c>
      <c r="AM49" s="764" cm="1">
        <f t="array" ref="AM49">$F49*AC49</f>
        <v>856621.9025007359</v>
      </c>
      <c r="AN49" s="764" cm="1">
        <f t="array" ref="AN49">$F49*AD49</f>
        <v>1051699.5427207</v>
      </c>
      <c r="AO49" s="764" cm="1">
        <f t="array" ref="AO49">$F49*AE49</f>
        <v>3611856.15248394</v>
      </c>
      <c r="AP49" s="764" cm="1">
        <f t="array" ref="AP49">$F49*AF49</f>
        <v>3459733.97319712</v>
      </c>
      <c r="AQ49" s="765"/>
      <c r="AR49" s="779" cm="1">
        <f t="array" ref="AR49">K48-K49</f>
        <v>12.1532</v>
      </c>
      <c r="AS49" s="779" cm="1">
        <f t="array" ref="AS49">D49-AR49</f>
        <v>7.4325</v>
      </c>
      <c r="AT49" s="765"/>
      <c r="AU49" s="780" cm="1">
        <f t="array" ref="AU49">ROUND(AV49*F49,0)</f>
        <v>44883</v>
      </c>
      <c r="AV49" s="781" cm="1">
        <f t="array" ref="AV49">IF(K48=0,0,AV48)</f>
        <v>1.0342</v>
      </c>
      <c r="AW49" s="780" cm="1">
        <f t="array" ref="AW49">ROUND(F49*AX49,0)</f>
        <v>2950</v>
      </c>
      <c r="AX49" s="781" cm="1">
        <f t="array" ref="AX49">AX$11/K$10*K48</f>
        <v>0.0679804773074319</v>
      </c>
      <c r="AY49" s="782" cm="1">
        <f t="array" ref="AY49">SUM(AV49,AX49)</f>
        <v>1.10218047730743</v>
      </c>
      <c r="AZ49" s="780" cm="1">
        <f t="array" ref="AZ49">AU49+AW49</f>
        <v>47833</v>
      </c>
      <c r="BA49" s="783" cm="1">
        <f t="array" ref="BA49">AI49-AZ49-BG49</f>
        <v>109997.694420067</v>
      </c>
      <c r="BB49" s="784" cm="1">
        <f t="array" ref="BB49">ROUND(BA49/$F49,4)</f>
        <v>2.5346</v>
      </c>
      <c r="BC49" s="783" cm="1">
        <f t="array" ref="BC49">J49-SUM(AZ49,BA49,BG49)</f>
        <v>417439.240421728</v>
      </c>
      <c r="BD49" s="784" cm="1">
        <f t="array" ref="BD49">ROUND(BC49/$F49,4)</f>
        <v>9.618600000000001</v>
      </c>
      <c r="BE49" s="785" cm="1">
        <f t="array" ref="BE49">BC49+BA49</f>
        <v>527436.934841795</v>
      </c>
      <c r="BF49" s="784" cm="1">
        <f t="array" ref="BF49">ROUND((BA49+BC49)/F49,4)</f>
        <v>12.1532</v>
      </c>
      <c r="BG49" s="786" cm="1">
        <f t="array" ref="BG49">BO49*F49</f>
        <v>274729.065158205</v>
      </c>
      <c r="BH49" s="787" cm="1">
        <f t="array" ref="BH49">ROUND(BG49/$F49,4)</f>
        <v>6.3303</v>
      </c>
      <c r="BI49" s="772" cm="1">
        <f t="array" ref="BI49">M48-M49</f>
        <v>431971</v>
      </c>
      <c r="BJ49" s="772" cm="1">
        <f t="array" ref="BJ49">BE49-BI49</f>
        <v>95465.934841795</v>
      </c>
      <c r="BK49" s="772" cm="1">
        <f t="array" ref="BK49">-BJ49</f>
        <v>-95465.934841795</v>
      </c>
      <c r="BL49" s="772" cm="1">
        <f t="array" ref="BL49">BG49+BJ49</f>
        <v>370195</v>
      </c>
      <c r="BM49" s="772" cm="1">
        <f t="array" ref="BM49">AVERAGE(BL47:BL49)</f>
        <v>552794.666666667</v>
      </c>
      <c r="BN49" s="788" cm="1">
        <f t="array" ref="BN49">BH48-BH49</f>
        <v>0.0501</v>
      </c>
      <c r="BO49" s="775" cm="1">
        <f t="array" ref="BO49">K48*0.0495/12-0.16</f>
        <v>6.3303158375</v>
      </c>
      <c r="BP49" s="789" cm="1">
        <f t="array" ref="BP49">(BA49+BC49)/BG49</f>
        <v>1.91984395439946</v>
      </c>
      <c r="BQ49" s="789" cm="1">
        <f t="array" ref="BQ49">Y49-BB49</f>
        <v>7.43245570685317</v>
      </c>
      <c r="BR49" s="789" cm="1">
        <f t="array" ref="BR49">(BR$4*(1+BR$4)^BR$3*K48)/((1+BR$4)^BR$3-1)</f>
        <v>8.398389987764689</v>
      </c>
      <c r="BS49" s="789"/>
      <c r="BT49" s="764"/>
      <c r="BU49" s="764"/>
      <c r="BV49" s="764" cm="1">
        <f t="array" ref="BV49">BA49+BC49+BV48</f>
        <v>94427212.34420849</v>
      </c>
      <c r="BW49" s="764" cm="1">
        <f t="array" ref="BW49">BG49+BW48</f>
        <v>14642941.6557915</v>
      </c>
      <c r="BX49" s="775" cm="1">
        <f t="array" ref="BX49">BF49+BX48</f>
        <v>2354.2525</v>
      </c>
      <c r="BY49" s="775" cm="1">
        <f t="array" ref="BY49">BH49+BY48</f>
        <v>368.655</v>
      </c>
      <c r="BZ49" s="764" cm="1">
        <f t="array" ref="BZ49">SUM(BJ$6:BJ49)</f>
        <v>15551583.3442085</v>
      </c>
      <c r="CA49" s="775"/>
      <c r="CB49" s="775"/>
      <c r="CC49" s="764" cm="1">
        <f t="array" ref="CC49">SUM(BE$6:BE49)</f>
        <v>94427212.34420849</v>
      </c>
      <c r="CD49" s="775"/>
      <c r="CE49" s="775"/>
      <c r="CF49" s="775"/>
      <c r="CG49" s="775"/>
      <c r="CH49" s="775"/>
      <c r="CI49" s="775"/>
      <c r="CJ49" s="775"/>
      <c r="CK49" s="775"/>
      <c r="CL49" s="775"/>
      <c r="CM49" s="775"/>
    </row>
    <row r="50" ht="19.35" customHeight="1" hidden="1">
      <c r="A50" s="762">
        <v>44</v>
      </c>
      <c r="B50" s="763">
        <v>46671</v>
      </c>
      <c r="C50" s="764"/>
      <c r="D50" s="765" cm="1">
        <f t="array" ref="D50">ROUND(850000/F50,4)</f>
        <v>19.4825</v>
      </c>
      <c r="E50" s="766" cm="1">
        <f t="array" ref="E50">D50/K49</f>
        <v>0.0124787294747878</v>
      </c>
      <c r="F50" s="767" cm="1">
        <f t="array" ref="F50">F49*(1+G50)</f>
        <v>43628.9651722364</v>
      </c>
      <c r="G50" s="766" cm="1">
        <f t="array" ref="G50">H50-SUM(G39:G49)</f>
        <v>0.0053</v>
      </c>
      <c r="H50" s="768" cm="1">
        <f t="array" ref="H50">'depto - Table 5'!$G$2</f>
        <v>0.05</v>
      </c>
      <c r="I50" s="769" cm="1">
        <f t="array" ref="I50">H50+4.95/100</f>
        <v>0.09950000000000001</v>
      </c>
      <c r="J50" s="764" cm="1">
        <f t="array" ref="J50">IF(K49=0,0,ROUND(D50*F50,0))</f>
        <v>850001</v>
      </c>
      <c r="K50" s="770" cm="1">
        <f t="array" ref="K50">IF(K49-BF50&lt;0,0,K49-BF50)</f>
        <v>1549.156</v>
      </c>
      <c r="L50" s="771" cm="1">
        <f t="array" ref="L50">K50/K$5</f>
        <v>0.392191392405063</v>
      </c>
      <c r="M50" s="772" cm="1">
        <f t="array" ref="M50">ROUND(K50*F50,0)</f>
        <v>67588073</v>
      </c>
      <c r="N50" s="773" cm="1">
        <f t="array" ref="N50">M50/M$5</f>
        <v>0.460935046801211</v>
      </c>
      <c r="O50" s="772" cm="1">
        <f t="array" ref="O50">M50-M49</f>
        <v>-168830</v>
      </c>
      <c r="P50" s="774" cm="1">
        <f t="array" ref="P50">T50-K50</f>
        <v>3850.844</v>
      </c>
      <c r="Q50" s="772" cm="1">
        <f t="array" ref="Q50">ROUND(P50*F50,0)</f>
        <v>168008339</v>
      </c>
      <c r="R50" s="775" cm="1">
        <f t="array" ref="R50">$K$5-K50</f>
        <v>2400.844</v>
      </c>
      <c r="S50" s="772" cm="1">
        <f t="array" ref="S50">Q50-Q49</f>
        <v>1410908</v>
      </c>
      <c r="T50" s="775">
        <v>5400</v>
      </c>
      <c r="U50" s="772" cm="1">
        <f t="array" ref="U50">T50*F50</f>
        <v>235596411.930077</v>
      </c>
      <c r="V50" s="776" cm="1">
        <f t="array" ref="V50">-S50</f>
        <v>-1410908</v>
      </c>
      <c r="W50" s="776"/>
      <c r="X50" s="776" cm="1">
        <f t="array" ref="X50">$K49*4.95/12/100/(1-(1+4.95/12/100)^-(360-$A50+3))+$AY50</f>
        <v>9.91135271906942</v>
      </c>
      <c r="Y50" s="777" cm="1">
        <f t="array" ref="Y50">K49*4.95/12/100/(1-(1+4.95/12/100)^-(360-$A50+3))+AY50</f>
        <v>9.91135271906942</v>
      </c>
      <c r="Z50" s="765" cm="1">
        <f t="array" ref="Z50">IF(Z$3*12&lt;=$A50,0,$K49*'depto - Departamento'!$D$8/12/(1-(1+'depto - Departamento'!$D$8/12)^-(12*Z$3-$A50+3))+$AY51)</f>
        <v>10.9233098599406</v>
      </c>
      <c r="AA50" s="765" cm="1">
        <f t="array" ref="AA50">IF(AA$3*12&lt;=$A50,0,$K49*'depto - Departamento'!$D$8/12/(1-(1+'depto - Departamento'!$D$8/12)^-(12*AA$3-$A50+3))+$AY51)</f>
        <v>12.6177086293539</v>
      </c>
      <c r="AB50" s="765" cm="1">
        <f t="array" ref="AB50">IF(AB$3*12&lt;$A50,0,$K49*'depto - Departamento'!$D$8/12/(1-(1+'depto - Departamento'!$D$8/12)^-(12*AB$3-$A50+3))+$AY50)</f>
        <v>15.8823845054342</v>
      </c>
      <c r="AC50" s="765" cm="1">
        <f t="array" ref="AC50">IF(AC$3*12&lt;$A50,0,$K49*'depto - Departamento'!$D$8/12/(1-(1+'depto - Departamento'!$D$8/12)^-(12*AC$3-$A50+3))+$AY50)</f>
        <v>19.737695793570</v>
      </c>
      <c r="AD50" s="765" cm="1">
        <f t="array" ref="AD50">IF(AD$3*12&lt;$A50,0,$K49*'depto - Departamento'!$D$8/12/(1-(1+'depto - Departamento'!$D$8/12)^-(12*AD$3-$A50+3))+$AY50)</f>
        <v>24.299447718778</v>
      </c>
      <c r="AE50" s="765" cm="1">
        <f t="array" ref="AE50">IF(AE$3*12&lt;$A50,0,$K49*'depto - Departamento'!$D$8/12/(1-(1+'depto - Departamento'!$D$8/12)^-(12*AE$3-$A50+3))+$AY50)</f>
        <v>86.7044864976549</v>
      </c>
      <c r="AF50" s="765" cm="1">
        <f t="array" ref="AF50">AF49-(AF48-AF49)</f>
        <v>79.7165</v>
      </c>
      <c r="AG50" s="765"/>
      <c r="AH50" s="765"/>
      <c r="AI50" s="778" cm="1">
        <f t="array" ref="AI50">$F50*Y50</f>
        <v>432422.06259003</v>
      </c>
      <c r="AJ50" s="764" cm="1">
        <f t="array" ref="AJ50">$F50*Z50</f>
        <v>476572.705444895</v>
      </c>
      <c r="AK50" s="764" cm="1">
        <f t="array" ref="AK50">$F50*AA50</f>
        <v>550497.570343508</v>
      </c>
      <c r="AL50" s="764" cm="1">
        <f t="array" ref="AL50">$F50*AB50</f>
        <v>692932.000439656</v>
      </c>
      <c r="AM50" s="764" cm="1">
        <f t="array" ref="AM50">$F50*AC50</f>
        <v>861135.2423578619</v>
      </c>
      <c r="AN50" s="764" cm="1">
        <f t="array" ref="AN50">$F50*AD50</f>
        <v>1060159.75822714</v>
      </c>
      <c r="AO50" s="764" cm="1">
        <f t="array" ref="AO50">$F50*AE50</f>
        <v>3782827.02168283</v>
      </c>
      <c r="AP50" s="764" cm="1">
        <f t="array" ref="AP50">$F50*AF50</f>
        <v>3477948.40215258</v>
      </c>
      <c r="AQ50" s="765"/>
      <c r="AR50" s="779" cm="1">
        <f t="array" ref="AR50">K49-K50</f>
        <v>12.1007</v>
      </c>
      <c r="AS50" s="779" cm="1">
        <f t="array" ref="AS50">D50-AR50</f>
        <v>7.3818</v>
      </c>
      <c r="AT50" s="765"/>
      <c r="AU50" s="780" cm="1">
        <f t="array" ref="AU50">ROUND(AV50*F50,0)</f>
        <v>45121</v>
      </c>
      <c r="AV50" s="781" cm="1">
        <f t="array" ref="AV50">IF(K49=0,0,AV49)</f>
        <v>1.0342</v>
      </c>
      <c r="AW50" s="780" cm="1">
        <f t="array" ref="AW50">ROUND(F50*AX50,0)</f>
        <v>2943</v>
      </c>
      <c r="AX50" s="781" cm="1">
        <f t="array" ref="AX50">AX$11/K$10*K49</f>
        <v>0.06745538824016931</v>
      </c>
      <c r="AY50" s="782" cm="1">
        <f t="array" ref="AY50">SUM(AV50,AX50)</f>
        <v>1.10165538824017</v>
      </c>
      <c r="AZ50" s="780" cm="1">
        <f t="array" ref="AZ50">AU50+AW50</f>
        <v>48064</v>
      </c>
      <c r="BA50" s="783" cm="1">
        <f t="array" ref="BA50">AI50-AZ50-BG50</f>
        <v>110360.138487052</v>
      </c>
      <c r="BB50" s="784" cm="1">
        <f t="array" ref="BB50">ROUND(BA50/$F50,4)</f>
        <v>2.5295</v>
      </c>
      <c r="BC50" s="783" cm="1">
        <f t="array" ref="BC50">J50-SUM(AZ50,BA50,BG50)</f>
        <v>417578.93740997</v>
      </c>
      <c r="BD50" s="784" cm="1">
        <f t="array" ref="BD50">ROUND(BC50/$F50,4)</f>
        <v>9.571099999999999</v>
      </c>
      <c r="BE50" s="785" cm="1">
        <f t="array" ref="BE50">BC50+BA50</f>
        <v>527939.075897022</v>
      </c>
      <c r="BF50" s="784" cm="1">
        <f t="array" ref="BF50">ROUND((BA50+BC50)/F50,4)</f>
        <v>12.1007</v>
      </c>
      <c r="BG50" s="786" cm="1">
        <f t="array" ref="BG50">BO50*F50</f>
        <v>273997.924102978</v>
      </c>
      <c r="BH50" s="787" cm="1">
        <f t="array" ref="BH50">ROUND(BG50/$F50,4)</f>
        <v>6.2802</v>
      </c>
      <c r="BI50" s="772" cm="1">
        <f t="array" ref="BI50">M49-M50</f>
        <v>168830</v>
      </c>
      <c r="BJ50" s="772" cm="1">
        <f t="array" ref="BJ50">BE50-BI50</f>
        <v>359109.075897022</v>
      </c>
      <c r="BK50" s="772" cm="1">
        <f t="array" ref="BK50">-BJ50</f>
        <v>-359109.075897022</v>
      </c>
      <c r="BL50" s="772" cm="1">
        <f t="array" ref="BL50">BG50+BJ50</f>
        <v>633107</v>
      </c>
      <c r="BM50" s="772" cm="1">
        <f t="array" ref="BM50">AVERAGE(BL48:BL50)</f>
        <v>426604.333333333</v>
      </c>
      <c r="BN50" s="788" cm="1">
        <f t="array" ref="BN50">BH49-BH50</f>
        <v>0.0501</v>
      </c>
      <c r="BO50" s="775" cm="1">
        <f t="array" ref="BO50">K49*0.0495/12-0.16</f>
        <v>6.2801838875</v>
      </c>
      <c r="BP50" s="789" cm="1">
        <f t="array" ref="BP50">(BA50+BC50)/BG50</f>
        <v>1.92679954647614</v>
      </c>
      <c r="BQ50" s="789" cm="1">
        <f t="array" ref="BQ50">Y50-BB50</f>
        <v>7.38185271906942</v>
      </c>
      <c r="BR50" s="789" cm="1">
        <f t="array" ref="BR50">(BR$4*(1+BR$4)^BR$3*K49)/((1+BR$4)^BR$3-1)</f>
        <v>8.333519852398631</v>
      </c>
      <c r="BS50" s="789"/>
      <c r="BT50" s="764"/>
      <c r="BU50" s="764"/>
      <c r="BV50" s="764" cm="1">
        <f t="array" ref="BV50">BA50+BC50+BV49</f>
        <v>94955151.4201055</v>
      </c>
      <c r="BW50" s="764" cm="1">
        <f t="array" ref="BW50">BG50+BW49</f>
        <v>14916939.5798945</v>
      </c>
      <c r="BX50" s="775" cm="1">
        <f t="array" ref="BX50">BF50+BX49</f>
        <v>2366.3532</v>
      </c>
      <c r="BY50" s="775" cm="1">
        <f t="array" ref="BY50">BH50+BY49</f>
        <v>374.9352</v>
      </c>
      <c r="BZ50" s="764" cm="1">
        <f t="array" ref="BZ50">SUM(BJ$6:BJ50)</f>
        <v>15910692.4201055</v>
      </c>
      <c r="CA50" s="775"/>
      <c r="CB50" s="775"/>
      <c r="CC50" s="764" cm="1">
        <f t="array" ref="CC50">SUM(BE$6:BE50)</f>
        <v>94955151.4201055</v>
      </c>
      <c r="CD50" s="775"/>
      <c r="CE50" s="775"/>
      <c r="CF50" s="775"/>
      <c r="CG50" s="775"/>
      <c r="CH50" s="775"/>
      <c r="CI50" s="775"/>
      <c r="CJ50" s="775"/>
      <c r="CK50" s="775"/>
      <c r="CL50" s="775"/>
      <c r="CM50" s="775"/>
    </row>
    <row r="51" ht="19.35" customHeight="1" hidden="1">
      <c r="A51" s="762">
        <v>45</v>
      </c>
      <c r="B51" s="763">
        <v>46702</v>
      </c>
      <c r="C51" s="764"/>
      <c r="D51" s="765" cm="1">
        <f t="array" ref="D51">ROUND(850000/F51,4)</f>
        <v>19.4107</v>
      </c>
      <c r="E51" s="766" cm="1">
        <f t="array" ref="E51">D51/K50</f>
        <v>0.012529854966188</v>
      </c>
      <c r="F51" s="767" cm="1">
        <f t="array" ref="F51">F50*(1+G51)</f>
        <v>43790.3923433737</v>
      </c>
      <c r="G51" s="766" cm="1">
        <f t="array" ref="G51">H51-SUM(G40:G50)</f>
        <v>0.0037</v>
      </c>
      <c r="H51" s="768" cm="1">
        <f t="array" ref="H51">'depto - Table 5'!$G$2</f>
        <v>0.05</v>
      </c>
      <c r="I51" s="769" cm="1">
        <f t="array" ref="I51">H51+4.95/100</f>
        <v>0.09950000000000001</v>
      </c>
      <c r="J51" s="764" cm="1">
        <f t="array" ref="J51">IF(K50=0,0,ROUND(D51*F51,0))</f>
        <v>850002</v>
      </c>
      <c r="K51" s="770" cm="1">
        <f t="array" ref="K51">IF(K50-BF51&lt;0,0,K50-BF51)</f>
        <v>1537.0767</v>
      </c>
      <c r="L51" s="771" cm="1">
        <f t="array" ref="L51">K51/K$5</f>
        <v>0.389133341772152</v>
      </c>
      <c r="M51" s="772" cm="1">
        <f t="array" ref="M51">ROUND(K51*F51,0)</f>
        <v>67309192</v>
      </c>
      <c r="N51" s="773" cm="1">
        <f t="array" ref="N51">M51/M$5</f>
        <v>0.459033142795352</v>
      </c>
      <c r="O51" s="772" cm="1">
        <f t="array" ref="O51">M51-M50</f>
        <v>-278881</v>
      </c>
      <c r="P51" s="774" cm="1">
        <f t="array" ref="P51">T51-K51</f>
        <v>3862.9233</v>
      </c>
      <c r="Q51" s="772" cm="1">
        <f t="array" ref="Q51">ROUND(P51*F51,0)</f>
        <v>169158927</v>
      </c>
      <c r="R51" s="775" cm="1">
        <f t="array" ref="R51">$K$5-K51</f>
        <v>2412.9233</v>
      </c>
      <c r="S51" s="772" cm="1">
        <f t="array" ref="S51">Q51-Q50</f>
        <v>1150588</v>
      </c>
      <c r="T51" s="775">
        <v>5400</v>
      </c>
      <c r="U51" s="772" cm="1">
        <f t="array" ref="U51">T51*F51</f>
        <v>236468118.654218</v>
      </c>
      <c r="V51" s="776" cm="1">
        <f t="array" ref="V51">-S51</f>
        <v>-1150588</v>
      </c>
      <c r="W51" s="776"/>
      <c r="X51" s="776" cm="1">
        <f t="array" ref="X51">$K50*4.95/12/100/(1-(1+4.95/12/100)^-(360-$A51+3))+$AY51</f>
        <v>9.855836304818229</v>
      </c>
      <c r="Y51" s="777" cm="1">
        <f t="array" ref="Y51">K50*4.95/12/100/(1-(1+4.95/12/100)^-(360-$A51+3))+AY51</f>
        <v>9.855836304818229</v>
      </c>
      <c r="Z51" s="765" cm="1">
        <f t="array" ref="Z51">IF(Z$3*12&lt;=$A51,0,$K50*'depto - Departamento'!$D$8/12/(1-(1+'depto - Departamento'!$D$8/12)^-(12*Z$3-$A51+3))+$AY52)</f>
        <v>10.8678177652341</v>
      </c>
      <c r="AA51" s="765" cm="1">
        <f t="array" ref="AA51">IF(AA$3*12&lt;=$A51,0,$K50*'depto - Departamento'!$D$8/12/(1-(1+'depto - Departamento'!$D$8/12)^-(12*AA$3-$A51+3))+$AY52)</f>
        <v>12.5652030556318</v>
      </c>
      <c r="AB51" s="765" cm="1">
        <f t="array" ref="AB51">IF(AB$3*12&lt;$A51,0,$K50*'depto - Departamento'!$D$8/12/(1-(1+'depto - Departamento'!$D$8/12)^-(12*AB$3-$A51+3))+$AY51)</f>
        <v>15.8460723544326</v>
      </c>
      <c r="AC51" s="765" cm="1">
        <f t="array" ref="AC51">IF(AC$3*12&lt;$A51,0,$K50*'depto - Departamento'!$D$8/12/(1-(1+'depto - Departamento'!$D$8/12)^-(12*AC$3-$A51+3))+$AY51)</f>
        <v>19.7383177572234</v>
      </c>
      <c r="AD51" s="765" cm="1">
        <f t="array" ref="AD51">IF(AD$3*12&lt;$A51,0,$K50*'depto - Departamento'!$D$8/12/(1-(1+'depto - Departamento'!$D$8/12)^-(12*AD$3-$A51+3))+$AY51)</f>
        <v>24.3688699019046</v>
      </c>
      <c r="AE51" s="765" cm="1">
        <f t="array" ref="AE51">IF(AE$3*12&lt;$A51,0,$K50*'depto - Departamento'!$D$8/12/(1-(1+'depto - Departamento'!$D$8/12)^-(12*AE$3-$A51+3))+$AY51)</f>
        <v>90.57732956156561</v>
      </c>
      <c r="AF51" s="765" cm="1">
        <f t="array" ref="AF51">AF50-(AF49-AF50)</f>
        <v>79.7137</v>
      </c>
      <c r="AG51" s="765"/>
      <c r="AH51" s="765"/>
      <c r="AI51" s="778" cm="1">
        <f t="array" ref="AI51">$F51*Y51</f>
        <v>431590.938660057</v>
      </c>
      <c r="AJ51" s="764" cm="1">
        <f t="array" ref="AJ51">$F51*Z51</f>
        <v>475906.003855888</v>
      </c>
      <c r="AK51" s="764" cm="1">
        <f t="array" ref="AK51">$F51*AA51</f>
        <v>550235.171680275</v>
      </c>
      <c r="AL51" s="764" cm="1">
        <f t="array" ref="AL51">$F51*AB51</f>
        <v>693905.725502091</v>
      </c>
      <c r="AM51" s="764" cm="1">
        <f t="array" ref="AM51">$F51*AC51</f>
        <v>864348.678786993</v>
      </c>
      <c r="AN51" s="764" cm="1">
        <f t="array" ref="AN51">$F51*AD51</f>
        <v>1067122.37396903</v>
      </c>
      <c r="AO51" s="764" cm="1">
        <f t="array" ref="AO51">$F51*AE51</f>
        <v>3966416.79891602</v>
      </c>
      <c r="AP51" s="764" cm="1">
        <f t="array" ref="AP51">$F51*AF51</f>
        <v>3490694.19814199</v>
      </c>
      <c r="AQ51" s="765"/>
      <c r="AR51" s="779" cm="1">
        <f t="array" ref="AR51">K50-K51</f>
        <v>12.0793</v>
      </c>
      <c r="AS51" s="779" cm="1">
        <f t="array" ref="AS51">D51-AR51</f>
        <v>7.3314</v>
      </c>
      <c r="AT51" s="765"/>
      <c r="AU51" s="780" cm="1">
        <f t="array" ref="AU51">ROUND(AV51*F51,0)</f>
        <v>45288</v>
      </c>
      <c r="AV51" s="781" cm="1">
        <f t="array" ref="AV51">IF(K50=0,0,AV50)</f>
        <v>1.0342</v>
      </c>
      <c r="AW51" s="780" cm="1">
        <f t="array" ref="AW51">ROUND(F51*AX51,0)</f>
        <v>2931</v>
      </c>
      <c r="AX51" s="781" cm="1">
        <f t="array" ref="AX51">AX$11/K$10*K50</f>
        <v>0.0669325674788699</v>
      </c>
      <c r="AY51" s="782" cm="1">
        <f t="array" ref="AY51">SUM(AV51,AX51)</f>
        <v>1.10113256747887</v>
      </c>
      <c r="AZ51" s="780" cm="1">
        <f t="array" ref="AZ51">AU51+AW51</f>
        <v>48219</v>
      </c>
      <c r="BA51" s="783" cm="1">
        <f t="array" ref="BA51">AI51-AZ51-BG51</f>
        <v>110546.036640495</v>
      </c>
      <c r="BB51" s="784" cm="1">
        <f t="array" ref="BB51">ROUND(BA51/$F51,4)</f>
        <v>2.5244</v>
      </c>
      <c r="BC51" s="783" cm="1">
        <f t="array" ref="BC51">J51-SUM(AZ51,BA51,BG51)</f>
        <v>418411.061339943</v>
      </c>
      <c r="BD51" s="784" cm="1">
        <f t="array" ref="BD51">ROUND(BC51/$F51,4)</f>
        <v>9.5549</v>
      </c>
      <c r="BE51" s="785" cm="1">
        <f t="array" ref="BE51">BC51+BA51</f>
        <v>528957.097980438</v>
      </c>
      <c r="BF51" s="784" cm="1">
        <f t="array" ref="BF51">ROUND((BA51+BC51)/F51,4)</f>
        <v>12.0793</v>
      </c>
      <c r="BG51" s="786" cm="1">
        <f t="array" ref="BG51">BO51*F51</f>
        <v>272825.902019562</v>
      </c>
      <c r="BH51" s="787" cm="1">
        <f t="array" ref="BH51">ROUND(BG51/$F51,4)</f>
        <v>6.2303</v>
      </c>
      <c r="BI51" s="772" cm="1">
        <f t="array" ref="BI51">M50-M51</f>
        <v>278881</v>
      </c>
      <c r="BJ51" s="772" cm="1">
        <f t="array" ref="BJ51">BE51-BI51</f>
        <v>250076.097980438</v>
      </c>
      <c r="BK51" s="772" cm="1">
        <f t="array" ref="BK51">-BJ51</f>
        <v>-250076.097980438</v>
      </c>
      <c r="BL51" s="772" cm="1">
        <f t="array" ref="BL51">BG51+BJ51</f>
        <v>522902</v>
      </c>
      <c r="BM51" s="772" cm="1">
        <f t="array" ref="BM51">AVERAGE(BL49:BL51)</f>
        <v>508734.666666667</v>
      </c>
      <c r="BN51" s="788" cm="1">
        <f t="array" ref="BN51">BH50-BH51</f>
        <v>0.0499</v>
      </c>
      <c r="BO51" s="775" cm="1">
        <f t="array" ref="BO51">K50*0.0495/12-0.16</f>
        <v>6.2302685</v>
      </c>
      <c r="BP51" s="789" cm="1">
        <f t="array" ref="BP51">(BA51+BC51)/BG51</f>
        <v>1.93880820722994</v>
      </c>
      <c r="BQ51" s="789" cm="1">
        <f t="array" ref="BQ51">Y51-BB51</f>
        <v>7.33143630481823</v>
      </c>
      <c r="BR51" s="789" cm="1">
        <f t="array" ref="BR51">(BR$4*(1+BR$4)^BR$3*K50)/((1+BR$4)^BR$3-1)</f>
        <v>8.268929946281389</v>
      </c>
      <c r="BS51" s="789"/>
      <c r="BT51" s="764"/>
      <c r="BU51" s="764"/>
      <c r="BV51" s="764" cm="1">
        <f t="array" ref="BV51">BA51+BC51+BV50</f>
        <v>95484108.5180859</v>
      </c>
      <c r="BW51" s="764" cm="1">
        <f t="array" ref="BW51">BG51+BW50</f>
        <v>15189765.4819141</v>
      </c>
      <c r="BX51" s="775" cm="1">
        <f t="array" ref="BX51">BF51+BX50</f>
        <v>2378.4325</v>
      </c>
      <c r="BY51" s="775" cm="1">
        <f t="array" ref="BY51">BH51+BY50</f>
        <v>381.1655</v>
      </c>
      <c r="BZ51" s="764" cm="1">
        <f t="array" ref="BZ51">SUM(BJ$6:BJ51)</f>
        <v>16160768.5180859</v>
      </c>
      <c r="CA51" s="775"/>
      <c r="CB51" s="775"/>
      <c r="CC51" s="764" cm="1">
        <f t="array" ref="CC51">SUM(BE$6:BE51)</f>
        <v>95484108.5180859</v>
      </c>
      <c r="CD51" s="775"/>
      <c r="CE51" s="775"/>
      <c r="CF51" s="775"/>
      <c r="CG51" s="775"/>
      <c r="CH51" s="775"/>
      <c r="CI51" s="775"/>
      <c r="CJ51" s="775"/>
      <c r="CK51" s="775"/>
      <c r="CL51" s="775"/>
      <c r="CM51" s="775"/>
    </row>
    <row r="52" ht="19.35" customHeight="1" hidden="1">
      <c r="A52" s="762">
        <v>46</v>
      </c>
      <c r="B52" s="763">
        <v>46732</v>
      </c>
      <c r="C52" s="764"/>
      <c r="D52" s="765" cm="1">
        <f t="array" ref="D52">ROUND(850000/F52,4)</f>
        <v>19.4068</v>
      </c>
      <c r="E52" s="766" cm="1">
        <f t="array" ref="E52">D52/K51</f>
        <v>0.0126257850372724</v>
      </c>
      <c r="F52" s="767" cm="1">
        <f t="array" ref="F52">F51*(1+G52)</f>
        <v>43799.1504218424</v>
      </c>
      <c r="G52" s="766" cm="1">
        <f t="array" ref="G52">H52-SUM(G41:G51)</f>
        <v>0.0002</v>
      </c>
      <c r="H52" s="768" cm="1">
        <f t="array" ref="H52">'depto - Table 5'!$G$2</f>
        <v>0.05</v>
      </c>
      <c r="I52" s="769" cm="1">
        <f t="array" ref="I52">H52+4.95/100</f>
        <v>0.09950000000000001</v>
      </c>
      <c r="J52" s="764" cm="1">
        <f t="array" ref="J52">IF(K51=0,0,ROUND(D52*F52,0))</f>
        <v>850001</v>
      </c>
      <c r="K52" s="770" cm="1">
        <f t="array" ref="K52">IF(K51-BF52&lt;0,0,K51-BF52)</f>
        <v>1524.951</v>
      </c>
      <c r="L52" s="771" cm="1">
        <f t="array" ref="L52">K52/K$5</f>
        <v>0.386063544303797</v>
      </c>
      <c r="M52" s="772" cm="1">
        <f t="array" ref="M52">ROUND(K52*F52,0)</f>
        <v>66791558</v>
      </c>
      <c r="N52" s="773" cm="1">
        <f t="array" ref="N52">M52/M$5</f>
        <v>0.455502998475127</v>
      </c>
      <c r="O52" s="772" cm="1">
        <f t="array" ref="O52">M52-M51</f>
        <v>-517634</v>
      </c>
      <c r="P52" s="774" cm="1">
        <f t="array" ref="P52">T52-K52</f>
        <v>3875.049</v>
      </c>
      <c r="Q52" s="772" cm="1">
        <f t="array" ref="Q52">ROUND(P52*F52,0)</f>
        <v>169723854</v>
      </c>
      <c r="R52" s="775" cm="1">
        <f t="array" ref="R52">$K$5-K52</f>
        <v>2425.049</v>
      </c>
      <c r="S52" s="772" cm="1">
        <f t="array" ref="S52">Q52-Q51</f>
        <v>564927</v>
      </c>
      <c r="T52" s="775">
        <v>5400</v>
      </c>
      <c r="U52" s="772" cm="1">
        <f t="array" ref="U52">T52*F52</f>
        <v>236515412.277949</v>
      </c>
      <c r="V52" s="776" cm="1">
        <f t="array" ref="V52">-S52</f>
        <v>-564927</v>
      </c>
      <c r="W52" s="776"/>
      <c r="X52" s="776" cm="1">
        <f t="array" ref="X52">$K51*4.95/12/100/(1-(1+4.95/12/100)^-(360-$A52+3))+$AY52</f>
        <v>9.80032913153514</v>
      </c>
      <c r="Y52" s="777" cm="1">
        <f t="array" ref="Y52">K51*4.95/12/100/(1-(1+4.95/12/100)^-(360-$A52+3))+AY52</f>
        <v>9.80032913153514</v>
      </c>
      <c r="Z52" s="765" cm="1">
        <f t="array" ref="Z52">IF(Z$3*12&lt;=$A52,0,$K51*'depto - Departamento'!$D$8/12/(1-(1+'depto - Departamento'!$D$8/12)^-(12*Z$3-$A52+3))+$AY53)</f>
        <v>10.8123068560402</v>
      </c>
      <c r="AA52" s="765" cm="1">
        <f t="array" ref="AA52">IF(AA$3*12&lt;=$A52,0,$K51*'depto - Departamento'!$D$8/12/(1-(1+'depto - Departamento'!$D$8/12)^-(12*AA$3-$A52+3))+$AY53)</f>
        <v>12.5126681781875</v>
      </c>
      <c r="AB52" s="765" cm="1">
        <f t="array" ref="AB52">IF(AB$3*12&lt;$A52,0,$K51*'depto - Departamento'!$D$8/12/(1-(1+'depto - Departamento'!$D$8/12)^-(12*AB$3-$A52+3))+$AY52)</f>
        <v>15.8099070400889</v>
      </c>
      <c r="AC52" s="765" cm="1">
        <f t="array" ref="AC52">IF(AC$3*12&lt;$A52,0,$K51*'depto - Departamento'!$D$8/12/(1-(1+'depto - Departamento'!$D$8/12)^-(12*AC$3-$A52+3))+$AY52)</f>
        <v>19.7398284492802</v>
      </c>
      <c r="AD52" s="765" cm="1">
        <f t="array" ref="AD52">IF(AD$3*12&lt;$A52,0,$K51*'depto - Departamento'!$D$8/12/(1-(1+'depto - Departamento'!$D$8/12)^-(12*AD$3-$A52+3))+$AY52)</f>
        <v>24.4412084745564</v>
      </c>
      <c r="AE52" s="765" cm="1">
        <f t="array" ref="AE52">IF(AE$3*12&lt;$A52,0,$K51*'depto - Departamento'!$D$8/12/(1-(1+'depto - Departamento'!$D$8/12)^-(12*AE$3-$A52+3))+$AY52)</f>
        <v>94.910436188701</v>
      </c>
      <c r="AF52" s="765" cm="1">
        <f t="array" ref="AF52">AF51-(AF50-AF51)</f>
        <v>79.7109</v>
      </c>
      <c r="AG52" s="765"/>
      <c r="AH52" s="765"/>
      <c r="AI52" s="778" cm="1">
        <f t="array" ref="AI52">$F52*Y52</f>
        <v>429246.089815672</v>
      </c>
      <c r="AJ52" s="764" cm="1">
        <f t="array" ref="AJ52">$F52*Z52</f>
        <v>473569.854394823</v>
      </c>
      <c r="AK52" s="764" cm="1">
        <f t="array" ref="AK52">$F52*AA52</f>
        <v>548044.235715035</v>
      </c>
      <c r="AL52" s="764" cm="1">
        <f t="array" ref="AL52">$F52*AB52</f>
        <v>692460.4966041991</v>
      </c>
      <c r="AM52" s="764" cm="1">
        <f t="array" ref="AM52">$F52*AC52</f>
        <v>864587.7155513871</v>
      </c>
      <c r="AN52" s="764" cm="1">
        <f t="array" ref="AN52">$F52*AD52</f>
        <v>1070504.1664687</v>
      </c>
      <c r="AO52" s="764" cm="1">
        <f t="array" ref="AO52">$F52*AE52</f>
        <v>4156996.47123159</v>
      </c>
      <c r="AP52" s="764" cm="1">
        <f t="array" ref="AP52">$F52*AF52</f>
        <v>3491269.69936044</v>
      </c>
      <c r="AQ52" s="765"/>
      <c r="AR52" s="779" cm="1">
        <f t="array" ref="AR52">K51-K52</f>
        <v>12.1257</v>
      </c>
      <c r="AS52" s="779" cm="1">
        <f t="array" ref="AS52">D52-AR52</f>
        <v>7.2811</v>
      </c>
      <c r="AT52" s="765"/>
      <c r="AU52" s="780" cm="1">
        <f t="array" ref="AU52">ROUND(AV52*F52,0)</f>
        <v>45297</v>
      </c>
      <c r="AV52" s="781" cm="1">
        <f t="array" ref="AV52">IF(K51=0,0,AV51)</f>
        <v>1.0342</v>
      </c>
      <c r="AW52" s="780" cm="1">
        <f t="array" ref="AW52">ROUND(F52*AX52,0)</f>
        <v>2909</v>
      </c>
      <c r="AX52" s="781" cm="1">
        <f t="array" ref="AX52">AX$11/K$10*K51</f>
        <v>0.0664106713222869</v>
      </c>
      <c r="AY52" s="782" cm="1">
        <f t="array" ref="AY52">SUM(AV52,AX52)</f>
        <v>1.10061067132229</v>
      </c>
      <c r="AZ52" s="780" cm="1">
        <f t="array" ref="AZ52">AU52+AW52</f>
        <v>48206</v>
      </c>
      <c r="BA52" s="783" cm="1">
        <f t="array" ref="BA52">AI52-AZ52-BG52</f>
        <v>110342.007811179</v>
      </c>
      <c r="BB52" s="784" cm="1">
        <f t="array" ref="BB52">ROUND(BA52/$F52,4)</f>
        <v>2.5193</v>
      </c>
      <c r="BC52" s="783" cm="1">
        <f t="array" ref="BC52">J52-SUM(AZ52,BA52,BG52)</f>
        <v>420754.910184328</v>
      </c>
      <c r="BD52" s="784" cm="1">
        <f t="array" ref="BD52">ROUND(BC52/$F52,4)</f>
        <v>9.6065</v>
      </c>
      <c r="BE52" s="785" cm="1">
        <f t="array" ref="BE52">BC52+BA52</f>
        <v>531096.917995507</v>
      </c>
      <c r="BF52" s="784" cm="1">
        <f t="array" ref="BF52">ROUND((BA52+BC52)/F52,4)</f>
        <v>12.1257</v>
      </c>
      <c r="BG52" s="786" cm="1">
        <f t="array" ref="BG52">BO52*F52</f>
        <v>270698.082004493</v>
      </c>
      <c r="BH52" s="787" cm="1">
        <f t="array" ref="BH52">ROUND(BG52/$F52,4)</f>
        <v>6.1804</v>
      </c>
      <c r="BI52" s="772" cm="1">
        <f t="array" ref="BI52">M51-M52</f>
        <v>517634</v>
      </c>
      <c r="BJ52" s="772" cm="1">
        <f t="array" ref="BJ52">BE52-BI52</f>
        <v>13462.917995507</v>
      </c>
      <c r="BK52" s="772" cm="1">
        <f t="array" ref="BK52">-BJ52</f>
        <v>-13462.917995507</v>
      </c>
      <c r="BL52" s="772" cm="1">
        <f t="array" ref="BL52">BG52+BJ52</f>
        <v>284161</v>
      </c>
      <c r="BM52" s="772" cm="1">
        <f t="array" ref="BM52">AVERAGE(BL50:BL52)</f>
        <v>480056.666666667</v>
      </c>
      <c r="BN52" s="788" cm="1">
        <f t="array" ref="BN52">BH51-BH52</f>
        <v>0.0499</v>
      </c>
      <c r="BO52" s="775" cm="1">
        <f t="array" ref="BO52">K51*0.0495/12-0.16</f>
        <v>6.1804413875</v>
      </c>
      <c r="BP52" s="789" cm="1">
        <f t="array" ref="BP52">(BA52+BC52)/BG52</f>
        <v>1.96195301445354</v>
      </c>
      <c r="BQ52" s="789" cm="1">
        <f t="array" ref="BQ52">Y52-BB52</f>
        <v>7.28102913153514</v>
      </c>
      <c r="BR52" s="789" cm="1">
        <f t="array" ref="BR52">(BR$4*(1+BR$4)^BR$3*K51)/((1+BR$4)^BR$3-1)</f>
        <v>8.20445426694366</v>
      </c>
      <c r="BS52" s="789"/>
      <c r="BT52" s="764"/>
      <c r="BU52" s="764"/>
      <c r="BV52" s="764" cm="1">
        <f t="array" ref="BV52">BA52+BC52+BV51</f>
        <v>96015205.43608139</v>
      </c>
      <c r="BW52" s="764" cm="1">
        <f t="array" ref="BW52">BG52+BW51</f>
        <v>15460463.5639186</v>
      </c>
      <c r="BX52" s="775" cm="1">
        <f t="array" ref="BX52">BF52+BX51</f>
        <v>2390.5582</v>
      </c>
      <c r="BY52" s="775" cm="1">
        <f t="array" ref="BY52">BH52+BY51</f>
        <v>387.3459</v>
      </c>
      <c r="BZ52" s="764" cm="1">
        <f t="array" ref="BZ52">SUM(BJ$6:BJ52)</f>
        <v>16174231.4360814</v>
      </c>
      <c r="CA52" s="775"/>
      <c r="CB52" s="775"/>
      <c r="CC52" s="764" cm="1">
        <f t="array" ref="CC52">SUM(BE$6:BE52)</f>
        <v>96015205.43608139</v>
      </c>
      <c r="CD52" s="775"/>
      <c r="CE52" s="775"/>
      <c r="CF52" s="775"/>
      <c r="CG52" s="775"/>
      <c r="CH52" s="775"/>
      <c r="CI52" s="775"/>
      <c r="CJ52" s="775"/>
      <c r="CK52" s="775"/>
      <c r="CL52" s="775"/>
      <c r="CM52" s="775"/>
    </row>
    <row r="53" ht="19.35" customHeight="1" hidden="1">
      <c r="A53" s="762">
        <v>47</v>
      </c>
      <c r="B53" s="790">
        <v>46763</v>
      </c>
      <c r="C53" s="405"/>
      <c r="D53" s="791" cm="1">
        <f t="array" ref="D53">ROUND(850000/F53,4)</f>
        <v>19.4886</v>
      </c>
      <c r="E53" s="792" cm="1">
        <f t="array" ref="E53">D53/K52</f>
        <v>0.0127798204663625</v>
      </c>
      <c r="F53" s="793" cm="1">
        <f t="array" ref="F53">F52*(1+G53)</f>
        <v>43615.1939900707</v>
      </c>
      <c r="G53" s="792" cm="1">
        <f t="array" ref="G53">H53-SUM(G42:G52)</f>
        <v>-0.0042</v>
      </c>
      <c r="H53" s="794" cm="1">
        <f t="array" ref="H53">'depto - Table 5'!$H$2</f>
        <v>0.045</v>
      </c>
      <c r="I53" s="795" cm="1">
        <f t="array" ref="I53">H53+4.95/100</f>
        <v>0.0945</v>
      </c>
      <c r="J53" s="405" cm="1">
        <f t="array" ref="J53">IF(K52=0,0,ROUND(D53*F53,0))</f>
        <v>849999</v>
      </c>
      <c r="K53" s="796" cm="1">
        <f t="array" ref="K53">IF(K52-BF53&lt;0,0,K52-BF53)</f>
        <v>1512.6929</v>
      </c>
      <c r="L53" s="797" cm="1">
        <f t="array" ref="L53">K53/K$5</f>
        <v>0.382960227848101</v>
      </c>
      <c r="M53" s="798" cm="1">
        <f t="array" ref="M53">ROUND(K53*F53,0)</f>
        <v>65976394</v>
      </c>
      <c r="N53" s="799" cm="1">
        <f t="array" ref="N53">M53/M$5</f>
        <v>0.44994376827647</v>
      </c>
      <c r="O53" s="798" cm="1">
        <f t="array" ref="O53">M53-M52</f>
        <v>-815164</v>
      </c>
      <c r="P53" s="800" cm="1">
        <f t="array" ref="P53">T53-K53</f>
        <v>3887.3071</v>
      </c>
      <c r="Q53" s="798" cm="1">
        <f t="array" ref="Q53">ROUND(P53*F53,0)</f>
        <v>169545653</v>
      </c>
      <c r="R53" s="801" cm="1">
        <f t="array" ref="R53">$K$5-K53</f>
        <v>2437.3071</v>
      </c>
      <c r="S53" s="798" cm="1">
        <f t="array" ref="S53">Q53-Q52</f>
        <v>-178201</v>
      </c>
      <c r="T53" s="801">
        <v>5400</v>
      </c>
      <c r="U53" s="798" cm="1">
        <f t="array" ref="U53">T53*F53</f>
        <v>235522047.546382</v>
      </c>
      <c r="V53" s="802" cm="1">
        <f t="array" ref="V53">-S53</f>
        <v>178201</v>
      </c>
      <c r="W53" s="802"/>
      <c r="X53" s="802" cm="1">
        <f t="array" ref="X53">$K52*4.95/12/100/(1-(1+4.95/12/100)^-(360-$A53+3))+$AY53</f>
        <v>9.74444316295271</v>
      </c>
      <c r="Y53" s="803" cm="1">
        <f t="array" ref="Y53">K52*4.95/12/100/(1-(1+4.95/12/100)^-(360-$A53+3))+AY53</f>
        <v>9.74444316295271</v>
      </c>
      <c r="Z53" s="791" cm="1">
        <f t="array" ref="Z53">IF(Z$3*12&lt;=$A53,0,$K52*'depto - Departamento'!$D$8/12/(1-(1+'depto - Departamento'!$D$8/12)^-(12*Z$3-$A53+3))+$AY54)</f>
        <v>10.7563428358509</v>
      </c>
      <c r="AA53" s="791" cm="1">
        <f t="array" ref="AA53">IF(AA$3*12&lt;=$A53,0,$K52*'depto - Departamento'!$D$8/12/(1-(1+'depto - Departamento'!$D$8/12)^-(12*AA$3-$A53+3))+$AY54)</f>
        <v>12.4595934603023</v>
      </c>
      <c r="AB53" s="791" cm="1">
        <f t="array" ref="AB53">IF(AB$3*12&lt;$A53,0,$K52*'depto - Departamento'!$D$8/12/(1-(1+'depto - Departamento'!$D$8/12)^-(12*AB$3-$A53+3))+$AY53)</f>
        <v>15.7732346056526</v>
      </c>
      <c r="AC53" s="791" cm="1">
        <f t="array" ref="AC53">IF(AC$3*12&lt;$A53,0,$K52*'depto - Departamento'!$D$8/12/(1-(1+'depto - Departamento'!$D$8/12)^-(12*AC$3-$A53+3))+$AY53)</f>
        <v>19.7414202719051</v>
      </c>
      <c r="AD53" s="791" cm="1">
        <f t="array" ref="AD53">IF(AD$3*12&lt;$A53,0,$K52*'depto - Departamento'!$D$8/12/(1-(1+'depto - Departamento'!$D$8/12)^-(12*AD$3-$A53+3))+$AY53)</f>
        <v>24.5155312826452</v>
      </c>
      <c r="AE53" s="791" cm="1">
        <f t="array" ref="AE53">IF(AE$3*12&lt;$A53,0,$K52*'depto - Departamento'!$D$8/12/(1-(1+'depto - Departamento'!$D$8/12)^-(12*AE$3-$A53+3))+$AY53)</f>
        <v>99.78570022338251</v>
      </c>
      <c r="AF53" s="791" cm="1">
        <f t="array" ref="AF53">AF52-(AF51-AF52)</f>
        <v>79.7081</v>
      </c>
      <c r="AG53" s="791"/>
      <c r="AH53" s="791"/>
      <c r="AI53" s="804" cm="1">
        <f t="array" ref="AI53">$F53*Y53</f>
        <v>425005.778877401</v>
      </c>
      <c r="AJ53" s="405" cm="1">
        <f t="array" ref="AJ53">$F53*Z53</f>
        <v>469139.979409344</v>
      </c>
      <c r="AK53" s="405" cm="1">
        <f t="array" ref="AK53">$F53*AA53</f>
        <v>543427.585808501</v>
      </c>
      <c r="AL53" s="405" cm="1">
        <f t="array" ref="AL53">$F53*AB53</f>
        <v>687952.687176434</v>
      </c>
      <c r="AM53" s="405" cm="1">
        <f t="array" ref="AM53">$F53*AC53</f>
        <v>861025.874798655</v>
      </c>
      <c r="AN53" s="405" cm="1">
        <f t="array" ref="AN53">$F53*AD53</f>
        <v>1069249.65266222</v>
      </c>
      <c r="AO53" s="405" cm="1">
        <f t="array" ref="AO53">$F53*AE53</f>
        <v>4352172.67267787</v>
      </c>
      <c r="AP53" s="405" cm="1">
        <f t="array" ref="AP53">$F53*AF53</f>
        <v>3476484.24407995</v>
      </c>
      <c r="AQ53" s="791"/>
      <c r="AR53" s="805" cm="1">
        <f t="array" ref="AR53">K52-K53</f>
        <v>12.2581</v>
      </c>
      <c r="AS53" s="805" cm="1">
        <f t="array" ref="AS53">D53-AR53</f>
        <v>7.2305</v>
      </c>
      <c r="AT53" s="791"/>
      <c r="AU53" s="806" cm="1">
        <f t="array" ref="AU53">ROUND(AV53*F53,0)</f>
        <v>45107</v>
      </c>
      <c r="AV53" s="807" cm="1">
        <f t="array" ref="AV53">IF(K52=0,0,AV52)</f>
        <v>1.0342</v>
      </c>
      <c r="AW53" s="806" cm="1">
        <f t="array" ref="AW53">ROUND(F53*AX53,0)</f>
        <v>2874</v>
      </c>
      <c r="AX53" s="807" cm="1">
        <f t="array" ref="AX53">AX$11/K$10*K52</f>
        <v>0.0658867704152908</v>
      </c>
      <c r="AY53" s="808" cm="1">
        <f t="array" ref="AY53">SUM(AV53,AX53)</f>
        <v>1.10008677041529</v>
      </c>
      <c r="AZ53" s="806" cm="1">
        <f t="array" ref="AZ53">AU53+AW53</f>
        <v>47981</v>
      </c>
      <c r="BA53" s="809" cm="1">
        <f t="array" ref="BA53">AI53-AZ53-BG53</f>
        <v>109645.195943109</v>
      </c>
      <c r="BB53" s="810" cm="1">
        <f t="array" ref="BB53">ROUND(BA53/$F53,4)</f>
        <v>2.5139</v>
      </c>
      <c r="BC53" s="809" cm="1">
        <f t="array" ref="BC53">J53-SUM(AZ53,BA53,BG53)</f>
        <v>424993.221122599</v>
      </c>
      <c r="BD53" s="810" cm="1">
        <f t="array" ref="BD53">ROUND(BC53/$F53,4)</f>
        <v>9.744199999999999</v>
      </c>
      <c r="BE53" s="811" cm="1">
        <f t="array" ref="BE53">BC53+BA53</f>
        <v>534638.417065708</v>
      </c>
      <c r="BF53" s="810" cm="1">
        <f t="array" ref="BF53">ROUND((BA53+BC53)/F53,4)</f>
        <v>12.2581</v>
      </c>
      <c r="BG53" s="812" cm="1">
        <f t="array" ref="BG53">BO53*F53</f>
        <v>267379.582934292</v>
      </c>
      <c r="BH53" s="813" cm="1">
        <f t="array" ref="BH53">ROUND(BG53/$F53,4)</f>
        <v>6.1304</v>
      </c>
      <c r="BI53" s="798" cm="1">
        <f t="array" ref="BI53">M52-M53</f>
        <v>815164</v>
      </c>
      <c r="BJ53" s="798" cm="1">
        <f t="array" ref="BJ53">BE53-BI53</f>
        <v>-280525.582934292</v>
      </c>
      <c r="BK53" s="798" cm="1">
        <f t="array" ref="BK53">-BJ53</f>
        <v>280525.582934292</v>
      </c>
      <c r="BL53" s="798" cm="1">
        <f t="array" ref="BL53">BG53+BJ53</f>
        <v>-13146</v>
      </c>
      <c r="BM53" s="798" cm="1">
        <f t="array" ref="BM53">AVERAGE(BL51:BL53)</f>
        <v>264639</v>
      </c>
      <c r="BN53" s="814" cm="1">
        <f t="array" ref="BN53">BH52-BH53</f>
        <v>0.05</v>
      </c>
      <c r="BO53" s="801" cm="1">
        <f t="array" ref="BO53">K52*0.0495/12-0.16</f>
        <v>6.130422875</v>
      </c>
      <c r="BP53" s="815" cm="1">
        <f t="array" ref="BP53">(BA53+BC53)/BG53</f>
        <v>1.99954839931475</v>
      </c>
      <c r="BQ53" s="815" cm="1">
        <f t="array" ref="BQ53">Y53-BB53</f>
        <v>7.23054316295271</v>
      </c>
      <c r="BR53" s="815" cm="1">
        <f t="array" ref="BR53">(BR$4*(1+BR$4)^BR$3*K52)/((1+BR$4)^BR$3-1)</f>
        <v>8.139730918326981</v>
      </c>
      <c r="BS53" s="815"/>
      <c r="BT53" s="405"/>
      <c r="BU53" s="405"/>
      <c r="BV53" s="405" cm="1">
        <f t="array" ref="BV53">BA53+BC53+BV52</f>
        <v>96549843.8531471</v>
      </c>
      <c r="BW53" s="405" cm="1">
        <f t="array" ref="BW53">BG53+BW52</f>
        <v>15727843.1468529</v>
      </c>
      <c r="BX53" s="801" cm="1">
        <f t="array" ref="BX53">BF53+BX52</f>
        <v>2402.8163</v>
      </c>
      <c r="BY53" s="801" cm="1">
        <f t="array" ref="BY53">BH53+BY52</f>
        <v>393.4763</v>
      </c>
      <c r="BZ53" s="405" cm="1">
        <f t="array" ref="BZ53">SUM(BJ$6:BJ53)</f>
        <v>15893705.8531471</v>
      </c>
      <c r="CA53" s="801"/>
      <c r="CB53" s="801"/>
      <c r="CC53" s="405" cm="1">
        <f t="array" ref="CC53">SUM(BE$6:BE53)</f>
        <v>96549843.8531471</v>
      </c>
      <c r="CD53" s="801"/>
      <c r="CE53" s="801"/>
      <c r="CF53" s="801"/>
      <c r="CG53" s="801"/>
      <c r="CH53" s="801"/>
      <c r="CI53" s="801"/>
      <c r="CJ53" s="801"/>
      <c r="CK53" s="801"/>
      <c r="CL53" s="801"/>
      <c r="CM53" s="801"/>
    </row>
    <row r="54" ht="19.35" customHeight="1" hidden="1">
      <c r="A54" s="762">
        <v>48</v>
      </c>
      <c r="B54" s="790">
        <v>46794</v>
      </c>
      <c r="C54" s="405"/>
      <c r="D54" s="791" cm="1">
        <f t="array" ref="D54">ROUND(850000/F54,4)</f>
        <v>19.4828</v>
      </c>
      <c r="E54" s="792" cm="1">
        <f t="array" ref="E54">D54/K53</f>
        <v>0.0128795474613519</v>
      </c>
      <c r="F54" s="793" cm="1">
        <f t="array" ref="F54">F53*(1+G54)</f>
        <v>43628.2785482677</v>
      </c>
      <c r="G54" s="792" cm="1">
        <f t="array" ref="G54">H54-SUM(G43:G53)</f>
        <v>0.0003</v>
      </c>
      <c r="H54" s="794" cm="1">
        <f t="array" ref="H54">'depto - Table 5'!$H$2</f>
        <v>0.045</v>
      </c>
      <c r="I54" s="795" cm="1">
        <f t="array" ref="I54">H54+4.95/100</f>
        <v>0.0945</v>
      </c>
      <c r="J54" s="405" cm="1">
        <f t="array" ref="J54">IF(K53=0,0,ROUND(D54*F54,0))</f>
        <v>850001</v>
      </c>
      <c r="K54" s="796" cm="1">
        <f t="array" ref="K54">IF(K53-BF54&lt;0,0,K53-BF54)</f>
        <v>1500.3895</v>
      </c>
      <c r="L54" s="797" cm="1">
        <f t="array" ref="L54">K54/K$5</f>
        <v>0.379845443037975</v>
      </c>
      <c r="M54" s="798" cm="1">
        <f t="array" ref="M54">ROUND(K54*F54,0)</f>
        <v>65459411</v>
      </c>
      <c r="N54" s="799" cm="1">
        <f t="array" ref="N54">M54/M$5</f>
        <v>0.446418063625881</v>
      </c>
      <c r="O54" s="798" cm="1">
        <f t="array" ref="O54">M54-M53</f>
        <v>-516983</v>
      </c>
      <c r="P54" s="800" cm="1">
        <f t="array" ref="P54">T54-K54</f>
        <v>3899.6105</v>
      </c>
      <c r="Q54" s="798" cm="1">
        <f t="array" ref="Q54">ROUND(P54*F54,0)</f>
        <v>170133293</v>
      </c>
      <c r="R54" s="801" cm="1">
        <f t="array" ref="R54">$K$5-K54</f>
        <v>2449.6105</v>
      </c>
      <c r="S54" s="798" cm="1">
        <f t="array" ref="S54">Q54-Q53</f>
        <v>587640</v>
      </c>
      <c r="T54" s="801">
        <v>5400</v>
      </c>
      <c r="U54" s="798" cm="1">
        <f t="array" ref="U54">T54*F54</f>
        <v>235592704.160646</v>
      </c>
      <c r="V54" s="802" cm="1">
        <f t="array" ref="V54">-S54</f>
        <v>-587640</v>
      </c>
      <c r="W54" s="802"/>
      <c r="X54" s="802" cm="1">
        <f t="array" ref="X54">$K53*4.95/12/100/(1-(1+4.95/12/100)^-(360-$A54+3))+$AY54</f>
        <v>9.68768386223236</v>
      </c>
      <c r="Y54" s="803" cm="1">
        <f t="array" ref="Y54">K53*4.95/12/100/(1-(1+4.95/12/100)^-(360-$A54+3))+AY54</f>
        <v>9.68768386223236</v>
      </c>
      <c r="Z54" s="791" cm="1">
        <f t="array" ref="Z54">IF(Z$3*12&lt;=$A54,0,$K53*'depto - Departamento'!$D$8/12/(1-(1+'depto - Departamento'!$D$8/12)^-(12*Z$3-$A54+3))+$AY55)</f>
        <v>10.6993795621057</v>
      </c>
      <c r="AA54" s="791" cm="1">
        <f t="array" ref="AA54">IF(AA$3*12&lt;=$A54,0,$K53*'depto - Departamento'!$D$8/12/(1-(1+'depto - Departamento'!$D$8/12)^-(12*AA$3-$A54+3))+$AY55)</f>
        <v>12.4053330387264</v>
      </c>
      <c r="AB54" s="791" cm="1">
        <f t="array" ref="AB54">IF(AB$3*12&lt;$A54,0,$K53*'depto - Departamento'!$D$8/12/(1-(1+'depto - Departamento'!$D$8/12)^-(12*AB$3-$A54+3))+$AY54)</f>
        <v>15.7352098369859</v>
      </c>
      <c r="AC54" s="791" cm="1">
        <f t="array" ref="AC54">IF(AC$3*12&lt;$A54,0,$K53*'depto - Departamento'!$D$8/12/(1-(1+'depto - Departamento'!$D$8/12)^-(12*AC$3-$A54+3))+$AY54)</f>
        <v>19.7420344517753</v>
      </c>
      <c r="AD54" s="791" cm="1">
        <f t="array" ref="AD54">IF(AD$3*12&lt;$A54,0,$K53*'depto - Departamento'!$D$8/12/(1-(1+'depto - Departamento'!$D$8/12)^-(12*AD$3-$A54+3))+$AY54)</f>
        <v>24.590581426576</v>
      </c>
      <c r="AE54" s="791" cm="1">
        <f t="array" ref="AE54">IF(AE$3*12&lt;$A54,0,$K53*'depto - Departamento'!$D$8/12/(1-(1+'depto - Departamento'!$D$8/12)^-(12*AE$3-$A54+3))+$AY54)</f>
        <v>105.305638211040</v>
      </c>
      <c r="AF54" s="791" cm="1">
        <f t="array" ref="AF54">AF53-(AF52-AF53)</f>
        <v>79.70529999999999</v>
      </c>
      <c r="AG54" s="791"/>
      <c r="AH54" s="791"/>
      <c r="AI54" s="804" cm="1">
        <f t="array" ref="AI54">$F54*Y54</f>
        <v>422656.970029031</v>
      </c>
      <c r="AJ54" s="405" cm="1">
        <f t="array" ref="AJ54">$F54*Z54</f>
        <v>466795.51182919</v>
      </c>
      <c r="AK54" s="405" cm="1">
        <f t="array" ref="AK54">$F54*AA54</f>
        <v>541223.3252975839</v>
      </c>
      <c r="AL54" s="405" cm="1">
        <f t="array" ref="AL54">$F54*AB54</f>
        <v>686500.117783463</v>
      </c>
      <c r="AM54" s="405" cm="1">
        <f t="array" ref="AM54">$F54*AC54</f>
        <v>861310.97817155</v>
      </c>
      <c r="AN54" s="405" cm="1">
        <f t="array" ref="AN54">$F54*AD54</f>
        <v>1072844.73614252</v>
      </c>
      <c r="AO54" s="405" cm="1">
        <f t="array" ref="AO54">$F54*AE54</f>
        <v>4594303.71657436</v>
      </c>
      <c r="AP54" s="405" cm="1">
        <f t="array" ref="AP54">$F54*AF54</f>
        <v>3477405.03017324</v>
      </c>
      <c r="AQ54" s="791"/>
      <c r="AR54" s="805" cm="1">
        <f t="array" ref="AR54">K53-K54</f>
        <v>12.3034</v>
      </c>
      <c r="AS54" s="805" cm="1">
        <f t="array" ref="AS54">D54-AR54</f>
        <v>7.1794</v>
      </c>
      <c r="AT54" s="791"/>
      <c r="AU54" s="806" cm="1">
        <f t="array" ref="AU54">ROUND(AV54*F54,0)</f>
        <v>45120</v>
      </c>
      <c r="AV54" s="807" cm="1">
        <f t="array" ref="AV54">IF(K53=0,0,AV53)</f>
        <v>1.0342</v>
      </c>
      <c r="AW54" s="806" cm="1">
        <f t="array" ref="AW54">ROUND(F54*AX54,0)</f>
        <v>2851</v>
      </c>
      <c r="AX54" s="807" cm="1">
        <f t="array" ref="AX54">AX$11/K$10*K53</f>
        <v>0.0653571490566847</v>
      </c>
      <c r="AY54" s="808" cm="1">
        <f t="array" ref="AY54">SUM(AV54,AX54)</f>
        <v>1.09955714905668</v>
      </c>
      <c r="AZ54" s="806" cm="1">
        <f t="array" ref="AZ54">AU54+AW54</f>
        <v>47971</v>
      </c>
      <c r="BA54" s="809" cm="1">
        <f t="array" ref="BA54">AI54-AZ54-BG54</f>
        <v>109432.222400108</v>
      </c>
      <c r="BB54" s="810" cm="1">
        <f t="array" ref="BB54">ROUND(BA54/$F54,4)</f>
        <v>2.5083</v>
      </c>
      <c r="BC54" s="809" cm="1">
        <f t="array" ref="BC54">J54-SUM(AZ54,BA54,BG54)</f>
        <v>427344.029970969</v>
      </c>
      <c r="BD54" s="810" cm="1">
        <f t="array" ref="BD54">ROUND(BC54/$F54,4)</f>
        <v>9.7951</v>
      </c>
      <c r="BE54" s="811" cm="1">
        <f t="array" ref="BE54">BC54+BA54</f>
        <v>536776.252371077</v>
      </c>
      <c r="BF54" s="810" cm="1">
        <f t="array" ref="BF54">ROUND((BA54+BC54)/F54,4)</f>
        <v>12.3034</v>
      </c>
      <c r="BG54" s="812" cm="1">
        <f t="array" ref="BG54">BO54*F54</f>
        <v>265253.747628923</v>
      </c>
      <c r="BH54" s="813" cm="1">
        <f t="array" ref="BH54">ROUND(BG54/$F54,4)</f>
        <v>6.0799</v>
      </c>
      <c r="BI54" s="798" cm="1">
        <f t="array" ref="BI54">M53-M54</f>
        <v>516983</v>
      </c>
      <c r="BJ54" s="798" cm="1">
        <f t="array" ref="BJ54">BE54-BI54</f>
        <v>19793.252371077</v>
      </c>
      <c r="BK54" s="798" cm="1">
        <f t="array" ref="BK54">-BJ54</f>
        <v>-19793.252371077</v>
      </c>
      <c r="BL54" s="798" cm="1">
        <f t="array" ref="BL54">BG54+BJ54</f>
        <v>285047</v>
      </c>
      <c r="BM54" s="798" cm="1">
        <f t="array" ref="BM54">AVERAGE(BL52:BL54)</f>
        <v>185354</v>
      </c>
      <c r="BN54" s="814" cm="1">
        <f t="array" ref="BN54">BH53-BH54</f>
        <v>0.0505</v>
      </c>
      <c r="BO54" s="801" cm="1">
        <f t="array" ref="BO54">K53*0.0495/12-0.16</f>
        <v>6.0798582125</v>
      </c>
      <c r="BP54" s="815" cm="1">
        <f t="array" ref="BP54">(BA54+BC54)/BG54</f>
        <v>2.02363305766372</v>
      </c>
      <c r="BQ54" s="815" cm="1">
        <f t="array" ref="BQ54">Y54-BB54</f>
        <v>7.17938386223236</v>
      </c>
      <c r="BR54" s="815" cm="1">
        <f t="array" ref="BR54">(BR$4*(1+BR$4)^BR$3*K53)/((1+BR$4)^BR$3-1)</f>
        <v>8.074300858233279</v>
      </c>
      <c r="BS54" s="815"/>
      <c r="BT54" s="405"/>
      <c r="BU54" s="405"/>
      <c r="BV54" s="405" cm="1">
        <f t="array" ref="BV54">BA54+BC54+BV53</f>
        <v>97086620.10551821</v>
      </c>
      <c r="BW54" s="405" cm="1">
        <f t="array" ref="BW54">BG54+BW53</f>
        <v>15993096.8944818</v>
      </c>
      <c r="BX54" s="801" cm="1">
        <f t="array" ref="BX54">BF54+BX53</f>
        <v>2415.1197</v>
      </c>
      <c r="BY54" s="801" cm="1">
        <f t="array" ref="BY54">BH54+BY53</f>
        <v>399.5562</v>
      </c>
      <c r="BZ54" s="405" cm="1">
        <f t="array" ref="BZ54">SUM(BJ$6:BJ54)</f>
        <v>15913499.1055182</v>
      </c>
      <c r="CA54" s="801"/>
      <c r="CB54" s="801"/>
      <c r="CC54" s="405" cm="1">
        <f t="array" ref="CC54">SUM(BE$6:BE54)</f>
        <v>97086620.10551821</v>
      </c>
      <c r="CD54" s="801"/>
      <c r="CE54" s="801"/>
      <c r="CF54" s="801"/>
      <c r="CG54" s="801"/>
      <c r="CH54" s="801"/>
      <c r="CI54" s="801"/>
      <c r="CJ54" s="801"/>
      <c r="CK54" s="801"/>
      <c r="CL54" s="801"/>
      <c r="CM54" s="801"/>
    </row>
    <row r="55" ht="19.35" customHeight="1" hidden="1">
      <c r="A55" s="762">
        <v>49</v>
      </c>
      <c r="B55" s="790">
        <v>46823</v>
      </c>
      <c r="C55" s="405"/>
      <c r="D55" s="791" cm="1">
        <f t="array" ref="D55">ROUND(850000/F55,4)</f>
        <v>19.411</v>
      </c>
      <c r="E55" s="792" cm="1">
        <f t="array" ref="E55">D55/K54</f>
        <v>0.0129373072792098</v>
      </c>
      <c r="F55" s="793" cm="1">
        <f t="array" ref="F55">F54*(1+G55)</f>
        <v>43789.7031788963</v>
      </c>
      <c r="G55" s="792" cm="1">
        <f t="array" ref="G55">H55-SUM(G44:G54)</f>
        <v>0.0037</v>
      </c>
      <c r="H55" s="794" cm="1">
        <f t="array" ref="H55">'depto - Table 5'!$H$2</f>
        <v>0.045</v>
      </c>
      <c r="I55" s="795" cm="1">
        <f t="array" ref="I55">H55+4.95/100</f>
        <v>0.0945</v>
      </c>
      <c r="J55" s="405" cm="1">
        <f t="array" ref="J55">IF(K54=0,0,ROUND(D55*F55,0))</f>
        <v>850002</v>
      </c>
      <c r="K55" s="796" cm="1">
        <f t="array" ref="K55">IF(K54-BF55&lt;0,0,K54-BF55)</f>
        <v>1488.1066</v>
      </c>
      <c r="L55" s="797" cm="1">
        <f t="array" ref="L55">K55/K$5</f>
        <v>0.376735848101266</v>
      </c>
      <c r="M55" s="798" cm="1">
        <f t="array" ref="M55">ROUND(K55*F55,0)</f>
        <v>65163746</v>
      </c>
      <c r="N55" s="799" cm="1">
        <f t="array" ref="N55">M55/M$5</f>
        <v>0.444401696616683</v>
      </c>
      <c r="O55" s="798" cm="1">
        <f t="array" ref="O55">M55-M54</f>
        <v>-295665</v>
      </c>
      <c r="P55" s="800" cm="1">
        <f t="array" ref="P55">T55-K55</f>
        <v>3911.8934</v>
      </c>
      <c r="Q55" s="798" cm="1">
        <f t="array" ref="Q55">ROUND(P55*F55,0)</f>
        <v>171300651</v>
      </c>
      <c r="R55" s="801" cm="1">
        <f t="array" ref="R55">$K$5-K55</f>
        <v>2461.8934</v>
      </c>
      <c r="S55" s="798" cm="1">
        <f t="array" ref="S55">Q55-Q54</f>
        <v>1167358</v>
      </c>
      <c r="T55" s="801">
        <v>5400</v>
      </c>
      <c r="U55" s="798" cm="1">
        <f t="array" ref="U55">T55*F55</f>
        <v>236464397.16604</v>
      </c>
      <c r="V55" s="802" cm="1">
        <f t="array" ref="V55">-S55</f>
        <v>-1167358</v>
      </c>
      <c r="W55" s="802"/>
      <c r="X55" s="802" cm="1">
        <f t="array" ref="X55">$K54*4.95/12/100/(1-(1+4.95/12/100)^-(360-$A55+3))+$AY55</f>
        <v>9.630545381503429</v>
      </c>
      <c r="Y55" s="803" cm="1">
        <f t="array" ref="Y55">K54*4.95/12/100/(1-(1+4.95/12/100)^-(360-$A55+3))+AY55</f>
        <v>9.630545381503429</v>
      </c>
      <c r="Z55" s="791" cm="1">
        <f t="array" ref="Z55">IF(Z$3*12&lt;=$A55,0,$K54*'depto - Departamento'!$D$8/12/(1-(1+'depto - Departamento'!$D$8/12)^-(12*Z$3-$A55+3))+$AY56)</f>
        <v>10.641966073913</v>
      </c>
      <c r="AA55" s="791" cm="1">
        <f t="array" ref="AA55">IF(AA$3*12&lt;=$A55,0,$K54*'depto - Departamento'!$D$8/12/(1-(1+'depto - Departamento'!$D$8/12)^-(12*AA$3-$A55+3))+$AY56)</f>
        <v>12.3505294918637</v>
      </c>
      <c r="AB55" s="791" cm="1">
        <f t="array" ref="AB55">IF(AB$3*12&lt;$A55,0,$K54*'depto - Departamento'!$D$8/12/(1-(1+'depto - Departamento'!$D$8/12)^-(12*AB$3-$A55+3))+$AY55)</f>
        <v>15.696660265090</v>
      </c>
      <c r="AC55" s="791" cm="1">
        <f t="array" ref="AC55">IF(AC$3*12&lt;$A55,0,$K54*'depto - Departamento'!$D$8/12/(1-(1+'depto - Departamento'!$D$8/12)^-(12*AC$3-$A55+3))+$AY55)</f>
        <v>19.7427357610284</v>
      </c>
      <c r="AD55" s="791" cm="1">
        <f t="array" ref="AD55">IF(AD$3*12&lt;$A55,0,$K54*'depto - Departamento'!$D$8/12/(1-(1+'depto - Departamento'!$D$8/12)^-(12*AD$3-$A55+3))+$AY55)</f>
        <v>24.6677714269191</v>
      </c>
      <c r="AE55" s="791" cm="1">
        <f t="array" ref="AE55">IF(AE$3*12&lt;$A55,0,$K54*'depto - Departamento'!$D$8/12/(1-(1+'depto - Departamento'!$D$8/12)^-(12*AE$3-$A55+3))+$AY55)</f>
        <v>111.614867525516</v>
      </c>
      <c r="AF55" s="791" cm="1">
        <f t="array" ref="AF55">AF54-(AF53-AF54)</f>
        <v>79.7025</v>
      </c>
      <c r="AG55" s="791"/>
      <c r="AH55" s="791"/>
      <c r="AI55" s="804" cm="1">
        <f t="array" ref="AI55">$F55*Y55</f>
        <v>421718.723706926</v>
      </c>
      <c r="AJ55" s="405" cm="1">
        <f t="array" ref="AJ55">$F55*Z55</f>
        <v>466008.535616535</v>
      </c>
      <c r="AK55" s="405" cm="1">
        <f t="array" ref="AK55">$F55*AA55</f>
        <v>540826.020550916</v>
      </c>
      <c r="AL55" s="405" cm="1">
        <f t="array" ref="AL55">$F55*AB55</f>
        <v>687352.093908267</v>
      </c>
      <c r="AM55" s="405" cm="1">
        <f t="array" ref="AM55">$F55*AC55</f>
        <v>864528.5389148151</v>
      </c>
      <c r="AN55" s="405" cm="1">
        <f t="array" ref="AN55">$F55*AD55</f>
        <v>1080194.38886965</v>
      </c>
      <c r="AO55" s="405" cm="1">
        <f t="array" ref="AO55">$F55*AE55</f>
        <v>4887581.91929418</v>
      </c>
      <c r="AP55" s="405" cm="1">
        <f t="array" ref="AP55">$F55*AF55</f>
        <v>3490148.81761598</v>
      </c>
      <c r="AQ55" s="791"/>
      <c r="AR55" s="805" cm="1">
        <f t="array" ref="AR55">K54-K55</f>
        <v>12.2829</v>
      </c>
      <c r="AS55" s="805" cm="1">
        <f t="array" ref="AS55">D55-AR55</f>
        <v>7.1281</v>
      </c>
      <c r="AT55" s="791"/>
      <c r="AU55" s="806" cm="1">
        <f t="array" ref="AU55">ROUND(AV55*F55,0)</f>
        <v>45287</v>
      </c>
      <c r="AV55" s="807" cm="1">
        <f t="array" ref="AV55">IF(K54=0,0,AV54)</f>
        <v>1.0342</v>
      </c>
      <c r="AW55" s="806" cm="1">
        <f t="array" ref="AW55">ROUND(F55*AX55,0)</f>
        <v>2839</v>
      </c>
      <c r="AX55" s="807" cm="1">
        <f t="array" ref="AX55">AX$11/K$10*K54</f>
        <v>0.0648255704740761</v>
      </c>
      <c r="AY55" s="808" cm="1">
        <f t="array" ref="AY55">SUM(AV55,AX55)</f>
        <v>1.09902557047408</v>
      </c>
      <c r="AZ55" s="806" cm="1">
        <f t="array" ref="AZ55">AU55+AW55</f>
        <v>48126</v>
      </c>
      <c r="BA55" s="809" cm="1">
        <f t="array" ref="BA55">AI55-AZ55-BG55</f>
        <v>109579.931427402</v>
      </c>
      <c r="BB55" s="810" cm="1">
        <f t="array" ref="BB55">ROUND(BA55/$F55,4)</f>
        <v>2.5024</v>
      </c>
      <c r="BC55" s="809" cm="1">
        <f t="array" ref="BC55">J55-SUM(AZ55,BA55,BG55)</f>
        <v>428283.276293074</v>
      </c>
      <c r="BD55" s="810" cm="1">
        <f t="array" ref="BD55">ROUND(BC55/$F55,4)</f>
        <v>9.7805</v>
      </c>
      <c r="BE55" s="811" cm="1">
        <f t="array" ref="BE55">BC55+BA55</f>
        <v>537863.207720476</v>
      </c>
      <c r="BF55" s="810" cm="1">
        <f t="array" ref="BF55">ROUND((BA55+BC55)/F55,4)</f>
        <v>12.2829</v>
      </c>
      <c r="BG55" s="812" cm="1">
        <f t="array" ref="BG55">BO55*F55</f>
        <v>264012.792279524</v>
      </c>
      <c r="BH55" s="813" cm="1">
        <f t="array" ref="BH55">ROUND(BG55/$F55,4)</f>
        <v>6.0291</v>
      </c>
      <c r="BI55" s="798" cm="1">
        <f t="array" ref="BI55">M54-M55</f>
        <v>295665</v>
      </c>
      <c r="BJ55" s="798" cm="1">
        <f t="array" ref="BJ55">BE55-BI55</f>
        <v>242198.207720476</v>
      </c>
      <c r="BK55" s="798" cm="1">
        <f t="array" ref="BK55">-BJ55</f>
        <v>-242198.207720476</v>
      </c>
      <c r="BL55" s="798" cm="1">
        <f t="array" ref="BL55">BG55+BJ55</f>
        <v>506211</v>
      </c>
      <c r="BM55" s="798" cm="1">
        <f t="array" ref="BM55">AVERAGE(BL53:BL55)</f>
        <v>259370.666666667</v>
      </c>
      <c r="BN55" s="814" cm="1">
        <f t="array" ref="BN55">BH54-BH55</f>
        <v>0.0508</v>
      </c>
      <c r="BO55" s="801" cm="1">
        <f t="array" ref="BO55">K54*0.0495/12-0.16</f>
        <v>6.0291066875</v>
      </c>
      <c r="BP55" s="815" cm="1">
        <f t="array" ref="BP55">(BA55+BC55)/BG55</f>
        <v>2.03726191854754</v>
      </c>
      <c r="BQ55" s="815" cm="1">
        <f t="array" ref="BQ55">Y55-BB55</f>
        <v>7.12814538150343</v>
      </c>
      <c r="BR55" s="815" cm="1">
        <f t="array" ref="BR55">(BR$4*(1+BR$4)^BR$3*K54)/((1+BR$4)^BR$3-1)</f>
        <v>8.0086290003306</v>
      </c>
      <c r="BS55" s="815"/>
      <c r="BT55" s="405"/>
      <c r="BU55" s="405"/>
      <c r="BV55" s="405" cm="1">
        <f t="array" ref="BV55">BA55+BC55+BV54</f>
        <v>97624483.3132387</v>
      </c>
      <c r="BW55" s="405" cm="1">
        <f t="array" ref="BW55">BG55+BW54</f>
        <v>16257109.6867613</v>
      </c>
      <c r="BX55" s="801" cm="1">
        <f t="array" ref="BX55">BF55+BX54</f>
        <v>2427.4026</v>
      </c>
      <c r="BY55" s="801" cm="1">
        <f t="array" ref="BY55">BH55+BY54</f>
        <v>405.5853</v>
      </c>
      <c r="BZ55" s="405" cm="1">
        <f t="array" ref="BZ55">SUM(BJ$6:BJ55)</f>
        <v>16155697.3132387</v>
      </c>
      <c r="CA55" s="801"/>
      <c r="CB55" s="801"/>
      <c r="CC55" s="405" cm="1">
        <f t="array" ref="CC55">SUM(BE$6:BE55)</f>
        <v>97624483.3132387</v>
      </c>
      <c r="CD55" s="801"/>
      <c r="CE55" s="801"/>
      <c r="CF55" s="801"/>
      <c r="CG55" s="801"/>
      <c r="CH55" s="801"/>
      <c r="CI55" s="801"/>
      <c r="CJ55" s="801"/>
      <c r="CK55" s="801"/>
      <c r="CL55" s="801"/>
      <c r="CM55" s="801"/>
    </row>
    <row r="56" ht="19.35" customHeight="1" hidden="1">
      <c r="A56" s="762">
        <v>50</v>
      </c>
      <c r="B56" s="790">
        <v>46854</v>
      </c>
      <c r="C56" s="405"/>
      <c r="D56" s="791" cm="1">
        <f t="array" ref="D56">ROUND(850000/F56,4)</f>
        <v>19.3974</v>
      </c>
      <c r="E56" s="792" cm="1">
        <f t="array" ref="E56">D56/K55</f>
        <v>0.0130349532755248</v>
      </c>
      <c r="F56" s="793" cm="1">
        <f t="array" ref="F56">F55*(1+G56)</f>
        <v>43820.3559711215</v>
      </c>
      <c r="G56" s="792" cm="1">
        <f t="array" ref="G56">H56-SUM(G45:G55)</f>
        <v>0.0007</v>
      </c>
      <c r="H56" s="794" cm="1">
        <f t="array" ref="H56">'depto - Table 5'!$H$2</f>
        <v>0.045</v>
      </c>
      <c r="I56" s="795" cm="1">
        <f t="array" ref="I56">H56+4.95/100</f>
        <v>0.0945</v>
      </c>
      <c r="J56" s="405" cm="1">
        <f t="array" ref="J56">IF(K55=0,0,ROUND(D56*F56,0))</f>
        <v>850001</v>
      </c>
      <c r="K56" s="796" cm="1">
        <f t="array" ref="K56">IF(K55-BF56&lt;0,0,K55-BF56)</f>
        <v>1475.7861</v>
      </c>
      <c r="L56" s="797" cm="1">
        <f t="array" ref="L56">K56/K$5</f>
        <v>0.373616734177215</v>
      </c>
      <c r="M56" s="798" cm="1">
        <f t="array" ref="M56">ROUND(K56*F56,0)</f>
        <v>64669472</v>
      </c>
      <c r="N56" s="799" cm="1">
        <f t="array" ref="N56">M56/M$5</f>
        <v>0.441030862100915</v>
      </c>
      <c r="O56" s="798" cm="1">
        <f t="array" ref="O56">M56-M55</f>
        <v>-494274</v>
      </c>
      <c r="P56" s="800" cm="1">
        <f t="array" ref="P56">T56-K56</f>
        <v>3924.2139</v>
      </c>
      <c r="Q56" s="798" cm="1">
        <f t="array" ref="Q56">ROUND(P56*F56,0)</f>
        <v>171960450</v>
      </c>
      <c r="R56" s="801" cm="1">
        <f t="array" ref="R56">$K$5-K56</f>
        <v>2474.2139</v>
      </c>
      <c r="S56" s="798" cm="1">
        <f t="array" ref="S56">Q56-Q55</f>
        <v>659799</v>
      </c>
      <c r="T56" s="801">
        <v>5400</v>
      </c>
      <c r="U56" s="798" cm="1">
        <f t="array" ref="U56">T56*F56</f>
        <v>236629922.244056</v>
      </c>
      <c r="V56" s="802" cm="1">
        <f t="array" ref="V56">-S56</f>
        <v>-659799</v>
      </c>
      <c r="W56" s="802"/>
      <c r="X56" s="802" cm="1">
        <f t="array" ref="X56">$K55*4.95/12/100/(1-(1+4.95/12/100)^-(360-$A56+3))+$AY56</f>
        <v>9.57340267593332</v>
      </c>
      <c r="Y56" s="803" cm="1">
        <f t="array" ref="Y56">K55*4.95/12/100/(1-(1+4.95/12/100)^-(360-$A56+3))+AY56</f>
        <v>9.57340267593332</v>
      </c>
      <c r="Z56" s="791" cm="1">
        <f t="array" ref="Z56">IF(Z$3*12&lt;=$A56,0,$K55*'depto - Departamento'!$D$8/12/(1-(1+'depto - Departamento'!$D$8/12)^-(12*Z$3-$A56+3))+$AY57)</f>
        <v>10.5845151049272</v>
      </c>
      <c r="AA56" s="791" cm="1">
        <f t="array" ref="AA56">IF(AA$3*12&lt;=$A56,0,$K55*'depto - Departamento'!$D$8/12/(1-(1+'depto - Departamento'!$D$8/12)^-(12*AA$3-$A56+3))+$AY57)</f>
        <v>12.2956683226913</v>
      </c>
      <c r="AB56" s="791" cm="1">
        <f t="array" ref="AB56">IF(AB$3*12&lt;$A56,0,$K55*'depto - Departamento'!$D$8/12/(1-(1+'depto - Departamento'!$D$8/12)^-(12*AB$3-$A56+3))+$AY56)</f>
        <v>15.6582224754979</v>
      </c>
      <c r="AC56" s="791" cm="1">
        <f t="array" ref="AC56">IF(AC$3*12&lt;$A56,0,$K55*'depto - Departamento'!$D$8/12/(1-(1+'depto - Departamento'!$D$8/12)^-(12*AC$3-$A56+3))+$AY56)</f>
        <v>19.744356499896</v>
      </c>
      <c r="AD56" s="791" cm="1">
        <f t="array" ref="AD56">IF(AD$3*12&lt;$A56,0,$K55*'depto - Departamento'!$D$8/12/(1-(1+'depto - Departamento'!$D$8/12)^-(12*AD$3-$A56+3))+$AY56)</f>
        <v>24.7482407013132</v>
      </c>
      <c r="AE56" s="791" cm="1">
        <f t="array" ref="AE56">IF(AE$3*12&lt;$A56,0,$K55*'depto - Departamento'!$D$8/12/(1-(1+'depto - Departamento'!$D$8/12)^-(12*AE$3-$A56+3))+$AY56)</f>
        <v>118.900758480976</v>
      </c>
      <c r="AF56" s="791" cm="1">
        <f t="array" ref="AF56">AF55-(AF54-AF55)</f>
        <v>79.69970000000001</v>
      </c>
      <c r="AG56" s="791"/>
      <c r="AH56" s="791"/>
      <c r="AI56" s="804" cm="1">
        <f t="array" ref="AI56">$F56*Y56</f>
        <v>419509.913114285</v>
      </c>
      <c r="AJ56" s="405" cm="1">
        <f t="array" ref="AJ56">$F56*Z56</f>
        <v>463817.219679622</v>
      </c>
      <c r="AK56" s="405" cm="1">
        <f t="array" ref="AK56">$F56*AA56</f>
        <v>538800.562803175</v>
      </c>
      <c r="AL56" s="405" cm="1">
        <f t="array" ref="AL56">$F56*AB56</f>
        <v>686148.8827513329</v>
      </c>
      <c r="AM56" s="405" cm="1">
        <f t="array" ref="AM56">$F56*AC56</f>
        <v>865204.730246169</v>
      </c>
      <c r="AN56" s="405" cm="1">
        <f t="array" ref="AN56">$F56*AD56</f>
        <v>1084476.71719054</v>
      </c>
      <c r="AO56" s="405" cm="1">
        <f t="array" ref="AO56">$F56*AE56</f>
        <v>5210273.56187271</v>
      </c>
      <c r="AP56" s="405" cm="1">
        <f t="array" ref="AP56">$F56*AF56</f>
        <v>3492469.22479159</v>
      </c>
      <c r="AQ56" s="791"/>
      <c r="AR56" s="805" cm="1">
        <f t="array" ref="AR56">K55-K56</f>
        <v>12.3205</v>
      </c>
      <c r="AS56" s="805" cm="1">
        <f t="array" ref="AS56">D56-AR56</f>
        <v>7.0769</v>
      </c>
      <c r="AT56" s="791"/>
      <c r="AU56" s="806" cm="1">
        <f t="array" ref="AU56">ROUND(AV56*F56,0)</f>
        <v>45319</v>
      </c>
      <c r="AV56" s="807" cm="1">
        <f t="array" ref="AV56">IF(K55=0,0,AV55)</f>
        <v>1.0342</v>
      </c>
      <c r="AW56" s="806" cm="1">
        <f t="array" ref="AW56">ROUND(F56*AX56,0)</f>
        <v>2817</v>
      </c>
      <c r="AX56" s="807" cm="1">
        <f t="array" ref="AX56">AX$11/K$10*K55</f>
        <v>0.0642948776109389</v>
      </c>
      <c r="AY56" s="808" cm="1">
        <f t="array" ref="AY56">SUM(AV56,AX56)</f>
        <v>1.09849487761094</v>
      </c>
      <c r="AZ56" s="806" cm="1">
        <f t="array" ref="AZ56">AU56+AW56</f>
        <v>48136</v>
      </c>
      <c r="BA56" s="809" cm="1">
        <f t="array" ref="BA56">AI56-AZ56-BG56</f>
        <v>109396.556212891</v>
      </c>
      <c r="BB56" s="810" cm="1">
        <f t="array" ref="BB56">ROUND(BA56/$F56,4)</f>
        <v>2.4965</v>
      </c>
      <c r="BC56" s="809" cm="1">
        <f t="array" ref="BC56">J56-SUM(AZ56,BA56,BG56)</f>
        <v>430491.086885715</v>
      </c>
      <c r="BD56" s="810" cm="1">
        <f t="array" ref="BD56">ROUND(BC56/$F56,4)</f>
        <v>9.824</v>
      </c>
      <c r="BE56" s="811" cm="1">
        <f t="array" ref="BE56">BC56+BA56</f>
        <v>539887.643098606</v>
      </c>
      <c r="BF56" s="810" cm="1">
        <f t="array" ref="BF56">ROUND((BA56+BC56)/F56,4)</f>
        <v>12.3205</v>
      </c>
      <c r="BG56" s="812" cm="1">
        <f t="array" ref="BG56">BO56*F56</f>
        <v>261977.356901394</v>
      </c>
      <c r="BH56" s="813" cm="1">
        <f t="array" ref="BH56">ROUND(BG56/$F56,4)</f>
        <v>5.9784</v>
      </c>
      <c r="BI56" s="798" cm="1">
        <f t="array" ref="BI56">M55-M56</f>
        <v>494274</v>
      </c>
      <c r="BJ56" s="798" cm="1">
        <f t="array" ref="BJ56">BE56-BI56</f>
        <v>45613.643098606</v>
      </c>
      <c r="BK56" s="798" cm="1">
        <f t="array" ref="BK56">-BJ56</f>
        <v>-45613.643098606</v>
      </c>
      <c r="BL56" s="798" cm="1">
        <f t="array" ref="BL56">BG56+BJ56</f>
        <v>307591</v>
      </c>
      <c r="BM56" s="798" cm="1">
        <f t="array" ref="BM56">AVERAGE(BL54:BL56)</f>
        <v>366283</v>
      </c>
      <c r="BN56" s="814" cm="1">
        <f t="array" ref="BN56">BH55-BH56</f>
        <v>0.0507</v>
      </c>
      <c r="BO56" s="801" cm="1">
        <f t="array" ref="BO56">K55*0.0495/12-0.16</f>
        <v>5.978439725</v>
      </c>
      <c r="BP56" s="815" cm="1">
        <f t="array" ref="BP56">(BA56+BC56)/BG56</f>
        <v>2.06081796337007</v>
      </c>
      <c r="BQ56" s="815" cm="1">
        <f t="array" ref="BQ56">Y56-BB56</f>
        <v>7.07690267593332</v>
      </c>
      <c r="BR56" s="815" cm="1">
        <f t="array" ref="BR56">(BR$4*(1+BR$4)^BR$3*K55)/((1+BR$4)^BR$3-1)</f>
        <v>7.94306656527747</v>
      </c>
      <c r="BS56" s="815"/>
      <c r="BT56" s="405"/>
      <c r="BU56" s="405"/>
      <c r="BV56" s="405" cm="1">
        <f t="array" ref="BV56">BA56+BC56+BV55</f>
        <v>98164370.9563373</v>
      </c>
      <c r="BW56" s="405" cm="1">
        <f t="array" ref="BW56">BG56+BW55</f>
        <v>16519087.0436627</v>
      </c>
      <c r="BX56" s="801" cm="1">
        <f t="array" ref="BX56">BF56+BX55</f>
        <v>2439.7231</v>
      </c>
      <c r="BY56" s="801" cm="1">
        <f t="array" ref="BY56">BH56+BY55</f>
        <v>411.5637</v>
      </c>
      <c r="BZ56" s="405" cm="1">
        <f t="array" ref="BZ56">SUM(BJ$6:BJ56)</f>
        <v>16201310.9563373</v>
      </c>
      <c r="CA56" s="801"/>
      <c r="CB56" s="801"/>
      <c r="CC56" s="405" cm="1">
        <f t="array" ref="CC56">SUM(BE$6:BE56)</f>
        <v>98164370.9563373</v>
      </c>
      <c r="CD56" s="801"/>
      <c r="CE56" s="801"/>
      <c r="CF56" s="801"/>
      <c r="CG56" s="801"/>
      <c r="CH56" s="801"/>
      <c r="CI56" s="801"/>
      <c r="CJ56" s="801"/>
      <c r="CK56" s="801"/>
      <c r="CL56" s="801"/>
      <c r="CM56" s="801"/>
    </row>
    <row r="57" ht="19.35" customHeight="1" hidden="1">
      <c r="A57" s="762">
        <v>51</v>
      </c>
      <c r="B57" s="790">
        <v>46884</v>
      </c>
      <c r="C57" s="405"/>
      <c r="D57" s="791" cm="1">
        <f t="array" ref="D57">ROUND(850000/F57,4)</f>
        <v>19.2015</v>
      </c>
      <c r="E57" s="792" cm="1">
        <f t="array" ref="E57">D57/K56</f>
        <v>0.013011031883279</v>
      </c>
      <c r="F57" s="793" cm="1">
        <f t="array" ref="F57">F56*(1+G57)</f>
        <v>44267.3236020269</v>
      </c>
      <c r="G57" s="792" cm="1">
        <f t="array" ref="G57">H57-SUM(G46:G56)</f>
        <v>0.0102</v>
      </c>
      <c r="H57" s="794" cm="1">
        <f t="array" ref="H57">'depto - Table 5'!$H$2</f>
        <v>0.045</v>
      </c>
      <c r="I57" s="795" cm="1">
        <f t="array" ref="I57">H57+4.95/100</f>
        <v>0.0945</v>
      </c>
      <c r="J57" s="405" cm="1">
        <f t="array" ref="J57">IF(K56=0,0,ROUND(D57*F57,0))</f>
        <v>849999</v>
      </c>
      <c r="K57" s="796" cm="1">
        <f t="array" ref="K57">IF(K56-BF57&lt;0,0,K56-BF57)</f>
        <v>1463.6102</v>
      </c>
      <c r="L57" s="797" cm="1">
        <f t="array" ref="L57">K57/K$5</f>
        <v>0.370534227848101</v>
      </c>
      <c r="M57" s="798" cm="1">
        <f t="array" ref="M57">ROUND(K57*F57,0)</f>
        <v>64790106</v>
      </c>
      <c r="N57" s="799" cm="1">
        <f t="array" ref="N57">M57/M$5</f>
        <v>0.441853558117649</v>
      </c>
      <c r="O57" s="798" cm="1">
        <f t="array" ref="O57">M57-M56</f>
        <v>120634</v>
      </c>
      <c r="P57" s="800" cm="1">
        <f t="array" ref="P57">T57-K57</f>
        <v>3936.3898</v>
      </c>
      <c r="Q57" s="798" cm="1">
        <f t="array" ref="Q57">ROUND(P57*F57,0)</f>
        <v>174253441</v>
      </c>
      <c r="R57" s="801" cm="1">
        <f t="array" ref="R57">$K$5-K57</f>
        <v>2486.3898</v>
      </c>
      <c r="S57" s="798" cm="1">
        <f t="array" ref="S57">Q57-Q56</f>
        <v>2292991</v>
      </c>
      <c r="T57" s="801">
        <v>5400</v>
      </c>
      <c r="U57" s="798" cm="1">
        <f t="array" ref="U57">T57*F57</f>
        <v>239043547.450945</v>
      </c>
      <c r="V57" s="802" cm="1">
        <f t="array" ref="V57">-S57</f>
        <v>-2292991</v>
      </c>
      <c r="W57" s="802"/>
      <c r="X57" s="802" cm="1">
        <f t="array" ref="X57">$K56*4.95/12/100/(1-(1+4.95/12/100)^-(360-$A57+3))+$AY57</f>
        <v>9.515920936668349</v>
      </c>
      <c r="Y57" s="803" cm="1">
        <f t="array" ref="Y57">K56*4.95/12/100/(1-(1+4.95/12/100)^-(360-$A57+3))+AY57</f>
        <v>9.515920936668349</v>
      </c>
      <c r="Z57" s="791" cm="1">
        <f t="array" ref="Z57">IF(Z$3*12&lt;=$A57,0,$K56*'depto - Departamento'!$D$8/12/(1-(1+'depto - Departamento'!$D$8/12)^-(12*Z$3-$A57+3))+$AY58)</f>
        <v>10.526661851460</v>
      </c>
      <c r="AA57" s="791" cm="1">
        <f t="array" ref="AA57">IF(AA$3*12&lt;=$A57,0,$K56*'depto - Departamento'!$D$8/12/(1-(1+'depto - Departamento'!$D$8/12)^-(12*AA$3-$A57+3))+$AY58)</f>
        <v>12.2403165170018</v>
      </c>
      <c r="AB57" s="791" cm="1">
        <f t="array" ref="AB57">IF(AB$3*12&lt;$A57,0,$K56*'depto - Departamento'!$D$8/12/(1-(1+'depto - Departamento'!$D$8/12)^-(12*AB$3-$A57+3))+$AY57)</f>
        <v>15.6193229012526</v>
      </c>
      <c r="AC57" s="791" cm="1">
        <f t="array" ref="AC57">IF(AC$3*12&lt;$A57,0,$K56*'depto - Departamento'!$D$8/12/(1-(1+'depto - Departamento'!$D$8/12)^-(12*AC$3-$A57+3))+$AY57)</f>
        <v>19.7461861517078</v>
      </c>
      <c r="AD57" s="791" cm="1">
        <f t="array" ref="AD57">IF(AD$3*12&lt;$A57,0,$K56*'depto - Departamento'!$D$8/12/(1-(1+'depto - Departamento'!$D$8/12)^-(12*AD$3-$A57+3))+$AY57)</f>
        <v>24.8311856297334</v>
      </c>
      <c r="AE57" s="791" cm="1">
        <f t="array" ref="AE57">IF(AE$3*12&lt;$A57,0,$K56*'depto - Departamento'!$D$8/12/(1-(1+'depto - Departamento'!$D$8/12)^-(12*AE$3-$A57+3))+$AY57)</f>
        <v>127.402481854673</v>
      </c>
      <c r="AF57" s="791" cm="1">
        <f t="array" ref="AF57">AF56-(AF55-AF56)</f>
        <v>79.6969</v>
      </c>
      <c r="AG57" s="791"/>
      <c r="AH57" s="791"/>
      <c r="AI57" s="804" cm="1">
        <f t="array" ref="AI57">$F57*Y57</f>
        <v>421244.351474801</v>
      </c>
      <c r="AJ57" s="405" cm="1">
        <f t="array" ref="AJ57">$F57*Z57</f>
        <v>465987.146627691</v>
      </c>
      <c r="AK57" s="405" cm="1">
        <f t="array" ref="AK57">$F57*AA57</f>
        <v>541846.052249353</v>
      </c>
      <c r="AL57" s="405" cm="1">
        <f t="array" ref="AL57">$F57*AB57</f>
        <v>691425.621314298</v>
      </c>
      <c r="AM57" s="405" cm="1">
        <f t="array" ref="AM57">$F57*AC57</f>
        <v>874110.812283511</v>
      </c>
      <c r="AN57" s="405" cm="1">
        <f t="array" ref="AN57">$F57*AD57</f>
        <v>1099210.12969341</v>
      </c>
      <c r="AO57" s="405" cm="1">
        <f t="array" ref="AO57">$F57*AE57</f>
        <v>5639766.89196217</v>
      </c>
      <c r="AP57" s="405" cm="1">
        <f t="array" ref="AP57">$F57*AF57</f>
        <v>3527968.46237838</v>
      </c>
      <c r="AQ57" s="791"/>
      <c r="AR57" s="805" cm="1">
        <f t="array" ref="AR57">K56-K57</f>
        <v>12.1759</v>
      </c>
      <c r="AS57" s="805" cm="1">
        <f t="array" ref="AS57">D57-AR57</f>
        <v>7.0256</v>
      </c>
      <c r="AT57" s="791"/>
      <c r="AU57" s="806" cm="1">
        <f t="array" ref="AU57">ROUND(AV57*F57,0)</f>
        <v>45781</v>
      </c>
      <c r="AV57" s="807" cm="1">
        <f t="array" ref="AV57">IF(K56=0,0,AV56)</f>
        <v>1.0342</v>
      </c>
      <c r="AW57" s="806" cm="1">
        <f t="array" ref="AW57">ROUND(F57*AX57,0)</f>
        <v>2823</v>
      </c>
      <c r="AX57" s="807" cm="1">
        <f t="array" ref="AX57">AX$11/K$10*K56</f>
        <v>0.0637625602086738</v>
      </c>
      <c r="AY57" s="808" cm="1">
        <f t="array" ref="AY57">SUM(AV57,AX57)</f>
        <v>1.09796256020867</v>
      </c>
      <c r="AZ57" s="806" cm="1">
        <f t="array" ref="AZ57">AU57+AW57</f>
        <v>48604</v>
      </c>
      <c r="BA57" s="809" cm="1">
        <f t="array" ref="BA57">AI57-AZ57-BG57</f>
        <v>110240.582219823</v>
      </c>
      <c r="BB57" s="810" cm="1">
        <f t="array" ref="BB57">ROUND(BA57/$F57,4)</f>
        <v>2.4903</v>
      </c>
      <c r="BC57" s="809" cm="1">
        <f t="array" ref="BC57">J57-SUM(AZ57,BA57,BG57)</f>
        <v>428754.648525199</v>
      </c>
      <c r="BD57" s="810" cm="1">
        <f t="array" ref="BD57">ROUND(BC57/$F57,4)</f>
        <v>9.685600000000001</v>
      </c>
      <c r="BE57" s="811" cm="1">
        <f t="array" ref="BE57">BC57+BA57</f>
        <v>538995.230745022</v>
      </c>
      <c r="BF57" s="810" cm="1">
        <f t="array" ref="BF57">ROUND((BA57+BC57)/F57,4)</f>
        <v>12.1759</v>
      </c>
      <c r="BG57" s="812" cm="1">
        <f t="array" ref="BG57">BO57*F57</f>
        <v>262399.769254978</v>
      </c>
      <c r="BH57" s="813" cm="1">
        <f t="array" ref="BH57">ROUND(BG57/$F57,4)</f>
        <v>5.9276</v>
      </c>
      <c r="BI57" s="798" cm="1">
        <f t="array" ref="BI57">M56-M57</f>
        <v>-120634</v>
      </c>
      <c r="BJ57" s="798" cm="1">
        <f t="array" ref="BJ57">BE57-BI57</f>
        <v>659629.230745022</v>
      </c>
      <c r="BK57" s="798" cm="1">
        <f t="array" ref="BK57">-BJ57</f>
        <v>-659629.230745022</v>
      </c>
      <c r="BL57" s="798" cm="1">
        <f t="array" ref="BL57">BG57+BJ57</f>
        <v>922029</v>
      </c>
      <c r="BM57" s="798" cm="1">
        <f t="array" ref="BM57">AVERAGE(BL55:BL57)</f>
        <v>578610.333333333</v>
      </c>
      <c r="BN57" s="814" cm="1">
        <f t="array" ref="BN57">BH56-BH57</f>
        <v>0.0508</v>
      </c>
      <c r="BO57" s="801" cm="1">
        <f t="array" ref="BO57">K56*0.0495/12-0.16</f>
        <v>5.9276176625</v>
      </c>
      <c r="BP57" s="815" cm="1">
        <f t="array" ref="BP57">(BA57+BC57)/BG57</f>
        <v>2.05409948444456</v>
      </c>
      <c r="BQ57" s="815" cm="1">
        <f t="array" ref="BQ57">Y57-BB57</f>
        <v>7.02562093666835</v>
      </c>
      <c r="BR57" s="815" cm="1">
        <f t="array" ref="BR57">(BR$4*(1+BR$4)^BR$3*K56)/((1+BR$4)^BR$3-1)</f>
        <v>7.87730343270518</v>
      </c>
      <c r="BS57" s="815"/>
      <c r="BT57" s="405"/>
      <c r="BU57" s="405"/>
      <c r="BV57" s="405" cm="1">
        <f t="array" ref="BV57">BA57+BC57+BV56</f>
        <v>98703366.18708231</v>
      </c>
      <c r="BW57" s="405" cm="1">
        <f t="array" ref="BW57">BG57+BW56</f>
        <v>16781486.8129177</v>
      </c>
      <c r="BX57" s="801" cm="1">
        <f t="array" ref="BX57">BF57+BX56</f>
        <v>2451.899</v>
      </c>
      <c r="BY57" s="801" cm="1">
        <f t="array" ref="BY57">BH57+BY56</f>
        <v>417.4913</v>
      </c>
      <c r="BZ57" s="405" cm="1">
        <f t="array" ref="BZ57">SUM(BJ$6:BJ57)</f>
        <v>16860940.1870823</v>
      </c>
      <c r="CA57" s="801"/>
      <c r="CB57" s="801"/>
      <c r="CC57" s="405" cm="1">
        <f t="array" ref="CC57">SUM(BE$6:BE57)</f>
        <v>98703366.18708231</v>
      </c>
      <c r="CD57" s="801"/>
      <c r="CE57" s="801"/>
      <c r="CF57" s="801"/>
      <c r="CG57" s="801"/>
      <c r="CH57" s="801"/>
      <c r="CI57" s="801"/>
      <c r="CJ57" s="801"/>
      <c r="CK57" s="801"/>
      <c r="CL57" s="801"/>
      <c r="CM57" s="801"/>
    </row>
    <row r="58" ht="19.35" customHeight="1" hidden="1">
      <c r="A58" s="762">
        <v>52</v>
      </c>
      <c r="B58" s="790">
        <v>46915</v>
      </c>
      <c r="C58" s="405"/>
      <c r="D58" s="791" cm="1">
        <f t="array" ref="D58">ROUND(850000/F58,4)</f>
        <v>18.9551</v>
      </c>
      <c r="E58" s="792" cm="1">
        <f t="array" ref="E58">D58/K57</f>
        <v>0.0129509209487608</v>
      </c>
      <c r="F58" s="793" cm="1">
        <f t="array" ref="F58">F57*(1+G58)</f>
        <v>44842.7988088532</v>
      </c>
      <c r="G58" s="792" cm="1">
        <f t="array" ref="G58">H58-SUM(G47:G57)</f>
        <v>0.013</v>
      </c>
      <c r="H58" s="794" cm="1">
        <f t="array" ref="H58">'depto - Table 5'!$H$2</f>
        <v>0.045</v>
      </c>
      <c r="I58" s="795" cm="1">
        <f t="array" ref="I58">H58+4.95/100</f>
        <v>0.0945</v>
      </c>
      <c r="J58" s="405" cm="1">
        <f t="array" ref="J58">IF(K57=0,0,ROUND(D58*F58,0))</f>
        <v>850000</v>
      </c>
      <c r="K58" s="796" cm="1">
        <f t="array" ref="K58">IF(K57-BF58&lt;0,0,K57-BF58)</f>
        <v>1451.6299</v>
      </c>
      <c r="L58" s="797" cm="1">
        <f t="array" ref="L58">K58/K$5</f>
        <v>0.367501240506329</v>
      </c>
      <c r="M58" s="798" cm="1">
        <f t="array" ref="M58">ROUND(K58*F58,0)</f>
        <v>65095148</v>
      </c>
      <c r="N58" s="799" cm="1">
        <f t="array" ref="N58">M58/M$5</f>
        <v>0.443933874101008</v>
      </c>
      <c r="O58" s="798" cm="1">
        <f t="array" ref="O58">M58-M57</f>
        <v>305042</v>
      </c>
      <c r="P58" s="800" cm="1">
        <f t="array" ref="P58">T58-K58</f>
        <v>3948.3701</v>
      </c>
      <c r="Q58" s="798" cm="1">
        <f t="array" ref="Q58">ROUND(P58*F58,0)</f>
        <v>177055966</v>
      </c>
      <c r="R58" s="801" cm="1">
        <f t="array" ref="R58">$K$5-K58</f>
        <v>2498.3701</v>
      </c>
      <c r="S58" s="798" cm="1">
        <f t="array" ref="S58">Q58-Q57</f>
        <v>2802525</v>
      </c>
      <c r="T58" s="801">
        <v>5400</v>
      </c>
      <c r="U58" s="798" cm="1">
        <f t="array" ref="U58">T58*F58</f>
        <v>242151113.567807</v>
      </c>
      <c r="V58" s="802" cm="1">
        <f t="array" ref="V58">-S58</f>
        <v>-2802525</v>
      </c>
      <c r="W58" s="802"/>
      <c r="X58" s="802" cm="1">
        <f t="array" ref="X58">$K57*4.95/12/100/(1-(1+4.95/12/100)^-(360-$A58+3))+$AY58</f>
        <v>9.45914648085553</v>
      </c>
      <c r="Y58" s="803" cm="1">
        <f t="array" ref="Y58">K57*4.95/12/100/(1-(1+4.95/12/100)^-(360-$A58+3))+AY58</f>
        <v>9.45914648085553</v>
      </c>
      <c r="Z58" s="791" cm="1">
        <f t="array" ref="Z58">IF(Z$3*12&lt;=$A58,0,$K57*'depto - Departamento'!$D$8/12/(1-(1+'depto - Departamento'!$D$8/12)^-(12*Z$3-$A58+3))+$AY59)</f>
        <v>10.4695712797091</v>
      </c>
      <c r="AA58" s="791" cm="1">
        <f t="array" ref="AA58">IF(AA$3*12&lt;=$A58,0,$K57*'depto - Departamento'!$D$8/12/(1-(1+'depto - Departamento'!$D$8/12)^-(12*AA$3-$A58+3))+$AY59)</f>
        <v>12.1858499302267</v>
      </c>
      <c r="AB58" s="791" cm="1">
        <f t="array" ref="AB58">IF(AB$3*12&lt;$A58,0,$K57*'depto - Departamento'!$D$8/12/(1-(1+'depto - Departamento'!$D$8/12)^-(12*AB$3-$A58+3))+$AY58)</f>
        <v>15.5817633168339</v>
      </c>
      <c r="AC58" s="791" cm="1">
        <f t="array" ref="AC58">IF(AC$3*12&lt;$A58,0,$K57*'depto - Departamento'!$D$8/12/(1-(1+'depto - Departamento'!$D$8/12)^-(12*AC$3-$A58+3))+$AY58)</f>
        <v>19.7505630050404</v>
      </c>
      <c r="AD58" s="791" cm="1">
        <f t="array" ref="AD58">IF(AD$3*12&lt;$A58,0,$K57*'depto - Departamento'!$D$8/12/(1-(1+'depto - Departamento'!$D$8/12)^-(12*AD$3-$A58+3))+$AY58)</f>
        <v>24.9196864671301</v>
      </c>
      <c r="AE58" s="791" cm="1">
        <f t="array" ref="AE58">IF(AE$3*12&lt;$A58,0,$K57*'depto - Departamento'!$D$8/12/(1-(1+'depto - Departamento'!$D$8/12)^-(12*AE$3-$A58+3))+$AY58)</f>
        <v>137.468625042033</v>
      </c>
      <c r="AF58" s="791" cm="1">
        <f t="array" ref="AF58">AF57-(AF56-AF57)</f>
        <v>79.69410000000001</v>
      </c>
      <c r="AG58" s="791"/>
      <c r="AH58" s="791"/>
      <c r="AI58" s="804" cm="1">
        <f t="array" ref="AI58">$F58*Y58</f>
        <v>424174.602544476</v>
      </c>
      <c r="AJ58" s="405" cm="1">
        <f t="array" ref="AJ58">$F58*Z58</f>
        <v>469484.878510943</v>
      </c>
      <c r="AK58" s="405" cm="1">
        <f t="array" ref="AK58">$F58*AA58</f>
        <v>546447.616736034</v>
      </c>
      <c r="AL58" s="405" cm="1">
        <f t="array" ref="AL58">$F58*AB58</f>
        <v>698729.877503952</v>
      </c>
      <c r="AM58" s="405" cm="1">
        <f t="array" ref="AM58">$F58*AC58</f>
        <v>885670.523196606</v>
      </c>
      <c r="AN58" s="405" cm="1">
        <f t="array" ref="AN58">$F58*AD58</f>
        <v>1117468.48662522</v>
      </c>
      <c r="AO58" s="405" cm="1">
        <f t="array" ref="AO58">$F58*AE58</f>
        <v>6164477.89528956</v>
      </c>
      <c r="AP58" s="405" cm="1">
        <f t="array" ref="AP58">$F58*AF58</f>
        <v>3573706.49255263</v>
      </c>
      <c r="AQ58" s="791"/>
      <c r="AR58" s="805" cm="1">
        <f t="array" ref="AR58">K57-K58</f>
        <v>11.9803</v>
      </c>
      <c r="AS58" s="805" cm="1">
        <f t="array" ref="AS58">D58-AR58</f>
        <v>6.9748</v>
      </c>
      <c r="AT58" s="791"/>
      <c r="AU58" s="806" cm="1">
        <f t="array" ref="AU58">ROUND(AV58*F58,0)</f>
        <v>46376</v>
      </c>
      <c r="AV58" s="807" cm="1">
        <f t="array" ref="AV58">IF(K57=0,0,AV57)</f>
        <v>1.0342</v>
      </c>
      <c r="AW58" s="806" cm="1">
        <f t="array" ref="AW58">ROUND(F58*AX58,0)</f>
        <v>2836</v>
      </c>
      <c r="AX58" s="807" cm="1">
        <f t="array" ref="AX58">AX$11/K$10*K57</f>
        <v>0.0632364903691186</v>
      </c>
      <c r="AY58" s="808" cm="1">
        <f t="array" ref="AY58">SUM(AV58,AX58)</f>
        <v>1.09743649036912</v>
      </c>
      <c r="AZ58" s="806" cm="1">
        <f t="array" ref="AZ58">AU58+AW58</f>
        <v>49212</v>
      </c>
      <c r="BA58" s="809" cm="1">
        <f t="array" ref="BA58">AI58-AZ58-BG58</f>
        <v>111403.892204503</v>
      </c>
      <c r="BB58" s="810" cm="1">
        <f t="array" ref="BB58">ROUND(BA58/$F58,4)</f>
        <v>2.4843</v>
      </c>
      <c r="BC58" s="809" cm="1">
        <f t="array" ref="BC58">J58-SUM(AZ58,BA58,BG58)</f>
        <v>425825.397455524</v>
      </c>
      <c r="BD58" s="810" cm="1">
        <f t="array" ref="BD58">ROUND(BC58/$F58,4)</f>
        <v>9.496</v>
      </c>
      <c r="BE58" s="811" cm="1">
        <f t="array" ref="BE58">BC58+BA58</f>
        <v>537229.289660027</v>
      </c>
      <c r="BF58" s="810" cm="1">
        <f t="array" ref="BF58">ROUND((BA58+BC58)/F58,4)</f>
        <v>11.9803</v>
      </c>
      <c r="BG58" s="812" cm="1">
        <f t="array" ref="BG58">BO58*F58</f>
        <v>263558.710339973</v>
      </c>
      <c r="BH58" s="813" cm="1">
        <f t="array" ref="BH58">ROUND(BG58/$F58,4)</f>
        <v>5.8774</v>
      </c>
      <c r="BI58" s="798" cm="1">
        <f t="array" ref="BI58">M57-M58</f>
        <v>-305042</v>
      </c>
      <c r="BJ58" s="798" cm="1">
        <f t="array" ref="BJ58">BE58-BI58</f>
        <v>842271.289660027</v>
      </c>
      <c r="BK58" s="798" cm="1">
        <f t="array" ref="BK58">-BJ58</f>
        <v>-842271.289660027</v>
      </c>
      <c r="BL58" s="798" cm="1">
        <f t="array" ref="BL58">BG58+BJ58</f>
        <v>1105830</v>
      </c>
      <c r="BM58" s="798" cm="1">
        <f t="array" ref="BM58">AVERAGE(BL56:BL58)</f>
        <v>778483.333333333</v>
      </c>
      <c r="BN58" s="814" cm="1">
        <f t="array" ref="BN58">BH57-BH58</f>
        <v>0.0502</v>
      </c>
      <c r="BO58" s="801" cm="1">
        <f t="array" ref="BO58">K57*0.0495/12-0.16</f>
        <v>5.877392075</v>
      </c>
      <c r="BP58" s="815" cm="1">
        <f t="array" ref="BP58">(BA58+BC58)/BG58</f>
        <v>2.03836666588267</v>
      </c>
      <c r="BQ58" s="815" cm="1">
        <f t="array" ref="BQ58">Y58-BB58</f>
        <v>6.97484648085553</v>
      </c>
      <c r="BR58" s="815" cm="1">
        <f t="array" ref="BR58">(BR$4*(1+BR$4)^BR$3*K57)/((1+BR$4)^BR$3-1)</f>
        <v>7.81231213154963</v>
      </c>
      <c r="BS58" s="815"/>
      <c r="BT58" s="405"/>
      <c r="BU58" s="405"/>
      <c r="BV58" s="405" cm="1">
        <f t="array" ref="BV58">BA58+BC58+BV57</f>
        <v>99240595.4767423</v>
      </c>
      <c r="BW58" s="405" cm="1">
        <f t="array" ref="BW58">BG58+BW57</f>
        <v>17045045.5232577</v>
      </c>
      <c r="BX58" s="801" cm="1">
        <f t="array" ref="BX58">BF58+BX57</f>
        <v>2463.8793</v>
      </c>
      <c r="BY58" s="801" cm="1">
        <f t="array" ref="BY58">BH58+BY57</f>
        <v>423.3687</v>
      </c>
      <c r="BZ58" s="405" cm="1">
        <f t="array" ref="BZ58">SUM(BJ$6:BJ58)</f>
        <v>17703211.4767424</v>
      </c>
      <c r="CA58" s="801"/>
      <c r="CB58" s="801"/>
      <c r="CC58" s="405" cm="1">
        <f t="array" ref="CC58">SUM(BE$6:BE58)</f>
        <v>99240595.4767424</v>
      </c>
      <c r="CD58" s="801"/>
      <c r="CE58" s="801"/>
      <c r="CF58" s="801"/>
      <c r="CG58" s="801"/>
      <c r="CH58" s="801"/>
      <c r="CI58" s="801"/>
      <c r="CJ58" s="801"/>
      <c r="CK58" s="801"/>
      <c r="CL58" s="801"/>
      <c r="CM58" s="801"/>
    </row>
    <row r="59" ht="19.35" customHeight="1" hidden="1">
      <c r="A59" s="762">
        <v>53</v>
      </c>
      <c r="B59" s="790">
        <v>46945</v>
      </c>
      <c r="C59" s="405"/>
      <c r="D59" s="791" cm="1">
        <f t="array" ref="D59">ROUND(850000/F59,4)</f>
        <v>18.7544</v>
      </c>
      <c r="E59" s="792" cm="1">
        <f t="array" ref="E59">D59/K58</f>
        <v>0.0129195465042433</v>
      </c>
      <c r="F59" s="793" cm="1">
        <f t="array" ref="F59">F58*(1+G59)</f>
        <v>45322.6167561079</v>
      </c>
      <c r="G59" s="792" cm="1">
        <f t="array" ref="G59">H59-SUM(G48:G58)</f>
        <v>0.0107</v>
      </c>
      <c r="H59" s="794" cm="1">
        <f t="array" ref="H59">'depto - Table 5'!$H$2</f>
        <v>0.045</v>
      </c>
      <c r="I59" s="795" cm="1">
        <f t="array" ref="I59">H59+4.95/100</f>
        <v>0.0945</v>
      </c>
      <c r="J59" s="405" cm="1">
        <f t="array" ref="J59">IF(K58=0,0,ROUND(D59*F59,0))</f>
        <v>849998</v>
      </c>
      <c r="K59" s="796" cm="1">
        <f t="array" ref="K59">IF(K58-BF59&lt;0,0,K58-BF59)</f>
        <v>1439.8004</v>
      </c>
      <c r="L59" s="797" cm="1">
        <f t="array" ref="L59">K59/K$5</f>
        <v>0.364506430379747</v>
      </c>
      <c r="M59" s="798" cm="1">
        <f t="array" ref="M59">ROUND(K59*F59,0)</f>
        <v>65255522</v>
      </c>
      <c r="N59" s="799" cm="1">
        <f t="array" ref="N59">M59/M$5</f>
        <v>0.445027587738852</v>
      </c>
      <c r="O59" s="798" cm="1">
        <f t="array" ref="O59">M59-M58</f>
        <v>160374</v>
      </c>
      <c r="P59" s="800" cm="1">
        <f t="array" ref="P59">T59-K59</f>
        <v>3960.1996</v>
      </c>
      <c r="Q59" s="798" cm="1">
        <f t="array" ref="Q59">ROUND(P59*F59,0)</f>
        <v>179486609</v>
      </c>
      <c r="R59" s="801" cm="1">
        <f t="array" ref="R59">$K$5-K59</f>
        <v>2510.1996</v>
      </c>
      <c r="S59" s="798" cm="1">
        <f t="array" ref="S59">Q59-Q58</f>
        <v>2430643</v>
      </c>
      <c r="T59" s="801">
        <v>5400</v>
      </c>
      <c r="U59" s="798" cm="1">
        <f t="array" ref="U59">T59*F59</f>
        <v>244742130.482983</v>
      </c>
      <c r="V59" s="802" cm="1">
        <f t="array" ref="V59">-S59</f>
        <v>-2430643</v>
      </c>
      <c r="W59" s="802"/>
      <c r="X59" s="802" cm="1">
        <f t="array" ref="X59">$K58*4.95/12/100/(1-(1+4.95/12/100)^-(360-$A59+3))+$AY59</f>
        <v>9.4033757984188</v>
      </c>
      <c r="Y59" s="803" cm="1">
        <f t="array" ref="Y59">K58*4.95/12/100/(1-(1+4.95/12/100)^-(360-$A59+3))+AY59</f>
        <v>9.4033757984188</v>
      </c>
      <c r="Z59" s="791" cm="1">
        <f t="array" ref="Z59">IF(Z$3*12&lt;=$A59,0,$K58*'depto - Departamento'!$D$8/12/(1-(1+'depto - Departamento'!$D$8/12)^-(12*Z$3-$A59+3))+$AY60)</f>
        <v>10.4135727132536</v>
      </c>
      <c r="AA59" s="791" cm="1">
        <f t="array" ref="AA59">IF(AA$3*12&lt;=$A59,0,$K58*'depto - Departamento'!$D$8/12/(1-(1+'depto - Departamento'!$D$8/12)^-(12*AA$3-$A59+3))+$AY60)</f>
        <v>12.1326617866778</v>
      </c>
      <c r="AB59" s="791" cm="1">
        <f t="array" ref="AB59">IF(AB$3*12&lt;$A59,0,$K58*'depto - Departamento'!$D$8/12/(1-(1+'depto - Departamento'!$D$8/12)^-(12*AB$3-$A59+3))+$AY59)</f>
        <v>15.546075474699</v>
      </c>
      <c r="AC59" s="791" cm="1">
        <f t="array" ref="AC59">IF(AC$3*12&lt;$A59,0,$K58*'depto - Departamento'!$D$8/12/(1-(1+'depto - Departamento'!$D$8/12)^-(12*AC$3-$A59+3))+$AY59)</f>
        <v>19.7582141555265</v>
      </c>
      <c r="AD59" s="791" cm="1">
        <f t="array" ref="AD59">IF(AD$3*12&lt;$A59,0,$K58*'depto - Departamento'!$D$8/12/(1-(1+'depto - Departamento'!$D$8/12)^-(12*AD$3-$A59+3))+$AY59)</f>
        <v>25.0148080831281</v>
      </c>
      <c r="AE59" s="791" cm="1">
        <f t="array" ref="AE59">IF(AE$3*12&lt;$A59,0,$K58*'depto - Departamento'!$D$8/12/(1-(1+'depto - Departamento'!$D$8/12)^-(12*AE$3-$A59+3))+$AY59)</f>
        <v>149.573629534884</v>
      </c>
      <c r="AF59" s="791" cm="1">
        <f t="array" ref="AF59">AF58-(AF57-AF58)</f>
        <v>79.6913</v>
      </c>
      <c r="AG59" s="791"/>
      <c r="AH59" s="791"/>
      <c r="AI59" s="804" cm="1">
        <f t="array" ref="AI59">$F59*Y59</f>
        <v>426185.597525395</v>
      </c>
      <c r="AJ59" s="405" cm="1">
        <f t="array" ref="AJ59">$F59*Z59</f>
        <v>471970.365144656</v>
      </c>
      <c r="AK59" s="405" cm="1">
        <f t="array" ref="AK59">$F59*AA59</f>
        <v>549883.980389073</v>
      </c>
      <c r="AL59" s="405" cm="1">
        <f t="array" ref="AL59">$F59*AB59</f>
        <v>704588.8208013111</v>
      </c>
      <c r="AM59" s="405" cm="1">
        <f t="array" ref="AM59">$F59*AC59</f>
        <v>895493.967956034</v>
      </c>
      <c r="AN59" s="405" cm="1">
        <f t="array" ref="AN59">$F59*AD59</f>
        <v>1133736.5599792</v>
      </c>
      <c r="AO59" s="405" cm="1">
        <f t="array" ref="AO59">$F59*AE59</f>
        <v>6779068.28822961</v>
      </c>
      <c r="AP59" s="405" cm="1">
        <f t="array" ref="AP59">$F59*AF59</f>
        <v>3611818.24869602</v>
      </c>
      <c r="AQ59" s="791"/>
      <c r="AR59" s="805" cm="1">
        <f t="array" ref="AR59">K58-K59</f>
        <v>11.8295</v>
      </c>
      <c r="AS59" s="805" cm="1">
        <f t="array" ref="AS59">D59-AR59</f>
        <v>6.9249</v>
      </c>
      <c r="AT59" s="791"/>
      <c r="AU59" s="806" cm="1">
        <f t="array" ref="AU59">ROUND(AV59*F59,0)</f>
        <v>46873</v>
      </c>
      <c r="AV59" s="807" cm="1">
        <f t="array" ref="AV59">IF(K58=0,0,AV58)</f>
        <v>1.0342</v>
      </c>
      <c r="AW59" s="806" cm="1">
        <f t="array" ref="AW59">ROUND(F59*AX59,0)</f>
        <v>2843</v>
      </c>
      <c r="AX59" s="807" cm="1">
        <f t="array" ref="AX59">AX$11/K$10*K58</f>
        <v>0.0627188715894947</v>
      </c>
      <c r="AY59" s="808" cm="1">
        <f t="array" ref="AY59">SUM(AV59,AX59)</f>
        <v>1.09691887158949</v>
      </c>
      <c r="AZ59" s="806" cm="1">
        <f t="array" ref="AZ59">AU59+AW59</f>
        <v>49716</v>
      </c>
      <c r="BA59" s="809" cm="1">
        <f t="array" ref="BA59">AI59-AZ59-BG59</f>
        <v>112330.595485067</v>
      </c>
      <c r="BB59" s="810" cm="1">
        <f t="array" ref="BB59">ROUND(BA59/$F59,4)</f>
        <v>2.4785</v>
      </c>
      <c r="BC59" s="809" cm="1">
        <f t="array" ref="BC59">J59-SUM(AZ59,BA59,BG59)</f>
        <v>423812.402474605</v>
      </c>
      <c r="BD59" s="810" cm="1">
        <f t="array" ref="BD59">ROUND(BC59/$F59,4)</f>
        <v>9.351000000000001</v>
      </c>
      <c r="BE59" s="811" cm="1">
        <f t="array" ref="BE59">BC59+BA59</f>
        <v>536142.997959672</v>
      </c>
      <c r="BF59" s="810" cm="1">
        <f t="array" ref="BF59">ROUND((BA59+BC59)/F59,4)</f>
        <v>11.8295</v>
      </c>
      <c r="BG59" s="812" cm="1">
        <f t="array" ref="BG59">BO59*F59</f>
        <v>264139.002040328</v>
      </c>
      <c r="BH59" s="813" cm="1">
        <f t="array" ref="BH59">ROUND(BG59/$F59,4)</f>
        <v>5.828</v>
      </c>
      <c r="BI59" s="798" cm="1">
        <f t="array" ref="BI59">M58-M59</f>
        <v>-160374</v>
      </c>
      <c r="BJ59" s="798" cm="1">
        <f t="array" ref="BJ59">BE59-BI59</f>
        <v>696516.997959672</v>
      </c>
      <c r="BK59" s="798" cm="1">
        <f t="array" ref="BK59">-BJ59</f>
        <v>-696516.997959672</v>
      </c>
      <c r="BL59" s="798" cm="1">
        <f t="array" ref="BL59">BG59+BJ59</f>
        <v>960656</v>
      </c>
      <c r="BM59" s="798" cm="1">
        <f t="array" ref="BM59">AVERAGE(BL57:BL59)</f>
        <v>996171.666666667</v>
      </c>
      <c r="BN59" s="814" cm="1">
        <f t="array" ref="BN59">BH58-BH59</f>
        <v>0.0494</v>
      </c>
      <c r="BO59" s="801" cm="1">
        <f t="array" ref="BO59">K58*0.0495/12-0.16</f>
        <v>5.8279733375</v>
      </c>
      <c r="BP59" s="815" cm="1">
        <f t="array" ref="BP59">(BA59+BC59)/BG59</f>
        <v>2.02977596575388</v>
      </c>
      <c r="BQ59" s="815" cm="1">
        <f t="array" ref="BQ59">Y59-BB59</f>
        <v>6.9248757984188</v>
      </c>
      <c r="BR59" s="815" cm="1">
        <f t="array" ref="BR59">(BR$4*(1+BR$4)^BR$3*K58)/((1+BR$4)^BR$3-1)</f>
        <v>7.74836488450967</v>
      </c>
      <c r="BS59" s="815"/>
      <c r="BT59" s="405"/>
      <c r="BU59" s="405"/>
      <c r="BV59" s="405" cm="1">
        <f t="array" ref="BV59">BA59+BC59+BV58</f>
        <v>99776738.474702</v>
      </c>
      <c r="BW59" s="405" cm="1">
        <f t="array" ref="BW59">BG59+BW58</f>
        <v>17309184.525298</v>
      </c>
      <c r="BX59" s="801" cm="1">
        <f t="array" ref="BX59">BF59+BX58</f>
        <v>2475.7088</v>
      </c>
      <c r="BY59" s="801" cm="1">
        <f t="array" ref="BY59">BH59+BY58</f>
        <v>429.1967</v>
      </c>
      <c r="BZ59" s="405" cm="1">
        <f t="array" ref="BZ59">SUM(BJ$6:BJ59)</f>
        <v>18399728.474702</v>
      </c>
      <c r="CA59" s="801"/>
      <c r="CB59" s="801"/>
      <c r="CC59" s="405" cm="1">
        <f t="array" ref="CC59">SUM(BE$6:BE59)</f>
        <v>99776738.474702</v>
      </c>
      <c r="CD59" s="801"/>
      <c r="CE59" s="801"/>
      <c r="CF59" s="801"/>
      <c r="CG59" s="801"/>
      <c r="CH59" s="801"/>
      <c r="CI59" s="801"/>
      <c r="CJ59" s="801"/>
      <c r="CK59" s="801"/>
      <c r="CL59" s="801"/>
      <c r="CM59" s="801"/>
    </row>
    <row r="60" ht="19.35" customHeight="1" hidden="1">
      <c r="A60" s="762">
        <v>54</v>
      </c>
      <c r="B60" s="790">
        <v>46976</v>
      </c>
      <c r="C60" s="405"/>
      <c r="D60" s="791" cm="1">
        <f t="array" ref="D60">ROUND(850000/F60,4)</f>
        <v>18.7544</v>
      </c>
      <c r="E60" s="792" cm="1">
        <f t="array" ref="E60">D60/K59</f>
        <v>0.013025694394862</v>
      </c>
      <c r="F60" s="793" cm="1">
        <f t="array" ref="F60">F59*(1+G60)</f>
        <v>45322.6167561079</v>
      </c>
      <c r="G60" s="792" cm="1">
        <f t="array" ref="G60">H60-SUM(G49:G59)</f>
        <v>0</v>
      </c>
      <c r="H60" s="794" cm="1">
        <f t="array" ref="H60">'depto - Table 5'!$H$2</f>
        <v>0.045</v>
      </c>
      <c r="I60" s="795" cm="1">
        <f t="array" ref="I60">H60+4.95/100</f>
        <v>0.0945</v>
      </c>
      <c r="J60" s="405" cm="1">
        <f t="array" ref="J60">IF(K59=0,0,ROUND(D60*F60,0))</f>
        <v>849998</v>
      </c>
      <c r="K60" s="796" cm="1">
        <f t="array" ref="K60">IF(K59-BF60&lt;0,0,K59-BF60)</f>
        <v>1427.9216</v>
      </c>
      <c r="L60" s="797" cm="1">
        <f t="array" ref="L60">K60/K$5</f>
        <v>0.361499139240506</v>
      </c>
      <c r="M60" s="798" cm="1">
        <f t="array" ref="M60">ROUND(K60*F60,0)</f>
        <v>64717143</v>
      </c>
      <c r="N60" s="799" cm="1">
        <f t="array" ref="N60">M60/M$5</f>
        <v>0.441355967310174</v>
      </c>
      <c r="O60" s="798" cm="1">
        <f t="array" ref="O60">M60-M59</f>
        <v>-538379</v>
      </c>
      <c r="P60" s="800" cm="1">
        <f t="array" ref="P60">T60-K60</f>
        <v>3972.0784</v>
      </c>
      <c r="Q60" s="798" cm="1">
        <f t="array" ref="Q60">ROUND(P60*F60,0)</f>
        <v>180024987</v>
      </c>
      <c r="R60" s="801" cm="1">
        <f t="array" ref="R60">$K$5-K60</f>
        <v>2522.0784</v>
      </c>
      <c r="S60" s="798" cm="1">
        <f t="array" ref="S60">Q60-Q59</f>
        <v>538378</v>
      </c>
      <c r="T60" s="801">
        <v>5400</v>
      </c>
      <c r="U60" s="798" cm="1">
        <f t="array" ref="U60">T60*F60</f>
        <v>244742130.482983</v>
      </c>
      <c r="V60" s="802" cm="1">
        <f t="array" ref="V60">-S60</f>
        <v>-538378</v>
      </c>
      <c r="W60" s="802"/>
      <c r="X60" s="802" cm="1">
        <f t="array" ref="X60">$K59*4.95/12/100/(1-(1+4.95/12/100)^-(360-$A60+3))+$AY60</f>
        <v>9.348354085935609</v>
      </c>
      <c r="Y60" s="803" cm="1">
        <f t="array" ref="Y60">K59*4.95/12/100/(1-(1+4.95/12/100)^-(360-$A60+3))+AY60</f>
        <v>9.348354085935609</v>
      </c>
      <c r="Z60" s="791" cm="1">
        <f t="array" ref="Z60">IF(Z$3*12&lt;=$A60,0,$K59*'depto - Departamento'!$D$8/12/(1-(1+'depto - Departamento'!$D$8/12)^-(12*Z$3-$A60+3))+$AY61)</f>
        <v>10.3583755492996</v>
      </c>
      <c r="AA60" s="791" cm="1">
        <f t="array" ref="AA60">IF(AA$3*12&lt;=$A60,0,$K59*'depto - Departamento'!$D$8/12/(1-(1+'depto - Departamento'!$D$8/12)^-(12*AA$3-$A60+3))+$AY61)</f>
        <v>12.0804133051983</v>
      </c>
      <c r="AB60" s="791" cm="1">
        <f t="array" ref="AB60">IF(AB$3*12&lt;$A60,0,$K59*'depto - Departamento'!$D$8/12/(1-(1+'depto - Departamento'!$D$8/12)^-(12*AB$3-$A60+3))+$AY60)</f>
        <v>15.511840430824</v>
      </c>
      <c r="AC60" s="791" cm="1">
        <f t="array" ref="AC60">IF(AC$3*12&lt;$A60,0,$K59*'depto - Departamento'!$D$8/12/(1-(1+'depto - Departamento'!$D$8/12)^-(12*AC$3-$A60+3))+$AY60)</f>
        <v>19.7686462666994</v>
      </c>
      <c r="AD60" s="791" cm="1">
        <f t="array" ref="AD60">IF(AD$3*12&lt;$A60,0,$K59*'depto - Departamento'!$D$8/12/(1-(1+'depto - Departamento'!$D$8/12)^-(12*AD$3-$A60+3))+$AY60)</f>
        <v>25.116067972767</v>
      </c>
      <c r="AE60" s="791" cm="1">
        <f t="array" ref="AE60">IF(AE$3*12&lt;$A60,0,$K59*'depto - Departamento'!$D$8/12/(1-(1+'depto - Departamento'!$D$8/12)^-(12*AE$3-$A60+3))+$AY60)</f>
        <v>164.391882312040</v>
      </c>
      <c r="AF60" s="791" cm="1">
        <f t="array" ref="AF60">AF59-(AF58-AF59)</f>
        <v>79.6885</v>
      </c>
      <c r="AG60" s="791"/>
      <c r="AH60" s="791"/>
      <c r="AI60" s="804" cm="1">
        <f t="array" ref="AI60">$F60*Y60</f>
        <v>423691.869537255</v>
      </c>
      <c r="AJ60" s="405" cm="1">
        <f t="array" ref="AJ60">$F60*Z60</f>
        <v>469468.685236744</v>
      </c>
      <c r="AK60" s="405" cm="1">
        <f t="array" ref="AK60">$F60*AA60</f>
        <v>547515.942486889</v>
      </c>
      <c r="AL60" s="405" cm="1">
        <f t="array" ref="AL60">$F60*AB60</f>
        <v>703037.199028136</v>
      </c>
      <c r="AM60" s="405" cm="1">
        <f t="array" ref="AM60">$F60*AC60</f>
        <v>895966.77853268</v>
      </c>
      <c r="AN60" s="405" cm="1">
        <f t="array" ref="AN60">$F60*AD60</f>
        <v>1138325.92315007</v>
      </c>
      <c r="AO60" s="405" cm="1">
        <f t="array" ref="AO60">$F60*AE60</f>
        <v>7450670.27984378</v>
      </c>
      <c r="AP60" s="405" cm="1">
        <f t="array" ref="AP60">$F60*AF60</f>
        <v>3611691.3453691</v>
      </c>
      <c r="AQ60" s="791"/>
      <c r="AR60" s="805" cm="1">
        <f t="array" ref="AR60">K59-K60</f>
        <v>11.8788</v>
      </c>
      <c r="AS60" s="805" cm="1">
        <f t="array" ref="AS60">D60-AR60</f>
        <v>6.8756</v>
      </c>
      <c r="AT60" s="791"/>
      <c r="AU60" s="806" cm="1">
        <f t="array" ref="AU60">ROUND(AV60*F60,0)</f>
        <v>46873</v>
      </c>
      <c r="AV60" s="807" cm="1">
        <f t="array" ref="AV60">IF(K59=0,0,AV59)</f>
        <v>1.0342</v>
      </c>
      <c r="AW60" s="806" cm="1">
        <f t="array" ref="AW60">ROUND(F60*AX60,0)</f>
        <v>2819</v>
      </c>
      <c r="AX60" s="807" cm="1">
        <f t="array" ref="AX60">AX$11/K$10*K59</f>
        <v>0.0622077682487134</v>
      </c>
      <c r="AY60" s="808" cm="1">
        <f t="array" ref="AY60">SUM(AV60,AX60)</f>
        <v>1.09640776824871</v>
      </c>
      <c r="AZ60" s="806" cm="1">
        <f t="array" ref="AZ60">AU60+AW60</f>
        <v>49692</v>
      </c>
      <c r="BA60" s="809" cm="1">
        <f t="array" ref="BA60">AI60-AZ60-BG60</f>
        <v>112072.461063457</v>
      </c>
      <c r="BB60" s="810" cm="1">
        <f t="array" ref="BB60">ROUND(BA60/$F60,4)</f>
        <v>2.4728</v>
      </c>
      <c r="BC60" s="809" cm="1">
        <f t="array" ref="BC60">J60-SUM(AZ60,BA60,BG60)</f>
        <v>426306.130462745</v>
      </c>
      <c r="BD60" s="810" cm="1">
        <f t="array" ref="BD60">ROUND(BC60/$F60,4)</f>
        <v>9.406000000000001</v>
      </c>
      <c r="BE60" s="811" cm="1">
        <f t="array" ref="BE60">BC60+BA60</f>
        <v>538378.591526202</v>
      </c>
      <c r="BF60" s="810" cm="1">
        <f t="array" ref="BF60">ROUND((BA60+BC60)/F60,4)</f>
        <v>11.8788</v>
      </c>
      <c r="BG60" s="812" cm="1">
        <f t="array" ref="BG60">BO60*F60</f>
        <v>261927.408473798</v>
      </c>
      <c r="BH60" s="813" cm="1">
        <f t="array" ref="BH60">ROUND(BG60/$F60,4)</f>
        <v>5.7792</v>
      </c>
      <c r="BI60" s="798" cm="1">
        <f t="array" ref="BI60">M59-M60</f>
        <v>538379</v>
      </c>
      <c r="BJ60" s="798" cm="1">
        <f t="array" ref="BJ60">BE60-BI60</f>
        <v>-0.408473798</v>
      </c>
      <c r="BK60" s="798" cm="1">
        <f t="array" ref="BK60">-BJ60</f>
        <v>0.408473798</v>
      </c>
      <c r="BL60" s="798" cm="1">
        <f t="array" ref="BL60">BG60+BJ60</f>
        <v>261927</v>
      </c>
      <c r="BM60" s="798" cm="1">
        <f t="array" ref="BM60">AVERAGE(BL58:BL60)</f>
        <v>776137.666666667</v>
      </c>
      <c r="BN60" s="814" cm="1">
        <f t="array" ref="BN60">BH59-BH60</f>
        <v>0.0488</v>
      </c>
      <c r="BO60" s="801" cm="1">
        <f t="array" ref="BO60">K59*0.0495/12-0.16</f>
        <v>5.77917665</v>
      </c>
      <c r="BP60" s="815" cm="1">
        <f t="array" ref="BP60">(BA60+BC60)/BG60</f>
        <v>2.05544961737007</v>
      </c>
      <c r="BQ60" s="815" cm="1">
        <f t="array" ref="BQ60">Y60-BB60</f>
        <v>6.87555408593561</v>
      </c>
      <c r="BR60" s="815" cm="1">
        <f t="array" ref="BR60">(BR$4*(1+BR$4)^BR$3*K59)/((1+BR$4)^BR$3-1)</f>
        <v>7.68522256262631</v>
      </c>
      <c r="BS60" s="815"/>
      <c r="BT60" s="405"/>
      <c r="BU60" s="405"/>
      <c r="BV60" s="405" cm="1">
        <f t="array" ref="BV60">BA60+BC60+BV59</f>
        <v>100315117.066228</v>
      </c>
      <c r="BW60" s="405" cm="1">
        <f t="array" ref="BW60">BG60+BW59</f>
        <v>17571111.9337718</v>
      </c>
      <c r="BX60" s="801" cm="1">
        <f t="array" ref="BX60">BF60+BX59</f>
        <v>2487.5876</v>
      </c>
      <c r="BY60" s="801" cm="1">
        <f t="array" ref="BY60">BH60+BY59</f>
        <v>434.9759</v>
      </c>
      <c r="BZ60" s="405" cm="1">
        <f t="array" ref="BZ60">SUM(BJ$6:BJ60)</f>
        <v>18399728.0662282</v>
      </c>
      <c r="CA60" s="801"/>
      <c r="CB60" s="801"/>
      <c r="CC60" s="405" cm="1">
        <f t="array" ref="CC60">SUM(BE$6:BE60)</f>
        <v>100315117.066228</v>
      </c>
      <c r="CD60" s="801"/>
      <c r="CE60" s="801"/>
      <c r="CF60" s="801"/>
      <c r="CG60" s="801"/>
      <c r="CH60" s="801"/>
      <c r="CI60" s="801"/>
      <c r="CJ60" s="801"/>
      <c r="CK60" s="801"/>
      <c r="CL60" s="801"/>
      <c r="CM60" s="801"/>
    </row>
    <row r="61" ht="19.35" customHeight="1" hidden="1">
      <c r="A61" s="762">
        <v>55</v>
      </c>
      <c r="B61" s="790">
        <v>47007</v>
      </c>
      <c r="C61" s="405"/>
      <c r="D61" s="791" cm="1">
        <f t="array" ref="D61">ROUND(850000/F61,4)</f>
        <v>18.7282</v>
      </c>
      <c r="E61" s="792" cm="1">
        <f t="array" ref="E61">D61/K60</f>
        <v>0.0131157060723782</v>
      </c>
      <c r="F61" s="793" cm="1">
        <f t="array" ref="F61">F60*(1+G61)</f>
        <v>45386.0684195665</v>
      </c>
      <c r="G61" s="792" cm="1">
        <f t="array" ref="G61">H61-SUM(G50:G60)</f>
        <v>0.0014</v>
      </c>
      <c r="H61" s="794" cm="1">
        <f t="array" ref="H61">'depto - Table 5'!$H$2</f>
        <v>0.045</v>
      </c>
      <c r="I61" s="795" cm="1">
        <f t="array" ref="I61">H61+4.95/100</f>
        <v>0.0945</v>
      </c>
      <c r="J61" s="405" cm="1">
        <f t="array" ref="J61">IF(K60=0,0,ROUND(D61*F61,0))</f>
        <v>849999</v>
      </c>
      <c r="K61" s="796" cm="1">
        <f t="array" ref="K61">IF(K60-BF61&lt;0,0,K60-BF61)</f>
        <v>1416.0195</v>
      </c>
      <c r="L61" s="797" cm="1">
        <f t="array" ref="L61">K61/K$5</f>
        <v>0.358485949367089</v>
      </c>
      <c r="M61" s="798" cm="1">
        <f t="array" ref="M61">ROUND(K61*F61,0)</f>
        <v>64267558</v>
      </c>
      <c r="N61" s="799" cm="1">
        <f t="array" ref="N61">M61/M$5</f>
        <v>0.438289901452428</v>
      </c>
      <c r="O61" s="798" cm="1">
        <f t="array" ref="O61">M61-M60</f>
        <v>-449585</v>
      </c>
      <c r="P61" s="800" cm="1">
        <f t="array" ref="P61">T61-K61</f>
        <v>3983.9805</v>
      </c>
      <c r="Q61" s="798" cm="1">
        <f t="array" ref="Q61">ROUND(P61*F61,0)</f>
        <v>180817212</v>
      </c>
      <c r="R61" s="801" cm="1">
        <f t="array" ref="R61">$K$5-K61</f>
        <v>2533.9805</v>
      </c>
      <c r="S61" s="798" cm="1">
        <f t="array" ref="S61">Q61-Q60</f>
        <v>792225</v>
      </c>
      <c r="T61" s="801">
        <v>5400</v>
      </c>
      <c r="U61" s="798" cm="1">
        <f t="array" ref="U61">T61*F61</f>
        <v>245084769.465659</v>
      </c>
      <c r="V61" s="802" cm="1">
        <f t="array" ref="V61">-S61</f>
        <v>-792225</v>
      </c>
      <c r="W61" s="802"/>
      <c r="X61" s="802" cm="1">
        <f t="array" ref="X61">$K60*4.95/12/100/(1-(1+4.95/12/100)^-(360-$A61+3))+$AY61</f>
        <v>9.292926732168359</v>
      </c>
      <c r="Y61" s="803" cm="1">
        <f t="array" ref="Y61">K60*4.95/12/100/(1-(1+4.95/12/100)^-(360-$A61+3))+AY61</f>
        <v>9.292926732168359</v>
      </c>
      <c r="Z61" s="791" cm="1">
        <f t="array" ref="Z61">IF(Z$3*12&lt;=$A61,0,$K60*'depto - Departamento'!$D$8/12/(1-(1+'depto - Departamento'!$D$8/12)^-(12*Z$3-$A61+3))+$AY62)</f>
        <v>10.3026950165305</v>
      </c>
      <c r="AA61" s="791" cm="1">
        <f t="array" ref="AA61">IF(AA$3*12&lt;=$A61,0,$K60*'depto - Departamento'!$D$8/12/(1-(1+'depto - Departamento'!$D$8/12)^-(12*AA$3-$A61+3))+$AY62)</f>
        <v>12.0275819494275</v>
      </c>
      <c r="AB61" s="791" cm="1">
        <f t="array" ref="AB61">IF(AB$3*12&lt;$A61,0,$K60*'depto - Departamento'!$D$8/12/(1-(1+'depto - Departamento'!$D$8/12)^-(12*AB$3-$A61+3))+$AY61)</f>
        <v>15.4770588285704</v>
      </c>
      <c r="AC61" s="791" cm="1">
        <f t="array" ref="AC61">IF(AC$3*12&lt;$A61,0,$K60*'depto - Departamento'!$D$8/12/(1-(1+'depto - Departamento'!$D$8/12)^-(12*AC$3-$A61+3))+$AY61)</f>
        <v>19.7793104883254</v>
      </c>
      <c r="AD61" s="791" cm="1">
        <f t="array" ref="AD61">IF(AD$3*12&lt;$A61,0,$K60*'depto - Departamento'!$D$8/12/(1-(1+'depto - Departamento'!$D$8/12)^-(12*AD$3-$A61+3))+$AY61)</f>
        <v>25.2203308840699</v>
      </c>
      <c r="AE61" s="791" cm="1">
        <f t="array" ref="AE61">IF(AE$3*12&lt;$A61,0,$K60*'depto - Departamento'!$D$8/12/(1-(1+'depto - Departamento'!$D$8/12)^-(12*AE$3-$A61+3))+$AY61)</f>
        <v>182.915230676202</v>
      </c>
      <c r="AF61" s="791" cm="1">
        <f t="array" ref="AF61">AF60-(AF59-AF60)</f>
        <v>79.6857</v>
      </c>
      <c r="AG61" s="791"/>
      <c r="AH61" s="791"/>
      <c r="AI61" s="804" cm="1">
        <f t="array" ref="AI61">$F61*Y61</f>
        <v>421769.408484212</v>
      </c>
      <c r="AJ61" s="405" cm="1">
        <f t="array" ref="AJ61">$F61*Z61</f>
        <v>467598.82092618</v>
      </c>
      <c r="AK61" s="405" cm="1">
        <f t="array" ref="AK61">$F61*AA61</f>
        <v>545884.65727866</v>
      </c>
      <c r="AL61" s="405" cm="1">
        <f t="array" ref="AL61">$F61*AB61</f>
        <v>702442.850927152</v>
      </c>
      <c r="AM61" s="405" cm="1">
        <f t="array" ref="AM61">$F61*AC61</f>
        <v>897705.1391149861</v>
      </c>
      <c r="AN61" s="405" cm="1">
        <f t="array" ref="AN61">$F61*AD61</f>
        <v>1144651.6630685</v>
      </c>
      <c r="AO61" s="405" cm="1">
        <f t="array" ref="AO61">$F61*AE61</f>
        <v>8301803.17445089</v>
      </c>
      <c r="AP61" s="405" cm="1">
        <f t="array" ref="AP61">$F61*AF61</f>
        <v>3616620.63226105</v>
      </c>
      <c r="AQ61" s="791"/>
      <c r="AR61" s="805" cm="1">
        <f t="array" ref="AR61">K60-K61</f>
        <v>11.9021</v>
      </c>
      <c r="AS61" s="805" cm="1">
        <f t="array" ref="AS61">D61-AR61</f>
        <v>6.8261</v>
      </c>
      <c r="AT61" s="791"/>
      <c r="AU61" s="806" cm="1">
        <f t="array" ref="AU61">ROUND(AV61*F61,0)</f>
        <v>46938</v>
      </c>
      <c r="AV61" s="807" cm="1">
        <f t="array" ref="AV61">IF(K60=0,0,AV60)</f>
        <v>1.0342</v>
      </c>
      <c r="AW61" s="806" cm="1">
        <f t="array" ref="AW61">ROUND(F61*AX61,0)</f>
        <v>2800</v>
      </c>
      <c r="AX61" s="807" cm="1">
        <f t="array" ref="AX61">AX$11/K$10*K60</f>
        <v>0.0616945348606182</v>
      </c>
      <c r="AY61" s="808" cm="1">
        <f t="array" ref="AY61">SUM(AV61,AX61)</f>
        <v>1.09589453486062</v>
      </c>
      <c r="AZ61" s="806" cm="1">
        <f t="array" ref="AZ61">AU61+AW61</f>
        <v>49738</v>
      </c>
      <c r="BA61" s="809" cm="1">
        <f t="array" ref="BA61">AI61-AZ61-BG61</f>
        <v>111961.221260413</v>
      </c>
      <c r="BB61" s="810" cm="1">
        <f t="array" ref="BB61">ROUND(BA61/$F61,4)</f>
        <v>2.4669</v>
      </c>
      <c r="BC61" s="809" cm="1">
        <f t="array" ref="BC61">J61-SUM(AZ61,BA61,BG61)</f>
        <v>428229.591515788</v>
      </c>
      <c r="BD61" s="810" cm="1">
        <f t="array" ref="BD61">ROUND(BC61/$F61,4)</f>
        <v>9.4353</v>
      </c>
      <c r="BE61" s="811" cm="1">
        <f t="array" ref="BE61">BC61+BA61</f>
        <v>540190.8127762011</v>
      </c>
      <c r="BF61" s="810" cm="1">
        <f t="array" ref="BF61">ROUND((BA61+BC61)/F61,4)</f>
        <v>11.9021</v>
      </c>
      <c r="BG61" s="812" cm="1">
        <f t="array" ref="BG61">BO61*F61</f>
        <v>260070.187223799</v>
      </c>
      <c r="BH61" s="813" cm="1">
        <f t="array" ref="BH61">ROUND(BG61/$F61,4)</f>
        <v>5.7302</v>
      </c>
      <c r="BI61" s="798" cm="1">
        <f t="array" ref="BI61">M60-M61</f>
        <v>449585</v>
      </c>
      <c r="BJ61" s="798" cm="1">
        <f t="array" ref="BJ61">BE61-BI61</f>
        <v>90605.812776201</v>
      </c>
      <c r="BK61" s="798" cm="1">
        <f t="array" ref="BK61">-BJ61</f>
        <v>-90605.812776201</v>
      </c>
      <c r="BL61" s="798" cm="1">
        <f t="array" ref="BL61">BG61+BJ61</f>
        <v>350676</v>
      </c>
      <c r="BM61" s="798" cm="1">
        <f t="array" ref="BM61">AVERAGE(BL59:BL61)</f>
        <v>524419.666666667</v>
      </c>
      <c r="BN61" s="814" cm="1">
        <f t="array" ref="BN61">BH60-BH61</f>
        <v>0.049</v>
      </c>
      <c r="BO61" s="801" cm="1">
        <f t="array" ref="BO61">K60*0.0495/12-0.16</f>
        <v>5.7301766</v>
      </c>
      <c r="BP61" s="815" cm="1">
        <f t="array" ref="BP61">(BA61+BC61)/BG61</f>
        <v>2.07709625829334</v>
      </c>
      <c r="BQ61" s="815" cm="1">
        <f t="array" ref="BQ61">Y61-BB61</f>
        <v>6.82602673216836</v>
      </c>
      <c r="BR61" s="815" cm="1">
        <f t="array" ref="BR61">(BR$4*(1+BR$4)^BR$3*K60)/((1+BR$4)^BR$3-1)</f>
        <v>7.62181709213406</v>
      </c>
      <c r="BS61" s="815"/>
      <c r="BT61" s="405"/>
      <c r="BU61" s="405"/>
      <c r="BV61" s="405" cm="1">
        <f t="array" ref="BV61">BA61+BC61+BV60</f>
        <v>100855307.879004</v>
      </c>
      <c r="BW61" s="405" cm="1">
        <f t="array" ref="BW61">BG61+BW60</f>
        <v>17831182.1209956</v>
      </c>
      <c r="BX61" s="801" cm="1">
        <f t="array" ref="BX61">BF61+BX60</f>
        <v>2499.4897</v>
      </c>
      <c r="BY61" s="801" cm="1">
        <f t="array" ref="BY61">BH61+BY60</f>
        <v>440.7061</v>
      </c>
      <c r="BZ61" s="405" cm="1">
        <f t="array" ref="BZ61">SUM(BJ$6:BJ61)</f>
        <v>18490333.8790044</v>
      </c>
      <c r="CA61" s="801"/>
      <c r="CB61" s="801"/>
      <c r="CC61" s="405" cm="1">
        <f t="array" ref="CC61">SUM(BE$6:BE61)</f>
        <v>100855307.879004</v>
      </c>
      <c r="CD61" s="801"/>
      <c r="CE61" s="801"/>
      <c r="CF61" s="801"/>
      <c r="CG61" s="801"/>
      <c r="CH61" s="801"/>
      <c r="CI61" s="801"/>
      <c r="CJ61" s="801"/>
      <c r="CK61" s="801"/>
      <c r="CL61" s="801"/>
      <c r="CM61" s="801"/>
    </row>
    <row r="62" ht="19.35" customHeight="1" hidden="1">
      <c r="A62" s="762">
        <v>56</v>
      </c>
      <c r="B62" s="790">
        <v>47037</v>
      </c>
      <c r="C62" s="405"/>
      <c r="D62" s="791" cm="1">
        <f t="array" ref="D62">ROUND(850000/F62,4)</f>
        <v>18.6295</v>
      </c>
      <c r="E62" s="792" cm="1">
        <f t="array" ref="E62">D62/K61</f>
        <v>0.0131562453765644</v>
      </c>
      <c r="F62" s="793" cm="1">
        <f t="array" ref="F62">F61*(1+G62)</f>
        <v>45626.6145821902</v>
      </c>
      <c r="G62" s="792" cm="1">
        <f t="array" ref="G62">H62-SUM(G51:G61)</f>
        <v>0.0053</v>
      </c>
      <c r="H62" s="794" cm="1">
        <f t="array" ref="H62">'depto - Table 5'!$H$2</f>
        <v>0.045</v>
      </c>
      <c r="I62" s="795" cm="1">
        <f t="array" ref="I62">H62+4.95/100</f>
        <v>0.0945</v>
      </c>
      <c r="J62" s="405" cm="1">
        <f t="array" ref="J62">IF(K61=0,0,ROUND(D62*F62,0))</f>
        <v>850001</v>
      </c>
      <c r="K62" s="796" cm="1">
        <f t="array" ref="K62">IF(K61-BF62&lt;0,0,K61-BF62)</f>
        <v>1404.1665</v>
      </c>
      <c r="L62" s="797" cm="1">
        <f t="array" ref="L62">K62/K$5</f>
        <v>0.355485189873418</v>
      </c>
      <c r="M62" s="798" cm="1">
        <f t="array" ref="M62">ROUND(K62*F62,0)</f>
        <v>64067364</v>
      </c>
      <c r="N62" s="799" cm="1">
        <f t="array" ref="N62">M62/M$5</f>
        <v>0.436924624611952</v>
      </c>
      <c r="O62" s="798" cm="1">
        <f t="array" ref="O62">M62-M61</f>
        <v>-200194</v>
      </c>
      <c r="P62" s="800" cm="1">
        <f t="array" ref="P62">T62-K62</f>
        <v>3995.8335</v>
      </c>
      <c r="Q62" s="798" cm="1">
        <f t="array" ref="Q62">ROUND(P62*F62,0)</f>
        <v>182316355</v>
      </c>
      <c r="R62" s="801" cm="1">
        <f t="array" ref="R62">$K$5-K62</f>
        <v>2545.8335</v>
      </c>
      <c r="S62" s="798" cm="1">
        <f t="array" ref="S62">Q62-Q61</f>
        <v>1499143</v>
      </c>
      <c r="T62" s="801">
        <v>5400</v>
      </c>
      <c r="U62" s="798" cm="1">
        <f t="array" ref="U62">T62*F62</f>
        <v>246383718.743827</v>
      </c>
      <c r="V62" s="802" cm="1">
        <f t="array" ref="V62">-S62</f>
        <v>-1499143</v>
      </c>
      <c r="W62" s="802"/>
      <c r="X62" s="802" cm="1">
        <f t="array" ref="X62">$K61*4.95/12/100/(1-(1+4.95/12/100)^-(360-$A62+3))+$AY62</f>
        <v>9.2372415368045</v>
      </c>
      <c r="Y62" s="803" cm="1">
        <f t="array" ref="Y62">K61*4.95/12/100/(1-(1+4.95/12/100)^-(360-$A62+3))+AY62</f>
        <v>9.2372415368045</v>
      </c>
      <c r="Z62" s="791" cm="1">
        <f t="array" ref="Z62">IF(Z$3*12&lt;=$A62,0,$K61*'depto - Departamento'!$D$8/12/(1-(1+'depto - Departamento'!$D$8/12)^-(12*Z$3-$A62+3))+$AY63)</f>
        <v>10.2466977102077</v>
      </c>
      <c r="AA62" s="791" cm="1">
        <f t="array" ref="AA62">IF(AA$3*12&lt;=$A62,0,$K61*'depto - Departamento'!$D$8/12/(1-(1+'depto - Departamento'!$D$8/12)^-(12*AA$3-$A62+3))+$AY63)</f>
        <v>11.9743628244865</v>
      </c>
      <c r="AB62" s="791" cm="1">
        <f t="array" ref="AB62">IF(AB$3*12&lt;$A62,0,$K61*'depto - Departamento'!$D$8/12/(1-(1+'depto - Departamento'!$D$8/12)^-(12*AB$3-$A62+3))+$AY62)</f>
        <v>15.4419844162064</v>
      </c>
      <c r="AC62" s="791" cm="1">
        <f t="array" ref="AC62">IF(AC$3*12&lt;$A62,0,$K61*'depto - Departamento'!$D$8/12/(1-(1+'depto - Departamento'!$D$8/12)^-(12*AC$3-$A62+3))+$AY62)</f>
        <v>19.7905616312812</v>
      </c>
      <c r="AD62" s="791" cm="1">
        <f t="array" ref="AD62">IF(AD$3*12&lt;$A62,0,$K61*'depto - Departamento'!$D$8/12/(1-(1+'depto - Departamento'!$D$8/12)^-(12*AD$3-$A62+3))+$AY62)</f>
        <v>25.3281809460983</v>
      </c>
      <c r="AE62" s="791" cm="1">
        <f t="array" ref="AE62">IF(AE$3*12&lt;$A62,0,$K61*'depto - Departamento'!$D$8/12/(1-(1+'depto - Departamento'!$D$8/12)^-(12*AE$3-$A62+3))+$AY62)</f>
        <v>206.7353802926</v>
      </c>
      <c r="AF62" s="791" cm="1">
        <f t="array" ref="AF62">AF61-(AF60-AF61)</f>
        <v>79.6829</v>
      </c>
      <c r="AG62" s="791"/>
      <c r="AH62" s="791"/>
      <c r="AI62" s="804" cm="1">
        <f t="array" ref="AI62">$F62*Y62</f>
        <v>421464.059402377</v>
      </c>
      <c r="AJ62" s="405" cm="1">
        <f t="array" ref="AJ62">$F62*Z62</f>
        <v>467522.127163858</v>
      </c>
      <c r="AK62" s="405" cm="1">
        <f t="array" ref="AK62">$F62*AA62</f>
        <v>546349.637460152</v>
      </c>
      <c r="AL62" s="405" cm="1">
        <f t="array" ref="AL62">$F62*AB62</f>
        <v>704565.471342437</v>
      </c>
      <c r="AM62" s="405" cm="1">
        <f t="array" ref="AM62">$F62*AC62</f>
        <v>902976.327915549</v>
      </c>
      <c r="AN62" s="405" cm="1">
        <f t="array" ref="AN62">$F62*AD62</f>
        <v>1155639.1500956</v>
      </c>
      <c r="AO62" s="405" cm="1">
        <f t="array" ref="AO62">$F62*AE62</f>
        <v>9432635.51711298</v>
      </c>
      <c r="AP62" s="405" cm="1">
        <f t="array" ref="AP62">$F62*AF62</f>
        <v>3635660.9670912</v>
      </c>
      <c r="AQ62" s="791"/>
      <c r="AR62" s="805" cm="1">
        <f t="array" ref="AR62">K61-K62</f>
        <v>11.853</v>
      </c>
      <c r="AS62" s="805" cm="1">
        <f t="array" ref="AS62">D62-AR62</f>
        <v>6.7765</v>
      </c>
      <c r="AT62" s="791"/>
      <c r="AU62" s="806" cm="1">
        <f t="array" ref="AU62">ROUND(AV62*F62,0)</f>
        <v>47187</v>
      </c>
      <c r="AV62" s="807" cm="1">
        <f t="array" ref="AV62">IF(K61=0,0,AV61)</f>
        <v>1.0342</v>
      </c>
      <c r="AW62" s="806" cm="1">
        <f t="array" ref="AW62">ROUND(F62*AX62,0)</f>
        <v>2791</v>
      </c>
      <c r="AX62" s="807" cm="1">
        <f t="array" ref="AX62">AX$11/K$10*K61</f>
        <v>0.0611802947767337</v>
      </c>
      <c r="AY62" s="808" cm="1">
        <f t="array" ref="AY62">SUM(AV62,AX62)</f>
        <v>1.09538029477673</v>
      </c>
      <c r="AZ62" s="806" cm="1">
        <f t="array" ref="AZ62">AU62+AW62</f>
        <v>49978</v>
      </c>
      <c r="BA62" s="809" cm="1">
        <f t="array" ref="BA62">AI62-AZ62-BG62</f>
        <v>112277.591870144</v>
      </c>
      <c r="BB62" s="810" cm="1">
        <f t="array" ref="BB62">ROUND(BA62/$F62,4)</f>
        <v>2.4608</v>
      </c>
      <c r="BC62" s="809" cm="1">
        <f t="array" ref="BC62">J62-SUM(AZ62,BA62,BG62)</f>
        <v>428536.940597623</v>
      </c>
      <c r="BD62" s="810" cm="1">
        <f t="array" ref="BD62">ROUND(BC62/$F62,4)</f>
        <v>9.392300000000001</v>
      </c>
      <c r="BE62" s="811" cm="1">
        <f t="array" ref="BE62">BC62+BA62</f>
        <v>540814.532467767</v>
      </c>
      <c r="BF62" s="810" cm="1">
        <f t="array" ref="BF62">ROUND((BA62+BC62)/F62,4)</f>
        <v>11.853</v>
      </c>
      <c r="BG62" s="812" cm="1">
        <f t="array" ref="BG62">BO62*F62</f>
        <v>259208.467532233</v>
      </c>
      <c r="BH62" s="813" cm="1">
        <f t="array" ref="BH62">ROUND(BG62/$F62,4)</f>
        <v>5.6811</v>
      </c>
      <c r="BI62" s="798" cm="1">
        <f t="array" ref="BI62">M61-M62</f>
        <v>200194</v>
      </c>
      <c r="BJ62" s="798" cm="1">
        <f t="array" ref="BJ62">BE62-BI62</f>
        <v>340620.532467767</v>
      </c>
      <c r="BK62" s="798" cm="1">
        <f t="array" ref="BK62">-BJ62</f>
        <v>-340620.532467767</v>
      </c>
      <c r="BL62" s="798" cm="1">
        <f t="array" ref="BL62">BG62+BJ62</f>
        <v>599829</v>
      </c>
      <c r="BM62" s="798" cm="1">
        <f t="array" ref="BM62">AVERAGE(BL60:BL62)</f>
        <v>404144</v>
      </c>
      <c r="BN62" s="814" cm="1">
        <f t="array" ref="BN62">BH61-BH62</f>
        <v>0.0491</v>
      </c>
      <c r="BO62" s="801" cm="1">
        <f t="array" ref="BO62">K61*0.0495/12-0.16</f>
        <v>5.6810804375</v>
      </c>
      <c r="BP62" s="815" cm="1">
        <f t="array" ref="BP62">(BA62+BC62)/BG62</f>
        <v>2.08640766104802</v>
      </c>
      <c r="BQ62" s="815" cm="1">
        <f t="array" ref="BQ62">Y62-BB62</f>
        <v>6.7764415368045</v>
      </c>
      <c r="BR62" s="815" cm="1">
        <f t="array" ref="BR62">(BR$4*(1+BR$4)^BR$3*K61)/((1+BR$4)^BR$3-1)</f>
        <v>7.55828725323234</v>
      </c>
      <c r="BS62" s="815"/>
      <c r="BT62" s="405"/>
      <c r="BU62" s="405"/>
      <c r="BV62" s="405" cm="1">
        <f t="array" ref="BV62">BA62+BC62+BV61</f>
        <v>101396122.411472</v>
      </c>
      <c r="BW62" s="405" cm="1">
        <f t="array" ref="BW62">BG62+BW61</f>
        <v>18090390.5885278</v>
      </c>
      <c r="BX62" s="801" cm="1">
        <f t="array" ref="BX62">BF62+BX61</f>
        <v>2511.3427</v>
      </c>
      <c r="BY62" s="801" cm="1">
        <f t="array" ref="BY62">BH62+BY61</f>
        <v>446.3872</v>
      </c>
      <c r="BZ62" s="405" cm="1">
        <f t="array" ref="BZ62">SUM(BJ$6:BJ62)</f>
        <v>18830954.4114722</v>
      </c>
      <c r="CA62" s="801"/>
      <c r="CB62" s="801"/>
      <c r="CC62" s="405" cm="1">
        <f t="array" ref="CC62">SUM(BE$6:BE62)</f>
        <v>101396122.411472</v>
      </c>
      <c r="CD62" s="801"/>
      <c r="CE62" s="801"/>
      <c r="CF62" s="801"/>
      <c r="CG62" s="801"/>
      <c r="CH62" s="801"/>
      <c r="CI62" s="801"/>
      <c r="CJ62" s="801"/>
      <c r="CK62" s="801"/>
      <c r="CL62" s="801"/>
      <c r="CM62" s="801"/>
    </row>
    <row r="63" ht="19.35" customHeight="1" hidden="1">
      <c r="A63" s="762">
        <v>57</v>
      </c>
      <c r="B63" s="790">
        <v>47068</v>
      </c>
      <c r="C63" s="405"/>
      <c r="D63" s="791" cm="1">
        <f t="array" ref="D63">ROUND(850000/F63,4)</f>
        <v>18.5608</v>
      </c>
      <c r="E63" s="792" cm="1">
        <f t="array" ref="E63">D63/K62</f>
        <v>0.013218375456187</v>
      </c>
      <c r="F63" s="793" cm="1">
        <f t="array" ref="F63">F62*(1+G63)</f>
        <v>45795.4330561443</v>
      </c>
      <c r="G63" s="792" cm="1">
        <f t="array" ref="G63">H63-SUM(G52:G62)</f>
        <v>0.0037</v>
      </c>
      <c r="H63" s="794" cm="1">
        <f t="array" ref="H63">'depto - Table 5'!$H$2</f>
        <v>0.045</v>
      </c>
      <c r="I63" s="795" cm="1">
        <f t="array" ref="I63">H63+4.95/100</f>
        <v>0.0945</v>
      </c>
      <c r="J63" s="405" cm="1">
        <f t="array" ref="J63">IF(K62=0,0,ROUND(D63*F63,0))</f>
        <v>850000</v>
      </c>
      <c r="K63" s="796" cm="1">
        <f t="array" ref="K63">IF(K62-BF63&lt;0,0,K62-BF63)</f>
        <v>1392.3328</v>
      </c>
      <c r="L63" s="797" cm="1">
        <f t="array" ref="L63">K63/K$5</f>
        <v>0.352489316455696</v>
      </c>
      <c r="M63" s="798" cm="1">
        <f t="array" ref="M63">ROUND(K63*F63,0)</f>
        <v>63762484</v>
      </c>
      <c r="N63" s="799" cm="1">
        <f t="array" ref="N63">M63/M$5</f>
        <v>0.434845413431175</v>
      </c>
      <c r="O63" s="798" cm="1">
        <f t="array" ref="O63">M63-M62</f>
        <v>-304880</v>
      </c>
      <c r="P63" s="800" cm="1">
        <f t="array" ref="P63">T63-K63</f>
        <v>4007.6672</v>
      </c>
      <c r="Q63" s="798" cm="1">
        <f t="array" ref="Q63">ROUND(P63*F63,0)</f>
        <v>183532855</v>
      </c>
      <c r="R63" s="801" cm="1">
        <f t="array" ref="R63">$K$5-K63</f>
        <v>2557.6672</v>
      </c>
      <c r="S63" s="798" cm="1">
        <f t="array" ref="S63">Q63-Q62</f>
        <v>1216500</v>
      </c>
      <c r="T63" s="801">
        <v>5400</v>
      </c>
      <c r="U63" s="798" cm="1">
        <f t="array" ref="U63">T63*F63</f>
        <v>247295338.503179</v>
      </c>
      <c r="V63" s="802" cm="1">
        <f t="array" ref="V63">-S63</f>
        <v>-1216500</v>
      </c>
      <c r="W63" s="802"/>
      <c r="X63" s="802" cm="1">
        <f t="array" ref="X63">$K62*4.95/12/100/(1-(1+4.95/12/100)^-(360-$A63+3))+$AY63</f>
        <v>9.18171646386156</v>
      </c>
      <c r="Y63" s="803" cm="1">
        <f t="array" ref="Y63">K62*4.95/12/100/(1-(1+4.95/12/100)^-(360-$A63+3))+AY63</f>
        <v>9.18171646386156</v>
      </c>
      <c r="Z63" s="791" cm="1">
        <f t="array" ref="Z63">IF(Z$3*12&lt;=$A63,0,$K62*'depto - Departamento'!$D$8/12/(1-(1+'depto - Departamento'!$D$8/12)^-(12*Z$3-$A63+3))+$AY64)</f>
        <v>10.1908478964555</v>
      </c>
      <c r="AA63" s="791" cm="1">
        <f t="array" ref="AA63">IF(AA$3*12&lt;=$A63,0,$K62*'depto - Departamento'!$D$8/12/(1-(1+'depto - Departamento'!$D$8/12)^-(12*AA$3-$A63+3))+$AY64)</f>
        <v>11.921307072310</v>
      </c>
      <c r="AB63" s="791" cm="1">
        <f t="array" ref="AB63">IF(AB$3*12&lt;$A63,0,$K62*'depto - Departamento'!$D$8/12/(1-(1+'depto - Departamento'!$D$8/12)^-(12*AB$3-$A63+3))+$AY63)</f>
        <v>15.4073519134183</v>
      </c>
      <c r="AC63" s="791" cm="1">
        <f t="array" ref="AC63">IF(AC$3*12&lt;$A63,0,$K62*'depto - Departamento'!$D$8/12/(1-(1+'depto - Departamento'!$D$8/12)^-(12*AC$3-$A63+3))+$AY63)</f>
        <v>19.8033877568725</v>
      </c>
      <c r="AD63" s="791" cm="1">
        <f t="array" ref="AD63">IF(AD$3*12&lt;$A63,0,$K62*'depto - Departamento'!$D$8/12/(1-(1+'depto - Departamento'!$D$8/12)^-(12*AD$3-$A63+3))+$AY63)</f>
        <v>25.4410405747112</v>
      </c>
      <c r="AE63" s="791" cm="1">
        <f t="array" ref="AE63">IF(AE$3*12&lt;$A63,0,$K62*'depto - Departamento'!$D$8/12/(1-(1+'depto - Departamento'!$D$8/12)^-(12*AE$3-$A63+3))+$AY63)</f>
        <v>238.512984347555</v>
      </c>
      <c r="AF63" s="791" cm="1">
        <f t="array" ref="AF63">AF62-(AF61-AF62)</f>
        <v>79.6801</v>
      </c>
      <c r="AG63" s="791"/>
      <c r="AH63" s="791"/>
      <c r="AI63" s="804" cm="1">
        <f t="array" ref="AI63">$F63*Y63</f>
        <v>420480.68166127</v>
      </c>
      <c r="AJ63" s="405" cm="1">
        <f t="array" ref="AJ63">$F63*Z63</f>
        <v>466694.292627477</v>
      </c>
      <c r="AK63" s="405" cm="1">
        <f t="array" ref="AK63">$F63*AA63</f>
        <v>545941.4199717121</v>
      </c>
      <c r="AL63" s="405" cm="1">
        <f t="array" ref="AL63">$F63*AB63</f>
        <v>705586.353123405</v>
      </c>
      <c r="AM63" s="405" cm="1">
        <f t="array" ref="AM63">$F63*AC63</f>
        <v>906904.718304722</v>
      </c>
      <c r="AN63" s="405" cm="1">
        <f t="array" ref="AN63">$F63*AD63</f>
        <v>1165083.47051784</v>
      </c>
      <c r="AO63" s="405" cm="1">
        <f t="array" ref="AO63">$F63*AE63</f>
        <v>10922805.4077096</v>
      </c>
      <c r="AP63" s="405" cm="1">
        <f t="array" ref="AP63">$F63*AF63</f>
        <v>3648984.68545688</v>
      </c>
      <c r="AQ63" s="791"/>
      <c r="AR63" s="805" cm="1">
        <f t="array" ref="AR63">K62-K63</f>
        <v>11.8337</v>
      </c>
      <c r="AS63" s="805" cm="1">
        <f t="array" ref="AS63">D63-AR63</f>
        <v>6.7271</v>
      </c>
      <c r="AT63" s="791"/>
      <c r="AU63" s="806" cm="1">
        <f t="array" ref="AU63">ROUND(AV63*F63,0)</f>
        <v>47362</v>
      </c>
      <c r="AV63" s="807" cm="1">
        <f t="array" ref="AV63">IF(K62=0,0,AV62)</f>
        <v>1.0342</v>
      </c>
      <c r="AW63" s="806" cm="1">
        <f t="array" ref="AW63">ROUND(F63*AX63,0)</f>
        <v>2778</v>
      </c>
      <c r="AX63" s="807" cm="1">
        <f t="array" ref="AX63">AX$11/K$10*K62</f>
        <v>0.0606681760989975</v>
      </c>
      <c r="AY63" s="808" cm="1">
        <f t="array" ref="AY63">SUM(AV63,AX63)</f>
        <v>1.094868176099</v>
      </c>
      <c r="AZ63" s="806" cm="1">
        <f t="array" ref="AZ63">AU63+AW63</f>
        <v>50140</v>
      </c>
      <c r="BA63" s="809" cm="1">
        <f t="array" ref="BA63">AI63-AZ63-BG63</f>
        <v>112412.247529728</v>
      </c>
      <c r="BB63" s="810" cm="1">
        <f t="array" ref="BB63">ROUND(BA63/$F63,4)</f>
        <v>2.4547</v>
      </c>
      <c r="BC63" s="809" cm="1">
        <f t="array" ref="BC63">J63-SUM(AZ63,BA63,BG63)</f>
        <v>429519.31833873</v>
      </c>
      <c r="BD63" s="810" cm="1">
        <f t="array" ref="BD63">ROUND(BC63/$F63,4)</f>
        <v>9.379099999999999</v>
      </c>
      <c r="BE63" s="811" cm="1">
        <f t="array" ref="BE63">BC63+BA63</f>
        <v>541931.565868458</v>
      </c>
      <c r="BF63" s="810" cm="1">
        <f t="array" ref="BF63">ROUND((BA63+BC63)/F63,4)</f>
        <v>11.8337</v>
      </c>
      <c r="BG63" s="812" cm="1">
        <f t="array" ref="BG63">BO63*F63</f>
        <v>257928.434131542</v>
      </c>
      <c r="BH63" s="813" cm="1">
        <f t="array" ref="BH63">ROUND(BG63/$F63,4)</f>
        <v>5.6322</v>
      </c>
      <c r="BI63" s="798" cm="1">
        <f t="array" ref="BI63">M62-M63</f>
        <v>304880</v>
      </c>
      <c r="BJ63" s="798" cm="1">
        <f t="array" ref="BJ63">BE63-BI63</f>
        <v>237051.565868458</v>
      </c>
      <c r="BK63" s="798" cm="1">
        <f t="array" ref="BK63">-BJ63</f>
        <v>-237051.565868458</v>
      </c>
      <c r="BL63" s="798" cm="1">
        <f t="array" ref="BL63">BG63+BJ63</f>
        <v>494980</v>
      </c>
      <c r="BM63" s="798" cm="1">
        <f t="array" ref="BM63">AVERAGE(BL61:BL63)</f>
        <v>481828.333333333</v>
      </c>
      <c r="BN63" s="814" cm="1">
        <f t="array" ref="BN63">BH62-BH63</f>
        <v>0.0489</v>
      </c>
      <c r="BO63" s="801" cm="1">
        <f t="array" ref="BO63">K62*0.0495/12-0.16</f>
        <v>5.6321868125</v>
      </c>
      <c r="BP63" s="815" cm="1">
        <f t="array" ref="BP63">(BA63+BC63)/BG63</f>
        <v>2.10109276122723</v>
      </c>
      <c r="BQ63" s="815" cm="1">
        <f t="array" ref="BQ63">Y63-BB63</f>
        <v>6.72701646386156</v>
      </c>
      <c r="BR63" s="815" cm="1">
        <f t="array" ref="BR63">(BR$4*(1+BR$4)^BR$3*K62)/((1+BR$4)^BR$3-1)</f>
        <v>7.49501949539951</v>
      </c>
      <c r="BS63" s="815"/>
      <c r="BT63" s="405"/>
      <c r="BU63" s="405"/>
      <c r="BV63" s="405" cm="1">
        <f t="array" ref="BV63">BA63+BC63+BV62</f>
        <v>101938053.97734</v>
      </c>
      <c r="BW63" s="405" cm="1">
        <f t="array" ref="BW63">BG63+BW62</f>
        <v>18348319.0226593</v>
      </c>
      <c r="BX63" s="801" cm="1">
        <f t="array" ref="BX63">BF63+BX62</f>
        <v>2523.1764</v>
      </c>
      <c r="BY63" s="801" cm="1">
        <f t="array" ref="BY63">BH63+BY62</f>
        <v>452.0194</v>
      </c>
      <c r="BZ63" s="405" cm="1">
        <f t="array" ref="BZ63">SUM(BJ$6:BJ63)</f>
        <v>19068005.9773407</v>
      </c>
      <c r="CA63" s="801"/>
      <c r="CB63" s="801"/>
      <c r="CC63" s="405" cm="1">
        <f t="array" ref="CC63">SUM(BE$6:BE63)</f>
        <v>101938053.977341</v>
      </c>
      <c r="CD63" s="801"/>
      <c r="CE63" s="801"/>
      <c r="CF63" s="801"/>
      <c r="CG63" s="801"/>
      <c r="CH63" s="801"/>
      <c r="CI63" s="801"/>
      <c r="CJ63" s="801"/>
      <c r="CK63" s="801"/>
      <c r="CL63" s="801"/>
      <c r="CM63" s="801"/>
    </row>
    <row r="64" ht="19.35" customHeight="1" hidden="1">
      <c r="A64" s="762">
        <v>58</v>
      </c>
      <c r="B64" s="790">
        <v>47098</v>
      </c>
      <c r="C64" s="405"/>
      <c r="D64" s="791" cm="1">
        <f t="array" ref="D64">ROUND(850000/F64,4)</f>
        <v>18.5571</v>
      </c>
      <c r="E64" s="792" cm="1">
        <f t="array" ref="E64">D64/K63</f>
        <v>0.0133280635204457</v>
      </c>
      <c r="F64" s="793" cm="1">
        <f t="array" ref="F64">F63*(1+G64)</f>
        <v>45804.5921427555</v>
      </c>
      <c r="G64" s="792" cm="1">
        <f t="array" ref="G64">H64-SUM(G53:G63)</f>
        <v>0.0002</v>
      </c>
      <c r="H64" s="794" cm="1">
        <f t="array" ref="H64">'depto - Table 5'!$H$2</f>
        <v>0.045</v>
      </c>
      <c r="I64" s="795" cm="1">
        <f t="array" ref="I64">H64+4.95/100</f>
        <v>0.0945</v>
      </c>
      <c r="J64" s="405" cm="1">
        <f t="array" ref="J64">IF(K63=0,0,ROUND(D64*F64,0))</f>
        <v>850000</v>
      </c>
      <c r="K64" s="796" cm="1">
        <f t="array" ref="K64">IF(K63-BF64&lt;0,0,K63-BF64)</f>
        <v>1380.4534</v>
      </c>
      <c r="L64" s="797" cm="1">
        <f t="array" ref="L64">K64/K$5</f>
        <v>0.349481873417722</v>
      </c>
      <c r="M64" s="798" cm="1">
        <f t="array" ref="M64">ROUND(K64*F64,0)</f>
        <v>63231105</v>
      </c>
      <c r="N64" s="799" cm="1">
        <f t="array" ref="N64">M64/M$5</f>
        <v>0.431221531385682</v>
      </c>
      <c r="O64" s="798" cm="1">
        <f t="array" ref="O64">M64-M63</f>
        <v>-531379</v>
      </c>
      <c r="P64" s="800" cm="1">
        <f t="array" ref="P64">T64-K64</f>
        <v>4019.5466</v>
      </c>
      <c r="Q64" s="798" cm="1">
        <f t="array" ref="Q64">ROUND(P64*F64,0)</f>
        <v>184113693</v>
      </c>
      <c r="R64" s="801" cm="1">
        <f t="array" ref="R64">$K$5-K64</f>
        <v>2569.5466</v>
      </c>
      <c r="S64" s="798" cm="1">
        <f t="array" ref="S64">Q64-Q63</f>
        <v>580838</v>
      </c>
      <c r="T64" s="801">
        <v>5400</v>
      </c>
      <c r="U64" s="798" cm="1">
        <f t="array" ref="U64">T64*F64</f>
        <v>247344797.57088</v>
      </c>
      <c r="V64" s="802" cm="1">
        <f t="array" ref="V64">-S64</f>
        <v>-580838</v>
      </c>
      <c r="W64" s="802"/>
      <c r="X64" s="802" cm="1">
        <f t="array" ref="X64">$K63*4.95/12/100/(1-(1+4.95/12/100)^-(360-$A64+3))+$AY64</f>
        <v>9.126178210655359</v>
      </c>
      <c r="Y64" s="803" cm="1">
        <f t="array" ref="Y64">K63*4.95/12/100/(1-(1+4.95/12/100)^-(360-$A64+3))+AY64</f>
        <v>9.126178210655359</v>
      </c>
      <c r="Z64" s="791" cm="1">
        <f t="array" ref="Z64">IF(Z$3*12&lt;=$A64,0,$K63*'depto - Departamento'!$D$8/12/(1-(1+'depto - Departamento'!$D$8/12)^-(12*Z$3-$A64+3))+$AY65)</f>
        <v>10.1349490521284</v>
      </c>
      <c r="AA64" s="791" cm="1">
        <f t="array" ref="AA64">IF(AA$3*12&lt;=$A64,0,$K63*'depto - Departamento'!$D$8/12/(1-(1+'depto - Departamento'!$D$8/12)^-(12*AA$3-$A64+3))+$AY65)</f>
        <v>11.8681813632443</v>
      </c>
      <c r="AB64" s="791" cm="1">
        <f t="array" ref="AB64">IF(AB$3*12&lt;$A64,0,$K63*'depto - Departamento'!$D$8/12/(1-(1+'depto - Departamento'!$D$8/12)^-(12*AB$3-$A64+3))+$AY64)</f>
        <v>15.3728613668745</v>
      </c>
      <c r="AC64" s="791" cm="1">
        <f t="array" ref="AC64">IF(AC$3*12&lt;$A64,0,$K63*'depto - Departamento'!$D$8/12/(1-(1+'depto - Departamento'!$D$8/12)^-(12*AC$3-$A64+3))+$AY64)</f>
        <v>19.8174349295043</v>
      </c>
      <c r="AD64" s="791" cm="1">
        <f t="array" ref="AD64">IF(AD$3*12&lt;$A64,0,$K63*'depto - Departamento'!$D$8/12/(1-(1+'depto - Departamento'!$D$8/12)^-(12*AD$3-$A64+3))+$AY64)</f>
        <v>25.5586093662226</v>
      </c>
      <c r="AE64" s="791" cm="1">
        <f t="array" ref="AE64">IF(AE$3*12&lt;$A64,0,$K63*'depto - Departamento'!$D$8/12/(1-(1+'depto - Departamento'!$D$8/12)^-(12*AE$3-$A64+3))+$AY64)</f>
        <v>283.016397575143</v>
      </c>
      <c r="AF64" s="791" cm="1">
        <f t="array" ref="AF64">AF63-(AF62-AF63)</f>
        <v>79.6773</v>
      </c>
      <c r="AG64" s="791"/>
      <c r="AH64" s="791"/>
      <c r="AI64" s="804" cm="1">
        <f t="array" ref="AI64">$F64*Y64</f>
        <v>418020.870761171</v>
      </c>
      <c r="AJ64" s="405" cm="1">
        <f t="array" ref="AJ64">$F64*Z64</f>
        <v>464227.207720348</v>
      </c>
      <c r="AK64" s="405" cm="1">
        <f t="array" ref="AK64">$F64*AA64</f>
        <v>543617.206819657</v>
      </c>
      <c r="AL64" s="405" cm="1">
        <f t="array" ref="AL64">$F64*AB64</f>
        <v>704147.644976809</v>
      </c>
      <c r="AM64" s="405" cm="1">
        <f t="array" ref="AM64">$F64*AC64</f>
        <v>907729.524261541</v>
      </c>
      <c r="AN64" s="405" cm="1">
        <f t="array" ref="AN64">$F64*AD64</f>
        <v>1170701.67775584</v>
      </c>
      <c r="AO64" s="405" cm="1">
        <f t="array" ref="AO64">$F64*AE64</f>
        <v>12963450.6606414</v>
      </c>
      <c r="AP64" s="405" cm="1">
        <f t="array" ref="AP64">$F64*AF64</f>
        <v>3649586.22953597</v>
      </c>
      <c r="AQ64" s="791"/>
      <c r="AR64" s="805" cm="1">
        <f t="array" ref="AR64">K63-K64</f>
        <v>11.8794</v>
      </c>
      <c r="AS64" s="805" cm="1">
        <f t="array" ref="AS64">D64-AR64</f>
        <v>6.6777</v>
      </c>
      <c r="AT64" s="791"/>
      <c r="AU64" s="806" cm="1">
        <f t="array" ref="AU64">ROUND(AV64*F64,0)</f>
        <v>47371</v>
      </c>
      <c r="AV64" s="807" cm="1">
        <f t="array" ref="AV64">IF(K63=0,0,AV63)</f>
        <v>1.0342</v>
      </c>
      <c r="AW64" s="806" cm="1">
        <f t="array" ref="AW64">ROUND(F64*AX64,0)</f>
        <v>2755</v>
      </c>
      <c r="AX64" s="807" cm="1">
        <f t="array" ref="AX64">AX$11/K$10*K63</f>
        <v>0.0601568912937392</v>
      </c>
      <c r="AY64" s="808" cm="1">
        <f t="array" ref="AY64">SUM(AV64,AX64)</f>
        <v>1.09435689129374</v>
      </c>
      <c r="AZ64" s="806" cm="1">
        <f t="array" ref="AZ64">AU64+AW64</f>
        <v>50126</v>
      </c>
      <c r="BA64" s="809" cm="1">
        <f t="array" ref="BA64">AI64-AZ64-BG64</f>
        <v>112150.756876216</v>
      </c>
      <c r="BB64" s="810" cm="1">
        <f t="array" ref="BB64">ROUND(BA64/$F64,4)</f>
        <v>2.4485</v>
      </c>
      <c r="BC64" s="809" cm="1">
        <f t="array" ref="BC64">J64-SUM(AZ64,BA64,BG64)</f>
        <v>431979.129238829</v>
      </c>
      <c r="BD64" s="810" cm="1">
        <f t="array" ref="BD64">ROUND(BC64/$F64,4)</f>
        <v>9.430899999999999</v>
      </c>
      <c r="BE64" s="811" cm="1">
        <f t="array" ref="BE64">BC64+BA64</f>
        <v>544129.8861150451</v>
      </c>
      <c r="BF64" s="810" cm="1">
        <f t="array" ref="BF64">ROUND((BA64+BC64)/F64,4)</f>
        <v>11.8794</v>
      </c>
      <c r="BG64" s="812" cm="1">
        <f t="array" ref="BG64">BO64*F64</f>
        <v>255744.113884955</v>
      </c>
      <c r="BH64" s="813" cm="1">
        <f t="array" ref="BH64">ROUND(BG64/$F64,4)</f>
        <v>5.5834</v>
      </c>
      <c r="BI64" s="798" cm="1">
        <f t="array" ref="BI64">M63-M64</f>
        <v>531379</v>
      </c>
      <c r="BJ64" s="798" cm="1">
        <f t="array" ref="BJ64">BE64-BI64</f>
        <v>12750.886115045</v>
      </c>
      <c r="BK64" s="798" cm="1">
        <f t="array" ref="BK64">-BJ64</f>
        <v>-12750.886115045</v>
      </c>
      <c r="BL64" s="798" cm="1">
        <f t="array" ref="BL64">BG64+BJ64</f>
        <v>268495</v>
      </c>
      <c r="BM64" s="798" cm="1">
        <f t="array" ref="BM64">AVERAGE(BL62:BL64)</f>
        <v>454434.666666667</v>
      </c>
      <c r="BN64" s="814" cm="1">
        <f t="array" ref="BN64">BH63-BH64</f>
        <v>0.0488</v>
      </c>
      <c r="BO64" s="801" cm="1">
        <f t="array" ref="BO64">K63*0.0495/12-0.16</f>
        <v>5.5833728</v>
      </c>
      <c r="BP64" s="815" cm="1">
        <f t="array" ref="BP64">(BA64+BC64)/BG64</f>
        <v>2.12763405518619</v>
      </c>
      <c r="BQ64" s="815" cm="1">
        <f t="array" ref="BQ64">Y64-BB64</f>
        <v>6.67767821065536</v>
      </c>
      <c r="BR64" s="815" cm="1">
        <f t="array" ref="BR64">(BR$4*(1+BR$4)^BR$3*K63)/((1+BR$4)^BR$3-1)</f>
        <v>7.43185475517625</v>
      </c>
      <c r="BS64" s="815"/>
      <c r="BT64" s="405"/>
      <c r="BU64" s="405"/>
      <c r="BV64" s="405" cm="1">
        <f t="array" ref="BV64">BA64+BC64+BV63</f>
        <v>102482183.863455</v>
      </c>
      <c r="BW64" s="405" cm="1">
        <f t="array" ref="BW64">BG64+BW63</f>
        <v>18604063.1365443</v>
      </c>
      <c r="BX64" s="801" cm="1">
        <f t="array" ref="BX64">BF64+BX63</f>
        <v>2535.0558</v>
      </c>
      <c r="BY64" s="801" cm="1">
        <f t="array" ref="BY64">BH64+BY63</f>
        <v>457.6028</v>
      </c>
      <c r="BZ64" s="405" cm="1">
        <f t="array" ref="BZ64">SUM(BJ$6:BJ64)</f>
        <v>19080756.8634557</v>
      </c>
      <c r="CA64" s="801"/>
      <c r="CB64" s="801"/>
      <c r="CC64" s="405" cm="1">
        <f t="array" ref="CC64">SUM(BE$6:BE64)</f>
        <v>102482183.863456</v>
      </c>
      <c r="CD64" s="801"/>
      <c r="CE64" s="801"/>
      <c r="CF64" s="801"/>
      <c r="CG64" s="801"/>
      <c r="CH64" s="801"/>
      <c r="CI64" s="801"/>
      <c r="CJ64" s="801"/>
      <c r="CK64" s="801"/>
      <c r="CL64" s="801"/>
      <c r="CM64" s="801"/>
    </row>
    <row r="65" ht="19.35" customHeight="1" hidden="1">
      <c r="A65" s="762">
        <v>59</v>
      </c>
      <c r="B65" s="763">
        <v>47129</v>
      </c>
      <c r="C65" s="764"/>
      <c r="D65" s="765" cm="1">
        <f t="array" ref="D65">ROUND(850000/F65,4)</f>
        <v>18.7294</v>
      </c>
      <c r="E65" s="766" cm="1">
        <f t="array" ref="E65">D65/K64</f>
        <v>0.0135675713501086</v>
      </c>
      <c r="F65" s="767" cm="1">
        <f t="array" ref="F65">F64*(1+G65)</f>
        <v>45383.1898950421</v>
      </c>
      <c r="G65" s="766" cm="1">
        <f t="array" ref="G65">H65-SUM(G54:G64)</f>
        <v>-0.0092</v>
      </c>
      <c r="H65" s="768" cm="1">
        <f t="array" ref="H65">'depto - Table 5'!$I$2</f>
        <v>0.04</v>
      </c>
      <c r="I65" s="769" cm="1">
        <f t="array" ref="I65">H65+4.95/100</f>
        <v>0.0895</v>
      </c>
      <c r="J65" s="764" cm="1">
        <f t="array" ref="J65">IF(K64=0,0,ROUND(D65*F65,0))</f>
        <v>850000</v>
      </c>
      <c r="K65" s="770" cm="1">
        <f t="array" ref="K65">IF(K64-BF65&lt;0,0,K64-BF65)</f>
        <v>1368.3522</v>
      </c>
      <c r="L65" s="771" cm="1">
        <f t="array" ref="L65">K65/K$5</f>
        <v>0.346418278481013</v>
      </c>
      <c r="M65" s="772" cm="1">
        <f t="array" ref="M65">ROUND(K65*F65,0)</f>
        <v>62100188</v>
      </c>
      <c r="N65" s="773" cm="1">
        <f t="array" ref="N65">M65/M$5</f>
        <v>0.423508938657623</v>
      </c>
      <c r="O65" s="772" cm="1">
        <f t="array" ref="O65">M65-M64</f>
        <v>-1130917</v>
      </c>
      <c r="P65" s="774" cm="1">
        <f t="array" ref="P65">T65-K65</f>
        <v>4031.6478</v>
      </c>
      <c r="Q65" s="772" cm="1">
        <f t="array" ref="Q65">ROUND(P65*F65,0)</f>
        <v>182969038</v>
      </c>
      <c r="R65" s="775" cm="1">
        <f t="array" ref="R65">$K$5-K65</f>
        <v>2581.6478</v>
      </c>
      <c r="S65" s="772" cm="1">
        <f t="array" ref="S65">Q65-Q64</f>
        <v>-1144655</v>
      </c>
      <c r="T65" s="775">
        <v>5400</v>
      </c>
      <c r="U65" s="772" cm="1">
        <f t="array" ref="U65">T65*F65</f>
        <v>245069225.433227</v>
      </c>
      <c r="V65" s="776" cm="1">
        <f t="array" ref="V65">-S65</f>
        <v>1144655</v>
      </c>
      <c r="W65" s="776"/>
      <c r="X65" s="776" cm="1">
        <f t="array" ref="X65">$K64*4.95/12/100/(1-(1+4.95/12/100)^-(360-$A65+3))+$AY65</f>
        <v>9.070247432835741</v>
      </c>
      <c r="Y65" s="777" cm="1">
        <f t="array" ref="Y65">K64*4.95/12/100/(1-(1+4.95/12/100)^-(360-$A65+3))+AY65</f>
        <v>9.070247432835741</v>
      </c>
      <c r="Z65" s="765" cm="1">
        <f t="array" ref="Z65">IF(Z$3*12&lt;=$A65,0,$K64*'depto - Departamento'!$D$8/12/(1-(1+'depto - Departamento'!$D$8/12)^-(12*Z$3-$A65+3))+$AY66)</f>
        <v>10.0785689018503</v>
      </c>
      <c r="AA65" s="765" cm="1">
        <f t="array" ref="AA65">IF(AA$3*12&lt;=$A65,0,$K64*'depto - Departamento'!$D$8/12/(1-(1+'depto - Departamento'!$D$8/12)^-(12*AA$3-$A65+3))+$AY66)</f>
        <v>11.8144708507596</v>
      </c>
      <c r="AB65" s="765" cm="1">
        <f t="array" ref="AB65">IF(AB$3*12&lt;$A65,0,$K64*'depto - Departamento'!$D$8/12/(1-(1+'depto - Departamento'!$D$8/12)^-(12*AB$3-$A65+3))+$AY65)</f>
        <v>15.3378407866368</v>
      </c>
      <c r="AC65" s="765" cm="1">
        <f t="array" ref="AC65">IF(AC$3*12&lt;$A65,0,$K64*'depto - Departamento'!$D$8/12/(1-(1+'depto - Departamento'!$D$8/12)^-(12*AC$3-$A65+3))+$AY65)</f>
        <v>19.831857005401</v>
      </c>
      <c r="AD65" s="765" cm="1">
        <f t="array" ref="AD65">IF(AD$3*12&lt;$A65,0,$K64*'depto - Departamento'!$D$8/12/(1-(1+'depto - Departamento'!$D$8/12)^-(12*AD$3-$A65+3))+$AY65)</f>
        <v>25.6799439764534</v>
      </c>
      <c r="AE65" s="765" cm="1">
        <f t="array" ref="AE65">IF(AE$3*12&lt;$A65,0,$K64*'depto - Departamento'!$D$8/12/(1-(1+'depto - Departamento'!$D$8/12)^-(12*AE$3-$A65+3))+$AY65)</f>
        <v>349.773500319807</v>
      </c>
      <c r="AF65" s="765" cm="1">
        <f t="array" ref="AF65">AF64-(AF63-AF64)</f>
        <v>79.67449999999999</v>
      </c>
      <c r="AG65" s="765"/>
      <c r="AH65" s="765"/>
      <c r="AI65" s="778" cm="1">
        <f t="array" ref="AI65">$F65*Y65</f>
        <v>411636.761639403</v>
      </c>
      <c r="AJ65" s="764" cm="1">
        <f t="array" ref="AJ65">$F65*Z65</f>
        <v>457397.606342938</v>
      </c>
      <c r="AK65" s="764" cm="1">
        <f t="array" ref="AK65">$F65*AA65</f>
        <v>536178.374129463</v>
      </c>
      <c r="AL65" s="764" cm="1">
        <f t="array" ref="AL65">$F65*AB65</f>
        <v>696080.14099986</v>
      </c>
      <c r="AM65" s="764" cm="1">
        <f t="array" ref="AM65">$F65*AC65</f>
        <v>900032.932447435</v>
      </c>
      <c r="AN65" s="764" cm="1">
        <f t="array" ref="AN65">$F65*AD65</f>
        <v>1165437.77397743</v>
      </c>
      <c r="AO65" s="764" cm="1">
        <f t="array" ref="AO65">$F65*AE65</f>
        <v>15873837.1852674</v>
      </c>
      <c r="AP65" s="764" cm="1">
        <f t="array" ref="AP65">$F65*AF65</f>
        <v>3615882.96329253</v>
      </c>
      <c r="AQ65" s="765"/>
      <c r="AR65" s="779" cm="1">
        <f t="array" ref="AR65">K64-K65</f>
        <v>12.1012</v>
      </c>
      <c r="AS65" s="779" cm="1">
        <f t="array" ref="AS65">D65-AR65</f>
        <v>6.6282</v>
      </c>
      <c r="AT65" s="765"/>
      <c r="AU65" s="780" cm="1">
        <f t="array" ref="AU65">ROUND(AV65*F65,0)</f>
        <v>46935</v>
      </c>
      <c r="AV65" s="781" cm="1">
        <f t="array" ref="AV65">IF(K64=0,0,AV64)</f>
        <v>1.0342</v>
      </c>
      <c r="AW65" s="780" cm="1">
        <f t="array" ref="AW65">ROUND(F65*AX65,0)</f>
        <v>2707</v>
      </c>
      <c r="AX65" s="781" cm="1">
        <f t="array" ref="AX65">AX$11/K$10*K64</f>
        <v>0.0596436319821473</v>
      </c>
      <c r="AY65" s="782" cm="1">
        <f t="array" ref="AY65">SUM(AV65,AX65)</f>
        <v>1.09384363198215</v>
      </c>
      <c r="AZ65" s="780" cm="1">
        <f t="array" ref="AZ65">AU65+AW65</f>
        <v>49642</v>
      </c>
      <c r="BA65" s="783" cm="1">
        <f t="array" ref="BA65">AI65-AZ65-BG65</f>
        <v>110827.384499602</v>
      </c>
      <c r="BB65" s="784" cm="1">
        <f t="array" ref="BB65">ROUND(BA65/$F65,4)</f>
        <v>2.442</v>
      </c>
      <c r="BC65" s="783" cm="1">
        <f t="array" ref="BC65">J65-SUM(AZ65,BA65,BG65)</f>
        <v>438363.238360597</v>
      </c>
      <c r="BD65" s="784" cm="1">
        <f t="array" ref="BD65">ROUND(BC65/$F65,4)</f>
        <v>9.6592</v>
      </c>
      <c r="BE65" s="785" cm="1">
        <f t="array" ref="BE65">BC65+BA65</f>
        <v>549190.622860199</v>
      </c>
      <c r="BF65" s="784" cm="1">
        <f t="array" ref="BF65">ROUND((BA65+BC65)/F65,4)</f>
        <v>12.1012</v>
      </c>
      <c r="BG65" s="786" cm="1">
        <f t="array" ref="BG65">BO65*F65</f>
        <v>251167.377139801</v>
      </c>
      <c r="BH65" s="787" cm="1">
        <f t="array" ref="BH65">ROUND(BG65/$F65,4)</f>
        <v>5.5344</v>
      </c>
      <c r="BI65" s="772" cm="1">
        <f t="array" ref="BI65">M64-M65</f>
        <v>1130917</v>
      </c>
      <c r="BJ65" s="772" cm="1">
        <f t="array" ref="BJ65">BE65-BI65</f>
        <v>-581726.377139801</v>
      </c>
      <c r="BK65" s="772" cm="1">
        <f t="array" ref="BK65">-BJ65</f>
        <v>581726.377139801</v>
      </c>
      <c r="BL65" s="772" cm="1">
        <f t="array" ref="BL65">BG65+BJ65</f>
        <v>-330559</v>
      </c>
      <c r="BM65" s="772" cm="1">
        <f t="array" ref="BM65">AVERAGE(BL63:BL65)</f>
        <v>144305.333333333</v>
      </c>
      <c r="BN65" s="788" cm="1">
        <f t="array" ref="BN65">BH64-BH65</f>
        <v>0.049</v>
      </c>
      <c r="BO65" s="775" cm="1">
        <f t="array" ref="BO65">K64*0.0495/12-0.16</f>
        <v>5.534370275</v>
      </c>
      <c r="BP65" s="789" cm="1">
        <f t="array" ref="BP65">(BA65+BC65)/BG65</f>
        <v>2.18655236645051</v>
      </c>
      <c r="BQ65" s="789" cm="1">
        <f t="array" ref="BQ65">Y65-BB65</f>
        <v>6.62824743283574</v>
      </c>
      <c r="BR65" s="789" cm="1">
        <f t="array" ref="BR65">(BR$4*(1+BR$4)^BR$3*K64)/((1+BR$4)^BR$3-1)</f>
        <v>7.36844608206401</v>
      </c>
      <c r="BS65" s="789"/>
      <c r="BT65" s="764"/>
      <c r="BU65" s="764"/>
      <c r="BV65" s="764" cm="1">
        <f t="array" ref="BV65">BA65+BC65+BV64</f>
        <v>103031374.486315</v>
      </c>
      <c r="BW65" s="764" cm="1">
        <f t="array" ref="BW65">BG65+BW64</f>
        <v>18855230.5136841</v>
      </c>
      <c r="BX65" s="775" cm="1">
        <f t="array" ref="BX65">BF65+BX64</f>
        <v>2547.157</v>
      </c>
      <c r="BY65" s="775" cm="1">
        <f t="array" ref="BY65">BH65+BY64</f>
        <v>463.1372</v>
      </c>
      <c r="BZ65" s="764" cm="1">
        <f t="array" ref="BZ65">SUM(BJ$6:BJ65)</f>
        <v>18499030.4863159</v>
      </c>
      <c r="CA65" s="775"/>
      <c r="CB65" s="775"/>
      <c r="CC65" s="764" cm="1">
        <f t="array" ref="CC65">SUM(BE$6:BE65)</f>
        <v>103031374.486316</v>
      </c>
      <c r="CD65" s="775"/>
      <c r="CE65" s="775"/>
      <c r="CF65" s="775"/>
      <c r="CG65" s="775"/>
      <c r="CH65" s="775"/>
      <c r="CI65" s="775"/>
      <c r="CJ65" s="775"/>
      <c r="CK65" s="775"/>
      <c r="CL65" s="775"/>
      <c r="CM65" s="775"/>
    </row>
    <row r="66" ht="19.35" customHeight="1" hidden="1">
      <c r="A66" s="762">
        <v>60</v>
      </c>
      <c r="B66" s="763">
        <v>47160</v>
      </c>
      <c r="C66" s="764"/>
      <c r="D66" s="765" cm="1">
        <f t="array" ref="D66">ROUND(850000/F66,4)</f>
        <v>18.7238</v>
      </c>
      <c r="E66" s="766" cm="1">
        <f t="array" ref="E66">D66/K65</f>
        <v>0.013683465411902</v>
      </c>
      <c r="F66" s="767" cm="1">
        <f t="array" ref="F66">F65*(1+G66)</f>
        <v>45396.8048520106</v>
      </c>
      <c r="G66" s="766" cm="1">
        <f t="array" ref="G66">H66-SUM(G55:G65)</f>
        <v>0.0003</v>
      </c>
      <c r="H66" s="768" cm="1">
        <f t="array" ref="H66">'depto - Table 5'!$I$2</f>
        <v>0.04</v>
      </c>
      <c r="I66" s="769" cm="1">
        <f t="array" ref="I66">H66+4.95/100</f>
        <v>0.0895</v>
      </c>
      <c r="J66" s="764" cm="1">
        <f t="array" ref="J66">IF(K65=0,0,ROUND(D66*F66,0))</f>
        <v>850001</v>
      </c>
      <c r="K66" s="770" cm="1">
        <f t="array" ref="K66">IF(K65-BF66&lt;0,0,K65-BF66)</f>
        <v>1356.2062</v>
      </c>
      <c r="L66" s="771" cm="1">
        <f t="array" ref="L66">K66/K$5</f>
        <v>0.343343341772152</v>
      </c>
      <c r="M66" s="772" cm="1">
        <f t="array" ref="M66">ROUND(K66*F66,0)</f>
        <v>61567428</v>
      </c>
      <c r="N66" s="773" cm="1">
        <f t="array" ref="N66">M66/M$5</f>
        <v>0.419875638511105</v>
      </c>
      <c r="O66" s="772" cm="1">
        <f t="array" ref="O66">M66-M65</f>
        <v>-532760</v>
      </c>
      <c r="P66" s="774" cm="1">
        <f t="array" ref="P66">T66-K66</f>
        <v>4043.7938</v>
      </c>
      <c r="Q66" s="772" cm="1">
        <f t="array" ref="Q66">ROUND(P66*F66,0)</f>
        <v>183575318</v>
      </c>
      <c r="R66" s="775" cm="1">
        <f t="array" ref="R66">$K$5-K66</f>
        <v>2593.7938</v>
      </c>
      <c r="S66" s="772" cm="1">
        <f t="array" ref="S66">Q66-Q65</f>
        <v>606280</v>
      </c>
      <c r="T66" s="775">
        <v>5400</v>
      </c>
      <c r="U66" s="772" cm="1">
        <f t="array" ref="U66">T66*F66</f>
        <v>245142746.200857</v>
      </c>
      <c r="V66" s="776" cm="1">
        <f t="array" ref="V66">-S66</f>
        <v>-606280</v>
      </c>
      <c r="W66" s="776"/>
      <c r="X66" s="776" cm="1">
        <f t="array" ref="X66">$K65*4.95/12/100/(1-(1+4.95/12/100)^-(360-$A66+3))+$AY66</f>
        <v>9.01289447580591</v>
      </c>
      <c r="Y66" s="777" cm="1">
        <f t="array" ref="Y66">K65*4.95/12/100/(1-(1+4.95/12/100)^-(360-$A66+3))+AY66</f>
        <v>9.01289447580591</v>
      </c>
      <c r="Z66" s="765" cm="1">
        <f t="array" ref="Z66">IF(Z$3*12&lt;=$A66,0,$K65*'depto - Departamento'!$D$8/12/(1-(1+'depto - Departamento'!$D$8/12)^-(12*Z$3-$A66+3))+$AY67)</f>
        <v>10.0205614888766</v>
      </c>
      <c r="AA66" s="765" cm="1">
        <f t="array" ref="AA66">IF(AA$3*12&lt;=$A66,0,$K65*'depto - Departamento'!$D$8/12/(1-(1+'depto - Departamento'!$D$8/12)^-(12*AA$3-$A66+3))+$AY67)</f>
        <v>11.7588025125191</v>
      </c>
      <c r="AB66" s="765" cm="1">
        <f t="array" ref="AB66">IF(AB$3*12&lt;$A66,0,$K65*'depto - Departamento'!$D$8/12/(1-(1+'depto - Departamento'!$D$8/12)^-(12*AB$3-$A66+3))+$AY66)</f>
        <v>15.3004432024634</v>
      </c>
      <c r="AC66" s="765" cm="1">
        <f t="array" ref="AC66">IF(AC$3*12&lt;$A66,0,$K65*'depto - Departamento'!$D$8/12/(1-(1+'depto - Departamento'!$D$8/12)^-(12*AC$3-$A66+3))+$AY66)</f>
        <v>19.844248734761</v>
      </c>
      <c r="AD66" s="765" cm="1">
        <f t="array" ref="AD66">IF(AD$3*12&lt;$A66,0,$K65*'depto - Departamento'!$D$8/12/(1-(1+'depto - Departamento'!$D$8/12)^-(12*AD$3-$A66+3))+$AY66)</f>
        <v>25.8020396370679</v>
      </c>
      <c r="AE66" s="765" cm="1">
        <f t="array" ref="AE66">IF(AE$3*12&lt;$A66,0,$K65*'depto - Departamento'!$D$8/12/(1-(1+'depto - Departamento'!$D$8/12)^-(12*AE$3-$A66+3))+$AY66)</f>
        <v>460.978852764510</v>
      </c>
      <c r="AF66" s="765" cm="1">
        <f t="array" ref="AF66">AF65-(AF64-AF65)</f>
        <v>79.6717</v>
      </c>
      <c r="AG66" s="765"/>
      <c r="AH66" s="765"/>
      <c r="AI66" s="778" cm="1">
        <f t="array" ref="AI66">$F66*Y66</f>
        <v>409156.611669925</v>
      </c>
      <c r="AJ66" s="764" cm="1">
        <f t="array" ref="AJ66">$F66*Z66</f>
        <v>454901.474418104</v>
      </c>
      <c r="AK66" s="764" cm="1">
        <f t="array" ref="AK66">$F66*AA66</f>
        <v>533812.062954162</v>
      </c>
      <c r="AL66" s="764" cm="1">
        <f t="array" ref="AL66">$F66*AB66</f>
        <v>694591.2342115029</v>
      </c>
      <c r="AM66" s="764" cm="1">
        <f t="array" ref="AM66">$F66*AC66</f>
        <v>900865.487246703</v>
      </c>
      <c r="AN66" s="764" cm="1">
        <f t="array" ref="AN66">$F66*AD66</f>
        <v>1171330.15818781</v>
      </c>
      <c r="AO66" s="764" cm="1">
        <f t="array" ref="AO66">$F66*AE66</f>
        <v>20926967.0198542</v>
      </c>
      <c r="AP66" s="764" cm="1">
        <f t="array" ref="AP66">$F66*AF66</f>
        <v>3616840.61712793</v>
      </c>
      <c r="AQ66" s="765"/>
      <c r="AR66" s="779" cm="1">
        <f t="array" ref="AR66">K65-K66</f>
        <v>12.146</v>
      </c>
      <c r="AS66" s="779" cm="1">
        <f t="array" ref="AS66">D66-AR66</f>
        <v>6.5778</v>
      </c>
      <c r="AT66" s="765"/>
      <c r="AU66" s="780" cm="1">
        <f t="array" ref="AU66">ROUND(AV66*F66,0)</f>
        <v>46949</v>
      </c>
      <c r="AV66" s="781" cm="1">
        <f t="array" ref="AV66">IF(K65=0,0,AV65)</f>
        <v>1.0342</v>
      </c>
      <c r="AW66" s="780" cm="1">
        <f t="array" ref="AW66">ROUND(F66*AX66,0)</f>
        <v>2684</v>
      </c>
      <c r="AX66" s="781" cm="1">
        <f t="array" ref="AX66">AX$11/K$10*K65</f>
        <v>0.059120789617934</v>
      </c>
      <c r="AY66" s="782" cm="1">
        <f t="array" ref="AY66">SUM(AV66,AX66)</f>
        <v>1.09332078961793</v>
      </c>
      <c r="AZ66" s="780" cm="1">
        <f t="array" ref="AZ66">AU66+AW66</f>
        <v>49633</v>
      </c>
      <c r="BA66" s="783" cm="1">
        <f t="array" ref="BA66">AI66-AZ66-BG66</f>
        <v>110546.977053342</v>
      </c>
      <c r="BB66" s="784" cm="1">
        <f t="array" ref="BB66">ROUND(BA66/$F66,4)</f>
        <v>2.4351</v>
      </c>
      <c r="BC66" s="783" cm="1">
        <f t="array" ref="BC66">J66-SUM(AZ66,BA66,BG66)</f>
        <v>440844.388330075</v>
      </c>
      <c r="BD66" s="784" cm="1">
        <f t="array" ref="BD66">ROUND(BC66/$F66,4)</f>
        <v>9.710900000000001</v>
      </c>
      <c r="BE66" s="785" cm="1">
        <f t="array" ref="BE66">BC66+BA66</f>
        <v>551391.365383417</v>
      </c>
      <c r="BF66" s="784" cm="1">
        <f t="array" ref="BF66">ROUND((BA66+BC66)/F66,4)</f>
        <v>12.146</v>
      </c>
      <c r="BG66" s="786" cm="1">
        <f t="array" ref="BG66">BO66*F66</f>
        <v>248976.634616583</v>
      </c>
      <c r="BH66" s="787" cm="1">
        <f t="array" ref="BH66">ROUND(BG66/$F66,4)</f>
        <v>5.4845</v>
      </c>
      <c r="BI66" s="772" cm="1">
        <f t="array" ref="BI66">M65-M66</f>
        <v>532760</v>
      </c>
      <c r="BJ66" s="772" cm="1">
        <f t="array" ref="BJ66">BE66-BI66</f>
        <v>18631.365383417</v>
      </c>
      <c r="BK66" s="772" cm="1">
        <f t="array" ref="BK66">-BJ66</f>
        <v>-18631.365383417</v>
      </c>
      <c r="BL66" s="772" cm="1">
        <f t="array" ref="BL66">BG66+BJ66</f>
        <v>267608</v>
      </c>
      <c r="BM66" s="772" cm="1">
        <f t="array" ref="BM66">AVERAGE(BL64:BL66)</f>
        <v>68514.6666666667</v>
      </c>
      <c r="BN66" s="788" cm="1">
        <f t="array" ref="BN66">BH65-BH66</f>
        <v>0.0499</v>
      </c>
      <c r="BO66" s="775" cm="1">
        <f t="array" ref="BO66">K65*0.0495/12-0.16</f>
        <v>5.484452825</v>
      </c>
      <c r="BP66" s="789" cm="1">
        <f t="array" ref="BP66">(BA66+BC66)/BG66</f>
        <v>2.21463096821332</v>
      </c>
      <c r="BQ66" s="789" cm="1">
        <f t="array" ref="BQ66">Y66-BB66</f>
        <v>6.57779447580591</v>
      </c>
      <c r="BR66" s="789" cm="1">
        <f t="array" ref="BR66">(BR$4*(1+BR$4)^BR$3*K65)/((1+BR$4)^BR$3-1)</f>
        <v>7.30385350709678</v>
      </c>
      <c r="BS66" s="789"/>
      <c r="BT66" s="764"/>
      <c r="BU66" s="764"/>
      <c r="BV66" s="764" cm="1">
        <f t="array" ref="BV66">BA66+BC66+BV65</f>
        <v>103582765.851698</v>
      </c>
      <c r="BW66" s="764" cm="1">
        <f t="array" ref="BW66">BG66+BW65</f>
        <v>19104207.1483007</v>
      </c>
      <c r="BX66" s="775" cm="1">
        <f t="array" ref="BX66">BF66+BX65</f>
        <v>2559.303</v>
      </c>
      <c r="BY66" s="775" cm="1">
        <f t="array" ref="BY66">BH66+BY65</f>
        <v>468.6217</v>
      </c>
      <c r="BZ66" s="764" cm="1">
        <f t="array" ref="BZ66">SUM(BJ$6:BJ66)</f>
        <v>18517661.8516993</v>
      </c>
      <c r="CA66" s="775"/>
      <c r="CB66" s="775"/>
      <c r="CC66" s="764" cm="1">
        <f t="array" ref="CC66">SUM(BE$6:BE66)</f>
        <v>103582765.851699</v>
      </c>
      <c r="CD66" s="775"/>
      <c r="CE66" s="775"/>
      <c r="CF66" s="775"/>
      <c r="CG66" s="775"/>
      <c r="CH66" s="775"/>
      <c r="CI66" s="775"/>
      <c r="CJ66" s="775"/>
      <c r="CK66" s="775"/>
      <c r="CL66" s="775"/>
      <c r="CM66" s="775"/>
    </row>
    <row r="67" ht="19.35" customHeight="1" hidden="1">
      <c r="A67" s="762">
        <v>61</v>
      </c>
      <c r="B67" s="763">
        <v>47188</v>
      </c>
      <c r="C67" s="764"/>
      <c r="D67" s="765" cm="1">
        <f t="array" ref="D67">ROUND(850000/F67,4)</f>
        <v>18.6548</v>
      </c>
      <c r="E67" s="766" cm="1">
        <f t="array" ref="E67">D67/K66</f>
        <v>0.0137551354653887</v>
      </c>
      <c r="F67" s="767" cm="1">
        <f t="array" ref="F67">F66*(1+G67)</f>
        <v>45564.773029963</v>
      </c>
      <c r="G67" s="766" cm="1">
        <f t="array" ref="G67">H67-SUM(G56:G66)</f>
        <v>0.0037</v>
      </c>
      <c r="H67" s="768" cm="1">
        <f t="array" ref="H67">'depto - Table 5'!$I$2</f>
        <v>0.04</v>
      </c>
      <c r="I67" s="769" cm="1">
        <f t="array" ref="I67">H67+4.95/100</f>
        <v>0.0895</v>
      </c>
      <c r="J67" s="764" cm="1">
        <f t="array" ref="J67">IF(K66=0,0,ROUND(D67*F67,0))</f>
        <v>850002</v>
      </c>
      <c r="K67" s="770" cm="1">
        <f t="array" ref="K67">IF(K66-BF67&lt;0,0,K66-BF67)</f>
        <v>1344.0785</v>
      </c>
      <c r="L67" s="771" cm="1">
        <f t="array" ref="L67">K67/K$5</f>
        <v>0.340273037974684</v>
      </c>
      <c r="M67" s="772" cm="1">
        <f t="array" ref="M67">ROUND(K67*F67,0)</f>
        <v>61242632</v>
      </c>
      <c r="N67" s="773" cm="1">
        <f t="array" ref="N67">M67/M$5</f>
        <v>0.417660604810398</v>
      </c>
      <c r="O67" s="772" cm="1">
        <f t="array" ref="O67">M67-M66</f>
        <v>-324796</v>
      </c>
      <c r="P67" s="774" cm="1">
        <f t="array" ref="P67">T67-K67</f>
        <v>4055.9215</v>
      </c>
      <c r="Q67" s="772" cm="1">
        <f t="array" ref="Q67">ROUND(P67*F67,0)</f>
        <v>184807143</v>
      </c>
      <c r="R67" s="775" cm="1">
        <f t="array" ref="R67">$K$5-K67</f>
        <v>2605.9215</v>
      </c>
      <c r="S67" s="772" cm="1">
        <f t="array" ref="S67">Q67-Q66</f>
        <v>1231825</v>
      </c>
      <c r="T67" s="775">
        <v>5400</v>
      </c>
      <c r="U67" s="772" cm="1">
        <f t="array" ref="U67">T67*F67</f>
        <v>246049774.3618</v>
      </c>
      <c r="V67" s="776" cm="1">
        <f t="array" ref="V67">-S67</f>
        <v>-1231825</v>
      </c>
      <c r="W67" s="776"/>
      <c r="X67" s="776" cm="1">
        <f t="array" ref="X67">$K66*4.95/12/100/(1-(1+4.95/12/100)^-(360-$A67+3))+$AY67</f>
        <v>8.955145141548449</v>
      </c>
      <c r="Y67" s="777" cm="1">
        <f t="array" ref="Y67">K66*4.95/12/100/(1-(1+4.95/12/100)^-(360-$A67+3))+AY67</f>
        <v>8.955145141548449</v>
      </c>
      <c r="Z67" s="765" cm="1">
        <f t="array" ref="Z67">IF(Z$3*12&lt;=$A67,0,$K66*'depto - Departamento'!$D$8/12/(1-(1+'depto - Departamento'!$D$8/12)^-(12*Z$3-$A67+3))+$AY68)</f>
        <v>9.962074130718349</v>
      </c>
      <c r="AA67" s="765" cm="1">
        <f t="array" ref="AA67">IF(AA$3*12&lt;=$A67,0,$K66*'depto - Departamento'!$D$8/12/(1-(1+'depto - Departamento'!$D$8/12)^-(12*AA$3-$A67+3))+$AY68)</f>
        <v>11.7025404758775</v>
      </c>
      <c r="AB67" s="765" cm="1">
        <f t="array" ref="AB67">IF(AB$3*12&lt;$A67,0,$K66*'depto - Departamento'!$D$8/12/(1-(1+'depto - Departamento'!$D$8/12)^-(12*AB$3-$A67+3))+$AY67)</f>
        <v>15.2624796792366</v>
      </c>
      <c r="AC67" s="765" cm="1">
        <f t="array" ref="AC67">IF(AC$3*12&lt;$A67,0,$K66*'depto - Departamento'!$D$8/12/(1-(1+'depto - Departamento'!$D$8/12)^-(12*AC$3-$A67+3))+$AY67)</f>
        <v>19.8570129120111</v>
      </c>
      <c r="AD67" s="765" cm="1">
        <f t="array" ref="AD67">IF(AD$3*12&lt;$A67,0,$K66*'depto - Departamento'!$D$8/12/(1-(1+'depto - Departamento'!$D$8/12)^-(12*AD$3-$A67+3))+$AY67)</f>
        <v>25.9282050085726</v>
      </c>
      <c r="AE67" s="765" cm="1">
        <f t="array" ref="AE67">IF(AE$3*12&lt;$A67,0,$K66*'depto - Departamento'!$D$8/12/(1-(1+'depto - Departamento'!$D$8/12)^-(12*AE$3-$A67+3))+$AY67)</f>
        <v>0</v>
      </c>
      <c r="AF67" s="765" cm="1">
        <f t="array" ref="AF67">AF66-(AF65-AF66)</f>
        <v>79.66889999999999</v>
      </c>
      <c r="AG67" s="765"/>
      <c r="AH67" s="765"/>
      <c r="AI67" s="778" cm="1">
        <f t="array" ref="AI67">$F67*Y67</f>
        <v>408039.155825031</v>
      </c>
      <c r="AJ67" s="764" cm="1">
        <f t="array" ref="AJ67">$F67*Z67</f>
        <v>453919.646673848</v>
      </c>
      <c r="AK67" s="764" cm="1">
        <f t="array" ref="AK67">$F67*AA67</f>
        <v>533223.600657313</v>
      </c>
      <c r="AL67" s="764" cm="1">
        <f t="array" ref="AL67">$F67*AB67</f>
        <v>695431.422458838</v>
      </c>
      <c r="AM67" s="764" cm="1">
        <f t="array" ref="AM67">$F67*AC67</f>
        <v>904780.28638883</v>
      </c>
      <c r="AN67" s="764" cm="1">
        <f t="array" ref="AN67">$F67*AD67</f>
        <v>1181412.77628996</v>
      </c>
      <c r="AO67" s="764" cm="1">
        <f t="array" ref="AO67">$F67*AE67</f>
        <v>0</v>
      </c>
      <c r="AP67" s="764" cm="1">
        <f t="array" ref="AP67">$F67*AF67</f>
        <v>3630095.34604682</v>
      </c>
      <c r="AQ67" s="765"/>
      <c r="AR67" s="779" cm="1">
        <f t="array" ref="AR67">K66-K67</f>
        <v>12.1277</v>
      </c>
      <c r="AS67" s="779" cm="1">
        <f t="array" ref="AS67">D67-AR67</f>
        <v>6.5271</v>
      </c>
      <c r="AT67" s="765"/>
      <c r="AU67" s="780" cm="1">
        <f t="array" ref="AU67">ROUND(AV67*F67,0)</f>
        <v>47123</v>
      </c>
      <c r="AV67" s="781" cm="1">
        <f t="array" ref="AV67">IF(K66=0,0,AV66)</f>
        <v>1.0342</v>
      </c>
      <c r="AW67" s="780" cm="1">
        <f t="array" ref="AW67">ROUND(F67*AX67,0)</f>
        <v>2670</v>
      </c>
      <c r="AX67" s="781" cm="1">
        <f t="array" ref="AX67">AX$11/K$10*K66</f>
        <v>0.0585960116326321</v>
      </c>
      <c r="AY67" s="782" cm="1">
        <f t="array" ref="AY67">SUM(AV67,AX67)</f>
        <v>1.09279601163263</v>
      </c>
      <c r="AZ67" s="780" cm="1">
        <f t="array" ref="AZ67">AU67+AW67</f>
        <v>49793</v>
      </c>
      <c r="BA67" s="783" cm="1">
        <f t="array" ref="BA67">AI67-AZ67-BG67</f>
        <v>110631.205309907</v>
      </c>
      <c r="BB67" s="784" cm="1">
        <f t="array" ref="BB67">ROUND(BA67/$F67,4)</f>
        <v>2.428</v>
      </c>
      <c r="BC67" s="783" cm="1">
        <f t="array" ref="BC67">J67-SUM(AZ67,BA67,BG67)</f>
        <v>441962.844174969</v>
      </c>
      <c r="BD67" s="784" cm="1">
        <f t="array" ref="BD67">ROUND(BC67/$F67,4)</f>
        <v>9.6997</v>
      </c>
      <c r="BE67" s="785" cm="1">
        <f t="array" ref="BE67">BC67+BA67</f>
        <v>552594.049484876</v>
      </c>
      <c r="BF67" s="784" cm="1">
        <f t="array" ref="BF67">ROUND((BA67+BC67)/F67,4)</f>
        <v>12.1277</v>
      </c>
      <c r="BG67" s="786" cm="1">
        <f t="array" ref="BG67">BO67*F67</f>
        <v>247614.950515124</v>
      </c>
      <c r="BH67" s="787" cm="1">
        <f t="array" ref="BH67">ROUND(BG67/$F67,4)</f>
        <v>5.4344</v>
      </c>
      <c r="BI67" s="772" cm="1">
        <f t="array" ref="BI67">M66-M67</f>
        <v>324796</v>
      </c>
      <c r="BJ67" s="772" cm="1">
        <f t="array" ref="BJ67">BE67-BI67</f>
        <v>227798.049484876</v>
      </c>
      <c r="BK67" s="772" cm="1">
        <f t="array" ref="BK67">-BJ67</f>
        <v>-227798.049484876</v>
      </c>
      <c r="BL67" s="772" cm="1">
        <f t="array" ref="BL67">BG67+BJ67</f>
        <v>475413</v>
      </c>
      <c r="BM67" s="772" cm="1">
        <f t="array" ref="BM67">AVERAGE(BL65:BL67)</f>
        <v>137487.333333333</v>
      </c>
      <c r="BN67" s="788" cm="1">
        <f t="array" ref="BN67">BH66-BH67</f>
        <v>0.0501</v>
      </c>
      <c r="BO67" s="775" cm="1">
        <f t="array" ref="BO67">K66*0.0495/12-0.16</f>
        <v>5.434350575</v>
      </c>
      <c r="BP67" s="789" cm="1">
        <f t="array" ref="BP67">(BA67+BC67)/BG67</f>
        <v>2.23166674037772</v>
      </c>
      <c r="BQ67" s="789" cm="1">
        <f t="array" ref="BQ67">Y67-BB67</f>
        <v>6.52714514154845</v>
      </c>
      <c r="BR67" s="789" cm="1">
        <f t="array" ref="BR67">(BR$4*(1+BR$4)^BR$3*K66)/((1+BR$4)^BR$3-1)</f>
        <v>7.23902180317056</v>
      </c>
      <c r="BS67" s="789"/>
      <c r="BT67" s="764"/>
      <c r="BU67" s="764"/>
      <c r="BV67" s="764" cm="1">
        <f t="array" ref="BV67">BA67+BC67+BV66</f>
        <v>104135359.901183</v>
      </c>
      <c r="BW67" s="764" cm="1">
        <f t="array" ref="BW67">BG67+BW66</f>
        <v>19351822.0988158</v>
      </c>
      <c r="BX67" s="775" cm="1">
        <f t="array" ref="BX67">BF67+BX66</f>
        <v>2571.4307</v>
      </c>
      <c r="BY67" s="775" cm="1">
        <f t="array" ref="BY67">BH67+BY66</f>
        <v>474.0561</v>
      </c>
      <c r="BZ67" s="764" cm="1">
        <f t="array" ref="BZ67">SUM(BJ$6:BJ67)</f>
        <v>18745459.9011842</v>
      </c>
      <c r="CA67" s="775"/>
      <c r="CB67" s="775"/>
      <c r="CC67" s="764" cm="1">
        <f t="array" ref="CC67">SUM(BE$6:BE67)</f>
        <v>104135359.901184</v>
      </c>
      <c r="CD67" s="775"/>
      <c r="CE67" s="775"/>
      <c r="CF67" s="775"/>
      <c r="CG67" s="775"/>
      <c r="CH67" s="775"/>
      <c r="CI67" s="775"/>
      <c r="CJ67" s="775"/>
      <c r="CK67" s="775"/>
      <c r="CL67" s="775"/>
      <c r="CM67" s="775"/>
    </row>
    <row r="68" ht="19.35" customHeight="1" hidden="1">
      <c r="A68" s="762">
        <v>62</v>
      </c>
      <c r="B68" s="763">
        <v>47219</v>
      </c>
      <c r="C68" s="764"/>
      <c r="D68" s="765" cm="1">
        <f t="array" ref="D68">ROUND(850000/F68,4)</f>
        <v>18.6417</v>
      </c>
      <c r="E68" s="766" cm="1">
        <f t="array" ref="E68">D68/K67</f>
        <v>0.0138695024137355</v>
      </c>
      <c r="F68" s="767" cm="1">
        <f t="array" ref="F68">F67*(1+G68)</f>
        <v>45596.668371084</v>
      </c>
      <c r="G68" s="766" cm="1">
        <f t="array" ref="G68">H68-SUM(G57:G67)</f>
        <v>0.0007</v>
      </c>
      <c r="H68" s="768" cm="1">
        <f t="array" ref="H68">'depto - Table 5'!$I$2</f>
        <v>0.04</v>
      </c>
      <c r="I68" s="769" cm="1">
        <f t="array" ref="I68">H68+4.95/100</f>
        <v>0.0895</v>
      </c>
      <c r="J68" s="764" cm="1">
        <f t="array" ref="J68">IF(K67=0,0,ROUND(D68*F68,0))</f>
        <v>849999</v>
      </c>
      <c r="K68" s="770" cm="1">
        <f t="array" ref="K68">IF(K67-BF68&lt;0,0,K67-BF68)</f>
        <v>1331.9134</v>
      </c>
      <c r="L68" s="771" cm="1">
        <f t="array" ref="L68">K68/K$5</f>
        <v>0.337193265822785</v>
      </c>
      <c r="M68" s="772" cm="1">
        <f t="array" ref="M68">ROUND(K68*F68,0)</f>
        <v>60730814</v>
      </c>
      <c r="N68" s="773" cm="1">
        <f t="array" ref="N68">M68/M$5</f>
        <v>0.414170124266831</v>
      </c>
      <c r="O68" s="772" cm="1">
        <f t="array" ref="O68">M68-M67</f>
        <v>-511818</v>
      </c>
      <c r="P68" s="774" cm="1">
        <f t="array" ref="P68">T68-K68</f>
        <v>4068.0866</v>
      </c>
      <c r="Q68" s="772" cm="1">
        <f t="array" ref="Q68">ROUND(P68*F68,0)</f>
        <v>185491196</v>
      </c>
      <c r="R68" s="775" cm="1">
        <f t="array" ref="R68">$K$5-K68</f>
        <v>2618.0866</v>
      </c>
      <c r="S68" s="772" cm="1">
        <f t="array" ref="S68">Q68-Q67</f>
        <v>684053</v>
      </c>
      <c r="T68" s="775">
        <v>5400</v>
      </c>
      <c r="U68" s="772" cm="1">
        <f t="array" ref="U68">T68*F68</f>
        <v>246222009.203854</v>
      </c>
      <c r="V68" s="776" cm="1">
        <f t="array" ref="V68">-S68</f>
        <v>-684053</v>
      </c>
      <c r="W68" s="776"/>
      <c r="X68" s="776" cm="1">
        <f t="array" ref="X68">$K67*4.95/12/100/(1-(1+4.95/12/100)^-(360-$A68+3))+$AY68</f>
        <v>8.897365649513819</v>
      </c>
      <c r="Y68" s="777" cm="1">
        <f t="array" ref="Y68">K67*4.95/12/100/(1-(1+4.95/12/100)^-(360-$A68+3))+AY68</f>
        <v>8.897365649513819</v>
      </c>
      <c r="Z68" s="765" cm="1">
        <f t="array" ref="Z68">IF(Z$3*12&lt;=$A68,0,$K67*'depto - Departamento'!$D$8/12/(1-(1+'depto - Departamento'!$D$8/12)^-(12*Z$3-$A68+3))+$AY69)</f>
        <v>9.90351326427631</v>
      </c>
      <c r="AA68" s="765" cm="1">
        <f t="array" ref="AA68">IF(AA$3*12&lt;=$A68,0,$K67*'depto - Departamento'!$D$8/12/(1-(1+'depto - Departamento'!$D$8/12)^-(12*AA$3-$A68+3))+$AY69)</f>
        <v>11.6461693574163</v>
      </c>
      <c r="AB68" s="765" cm="1">
        <f t="array" ref="AB68">IF(AB$3*12&lt;$A68,0,$K67*'depto - Departamento'!$D$8/12/(1-(1+'depto - Departamento'!$D$8/12)^-(12*AB$3-$A68+3))+$AY68)</f>
        <v>15.2246042802035</v>
      </c>
      <c r="AC68" s="765" cm="1">
        <f t="array" ref="AC68">IF(AC$3*12&lt;$A68,0,$K67*'depto - Departamento'!$D$8/12/(1-(1+'depto - Departamento'!$D$8/12)^-(12*AC$3-$A68+3))+$AY68)</f>
        <v>19.871049539685</v>
      </c>
      <c r="AD68" s="765" cm="1">
        <f t="array" ref="AD68">IF(AD$3*12&lt;$A68,0,$K67*'depto - Departamento'!$D$8/12/(1-(1+'depto - Departamento'!$D$8/12)^-(12*AD$3-$A68+3))+$AY68)</f>
        <v>26.0598184721542</v>
      </c>
      <c r="AE68" s="765" cm="1">
        <f t="array" ref="AE68">IF(AE$3*12&lt;$A68,0,$K67*'depto - Departamento'!$D$8/12/(1-(1+'depto - Departamento'!$D$8/12)^-(12*AE$3-$A68+3))+$AY68)</f>
        <v>0</v>
      </c>
      <c r="AF68" s="765" cm="1">
        <f t="array" ref="AF68">AF67-(AF66-AF67)</f>
        <v>79.6661</v>
      </c>
      <c r="AG68" s="765"/>
      <c r="AH68" s="765"/>
      <c r="AI68" s="778" cm="1">
        <f t="array" ref="AI68">$F68*Y68</f>
        <v>405690.230897156</v>
      </c>
      <c r="AJ68" s="764" cm="1">
        <f t="array" ref="AJ68">$F68*Z68</f>
        <v>451567.210019838</v>
      </c>
      <c r="AK68" s="764" cm="1">
        <f t="array" ref="AK68">$F68*AA68</f>
        <v>531026.521983591</v>
      </c>
      <c r="AL68" s="764" cm="1">
        <f t="array" ref="AL68">$F68*AB68</f>
        <v>694191.232445425</v>
      </c>
      <c r="AM68" s="764" cm="1">
        <f t="array" ref="AM68">$F68*AC68</f>
        <v>906053.656046398</v>
      </c>
      <c r="AN68" s="764" cm="1">
        <f t="array" ref="AN68">$F68*AD68</f>
        <v>1188240.90068546</v>
      </c>
      <c r="AO68" s="764"/>
      <c r="AP68" s="764" cm="1">
        <f t="array" ref="AP68">$F68*AF68</f>
        <v>3632508.74211762</v>
      </c>
      <c r="AQ68" s="765"/>
      <c r="AR68" s="779" cm="1">
        <f t="array" ref="AR68">K67-K68</f>
        <v>12.1651</v>
      </c>
      <c r="AS68" s="779" cm="1">
        <f t="array" ref="AS68">D68-AR68</f>
        <v>6.4766</v>
      </c>
      <c r="AT68" s="765"/>
      <c r="AU68" s="780" cm="1">
        <f t="array" ref="AU68">ROUND(AV68*F68,0)</f>
        <v>47156</v>
      </c>
      <c r="AV68" s="781" cm="1">
        <f t="array" ref="AV68">IF(K67=0,0,AV67)</f>
        <v>1.0342</v>
      </c>
      <c r="AW68" s="780" cm="1">
        <f t="array" ref="AW68">ROUND(F68*AX68,0)</f>
        <v>2648</v>
      </c>
      <c r="AX68" s="781" cm="1">
        <f t="array" ref="AX68">AX$11/K$10*K67</f>
        <v>0.0580720243139802</v>
      </c>
      <c r="AY68" s="782" cm="1">
        <f t="array" ref="AY68">SUM(AV68,AX68)</f>
        <v>1.09227202431398</v>
      </c>
      <c r="AZ68" s="780" cm="1">
        <f t="array" ref="AZ68">AU68+AW68</f>
        <v>49804</v>
      </c>
      <c r="BA68" s="783" cm="1">
        <f t="array" ref="BA68">AI68-AZ68-BG68</f>
        <v>110379.003616063</v>
      </c>
      <c r="BB68" s="784" cm="1">
        <f t="array" ref="BB68">ROUND(BA68/$F68,4)</f>
        <v>2.4208</v>
      </c>
      <c r="BC68" s="783" cm="1">
        <f t="array" ref="BC68">J68-SUM(AZ68,BA68,BG68)</f>
        <v>444308.769102844</v>
      </c>
      <c r="BD68" s="784" cm="1">
        <f t="array" ref="BD68">ROUND(BC68/$F68,4)</f>
        <v>9.744300000000001</v>
      </c>
      <c r="BE68" s="785" cm="1">
        <f t="array" ref="BE68">BC68+BA68</f>
        <v>554687.772718907</v>
      </c>
      <c r="BF68" s="784" cm="1">
        <f t="array" ref="BF68">ROUND((BA68+BC68)/F68,4)</f>
        <v>12.1651</v>
      </c>
      <c r="BG68" s="786" cm="1">
        <f t="array" ref="BG68">BO68*F68</f>
        <v>245507.227281093</v>
      </c>
      <c r="BH68" s="787" cm="1">
        <f t="array" ref="BH68">ROUND(BG68/$F68,4)</f>
        <v>5.3843</v>
      </c>
      <c r="BI68" s="772" cm="1">
        <f t="array" ref="BI68">M67-M68</f>
        <v>511818</v>
      </c>
      <c r="BJ68" s="772" cm="1">
        <f t="array" ref="BJ68">BE68-BI68</f>
        <v>42869.772718907</v>
      </c>
      <c r="BK68" s="772" cm="1">
        <f t="array" ref="BK68">-BJ68</f>
        <v>-42869.772718907</v>
      </c>
      <c r="BL68" s="772" cm="1">
        <f t="array" ref="BL68">BG68+BJ68</f>
        <v>288377</v>
      </c>
      <c r="BM68" s="772" cm="1">
        <f t="array" ref="BM68">AVERAGE(BL66:BL68)</f>
        <v>343799.333333333</v>
      </c>
      <c r="BN68" s="788" cm="1">
        <f t="array" ref="BN68">BH67-BH68</f>
        <v>0.0501</v>
      </c>
      <c r="BO68" s="775" cm="1">
        <f t="array" ref="BO68">K67*0.0495/12-0.16</f>
        <v>5.3843238125</v>
      </c>
      <c r="BP68" s="789" cm="1">
        <f t="array" ref="BP68">(BA68+BC68)/BG68</f>
        <v>2.25935414961865</v>
      </c>
      <c r="BQ68" s="789" cm="1">
        <f t="array" ref="BQ68">Y68-BB68</f>
        <v>6.47656564951382</v>
      </c>
      <c r="BR68" s="789" cm="1">
        <f t="array" ref="BR68">(BR$4*(1+BR$4)^BR$3*K67)/((1+BR$4)^BR$3-1)</f>
        <v>7.17428777915392</v>
      </c>
      <c r="BS68" s="789"/>
      <c r="BT68" s="764"/>
      <c r="BU68" s="764"/>
      <c r="BV68" s="764" cm="1">
        <f t="array" ref="BV68">BA68+BC68+BV67</f>
        <v>104690047.673902</v>
      </c>
      <c r="BW68" s="764" cm="1">
        <f t="array" ref="BW68">BG68+BW67</f>
        <v>19597329.3260969</v>
      </c>
      <c r="BX68" s="775" cm="1">
        <f t="array" ref="BX68">BF68+BX67</f>
        <v>2583.5958</v>
      </c>
      <c r="BY68" s="775" cm="1">
        <f t="array" ref="BY68">BH68+BY67</f>
        <v>479.4404</v>
      </c>
      <c r="BZ68" s="764" cm="1">
        <f t="array" ref="BZ68">SUM(BJ$6:BJ68)</f>
        <v>18788329.6739031</v>
      </c>
      <c r="CA68" s="775"/>
      <c r="CB68" s="775"/>
      <c r="CC68" s="764" cm="1">
        <f t="array" ref="CC68">SUM(BE$6:BE68)</f>
        <v>104690047.673903</v>
      </c>
      <c r="CD68" s="775"/>
      <c r="CE68" s="775"/>
      <c r="CF68" s="775"/>
      <c r="CG68" s="775"/>
      <c r="CH68" s="775"/>
      <c r="CI68" s="775"/>
      <c r="CJ68" s="775"/>
      <c r="CK68" s="775"/>
      <c r="CL68" s="775"/>
      <c r="CM68" s="775"/>
    </row>
    <row r="69" ht="19.35" customHeight="1" hidden="1">
      <c r="A69" s="762">
        <v>63</v>
      </c>
      <c r="B69" s="763">
        <v>47249</v>
      </c>
      <c r="C69" s="764"/>
      <c r="D69" s="765" cm="1">
        <f t="array" ref="D69">ROUND(850000/F69,4)</f>
        <v>18.4535</v>
      </c>
      <c r="E69" s="766" cm="1">
        <f t="array" ref="E69">D69/K68</f>
        <v>0.0138548797541942</v>
      </c>
      <c r="F69" s="767" cm="1">
        <f t="array" ref="F69">F68*(1+G69)</f>
        <v>46061.7543884691</v>
      </c>
      <c r="G69" s="766" cm="1">
        <f t="array" ref="G69">H69-SUM(G58:G68)</f>
        <v>0.0102</v>
      </c>
      <c r="H69" s="768" cm="1">
        <f t="array" ref="H69">'depto - Table 5'!$I$2</f>
        <v>0.04</v>
      </c>
      <c r="I69" s="769" cm="1">
        <f t="array" ref="I69">H69+4.95/100</f>
        <v>0.0895</v>
      </c>
      <c r="J69" s="764" cm="1">
        <f t="array" ref="J69">IF(K68=0,0,ROUND(D69*F69,0))</f>
        <v>850001</v>
      </c>
      <c r="K69" s="770" cm="1">
        <f t="array" ref="K69">IF(K68-BF69&lt;0,0,K68-BF69)</f>
        <v>1319.8858</v>
      </c>
      <c r="L69" s="771" cm="1">
        <f t="array" ref="L69">K69/K$5</f>
        <v>0.334148303797468</v>
      </c>
      <c r="M69" s="772" cm="1">
        <f t="array" ref="M69">ROUND(K69*F69,0)</f>
        <v>60796256</v>
      </c>
      <c r="N69" s="773" cm="1">
        <f t="array" ref="N69">M69/M$5</f>
        <v>0.414616423591458</v>
      </c>
      <c r="O69" s="772" cm="1">
        <f t="array" ref="O69">M69-M68</f>
        <v>65442</v>
      </c>
      <c r="P69" s="774" cm="1">
        <f t="array" ref="P69">T69-K69</f>
        <v>4080.1142</v>
      </c>
      <c r="Q69" s="772" cm="1">
        <f t="array" ref="Q69">ROUND(P69*F69,0)</f>
        <v>187937218</v>
      </c>
      <c r="R69" s="775" cm="1">
        <f t="array" ref="R69">$K$5-K69</f>
        <v>2630.1142</v>
      </c>
      <c r="S69" s="772" cm="1">
        <f t="array" ref="S69">Q69-Q68</f>
        <v>2446022</v>
      </c>
      <c r="T69" s="775">
        <v>5400</v>
      </c>
      <c r="U69" s="772" cm="1">
        <f t="array" ref="U69">T69*F69</f>
        <v>248733473.697733</v>
      </c>
      <c r="V69" s="776" cm="1">
        <f t="array" ref="V69">-S69</f>
        <v>-2446022</v>
      </c>
      <c r="W69" s="776"/>
      <c r="X69" s="776" cm="1">
        <f t="array" ref="X69">$K68*4.95/12/100/(1-(1+4.95/12/100)^-(360-$A69+3))+$AY69</f>
        <v>8.8392284775516</v>
      </c>
      <c r="Y69" s="777" cm="1">
        <f t="array" ref="Y69">K68*4.95/12/100/(1-(1+4.95/12/100)^-(360-$A69+3))+AY69</f>
        <v>8.8392284775516</v>
      </c>
      <c r="Z69" s="765" cm="1">
        <f t="array" ref="Z69">IF(Z$3*12&lt;=$A69,0,$K68*'depto - Departamento'!$D$8/12/(1-(1+'depto - Departamento'!$D$8/12)^-(12*Z$3-$A69+3))+$AY70)</f>
        <v>9.844518488416281</v>
      </c>
      <c r="AA69" s="765" cm="1">
        <f t="array" ref="AA69">IF(AA$3*12&lt;=$A69,0,$K68*'depto - Departamento'!$D$8/12/(1-(1+'depto - Departamento'!$D$8/12)^-(12*AA$3-$A69+3))+$AY70)</f>
        <v>11.5892545882929</v>
      </c>
      <c r="AB69" s="765" cm="1">
        <f t="array" ref="AB69">IF(AB$3*12&lt;$A69,0,$K68*'depto - Departamento'!$D$8/12/(1-(1+'depto - Departamento'!$D$8/12)^-(12*AB$3-$A69+3))+$AY69)</f>
        <v>15.1862254337722</v>
      </c>
      <c r="AC69" s="765" cm="1">
        <f t="array" ref="AC69">IF(AC$3*12&lt;$A69,0,$K68*'depto - Departamento'!$D$8/12/(1-(1+'depto - Departamento'!$D$8/12)^-(12*AC$3-$A69+3))+$AY69)</f>
        <v>19.8856129736305</v>
      </c>
      <c r="AD69" s="765" cm="1">
        <f t="array" ref="AD69">IF(AD$3*12&lt;$A69,0,$K68*'depto - Departamento'!$D$8/12/(1-(1+'depto - Departamento'!$D$8/12)^-(12*AD$3-$A69+3))+$AY69)</f>
        <v>26.1960963959522</v>
      </c>
      <c r="AE69" s="765" cm="1">
        <f t="array" ref="AE69">IF(AE$3*12&lt;$A69,0,$K68*'depto - Departamento'!$D$8/12/(1-(1+'depto - Departamento'!$D$8/12)^-(12*AE$3-$A69+3))+$AY69)</f>
        <v>0</v>
      </c>
      <c r="AF69" s="765" cm="1">
        <f t="array" ref="AF69">AF68-(AF67-AF68)</f>
        <v>79.66330000000001</v>
      </c>
      <c r="AG69" s="765"/>
      <c r="AH69" s="765"/>
      <c r="AI69" s="778" cm="1">
        <f t="array" ref="AI69">$F69*Y69</f>
        <v>407150.371116543</v>
      </c>
      <c r="AJ69" s="764" cm="1">
        <f t="array" ref="AJ69">$F69*Z69</f>
        <v>453455.792686174</v>
      </c>
      <c r="AK69" s="764" cm="1">
        <f t="array" ref="AK69">$F69*AA69</f>
        <v>533821.398391386</v>
      </c>
      <c r="AL69" s="764" cm="1">
        <f t="array" ref="AL69">$F69*AB69</f>
        <v>699504.186018338</v>
      </c>
      <c r="AM69" s="764" cm="1">
        <f t="array" ref="AM69">$F69*AC69</f>
        <v>915966.220655523</v>
      </c>
      <c r="AN69" s="764" cm="1">
        <f t="array" ref="AN69">$F69*AD69</f>
        <v>1206638.15812701</v>
      </c>
      <c r="AO69" s="764"/>
      <c r="AP69" s="764" cm="1">
        <f t="array" ref="AP69">$F69*AF69</f>
        <v>3669431.35837493</v>
      </c>
      <c r="AQ69" s="765"/>
      <c r="AR69" s="779" cm="1">
        <f t="array" ref="AR69">K68-K69</f>
        <v>12.0276</v>
      </c>
      <c r="AS69" s="779" cm="1">
        <f t="array" ref="AS69">D69-AR69</f>
        <v>6.4259</v>
      </c>
      <c r="AT69" s="765"/>
      <c r="AU69" s="780" cm="1">
        <f t="array" ref="AU69">ROUND(AV69*F69,0)</f>
        <v>47637</v>
      </c>
      <c r="AV69" s="781" cm="1">
        <f t="array" ref="AV69">IF(K68=0,0,AV68)</f>
        <v>1.0342</v>
      </c>
      <c r="AW69" s="780" cm="1">
        <f t="array" ref="AW69">ROUND(F69*AX69,0)</f>
        <v>2651</v>
      </c>
      <c r="AX69" s="781" cm="1">
        <f t="array" ref="AX69">AX$11/K$10*K68</f>
        <v>0.057546421097366</v>
      </c>
      <c r="AY69" s="782" cm="1">
        <f t="array" ref="AY69">SUM(AV69,AX69)</f>
        <v>1.09174642109737</v>
      </c>
      <c r="AZ69" s="780" cm="1">
        <f t="array" ref="AZ69">AU69+AW69</f>
        <v>50288</v>
      </c>
      <c r="BA69" s="783" cm="1">
        <f t="array" ref="BA69">AI69-AZ69-BG69</f>
        <v>111162.396741466</v>
      </c>
      <c r="BB69" s="784" cm="1">
        <f t="array" ref="BB69">ROUND(BA69/$F69,4)</f>
        <v>2.4133</v>
      </c>
      <c r="BC69" s="783" cm="1">
        <f t="array" ref="BC69">J69-SUM(AZ69,BA69,BG69)</f>
        <v>442850.628883457</v>
      </c>
      <c r="BD69" s="784" cm="1">
        <f t="array" ref="BD69">ROUND(BC69/$F69,4)</f>
        <v>9.6143</v>
      </c>
      <c r="BE69" s="785" cm="1">
        <f t="array" ref="BE69">BC69+BA69</f>
        <v>554013.0256249229</v>
      </c>
      <c r="BF69" s="784" cm="1">
        <f t="array" ref="BF69">ROUND((BA69+BC69)/F69,4)</f>
        <v>12.0276</v>
      </c>
      <c r="BG69" s="786" cm="1">
        <f t="array" ref="BG69">BO69*F69</f>
        <v>245699.974375077</v>
      </c>
      <c r="BH69" s="787" cm="1">
        <f t="array" ref="BH69">ROUND(BG69/$F69,4)</f>
        <v>5.3341</v>
      </c>
      <c r="BI69" s="772" cm="1">
        <f t="array" ref="BI69">M68-M69</f>
        <v>-65442</v>
      </c>
      <c r="BJ69" s="772" cm="1">
        <f t="array" ref="BJ69">BE69-BI69</f>
        <v>619455.0256249229</v>
      </c>
      <c r="BK69" s="772" cm="1">
        <f t="array" ref="BK69">-BJ69</f>
        <v>-619455.0256249229</v>
      </c>
      <c r="BL69" s="772" cm="1">
        <f t="array" ref="BL69">BG69+BJ69</f>
        <v>865155</v>
      </c>
      <c r="BM69" s="772" cm="1">
        <f t="array" ref="BM69">AVERAGE(BL67:BL69)</f>
        <v>542981.666666667</v>
      </c>
      <c r="BN69" s="788" cm="1">
        <f t="array" ref="BN69">BH68-BH69</f>
        <v>0.0502</v>
      </c>
      <c r="BO69" s="775" cm="1">
        <f t="array" ref="BO69">K68*0.0495/12-0.16</f>
        <v>5.334142775</v>
      </c>
      <c r="BP69" s="789" cm="1">
        <f t="array" ref="BP69">(BA69+BC69)/BG69</f>
        <v>2.25483550429348</v>
      </c>
      <c r="BQ69" s="789" cm="1">
        <f t="array" ref="BQ69">Y69-BB69</f>
        <v>6.4259284775516</v>
      </c>
      <c r="BR69" s="789" cm="1">
        <f t="array" ref="BR69">(BR$4*(1+BR$4)^BR$3*K68)/((1+BR$4)^BR$3-1)</f>
        <v>7.10935412515813</v>
      </c>
      <c r="BS69" s="789"/>
      <c r="BT69" s="764"/>
      <c r="BU69" s="764"/>
      <c r="BV69" s="764" cm="1">
        <f t="array" ref="BV69">BA69+BC69+BV68</f>
        <v>105244060.699527</v>
      </c>
      <c r="BW69" s="764" cm="1">
        <f t="array" ref="BW69">BG69+BW68</f>
        <v>19843029.300472</v>
      </c>
      <c r="BX69" s="775" cm="1">
        <f t="array" ref="BX69">BF69+BX68</f>
        <v>2595.6234</v>
      </c>
      <c r="BY69" s="775" cm="1">
        <f t="array" ref="BY69">BH69+BY68</f>
        <v>484.7745</v>
      </c>
      <c r="BZ69" s="764" cm="1">
        <f t="array" ref="BZ69">SUM(BJ$6:BJ69)</f>
        <v>19407784.699528</v>
      </c>
      <c r="CA69" s="775"/>
      <c r="CB69" s="775"/>
      <c r="CC69" s="764" cm="1">
        <f t="array" ref="CC69">SUM(BE$6:BE69)</f>
        <v>105244060.699528</v>
      </c>
      <c r="CD69" s="775"/>
      <c r="CE69" s="775"/>
      <c r="CF69" s="775"/>
      <c r="CG69" s="775"/>
      <c r="CH69" s="775"/>
      <c r="CI69" s="775"/>
      <c r="CJ69" s="775"/>
      <c r="CK69" s="775"/>
      <c r="CL69" s="775"/>
      <c r="CM69" s="775"/>
    </row>
    <row r="70" ht="19.35" customHeight="1" hidden="1">
      <c r="A70" s="762">
        <v>64</v>
      </c>
      <c r="B70" s="763">
        <v>47280</v>
      </c>
      <c r="C70" s="764"/>
      <c r="D70" s="765" cm="1">
        <f t="array" ref="D70">ROUND(850000/F70,4)</f>
        <v>18.2167</v>
      </c>
      <c r="E70" s="766" cm="1">
        <f t="array" ref="E70">D70/K69</f>
        <v>0.0138017243613046</v>
      </c>
      <c r="F70" s="767" cm="1">
        <f t="array" ref="F70">F69*(1+G70)</f>
        <v>46660.5571955192</v>
      </c>
      <c r="G70" s="766" cm="1">
        <f t="array" ref="G70">H70-SUM(G59:G69)</f>
        <v>0.013</v>
      </c>
      <c r="H70" s="768" cm="1">
        <f t="array" ref="H70">'depto - Table 5'!$I$2</f>
        <v>0.04</v>
      </c>
      <c r="I70" s="769" cm="1">
        <f t="array" ref="I70">H70+4.95/100</f>
        <v>0.0895</v>
      </c>
      <c r="J70" s="764" cm="1">
        <f t="array" ref="J70">IF(K69=0,0,ROUND(D70*F70,0))</f>
        <v>850001</v>
      </c>
      <c r="K70" s="770" cm="1">
        <f t="array" ref="K70">IF(K69-BF70&lt;0,0,K69-BF70)</f>
        <v>1308.0449</v>
      </c>
      <c r="L70" s="771" cm="1">
        <f t="array" ref="L70">K70/K$5</f>
        <v>0.331150607594937</v>
      </c>
      <c r="M70" s="772" cm="1">
        <f t="array" ref="M70">ROUND(K70*F70,0)</f>
        <v>61034104</v>
      </c>
      <c r="N70" s="773" cm="1">
        <f t="array" ref="N70">M70/M$5</f>
        <v>0.416238492014855</v>
      </c>
      <c r="O70" s="772" cm="1">
        <f t="array" ref="O70">M70-M69</f>
        <v>237848</v>
      </c>
      <c r="P70" s="774" cm="1">
        <f t="array" ref="P70">T70-K70</f>
        <v>4091.9551</v>
      </c>
      <c r="Q70" s="772" cm="1">
        <f t="array" ref="Q70">ROUND(P70*F70,0)</f>
        <v>190932905</v>
      </c>
      <c r="R70" s="775" cm="1">
        <f t="array" ref="R70">$K$5-K70</f>
        <v>2641.9551</v>
      </c>
      <c r="S70" s="772" cm="1">
        <f t="array" ref="S70">Q70-Q69</f>
        <v>2995687</v>
      </c>
      <c r="T70" s="775">
        <v>5400</v>
      </c>
      <c r="U70" s="772" cm="1">
        <f t="array" ref="U70">T70*F70</f>
        <v>251967008.855804</v>
      </c>
      <c r="V70" s="776" cm="1">
        <f t="array" ref="V70">-S70</f>
        <v>-2995687</v>
      </c>
      <c r="W70" s="776"/>
      <c r="X70" s="776" cm="1">
        <f t="array" ref="X70">$K69*4.95/12/100/(1-(1+4.95/12/100)^-(360-$A70+3))+$AY70</f>
        <v>8.781757484665331</v>
      </c>
      <c r="Y70" s="777" cm="1">
        <f t="array" ref="Y70">K69*4.95/12/100/(1-(1+4.95/12/100)^-(360-$A70+3))+AY70</f>
        <v>8.781757484665331</v>
      </c>
      <c r="Z70" s="765" cm="1">
        <f t="array" ref="Z70">IF(Z$3*12&lt;=$A70,0,$K69*'depto - Departamento'!$D$8/12/(1-(1+'depto - Departamento'!$D$8/12)^-(12*Z$3-$A70+3))+$AY71)</f>
        <v>9.78623956144445</v>
      </c>
      <c r="AA70" s="765" cm="1">
        <f t="array" ref="AA70">IF(AA$3*12&lt;=$A70,0,$K69*'depto - Departamento'!$D$8/12/(1-(1+'depto - Departamento'!$D$8/12)^-(12*AA$3-$A70+3))+$AY71)</f>
        <v>11.5331739018735</v>
      </c>
      <c r="AB70" s="765" cm="1">
        <f t="array" ref="AB70">IF(AB$3*12&lt;$A70,0,$K69*'depto - Departamento'!$D$8/12/(1-(1+'depto - Departamento'!$D$8/12)^-(12*AB$3-$A70+3))+$AY70)</f>
        <v>15.1492023176453</v>
      </c>
      <c r="AC70" s="765" cm="1">
        <f t="array" ref="AC70">IF(AC$3*12&lt;$A70,0,$K69*'depto - Departamento'!$D$8/12/(1-(1+'depto - Departamento'!$D$8/12)^-(12*AC$3-$A70+3))+$AY70)</f>
        <v>19.9032245690236</v>
      </c>
      <c r="AD70" s="765" cm="1">
        <f t="array" ref="AD70">IF(AD$3*12&lt;$A70,0,$K69*'depto - Departamento'!$D$8/12/(1-(1+'depto - Departamento'!$D$8/12)^-(12*AD$3-$A70+3))+$AY70)</f>
        <v>26.3406319508917</v>
      </c>
      <c r="AE70" s="765" cm="1">
        <f t="array" ref="AE70">IF(AE$3*12&lt;$A70,0,$K69*'depto - Departamento'!$D$8/12/(1-(1+'depto - Departamento'!$D$8/12)^-(12*AE$3-$A70+3))+$AY70)</f>
        <v>0</v>
      </c>
      <c r="AF70" s="765" cm="1">
        <f t="array" ref="AF70">AF69-(AF68-AF69)</f>
        <v>79.6605</v>
      </c>
      <c r="AG70" s="765"/>
      <c r="AH70" s="765"/>
      <c r="AI70" s="778" cm="1">
        <f t="array" ref="AI70">$F70*Y70</f>
        <v>409761.697390405</v>
      </c>
      <c r="AJ70" s="764" cm="1">
        <f t="array" ref="AJ70">$F70*Z70</f>
        <v>456631.390785831</v>
      </c>
      <c r="AK70" s="764" cm="1">
        <f t="array" ref="AK70">$F70*AA70</f>
        <v>538144.3204942381</v>
      </c>
      <c r="AL70" s="764" cm="1">
        <f t="array" ref="AL70">$F70*AB70</f>
        <v>706870.221208981</v>
      </c>
      <c r="AM70" s="764" cm="1">
        <f t="array" ref="AM70">$F70*AC70</f>
        <v>928695.548378189</v>
      </c>
      <c r="AN70" s="764" cm="1">
        <f t="array" ref="AN70">$F70*AD70</f>
        <v>1229068.5637107</v>
      </c>
      <c r="AO70" s="764"/>
      <c r="AP70" s="764" cm="1">
        <f t="array" ref="AP70">$F70*AF70</f>
        <v>3717003.31647366</v>
      </c>
      <c r="AQ70" s="765"/>
      <c r="AR70" s="779" cm="1">
        <f t="array" ref="AR70">K69-K70</f>
        <v>11.8409</v>
      </c>
      <c r="AS70" s="779" cm="1">
        <f t="array" ref="AS70">D70-AR70</f>
        <v>6.3758</v>
      </c>
      <c r="AT70" s="765"/>
      <c r="AU70" s="780" cm="1">
        <f t="array" ref="AU70">ROUND(AV70*F70,0)</f>
        <v>48256</v>
      </c>
      <c r="AV70" s="781" cm="1">
        <f t="array" ref="AV70">IF(K69=0,0,AV69)</f>
        <v>1.0342</v>
      </c>
      <c r="AW70" s="780" cm="1">
        <f t="array" ref="AW70">ROUND(F70*AX70,0)</f>
        <v>2661</v>
      </c>
      <c r="AX70" s="781" cm="1">
        <f t="array" ref="AX70">AX$11/K$10*K69</f>
        <v>0.0570267586820838</v>
      </c>
      <c r="AY70" s="782" cm="1">
        <f t="array" ref="AY70">SUM(AV70,AX70)</f>
        <v>1.09122675868208</v>
      </c>
      <c r="AZ70" s="780" cm="1">
        <f t="array" ref="AZ70">AU70+AW70</f>
        <v>50917</v>
      </c>
      <c r="BA70" s="783" cm="1">
        <f t="array" ref="BA70">AI70-AZ70-BG70</f>
        <v>112265.633234067</v>
      </c>
      <c r="BB70" s="784" cm="1">
        <f t="array" ref="BB70">ROUND(BA70/$F70,4)</f>
        <v>2.406</v>
      </c>
      <c r="BC70" s="783" cm="1">
        <f t="array" ref="BC70">J70-SUM(AZ70,BA70,BG70)</f>
        <v>440239.302609595</v>
      </c>
      <c r="BD70" s="784" cm="1">
        <f t="array" ref="BD70">ROUND(BC70/$F70,4)</f>
        <v>9.434900000000001</v>
      </c>
      <c r="BE70" s="785" cm="1">
        <f t="array" ref="BE70">BC70+BA70</f>
        <v>552504.935843662</v>
      </c>
      <c r="BF70" s="784" cm="1">
        <f t="array" ref="BF70">ROUND((BA70+BC70)/F70,4)</f>
        <v>11.8409</v>
      </c>
      <c r="BG70" s="786" cm="1">
        <f t="array" ref="BG70">BO70*F70</f>
        <v>246579.064156338</v>
      </c>
      <c r="BH70" s="787" cm="1">
        <f t="array" ref="BH70">ROUND(BG70/$F70,4)</f>
        <v>5.2845</v>
      </c>
      <c r="BI70" s="772" cm="1">
        <f t="array" ref="BI70">M69-M70</f>
        <v>-237848</v>
      </c>
      <c r="BJ70" s="772" cm="1">
        <f t="array" ref="BJ70">BE70-BI70</f>
        <v>790352.935843662</v>
      </c>
      <c r="BK70" s="772" cm="1">
        <f t="array" ref="BK70">-BJ70</f>
        <v>-790352.935843662</v>
      </c>
      <c r="BL70" s="772" cm="1">
        <f t="array" ref="BL70">BG70+BJ70</f>
        <v>1036932</v>
      </c>
      <c r="BM70" s="772" cm="1">
        <f t="array" ref="BM70">AVERAGE(BL68:BL70)</f>
        <v>730154.666666667</v>
      </c>
      <c r="BN70" s="788" cm="1">
        <f t="array" ref="BN70">BH69-BH70</f>
        <v>0.0496</v>
      </c>
      <c r="BO70" s="775" cm="1">
        <f t="array" ref="BO70">K69*0.0495/12-0.16</f>
        <v>5.284528925</v>
      </c>
      <c r="BP70" s="789" cm="1">
        <f t="array" ref="BP70">(BA70+BC70)/BG70</f>
        <v>2.24068064226798</v>
      </c>
      <c r="BQ70" s="789" cm="1">
        <f t="array" ref="BQ70">Y70-BB70</f>
        <v>6.37575748466533</v>
      </c>
      <c r="BR70" s="789" cm="1">
        <f t="array" ref="BR70">(BR$4*(1+BR$4)^BR$3*K69)/((1+BR$4)^BR$3-1)</f>
        <v>7.04515440490923</v>
      </c>
      <c r="BS70" s="789"/>
      <c r="BT70" s="764"/>
      <c r="BU70" s="764"/>
      <c r="BV70" s="764" cm="1">
        <f t="array" ref="BV70">BA70+BC70+BV69</f>
        <v>105796565.635371</v>
      </c>
      <c r="BW70" s="764" cm="1">
        <f t="array" ref="BW70">BG70+BW69</f>
        <v>20089608.3646283</v>
      </c>
      <c r="BX70" s="775" cm="1">
        <f t="array" ref="BX70">BF70+BX69</f>
        <v>2607.4643</v>
      </c>
      <c r="BY70" s="775" cm="1">
        <f t="array" ref="BY70">BH70+BY69</f>
        <v>490.059</v>
      </c>
      <c r="BZ70" s="764" cm="1">
        <f t="array" ref="BZ70">SUM(BJ$6:BJ70)</f>
        <v>20198137.6353717</v>
      </c>
      <c r="CA70" s="775"/>
      <c r="CB70" s="775"/>
      <c r="CC70" s="764" cm="1">
        <f t="array" ref="CC70">SUM(BE$6:BE70)</f>
        <v>105796565.635372</v>
      </c>
      <c r="CD70" s="775"/>
      <c r="CE70" s="775"/>
      <c r="CF70" s="775"/>
      <c r="CG70" s="775"/>
      <c r="CH70" s="775"/>
      <c r="CI70" s="775"/>
      <c r="CJ70" s="775"/>
      <c r="CK70" s="775"/>
      <c r="CL70" s="775"/>
      <c r="CM70" s="775"/>
    </row>
    <row r="71" ht="19.35" customHeight="1" hidden="1">
      <c r="A71" s="762">
        <v>65</v>
      </c>
      <c r="B71" s="763">
        <v>47310</v>
      </c>
      <c r="C71" s="764"/>
      <c r="D71" s="765" cm="1">
        <f t="array" ref="D71">ROUND(850000/F71,4)</f>
        <v>18.0238</v>
      </c>
      <c r="E71" s="766" cm="1">
        <f t="array" ref="E71">D71/K70</f>
        <v>0.0137791906072949</v>
      </c>
      <c r="F71" s="767" cm="1">
        <f t="array" ref="F71">F70*(1+G71)</f>
        <v>47159.8251575113</v>
      </c>
      <c r="G71" s="766" cm="1">
        <f t="array" ref="G71">H71-SUM(G60:G70)</f>
        <v>0.0107</v>
      </c>
      <c r="H71" s="768" cm="1">
        <f t="array" ref="H71">'depto - Table 5'!$I$2</f>
        <v>0.04</v>
      </c>
      <c r="I71" s="769" cm="1">
        <f t="array" ref="I71">H71+4.95/100</f>
        <v>0.0895</v>
      </c>
      <c r="J71" s="764" cm="1">
        <f t="array" ref="J71">IF(K70=0,0,ROUND(D71*F71,0))</f>
        <v>849999</v>
      </c>
      <c r="K71" s="770" cm="1">
        <f t="array" ref="K71">IF(K70-BF71&lt;0,0,K70-BF71)</f>
        <v>1296.3475</v>
      </c>
      <c r="L71" s="771" cm="1">
        <f t="array" ref="L71">K71/K$5</f>
        <v>0.328189240506329</v>
      </c>
      <c r="M71" s="772" cm="1">
        <f t="array" ref="M71">ROUND(K71*F71,0)</f>
        <v>61135521</v>
      </c>
      <c r="N71" s="773" cm="1">
        <f t="array" ref="N71">M71/M$5</f>
        <v>0.416930132530208</v>
      </c>
      <c r="O71" s="772" cm="1">
        <f t="array" ref="O71">M71-M70</f>
        <v>101417</v>
      </c>
      <c r="P71" s="774" cm="1">
        <f t="array" ref="P71">T71-K71</f>
        <v>4103.6525</v>
      </c>
      <c r="Q71" s="772" cm="1">
        <f t="array" ref="Q71">ROUND(P71*F71,0)</f>
        <v>193527534</v>
      </c>
      <c r="R71" s="775" cm="1">
        <f t="array" ref="R71">$K$5-K71</f>
        <v>2653.6525</v>
      </c>
      <c r="S71" s="772" cm="1">
        <f t="array" ref="S71">Q71-Q70</f>
        <v>2594629</v>
      </c>
      <c r="T71" s="775">
        <v>5400</v>
      </c>
      <c r="U71" s="772" cm="1">
        <f t="array" ref="U71">T71*F71</f>
        <v>254663055.850561</v>
      </c>
      <c r="V71" s="776" cm="1">
        <f t="array" ref="V71">-S71</f>
        <v>-2594629</v>
      </c>
      <c r="W71" s="776"/>
      <c r="X71" s="776" cm="1">
        <f t="array" ref="X71">$K70*4.95/12/100/(1-(1+4.95/12/100)^-(360-$A71+3))+$AY71</f>
        <v>8.72524434760345</v>
      </c>
      <c r="Y71" s="777" cm="1">
        <f t="array" ref="Y71">K70*4.95/12/100/(1-(1+4.95/12/100)^-(360-$A71+3))+AY71</f>
        <v>8.72524434760345</v>
      </c>
      <c r="Z71" s="765" cm="1">
        <f t="array" ref="Z71">IF(Z$3*12&lt;=$A71,0,$K70*'depto - Departamento'!$D$8/12/(1-(1+'depto - Departamento'!$D$8/12)^-(12*Z$3-$A71+3))+$AY72)</f>
        <v>9.72900338183014</v>
      </c>
      <c r="AA71" s="765" cm="1">
        <f t="array" ref="AA71">IF(AA$3*12&lt;=$A71,0,$K70*'depto - Departamento'!$D$8/12/(1-(1+'depto - Departamento'!$D$8/12)^-(12*AA$3-$A71+3))+$AY72)</f>
        <v>11.4783236181888</v>
      </c>
      <c r="AB71" s="765" cm="1">
        <f t="array" ref="AB71">IF(AB$3*12&lt;$A71,0,$K70*'depto - Departamento'!$D$8/12/(1-(1+'depto - Departamento'!$D$8/12)^-(12*AB$3-$A71+3))+$AY71)</f>
        <v>15.1140896257913</v>
      </c>
      <c r="AC71" s="765" cm="1">
        <f t="array" ref="AC71">IF(AC$3*12&lt;$A71,0,$K70*'depto - Departamento'!$D$8/12/(1-(1+'depto - Departamento'!$D$8/12)^-(12*AC$3-$A71+3))+$AY71)</f>
        <v>19.9246933846196</v>
      </c>
      <c r="AD71" s="765" cm="1">
        <f t="array" ref="AD71">IF(AD$3*12&lt;$A71,0,$K70*'depto - Departamento'!$D$8/12/(1-(1+'depto - Departamento'!$D$8/12)^-(12*AD$3-$A71+3))+$AY71)</f>
        <v>26.4947920066233</v>
      </c>
      <c r="AE71" s="765" cm="1">
        <f t="array" ref="AE71">IF(AE$3*12&lt;$A71,0,$K70*'depto - Departamento'!$D$8/12/(1-(1+'depto - Departamento'!$D$8/12)^-(12*AE$3-$A71+3))+$AY71)</f>
        <v>0</v>
      </c>
      <c r="AF71" s="765" cm="1">
        <f t="array" ref="AF71">AF70-(AF69-AF70)</f>
        <v>79.65770000000001</v>
      </c>
      <c r="AG71" s="765"/>
      <c r="AH71" s="765"/>
      <c r="AI71" s="778" cm="1">
        <f t="array" ref="AI71">$F71*Y71</f>
        <v>411480.997889542</v>
      </c>
      <c r="AJ71" s="764" cm="1">
        <f t="array" ref="AJ71">$F71*Z71</f>
        <v>458818.098443946</v>
      </c>
      <c r="AK71" s="764" cm="1">
        <f t="array" ref="AK71">$F71*AA71</f>
        <v>541315.734935116</v>
      </c>
      <c r="AL71" s="764" cm="1">
        <f t="array" ref="AL71">$F71*AB71</f>
        <v>712777.824167273</v>
      </c>
      <c r="AM71" s="764" cm="1">
        <f t="array" ref="AM71">$F71*AC71</f>
        <v>939645.056335682</v>
      </c>
      <c r="AN71" s="764" cm="1">
        <f t="array" ref="AN71">$F71*AD71</f>
        <v>1249489.75861698</v>
      </c>
      <c r="AO71" s="764"/>
      <c r="AP71" s="764" cm="1">
        <f t="array" ref="AP71">$F71*AF71</f>
        <v>3756643.20444949</v>
      </c>
      <c r="AQ71" s="765"/>
      <c r="AR71" s="779" cm="1">
        <f t="array" ref="AR71">K70-K71</f>
        <v>11.6974</v>
      </c>
      <c r="AS71" s="779" cm="1">
        <f t="array" ref="AS71">D71-AR71</f>
        <v>6.3264</v>
      </c>
      <c r="AT71" s="765"/>
      <c r="AU71" s="780" cm="1">
        <f t="array" ref="AU71">ROUND(AV71*F71,0)</f>
        <v>48773</v>
      </c>
      <c r="AV71" s="781" cm="1">
        <f t="array" ref="AV71">IF(K70=0,0,AV70)</f>
        <v>1.0342</v>
      </c>
      <c r="AW71" s="780" cm="1">
        <f t="array" ref="AW71">ROUND(F71*AX71,0)</f>
        <v>2665</v>
      </c>
      <c r="AX71" s="781" cm="1">
        <f t="array" ref="AX71">AX$11/K$10*K70</f>
        <v>0.0565151627948649</v>
      </c>
      <c r="AY71" s="782" cm="1">
        <f t="array" ref="AY71">SUM(AV71,AX71)</f>
        <v>1.09071516279486</v>
      </c>
      <c r="AZ71" s="780" cm="1">
        <f t="array" ref="AZ71">AU71+AW71</f>
        <v>51438</v>
      </c>
      <c r="BA71" s="783" cm="1">
        <f t="array" ref="BA71">AI71-AZ71-BG71</f>
        <v>113128.998688275</v>
      </c>
      <c r="BB71" s="784" cm="1">
        <f t="array" ref="BB71">ROUND(BA71/$F71,4)</f>
        <v>2.3988</v>
      </c>
      <c r="BC71" s="783" cm="1">
        <f t="array" ref="BC71">J71-SUM(AZ71,BA71,BG71)</f>
        <v>438518.002110458</v>
      </c>
      <c r="BD71" s="784" cm="1">
        <f t="array" ref="BD71">ROUND(BC71/$F71,4)</f>
        <v>9.2986</v>
      </c>
      <c r="BE71" s="785" cm="1">
        <f t="array" ref="BE71">BC71+BA71</f>
        <v>551647.000798733</v>
      </c>
      <c r="BF71" s="784" cm="1">
        <f t="array" ref="BF71">ROUND((BA71+BC71)/F71,4)</f>
        <v>11.6974</v>
      </c>
      <c r="BG71" s="786" cm="1">
        <f t="array" ref="BG71">BO71*F71</f>
        <v>246913.999201267</v>
      </c>
      <c r="BH71" s="787" cm="1">
        <f t="array" ref="BH71">ROUND(BG71/$F71,4)</f>
        <v>5.2357</v>
      </c>
      <c r="BI71" s="772" cm="1">
        <f t="array" ref="BI71">M70-M71</f>
        <v>-101417</v>
      </c>
      <c r="BJ71" s="772" cm="1">
        <f t="array" ref="BJ71">BE71-BI71</f>
        <v>653064.000798733</v>
      </c>
      <c r="BK71" s="772" cm="1">
        <f t="array" ref="BK71">-BJ71</f>
        <v>-653064.000798733</v>
      </c>
      <c r="BL71" s="772" cm="1">
        <f t="array" ref="BL71">BG71+BJ71</f>
        <v>899978</v>
      </c>
      <c r="BM71" s="772" cm="1">
        <f t="array" ref="BM71">AVERAGE(BL69:BL71)</f>
        <v>934021.666666667</v>
      </c>
      <c r="BN71" s="788" cm="1">
        <f t="array" ref="BN71">BH70-BH71</f>
        <v>0.0488</v>
      </c>
      <c r="BO71" s="775" cm="1">
        <f t="array" ref="BO71">K70*0.0495/12-0.16</f>
        <v>5.2356852125</v>
      </c>
      <c r="BP71" s="789" cm="1">
        <f t="array" ref="BP71">(BA71+BC71)/BG71</f>
        <v>2.23416656237895</v>
      </c>
      <c r="BQ71" s="789" cm="1">
        <f t="array" ref="BQ71">Y71-BB71</f>
        <v>6.32644434760345</v>
      </c>
      <c r="BR71" s="789" cm="1">
        <f t="array" ref="BR71">(BR$4*(1+BR$4)^BR$3*K70)/((1+BR$4)^BR$3-1)</f>
        <v>6.98195123324613</v>
      </c>
      <c r="BS71" s="789"/>
      <c r="BT71" s="764"/>
      <c r="BU71" s="764"/>
      <c r="BV71" s="764" cm="1">
        <f t="array" ref="BV71">BA71+BC71+BV70</f>
        <v>106348212.63617</v>
      </c>
      <c r="BW71" s="764" cm="1">
        <f t="array" ref="BW71">BG71+BW70</f>
        <v>20336522.3638296</v>
      </c>
      <c r="BX71" s="775" cm="1">
        <f t="array" ref="BX71">BF71+BX70</f>
        <v>2619.1617</v>
      </c>
      <c r="BY71" s="775" cm="1">
        <f t="array" ref="BY71">BH71+BY70</f>
        <v>495.2947</v>
      </c>
      <c r="BZ71" s="764" cm="1">
        <f t="array" ref="BZ71">SUM(BJ$6:BJ71)</f>
        <v>20851201.6361704</v>
      </c>
      <c r="CA71" s="775"/>
      <c r="CB71" s="775"/>
      <c r="CC71" s="764" cm="1">
        <f t="array" ref="CC71">SUM(BE$6:BE71)</f>
        <v>106348212.63617</v>
      </c>
      <c r="CD71" s="775"/>
      <c r="CE71" s="775"/>
      <c r="CF71" s="775"/>
      <c r="CG71" s="775"/>
      <c r="CH71" s="775"/>
      <c r="CI71" s="775"/>
      <c r="CJ71" s="775"/>
      <c r="CK71" s="775"/>
      <c r="CL71" s="775"/>
      <c r="CM71" s="775"/>
    </row>
    <row r="72" ht="19.35" customHeight="1" hidden="1">
      <c r="A72" s="762">
        <v>66</v>
      </c>
      <c r="B72" s="763">
        <v>47341</v>
      </c>
      <c r="C72" s="764"/>
      <c r="D72" s="765" cm="1">
        <f t="array" ref="D72">ROUND(850000/F72,4)</f>
        <v>18.0238</v>
      </c>
      <c r="E72" s="766" cm="1">
        <f t="array" ref="E72">D72/K71</f>
        <v>0.013903525096473</v>
      </c>
      <c r="F72" s="767" cm="1">
        <f t="array" ref="F72">F71*(1+G72)</f>
        <v>47159.8251575113</v>
      </c>
      <c r="G72" s="766" cm="1">
        <f t="array" ref="G72">H72-SUM(G61:G71)</f>
        <v>0</v>
      </c>
      <c r="H72" s="768" cm="1">
        <f t="array" ref="H72">'depto - Table 5'!$I$2</f>
        <v>0.04</v>
      </c>
      <c r="I72" s="769" cm="1">
        <f t="array" ref="I72">H72+4.95/100</f>
        <v>0.0895</v>
      </c>
      <c r="J72" s="764" cm="1">
        <f t="array" ref="J72">IF(K71=0,0,ROUND(D72*F72,0))</f>
        <v>849999</v>
      </c>
      <c r="K72" s="770" cm="1">
        <f t="array" ref="K72">IF(K71-BF72&lt;0,0,K71-BF72)</f>
        <v>1284.6013</v>
      </c>
      <c r="L72" s="771" cm="1">
        <f t="array" ref="L72">K72/K$5</f>
        <v>0.325215518987342</v>
      </c>
      <c r="M72" s="772" cm="1">
        <f t="array" ref="M72">ROUND(K72*F72,0)</f>
        <v>60581573</v>
      </c>
      <c r="N72" s="773" cm="1">
        <f t="array" ref="N72">M72/M$5</f>
        <v>0.413152335117558</v>
      </c>
      <c r="O72" s="772" cm="1">
        <f t="array" ref="O72">M72-M71</f>
        <v>-553948</v>
      </c>
      <c r="P72" s="774" cm="1">
        <f t="array" ref="P72">T72-K72</f>
        <v>4115.3987</v>
      </c>
      <c r="Q72" s="772" cm="1">
        <f t="array" ref="Q72">ROUND(P72*F72,0)</f>
        <v>194081483</v>
      </c>
      <c r="R72" s="775" cm="1">
        <f t="array" ref="R72">$K$5-K72</f>
        <v>2665.3987</v>
      </c>
      <c r="S72" s="772" cm="1">
        <f t="array" ref="S72">Q72-Q71</f>
        <v>553949</v>
      </c>
      <c r="T72" s="775">
        <v>5400</v>
      </c>
      <c r="U72" s="772" cm="1">
        <f t="array" ref="U72">T72*F72</f>
        <v>254663055.850561</v>
      </c>
      <c r="V72" s="776" cm="1">
        <f t="array" ref="V72">-S72</f>
        <v>-553949</v>
      </c>
      <c r="W72" s="776"/>
      <c r="X72" s="776" cm="1">
        <f t="array" ref="X72">$K71*4.95/12/100/(1-(1+4.95/12/100)^-(360-$A72+3))+$AY72</f>
        <v>8.669438532746041</v>
      </c>
      <c r="Y72" s="777" cm="1">
        <f t="array" ref="Y72">K71*4.95/12/100/(1-(1+4.95/12/100)^-(360-$A72+3))+AY72</f>
        <v>8.669438532746041</v>
      </c>
      <c r="Z72" s="765" cm="1">
        <f t="array" ref="Z72">IF(Z$3*12&lt;=$A72,0,$K71*'depto - Departamento'!$D$8/12/(1-(1+'depto - Departamento'!$D$8/12)^-(12*Z$3-$A72+3))+$AY73)</f>
        <v>9.672521950504541</v>
      </c>
      <c r="AA72" s="765" cm="1">
        <f t="array" ref="AA72">IF(AA$3*12&lt;=$A72,0,$K71*'depto - Departamento'!$D$8/12/(1-(1+'depto - Departamento'!$D$8/12)^-(12*AA$3-$A72+3))+$AY73)</f>
        <v>11.4243631583135</v>
      </c>
      <c r="AB72" s="765" cm="1">
        <f t="array" ref="AB72">IF(AB$3*12&lt;$A72,0,$K71*'depto - Departamento'!$D$8/12/(1-(1+'depto - Departamento'!$D$8/12)^-(12*AB$3-$A72+3))+$AY72)</f>
        <v>15.0804557605179</v>
      </c>
      <c r="AC72" s="765" cm="1">
        <f t="array" ref="AC72">IF(AC$3*12&lt;$A72,0,$K71*'depto - Departamento'!$D$8/12/(1-(1+'depto - Departamento'!$D$8/12)^-(12*AC$3-$A72+3))+$AY72)</f>
        <v>19.9495145558101</v>
      </c>
      <c r="AD72" s="765" cm="1">
        <f t="array" ref="AD72">IF(AD$3*12&lt;$A72,0,$K71*'depto - Departamento'!$D$8/12/(1-(1+'depto - Departamento'!$D$8/12)^-(12*AD$3-$A72+3))+$AY72)</f>
        <v>26.6582051555333</v>
      </c>
      <c r="AE72" s="765" cm="1">
        <f t="array" ref="AE72">IF(AE$3*12&lt;$A72,0,$K71*'depto - Departamento'!$D$8/12/(1-(1+'depto - Departamento'!$D$8/12)^-(12*AE$3-$A72+3))+$AY72)</f>
        <v>0</v>
      </c>
      <c r="AF72" s="765" cm="1">
        <f t="array" ref="AF72">AF71-(AF70-AF71)</f>
        <v>79.6549</v>
      </c>
      <c r="AG72" s="765"/>
      <c r="AH72" s="765"/>
      <c r="AI72" s="778" cm="1">
        <f t="array" ref="AI72">$F72*Y72</f>
        <v>408849.205418095</v>
      </c>
      <c r="AJ72" s="764" cm="1">
        <f t="array" ref="AJ72">$F72*Z72</f>
        <v>456154.444017984</v>
      </c>
      <c r="AK72" s="764" cm="1">
        <f t="array" ref="AK72">$F72*AA72</f>
        <v>538770.969081978</v>
      </c>
      <c r="AL72" s="764" cm="1">
        <f t="array" ref="AL72">$F72*AB72</f>
        <v>711191.656961608</v>
      </c>
      <c r="AM72" s="764" cm="1">
        <f t="array" ref="AM72">$F72*AC72</f>
        <v>940815.618429231</v>
      </c>
      <c r="AN72" s="764" cm="1">
        <f t="array" ref="AN72">$F72*AD72</f>
        <v>1257196.29414802</v>
      </c>
      <c r="AO72" s="764"/>
      <c r="AP72" s="764" cm="1">
        <f t="array" ref="AP72">$F72*AF72</f>
        <v>3756511.15693905</v>
      </c>
      <c r="AQ72" s="765"/>
      <c r="AR72" s="779" cm="1">
        <f t="array" ref="AR72">K71-K72</f>
        <v>11.7462</v>
      </c>
      <c r="AS72" s="779" cm="1">
        <f t="array" ref="AS72">D72-AR72</f>
        <v>6.2776</v>
      </c>
      <c r="AT72" s="765"/>
      <c r="AU72" s="780" cm="1">
        <f t="array" ref="AU72">ROUND(AV72*F72,0)</f>
        <v>48773</v>
      </c>
      <c r="AV72" s="781" cm="1">
        <f t="array" ref="AV72">IF(K71=0,0,AV71)</f>
        <v>1.0342</v>
      </c>
      <c r="AW72" s="780" cm="1">
        <f t="array" ref="AW72">ROUND(F72*AX72,0)</f>
        <v>2641</v>
      </c>
      <c r="AX72" s="781" cm="1">
        <f t="array" ref="AX72">AX$11/K$10*K71</f>
        <v>0.0560097669439452</v>
      </c>
      <c r="AY72" s="782" cm="1">
        <f t="array" ref="AY72">SUM(AV72,AX72)</f>
        <v>1.09020976694395</v>
      </c>
      <c r="AZ72" s="780" cm="1">
        <f t="array" ref="AZ72">AU72+AW72</f>
        <v>51414</v>
      </c>
      <c r="BA72" s="783" cm="1">
        <f t="array" ref="BA72">AI72-AZ72-BG72</f>
        <v>112796.751489367</v>
      </c>
      <c r="BB72" s="784" cm="1">
        <f t="array" ref="BB72">ROUND(BA72/$F72,4)</f>
        <v>2.3918</v>
      </c>
      <c r="BC72" s="783" cm="1">
        <f t="array" ref="BC72">J72-SUM(AZ72,BA72,BG72)</f>
        <v>441149.794581905</v>
      </c>
      <c r="BD72" s="784" cm="1">
        <f t="array" ref="BD72">ROUND(BC72/$F72,4)</f>
        <v>9.3544</v>
      </c>
      <c r="BE72" s="785" cm="1">
        <f t="array" ref="BE72">BC72+BA72</f>
        <v>553946.546071272</v>
      </c>
      <c r="BF72" s="784" cm="1">
        <f t="array" ref="BF72">ROUND((BA72+BC72)/F72,4)</f>
        <v>11.7462</v>
      </c>
      <c r="BG72" s="786" cm="1">
        <f t="array" ref="BG72">BO72*F72</f>
        <v>244638.453928728</v>
      </c>
      <c r="BH72" s="787" cm="1">
        <f t="array" ref="BH72">ROUND(BG72/$F72,4)</f>
        <v>5.1874</v>
      </c>
      <c r="BI72" s="772" cm="1">
        <f t="array" ref="BI72">M71-M72</f>
        <v>553948</v>
      </c>
      <c r="BJ72" s="772" cm="1">
        <f t="array" ref="BJ72">BE72-BI72</f>
        <v>-1.453928728</v>
      </c>
      <c r="BK72" s="772" cm="1">
        <f t="array" ref="BK72">-BJ72</f>
        <v>1.453928728</v>
      </c>
      <c r="BL72" s="772" cm="1">
        <f t="array" ref="BL72">BG72+BJ72</f>
        <v>244637</v>
      </c>
      <c r="BM72" s="772" cm="1">
        <f t="array" ref="BM72">AVERAGE(BL70:BL72)</f>
        <v>727182.333333333</v>
      </c>
      <c r="BN72" s="788" cm="1">
        <f t="array" ref="BN72">BH71-BH72</f>
        <v>0.0483</v>
      </c>
      <c r="BO72" s="775" cm="1">
        <f t="array" ref="BO72">K71*0.0495/12-0.16</f>
        <v>5.1874334375</v>
      </c>
      <c r="BP72" s="789" cm="1">
        <f t="array" ref="BP72">(BA72+BC72)/BG72</f>
        <v>2.26434780458781</v>
      </c>
      <c r="BQ72" s="789" cm="1">
        <f t="array" ref="BQ72">Y72-BB72</f>
        <v>6.27763853274604</v>
      </c>
      <c r="BR72" s="789" cm="1">
        <f t="array" ref="BR72">(BR$4*(1+BR$4)^BR$3*K71)/((1+BR$4)^BR$3-1)</f>
        <v>6.9195140215298</v>
      </c>
      <c r="BS72" s="789"/>
      <c r="BT72" s="764"/>
      <c r="BU72" s="764"/>
      <c r="BV72" s="764" cm="1">
        <f t="array" ref="BV72">BA72+BC72+BV71</f>
        <v>106902159.182241</v>
      </c>
      <c r="BW72" s="764" cm="1">
        <f t="array" ref="BW72">BG72+BW71</f>
        <v>20581160.8177583</v>
      </c>
      <c r="BX72" s="775" cm="1">
        <f t="array" ref="BX72">BF72+BX71</f>
        <v>2630.9079</v>
      </c>
      <c r="BY72" s="775" cm="1">
        <f t="array" ref="BY72">BH72+BY71</f>
        <v>500.4821</v>
      </c>
      <c r="BZ72" s="764" cm="1">
        <f t="array" ref="BZ72">SUM(BJ$6:BJ72)</f>
        <v>20851200.1822417</v>
      </c>
      <c r="CA72" s="775"/>
      <c r="CB72" s="775"/>
      <c r="CC72" s="764" cm="1">
        <f t="array" ref="CC72">SUM(BE$6:BE72)</f>
        <v>106902159.182242</v>
      </c>
      <c r="CD72" s="775"/>
      <c r="CE72" s="775"/>
      <c r="CF72" s="775"/>
      <c r="CG72" s="775"/>
      <c r="CH72" s="775"/>
      <c r="CI72" s="775"/>
      <c r="CJ72" s="775"/>
      <c r="CK72" s="775"/>
      <c r="CL72" s="775"/>
      <c r="CM72" s="775"/>
    </row>
    <row r="73" ht="19.35" customHeight="1" hidden="1">
      <c r="A73" s="762">
        <v>67</v>
      </c>
      <c r="B73" s="763">
        <v>47372</v>
      </c>
      <c r="C73" s="764"/>
      <c r="D73" s="765" cm="1">
        <f t="array" ref="D73">ROUND(850000/F73,4)</f>
        <v>17.9986</v>
      </c>
      <c r="E73" s="766" cm="1">
        <f t="array" ref="E73">D73/K72</f>
        <v>0.0140110398455926</v>
      </c>
      <c r="F73" s="767" cm="1">
        <f t="array" ref="F73">F72*(1+G73)</f>
        <v>47225.8489127318</v>
      </c>
      <c r="G73" s="766" cm="1">
        <f t="array" ref="G73">H73-SUM(G62:G72)</f>
        <v>0.0014</v>
      </c>
      <c r="H73" s="768" cm="1">
        <f t="array" ref="H73">'depto - Table 5'!$I$2</f>
        <v>0.04</v>
      </c>
      <c r="I73" s="769" cm="1">
        <f t="array" ref="I73">H73+4.95/100</f>
        <v>0.0895</v>
      </c>
      <c r="J73" s="764" cm="1">
        <f t="array" ref="J73">IF(K72=0,0,ROUND(D73*F73,0))</f>
        <v>849999</v>
      </c>
      <c r="K73" s="770" cm="1">
        <f t="array" ref="K73">IF(K72-BF73&lt;0,0,K72-BF73)</f>
        <v>1272.8314</v>
      </c>
      <c r="L73" s="771" cm="1">
        <f t="array" ref="L73">K73/K$5</f>
        <v>0.322235797468354</v>
      </c>
      <c r="M73" s="772" cm="1">
        <f t="array" ref="M73">ROUND(K73*F73,0)</f>
        <v>60110543</v>
      </c>
      <c r="N73" s="773" cm="1">
        <f t="array" ref="N73">M73/M$5</f>
        <v>0.40994001931304</v>
      </c>
      <c r="O73" s="772" cm="1">
        <f t="array" ref="O73">M73-M72</f>
        <v>-471030</v>
      </c>
      <c r="P73" s="774" cm="1">
        <f t="array" ref="P73">T73-K73</f>
        <v>4127.1686</v>
      </c>
      <c r="Q73" s="772" cm="1">
        <f t="array" ref="Q73">ROUND(P73*F73,0)</f>
        <v>194909041</v>
      </c>
      <c r="R73" s="775" cm="1">
        <f t="array" ref="R73">$K$5-K73</f>
        <v>2677.1686</v>
      </c>
      <c r="S73" s="772" cm="1">
        <f t="array" ref="S73">Q73-Q72</f>
        <v>827558</v>
      </c>
      <c r="T73" s="775">
        <v>5400</v>
      </c>
      <c r="U73" s="772" cm="1">
        <f t="array" ref="U73">T73*F73</f>
        <v>255019584.128752</v>
      </c>
      <c r="V73" s="776" cm="1">
        <f t="array" ref="V73">-S73</f>
        <v>-827558</v>
      </c>
      <c r="W73" s="776"/>
      <c r="X73" s="776" cm="1">
        <f t="array" ref="X73">$K72*4.95/12/100/(1-(1+4.95/12/100)^-(360-$A73+3))+$AY73</f>
        <v>8.613208151959149</v>
      </c>
      <c r="Y73" s="777" cm="1">
        <f t="array" ref="Y73">K72*4.95/12/100/(1-(1+4.95/12/100)^-(360-$A73+3))+AY73</f>
        <v>8.613208151959149</v>
      </c>
      <c r="Z73" s="765" cm="1">
        <f t="array" ref="Z73">IF(Z$3*12&lt;=$A73,0,$K72*'depto - Departamento'!$D$8/12/(1-(1+'depto - Departamento'!$D$8/12)^-(12*Z$3-$A73+3))+$AY74)</f>
        <v>9.615524291061879</v>
      </c>
      <c r="AA73" s="765" cm="1">
        <f t="array" ref="AA73">IF(AA$3*12&lt;=$A73,0,$K72*'depto - Departamento'!$D$8/12/(1-(1+'depto - Departamento'!$D$8/12)^-(12*AA$3-$A73+3))+$AY74)</f>
        <v>11.3697630719302</v>
      </c>
      <c r="AB73" s="765" cm="1">
        <f t="array" ref="AB73">IF(AB$3*12&lt;$A73,0,$K72*'depto - Departamento'!$D$8/12/(1-(1+'depto - Departamento'!$D$8/12)^-(12*AB$3-$A73+3))+$AY73)</f>
        <v>15.0462315553538</v>
      </c>
      <c r="AC73" s="765" cm="1">
        <f t="array" ref="AC73">IF(AC$3*12&lt;$A73,0,$K72*'depto - Departamento'!$D$8/12/(1-(1+'depto - Departamento'!$D$8/12)^-(12*AC$3-$A73+3))+$AY73)</f>
        <v>19.9749646515601</v>
      </c>
      <c r="AD73" s="765" cm="1">
        <f t="array" ref="AD73">IF(AD$3*12&lt;$A73,0,$K72*'depto - Departamento'!$D$8/12/(1-(1+'depto - Departamento'!$D$8/12)^-(12*AD$3-$A73+3))+$AY73)</f>
        <v>26.8274867535807</v>
      </c>
      <c r="AE73" s="765" cm="1">
        <f t="array" ref="AE73">IF(AE$3*12&lt;$A73,0,$K72*'depto - Departamento'!$D$8/12/(1-(1+'depto - Departamento'!$D$8/12)^-(12*AE$3-$A73+3))+$AY73)</f>
        <v>0</v>
      </c>
      <c r="AF73" s="765" cm="1">
        <f t="array" ref="AF73">AF72-(AF71-AF72)</f>
        <v>79.6521</v>
      </c>
      <c r="AG73" s="765"/>
      <c r="AH73" s="765"/>
      <c r="AI73" s="778" cm="1">
        <f t="array" ref="AI73">$F73*Y73</f>
        <v>406766.066838333</v>
      </c>
      <c r="AJ73" s="764" cm="1">
        <f t="array" ref="AJ73">$F73*Z73</f>
        <v>454101.297386391</v>
      </c>
      <c r="AK73" s="764" cm="1">
        <f t="array" ref="AK73">$F73*AA73</f>
        <v>536946.713008533</v>
      </c>
      <c r="AL73" s="764" cm="1">
        <f t="array" ref="AL73">$F73*AB73</f>
        <v>710571.058139116</v>
      </c>
      <c r="AM73" s="764" cm="1">
        <f t="array" ref="AM73">$F73*AC73</f>
        <v>943334.662671736</v>
      </c>
      <c r="AN73" s="764" cm="1">
        <f t="array" ref="AN73">$F73*AD73</f>
        <v>1266950.83613292</v>
      </c>
      <c r="AO73" s="764"/>
      <c r="AP73" s="764" cm="1">
        <f t="array" ref="AP73">$F73*AF73</f>
        <v>3761638.0401818</v>
      </c>
      <c r="AQ73" s="765"/>
      <c r="AR73" s="779" cm="1">
        <f t="array" ref="AR73">K72-K73</f>
        <v>11.7699</v>
      </c>
      <c r="AS73" s="779" cm="1">
        <f t="array" ref="AS73">D73-AR73</f>
        <v>6.2287</v>
      </c>
      <c r="AT73" s="765"/>
      <c r="AU73" s="780" cm="1">
        <f t="array" ref="AU73">ROUND(AV73*F73,0)</f>
        <v>48841</v>
      </c>
      <c r="AV73" s="781" cm="1">
        <f t="array" ref="AV73">IF(K72=0,0,AV72)</f>
        <v>1.0342</v>
      </c>
      <c r="AW73" s="780" cm="1">
        <f t="array" ref="AW73">ROUND(F73*AX73,0)</f>
        <v>2621</v>
      </c>
      <c r="AX73" s="781" cm="1">
        <f t="array" ref="AX73">AX$11/K$10*K72</f>
        <v>0.0555022626486255</v>
      </c>
      <c r="AY73" s="782" cm="1">
        <f t="array" ref="AY73">SUM(AV73,AX73)</f>
        <v>1.08970226264863</v>
      </c>
      <c r="AZ73" s="780" cm="1">
        <f t="array" ref="AZ73">AU73+AW73</f>
        <v>51462</v>
      </c>
      <c r="BA73" s="783" cm="1">
        <f t="array" ref="BA73">AI73-AZ73-BG73</f>
        <v>112611.356673412</v>
      </c>
      <c r="BB73" s="784" cm="1">
        <f t="array" ref="BB73">ROUND(BA73/$F73,4)</f>
        <v>2.3845</v>
      </c>
      <c r="BC73" s="783" cm="1">
        <f t="array" ref="BC73">J73-SUM(AZ73,BA73,BG73)</f>
        <v>443232.933161667</v>
      </c>
      <c r="BD73" s="784" cm="1">
        <f t="array" ref="BD73">ROUND(BC73/$F73,4)</f>
        <v>9.385400000000001</v>
      </c>
      <c r="BE73" s="785" cm="1">
        <f t="array" ref="BE73">BC73+BA73</f>
        <v>555844.289835079</v>
      </c>
      <c r="BF73" s="784" cm="1">
        <f t="array" ref="BF73">ROUND((BA73+BC73)/F73,4)</f>
        <v>11.7699</v>
      </c>
      <c r="BG73" s="786" cm="1">
        <f t="array" ref="BG73">BO73*F73</f>
        <v>242692.710164921</v>
      </c>
      <c r="BH73" s="787" cm="1">
        <f t="array" ref="BH73">ROUND(BG73/$F73,4)</f>
        <v>5.139</v>
      </c>
      <c r="BI73" s="772" cm="1">
        <f t="array" ref="BI73">M72-M73</f>
        <v>471030</v>
      </c>
      <c r="BJ73" s="772" cm="1">
        <f t="array" ref="BJ73">BE73-BI73</f>
        <v>84814.289835079006</v>
      </c>
      <c r="BK73" s="772" cm="1">
        <f t="array" ref="BK73">-BJ73</f>
        <v>-84814.289835079006</v>
      </c>
      <c r="BL73" s="772" cm="1">
        <f t="array" ref="BL73">BG73+BJ73</f>
        <v>327507</v>
      </c>
      <c r="BM73" s="772" cm="1">
        <f t="array" ref="BM73">AVERAGE(BL71:BL73)</f>
        <v>490707.333333333</v>
      </c>
      <c r="BN73" s="788" cm="1">
        <f t="array" ref="BN73">BH72-BH73</f>
        <v>0.0484</v>
      </c>
      <c r="BO73" s="775" cm="1">
        <f t="array" ref="BO73">K72*0.0495/12-0.16</f>
        <v>5.1389803625</v>
      </c>
      <c r="BP73" s="789" cm="1">
        <f t="array" ref="BP73">(BA73+BC73)/BG73</f>
        <v>2.29032132632808</v>
      </c>
      <c r="BQ73" s="789" cm="1">
        <f t="array" ref="BQ73">Y73-BB73</f>
        <v>6.22870815195915</v>
      </c>
      <c r="BR73" s="789" cm="1">
        <f t="array" ref="BR73">(BR$4*(1+BR$4)^BR$3*K72)/((1+BR$4)^BR$3-1)</f>
        <v>6.85681633005456</v>
      </c>
      <c r="BS73" s="789"/>
      <c r="BT73" s="764"/>
      <c r="BU73" s="764"/>
      <c r="BV73" s="764" cm="1">
        <f t="array" ref="BV73">BA73+BC73+BV72</f>
        <v>107458003.472076</v>
      </c>
      <c r="BW73" s="764" cm="1">
        <f t="array" ref="BW73">BG73+BW72</f>
        <v>20823853.5279232</v>
      </c>
      <c r="BX73" s="775" cm="1">
        <f t="array" ref="BX73">BF73+BX72</f>
        <v>2642.6778</v>
      </c>
      <c r="BY73" s="775" cm="1">
        <f t="array" ref="BY73">BH73+BY72</f>
        <v>505.6211</v>
      </c>
      <c r="BZ73" s="764" cm="1">
        <f t="array" ref="BZ73">SUM(BJ$6:BJ73)</f>
        <v>20936014.4720768</v>
      </c>
      <c r="CA73" s="775"/>
      <c r="CB73" s="775"/>
      <c r="CC73" s="764" cm="1">
        <f t="array" ref="CC73">SUM(BE$6:BE73)</f>
        <v>107458003.472077</v>
      </c>
      <c r="CD73" s="775"/>
      <c r="CE73" s="775"/>
      <c r="CF73" s="775"/>
      <c r="CG73" s="775"/>
      <c r="CH73" s="775"/>
      <c r="CI73" s="775"/>
      <c r="CJ73" s="775"/>
      <c r="CK73" s="775"/>
      <c r="CL73" s="775"/>
      <c r="CM73" s="775"/>
    </row>
    <row r="74" ht="19.35" customHeight="1" hidden="1">
      <c r="A74" s="762">
        <v>68</v>
      </c>
      <c r="B74" s="763">
        <v>47402</v>
      </c>
      <c r="C74" s="764"/>
      <c r="D74" s="765" cm="1">
        <f t="array" ref="D74">ROUND(850000/F74,4)</f>
        <v>17.9037</v>
      </c>
      <c r="E74" s="766" cm="1">
        <f t="array" ref="E74">D74/K73</f>
        <v>0.0140660420539594</v>
      </c>
      <c r="F74" s="767" cm="1">
        <f t="array" ref="F74">F73*(1+G74)</f>
        <v>47476.1459119693</v>
      </c>
      <c r="G74" s="766" cm="1">
        <f t="array" ref="G74">H74-SUM(G63:G73)</f>
        <v>0.0053</v>
      </c>
      <c r="H74" s="768" cm="1">
        <f t="array" ref="H74">'depto - Table 5'!$I$2</f>
        <v>0.04</v>
      </c>
      <c r="I74" s="769" cm="1">
        <f t="array" ref="I74">H74+4.95/100</f>
        <v>0.0895</v>
      </c>
      <c r="J74" s="764" cm="1">
        <f t="array" ref="J74">IF(K73=0,0,ROUND(D74*F74,0))</f>
        <v>849999</v>
      </c>
      <c r="K74" s="770" cm="1">
        <f t="array" ref="K74">IF(K73-BF74&lt;0,0,K73-BF74)</f>
        <v>1261.1073</v>
      </c>
      <c r="L74" s="771" cm="1">
        <f t="array" ref="L74">K74/K$5</f>
        <v>0.319267670886076</v>
      </c>
      <c r="M74" s="772" cm="1">
        <f t="array" ref="M74">ROUND(K74*F74,0)</f>
        <v>59872514</v>
      </c>
      <c r="N74" s="773" cm="1">
        <f t="array" ref="N74">M74/M$5</f>
        <v>0.408316716511449</v>
      </c>
      <c r="O74" s="772" cm="1">
        <f t="array" ref="O74">M74-M73</f>
        <v>-238029</v>
      </c>
      <c r="P74" s="774" cm="1">
        <f t="array" ref="P74">T74-K74</f>
        <v>4138.8927</v>
      </c>
      <c r="Q74" s="772" cm="1">
        <f t="array" ref="Q74">ROUND(P74*F74,0)</f>
        <v>196498674</v>
      </c>
      <c r="R74" s="775" cm="1">
        <f t="array" ref="R74">$K$5-K74</f>
        <v>2688.8927</v>
      </c>
      <c r="S74" s="772" cm="1">
        <f t="array" ref="S74">Q74-Q73</f>
        <v>1589633</v>
      </c>
      <c r="T74" s="775">
        <v>5400</v>
      </c>
      <c r="U74" s="772" cm="1">
        <f t="array" ref="U74">T74*F74</f>
        <v>256371187.924634</v>
      </c>
      <c r="V74" s="776" cm="1">
        <f t="array" ref="V74">-S74</f>
        <v>-1589633</v>
      </c>
      <c r="W74" s="776"/>
      <c r="X74" s="776" cm="1">
        <f t="array" ref="X74">$K73*4.95/12/100/(1-(1+4.95/12/100)^-(360-$A74+3))+$AY74</f>
        <v>8.55669839027736</v>
      </c>
      <c r="Y74" s="777" cm="1">
        <f t="array" ref="Y74">K73*4.95/12/100/(1-(1+4.95/12/100)^-(360-$A74+3))+AY74</f>
        <v>8.55669839027736</v>
      </c>
      <c r="Z74" s="765" cm="1">
        <f t="array" ref="Z74">IF(Z$3*12&lt;=$A74,0,$K73*'depto - Departamento'!$D$8/12/(1-(1+'depto - Departamento'!$D$8/12)^-(12*Z$3-$A74+3))+$AY75)</f>
        <v>9.558175159906581</v>
      </c>
      <c r="AA74" s="765" cm="1">
        <f t="array" ref="AA74">IF(AA$3*12&lt;=$A74,0,$K73*'depto - Departamento'!$D$8/12/(1-(1+'depto - Departamento'!$D$8/12)^-(12*AA$3-$A74+3))+$AY75)</f>
        <v>11.3147186769226</v>
      </c>
      <c r="AB74" s="765" cm="1">
        <f t="array" ref="AB74">IF(AB$3*12&lt;$A74,0,$K73*'depto - Departamento'!$D$8/12/(1-(1+'depto - Departamento'!$D$8/12)^-(12*AB$3-$A74+3))+$AY74)</f>
        <v>15.0116795053041</v>
      </c>
      <c r="AC74" s="765" cm="1">
        <f t="array" ref="AC74">IF(AC$3*12&lt;$A74,0,$K73*'depto - Departamento'!$D$8/12/(1-(1+'depto - Departamento'!$D$8/12)^-(12*AC$3-$A74+3))+$AY74)</f>
        <v>20.0014446723457</v>
      </c>
      <c r="AD74" s="765" cm="1">
        <f t="array" ref="AD74">IF(AD$3*12&lt;$A74,0,$K73*'depto - Departamento'!$D$8/12/(1-(1+'depto - Departamento'!$D$8/12)^-(12*AD$3-$A74+3))+$AY74)</f>
        <v>27.0034732462866</v>
      </c>
      <c r="AE74" s="765" cm="1">
        <f t="array" ref="AE74">IF(AE$3*12&lt;$A74,0,$K73*'depto - Departamento'!$D$8/12/(1-(1+'depto - Departamento'!$D$8/12)^-(12*AE$3-$A74+3))+$AY74)</f>
        <v>0</v>
      </c>
      <c r="AF74" s="765" cm="1">
        <f t="array" ref="AF74">AF73-(AF72-AF73)</f>
        <v>79.6493</v>
      </c>
      <c r="AG74" s="765"/>
      <c r="AH74" s="765"/>
      <c r="AI74" s="778" cm="1">
        <f t="array" ref="AI74">$F74*Y74</f>
        <v>406239.061301521</v>
      </c>
      <c r="AJ74" s="764" cm="1">
        <f t="array" ref="AJ74">$F74*Z74</f>
        <v>453785.318543885</v>
      </c>
      <c r="AK74" s="764" cm="1">
        <f t="array" ref="AK74">$F74*AA74</f>
        <v>537179.234858462</v>
      </c>
      <c r="AL74" s="764" cm="1">
        <f t="array" ref="AL74">$F74*AB74</f>
        <v>712696.686577537</v>
      </c>
      <c r="AM74" s="764" cm="1">
        <f t="array" ref="AM74">$F74*AC74</f>
        <v>949591.505714465</v>
      </c>
      <c r="AN74" s="764" cm="1">
        <f t="array" ref="AN74">$F74*AD74</f>
        <v>1282020.83597066</v>
      </c>
      <c r="AO74" s="764"/>
      <c r="AP74" s="764" cm="1">
        <f t="array" ref="AP74">$F74*AF74</f>
        <v>3781441.78858622</v>
      </c>
      <c r="AQ74" s="765"/>
      <c r="AR74" s="779" cm="1">
        <f t="array" ref="AR74">K73-K74</f>
        <v>11.7241</v>
      </c>
      <c r="AS74" s="779" cm="1">
        <f t="array" ref="AS74">D74-AR74</f>
        <v>6.1796</v>
      </c>
      <c r="AT74" s="765"/>
      <c r="AU74" s="780" cm="1">
        <f t="array" ref="AU74">ROUND(AV74*F74,0)</f>
        <v>49100</v>
      </c>
      <c r="AV74" s="781" cm="1">
        <f t="array" ref="AV74">IF(K73=0,0,AV73)</f>
        <v>1.0342</v>
      </c>
      <c r="AW74" s="780" cm="1">
        <f t="array" ref="AW74">ROUND(F74*AX74,0)</f>
        <v>2611</v>
      </c>
      <c r="AX74" s="781" cm="1">
        <f t="array" ref="AX74">AX$11/K$10*K73</f>
        <v>0.0549937343751852</v>
      </c>
      <c r="AY74" s="782" cm="1">
        <f t="array" ref="AY74">SUM(AV74,AX74)</f>
        <v>1.08919373437519</v>
      </c>
      <c r="AZ74" s="780" cm="1">
        <f t="array" ref="AZ74">AU74+AW74</f>
        <v>51711</v>
      </c>
      <c r="BA74" s="783" cm="1">
        <f t="array" ref="BA74">AI74-AZ74-BG74</f>
        <v>112854.086418024</v>
      </c>
      <c r="BB74" s="784" cm="1">
        <f t="array" ref="BB74">ROUND(BA74/$F74,4)</f>
        <v>2.3771</v>
      </c>
      <c r="BC74" s="783" cm="1">
        <f t="array" ref="BC74">J74-SUM(AZ74,BA74,BG74)</f>
        <v>443759.938698479</v>
      </c>
      <c r="BD74" s="784" cm="1">
        <f t="array" ref="BD74">ROUND(BC74/$F74,4)</f>
        <v>9.347</v>
      </c>
      <c r="BE74" s="785" cm="1">
        <f t="array" ref="BE74">BC74+BA74</f>
        <v>556614.025116503</v>
      </c>
      <c r="BF74" s="784" cm="1">
        <f t="array" ref="BF74">ROUND((BA74+BC74)/F74,4)</f>
        <v>11.7241</v>
      </c>
      <c r="BG74" s="786" cm="1">
        <f t="array" ref="BG74">BO74*F74</f>
        <v>241673.974883497</v>
      </c>
      <c r="BH74" s="787" cm="1">
        <f t="array" ref="BH74">ROUND(BG74/$F74,4)</f>
        <v>5.0904</v>
      </c>
      <c r="BI74" s="772" cm="1">
        <f t="array" ref="BI74">M73-M74</f>
        <v>238029</v>
      </c>
      <c r="BJ74" s="772" cm="1">
        <f t="array" ref="BJ74">BE74-BI74</f>
        <v>318585.025116503</v>
      </c>
      <c r="BK74" s="772" cm="1">
        <f t="array" ref="BK74">-BJ74</f>
        <v>-318585.025116503</v>
      </c>
      <c r="BL74" s="772" cm="1">
        <f t="array" ref="BL74">BG74+BJ74</f>
        <v>560259</v>
      </c>
      <c r="BM74" s="772" cm="1">
        <f t="array" ref="BM74">AVERAGE(BL72:BL74)</f>
        <v>377467.666666667</v>
      </c>
      <c r="BN74" s="788" cm="1">
        <f t="array" ref="BN74">BH73-BH74</f>
        <v>0.0486</v>
      </c>
      <c r="BO74" s="775" cm="1">
        <f t="array" ref="BO74">K73*0.0495/12-0.16</f>
        <v>5.090429525</v>
      </c>
      <c r="BP74" s="789" cm="1">
        <f t="array" ref="BP74">(BA74+BC74)/BG74</f>
        <v>2.30316079910892</v>
      </c>
      <c r="BQ74" s="789" cm="1">
        <f t="array" ref="BQ74">Y74-BB74</f>
        <v>6.17959839027736</v>
      </c>
      <c r="BR74" s="789" cm="1">
        <f t="array" ref="BR74">(BR$4*(1+BR$4)^BR$3*K73)/((1+BR$4)^BR$3-1)</f>
        <v>6.79399213508986</v>
      </c>
      <c r="BS74" s="789"/>
      <c r="BT74" s="764"/>
      <c r="BU74" s="764"/>
      <c r="BV74" s="764" cm="1">
        <f t="array" ref="BV74">BA74+BC74+BV73</f>
        <v>108014617.497193</v>
      </c>
      <c r="BW74" s="764" cm="1">
        <f t="array" ref="BW74">BG74+BW73</f>
        <v>21065527.5028067</v>
      </c>
      <c r="BX74" s="775" cm="1">
        <f t="array" ref="BX74">BF74+BX73</f>
        <v>2654.4019</v>
      </c>
      <c r="BY74" s="775" cm="1">
        <f t="array" ref="BY74">BH74+BY73</f>
        <v>510.7115</v>
      </c>
      <c r="BZ74" s="764" cm="1">
        <f t="array" ref="BZ74">SUM(BJ$6:BJ74)</f>
        <v>21254599.4971933</v>
      </c>
      <c r="CA74" s="775"/>
      <c r="CB74" s="775"/>
      <c r="CC74" s="764" cm="1">
        <f t="array" ref="CC74">SUM(BE$6:BE74)</f>
        <v>108014617.497193</v>
      </c>
      <c r="CD74" s="775"/>
      <c r="CE74" s="775"/>
      <c r="CF74" s="775"/>
      <c r="CG74" s="775"/>
      <c r="CH74" s="775"/>
      <c r="CI74" s="775"/>
      <c r="CJ74" s="775"/>
      <c r="CK74" s="775"/>
      <c r="CL74" s="775"/>
      <c r="CM74" s="775"/>
    </row>
    <row r="75" ht="19.35" customHeight="1" hidden="1">
      <c r="A75" s="762">
        <v>69</v>
      </c>
      <c r="B75" s="763">
        <v>47433</v>
      </c>
      <c r="C75" s="764"/>
      <c r="D75" s="765" cm="1">
        <f t="array" ref="D75">ROUND(850000/F75,4)</f>
        <v>17.8377</v>
      </c>
      <c r="E75" s="766" cm="1">
        <f t="array" ref="E75">D75/K74</f>
        <v>0.0141444744630374</v>
      </c>
      <c r="F75" s="767" cm="1">
        <f t="array" ref="F75">F74*(1+G75)</f>
        <v>47651.8076518436</v>
      </c>
      <c r="G75" s="766" cm="1">
        <f t="array" ref="G75">H75-SUM(G64:G74)</f>
        <v>0.0037</v>
      </c>
      <c r="H75" s="768" cm="1">
        <f t="array" ref="H75">'depto - Table 5'!$I$2</f>
        <v>0.04</v>
      </c>
      <c r="I75" s="769" cm="1">
        <f t="array" ref="I75">H75+4.95/100</f>
        <v>0.0895</v>
      </c>
      <c r="J75" s="764" cm="1">
        <f t="array" ref="J75">IF(K74=0,0,ROUND(D75*F75,0))</f>
        <v>849999</v>
      </c>
      <c r="K75" s="770" cm="1">
        <f t="array" ref="K75">IF(K74-BF75&lt;0,0,K74-BF75)</f>
        <v>1249.4003</v>
      </c>
      <c r="L75" s="771" cm="1">
        <f t="array" ref="L75">K75/K$5</f>
        <v>0.316303873417722</v>
      </c>
      <c r="M75" s="772" cm="1">
        <f t="array" ref="M75">ROUND(K75*F75,0)</f>
        <v>59536183</v>
      </c>
      <c r="N75" s="773" cm="1">
        <f t="array" ref="N75">M75/M$5</f>
        <v>0.406023016775022</v>
      </c>
      <c r="O75" s="772" cm="1">
        <f t="array" ref="O75">M75-M74</f>
        <v>-336331</v>
      </c>
      <c r="P75" s="774" cm="1">
        <f t="array" ref="P75">T75-K75</f>
        <v>4150.5997</v>
      </c>
      <c r="Q75" s="772" cm="1">
        <f t="array" ref="Q75">ROUND(P75*F75,0)</f>
        <v>197783579</v>
      </c>
      <c r="R75" s="775" cm="1">
        <f t="array" ref="R75">$K$5-K75</f>
        <v>2700.5997</v>
      </c>
      <c r="S75" s="772" cm="1">
        <f t="array" ref="S75">Q75-Q74</f>
        <v>1284905</v>
      </c>
      <c r="T75" s="775">
        <v>5400</v>
      </c>
      <c r="U75" s="772" cm="1">
        <f t="array" ref="U75">T75*F75</f>
        <v>257319761.319955</v>
      </c>
      <c r="V75" s="776" cm="1">
        <f t="array" ref="V75">-S75</f>
        <v>-1284905</v>
      </c>
      <c r="W75" s="776"/>
      <c r="X75" s="776" cm="1">
        <f t="array" ref="X75">$K74*4.95/12/100/(1-(1+4.95/12/100)^-(360-$A75+3))+$AY75</f>
        <v>8.500318275513459</v>
      </c>
      <c r="Y75" s="777" cm="1">
        <f t="array" ref="Y75">K74*4.95/12/100/(1-(1+4.95/12/100)^-(360-$A75+3))+AY75</f>
        <v>8.500318275513459</v>
      </c>
      <c r="Z75" s="765" cm="1">
        <f t="array" ref="Z75">IF(Z$3*12&lt;=$A75,0,$K74*'depto - Departamento'!$D$8/12/(1-(1+'depto - Departamento'!$D$8/12)^-(12*Z$3-$A75+3))+$AY76)</f>
        <v>9.5009328598985</v>
      </c>
      <c r="AA75" s="765" cm="1">
        <f t="array" ref="AA75">IF(AA$3*12&lt;=$A75,0,$K74*'depto - Departamento'!$D$8/12/(1-(1+'depto - Departamento'!$D$8/12)^-(12*AA$3-$A75+3))+$AY76)</f>
        <v>11.2597821072802</v>
      </c>
      <c r="AB75" s="765" cm="1">
        <f t="array" ref="AB75">IF(AB$3*12&lt;$A75,0,$K74*'depto - Departamento'!$D$8/12/(1-(1+'depto - Departamento'!$D$8/12)^-(12*AB$3-$A75+3))+$AY75)</f>
        <v>14.9775600763197</v>
      </c>
      <c r="AC75" s="765" cm="1">
        <f t="array" ref="AC75">IF(AC$3*12&lt;$A75,0,$K74*'depto - Departamento'!$D$8/12/(1-(1+'depto - Departamento'!$D$8/12)^-(12*AC$3-$A75+3))+$AY75)</f>
        <v>20.0300419658073</v>
      </c>
      <c r="AD75" s="765" cm="1">
        <f t="array" ref="AD75">IF(AD$3*12&lt;$A75,0,$K74*'depto - Departamento'!$D$8/12/(1-(1+'depto - Departamento'!$D$8/12)^-(12*AD$3-$A75+3))+$AY75)</f>
        <v>27.1879796209691</v>
      </c>
      <c r="AE75" s="765" cm="1">
        <f t="array" ref="AE75">IF(AE$3*12&lt;$A75,0,$K74*'depto - Departamento'!$D$8/12/(1-(1+'depto - Departamento'!$D$8/12)^-(12*AE$3-$A75+3))+$AY75)</f>
        <v>0</v>
      </c>
      <c r="AF75" s="765" cm="1">
        <f t="array" ref="AF75">AF74-(AF73-AF74)</f>
        <v>79.6465</v>
      </c>
      <c r="AG75" s="765"/>
      <c r="AH75" s="765"/>
      <c r="AI75" s="778" cm="1">
        <f t="array" ref="AI75">$F75*Y75</f>
        <v>405055.531444218</v>
      </c>
      <c r="AJ75" s="764" cm="1">
        <f t="array" ref="AJ75">$F75*Z75</f>
        <v>452736.625152964</v>
      </c>
      <c r="AK75" s="764" cm="1">
        <f t="array" ref="AK75">$F75*AA75</f>
        <v>536548.971177786</v>
      </c>
      <c r="AL75" s="764" cm="1">
        <f t="array" ref="AL75">$F75*AB75</f>
        <v>713707.811850718</v>
      </c>
      <c r="AM75" s="764" cm="1">
        <f t="array" ref="AM75">$F75*AC75</f>
        <v>954467.707013005</v>
      </c>
      <c r="AN75" s="764" cm="1">
        <f t="array" ref="AN75">$F75*AD75</f>
        <v>1295556.37534066</v>
      </c>
      <c r="AO75" s="764"/>
      <c r="AP75" s="764" cm="1">
        <f t="array" ref="AP75">$F75*AF75</f>
        <v>3795299.69814256</v>
      </c>
      <c r="AQ75" s="765"/>
      <c r="AR75" s="779" cm="1">
        <f t="array" ref="AR75">K74-K75</f>
        <v>11.707</v>
      </c>
      <c r="AS75" s="779" cm="1">
        <f t="array" ref="AS75">D75-AR75</f>
        <v>6.1307</v>
      </c>
      <c r="AT75" s="765"/>
      <c r="AU75" s="780" cm="1">
        <f t="array" ref="AU75">ROUND(AV75*F75,0)</f>
        <v>49281</v>
      </c>
      <c r="AV75" s="781" cm="1">
        <f t="array" ref="AV75">IF(K74=0,0,AV74)</f>
        <v>1.0342</v>
      </c>
      <c r="AW75" s="780" cm="1">
        <f t="array" ref="AW75">ROUND(F75*AX75,0)</f>
        <v>2596</v>
      </c>
      <c r="AX75" s="781" cm="1">
        <f t="array" ref="AX75">AX$11/K$10*K74</f>
        <v>0.0544871849286614</v>
      </c>
      <c r="AY75" s="782" cm="1">
        <f t="array" ref="AY75">SUM(AV75,AX75)</f>
        <v>1.08868718492866</v>
      </c>
      <c r="AZ75" s="780" cm="1">
        <f t="array" ref="AZ75">AU75+AW75</f>
        <v>51877</v>
      </c>
      <c r="BA75" s="783" cm="1">
        <f t="array" ref="BA75">AI75-AZ75-BG75</f>
        <v>112914.895405778</v>
      </c>
      <c r="BB75" s="784" cm="1">
        <f t="array" ref="BB75">ROUND(BA75/$F75,4)</f>
        <v>2.3696</v>
      </c>
      <c r="BC75" s="783" cm="1">
        <f t="array" ref="BC75">J75-SUM(AZ75,BA75,BG75)</f>
        <v>444943.468555782</v>
      </c>
      <c r="BD75" s="784" cm="1">
        <f t="array" ref="BD75">ROUND(BC75/$F75,4)</f>
        <v>9.337400000000001</v>
      </c>
      <c r="BE75" s="785" cm="1">
        <f t="array" ref="BE75">BC75+BA75</f>
        <v>557858.36396156</v>
      </c>
      <c r="BF75" s="784" cm="1">
        <f t="array" ref="BF75">ROUND((BA75+BC75)/F75,4)</f>
        <v>11.707</v>
      </c>
      <c r="BG75" s="786" cm="1">
        <f t="array" ref="BG75">BO75*F75</f>
        <v>240263.63603844</v>
      </c>
      <c r="BH75" s="787" cm="1">
        <f t="array" ref="BH75">ROUND(BG75/$F75,4)</f>
        <v>5.0421</v>
      </c>
      <c r="BI75" s="772" cm="1">
        <f t="array" ref="BI75">M74-M75</f>
        <v>336331</v>
      </c>
      <c r="BJ75" s="772" cm="1">
        <f t="array" ref="BJ75">BE75-BI75</f>
        <v>221527.36396156</v>
      </c>
      <c r="BK75" s="772" cm="1">
        <f t="array" ref="BK75">-BJ75</f>
        <v>-221527.36396156</v>
      </c>
      <c r="BL75" s="772" cm="1">
        <f t="array" ref="BL75">BG75+BJ75</f>
        <v>461791</v>
      </c>
      <c r="BM75" s="772" cm="1">
        <f t="array" ref="BM75">AVERAGE(BL73:BL75)</f>
        <v>449852.333333333</v>
      </c>
      <c r="BN75" s="788" cm="1">
        <f t="array" ref="BN75">BH74-BH75</f>
        <v>0.0483</v>
      </c>
      <c r="BO75" s="775" cm="1">
        <f t="array" ref="BO75">K74*0.0495/12-0.16</f>
        <v>5.0420676125</v>
      </c>
      <c r="BP75" s="789" cm="1">
        <f t="array" ref="BP75">(BA75+BC75)/BG75</f>
        <v>2.32185932569633</v>
      </c>
      <c r="BQ75" s="789" cm="1">
        <f t="array" ref="BQ75">Y75-BB75</f>
        <v>6.13071827551346</v>
      </c>
      <c r="BR75" s="789" cm="1">
        <f t="array" ref="BR75">(BR$4*(1+BR$4)^BR$3*K74)/((1+BR$4)^BR$3-1)</f>
        <v>6.73141240678412</v>
      </c>
      <c r="BS75" s="789"/>
      <c r="BT75" s="764"/>
      <c r="BU75" s="764"/>
      <c r="BV75" s="764" cm="1">
        <f t="array" ref="BV75">BA75+BC75+BV74</f>
        <v>108572475.861155</v>
      </c>
      <c r="BW75" s="764" cm="1">
        <f t="array" ref="BW75">BG75+BW74</f>
        <v>21305791.1388451</v>
      </c>
      <c r="BX75" s="775" cm="1">
        <f t="array" ref="BX75">BF75+BX74</f>
        <v>2666.1089</v>
      </c>
      <c r="BY75" s="775" cm="1">
        <f t="array" ref="BY75">BH75+BY74</f>
        <v>515.7536</v>
      </c>
      <c r="BZ75" s="764" cm="1">
        <f t="array" ref="BZ75">SUM(BJ$6:BJ75)</f>
        <v>21476126.8611548</v>
      </c>
      <c r="CA75" s="775"/>
      <c r="CB75" s="775"/>
      <c r="CC75" s="764" cm="1">
        <f t="array" ref="CC75">SUM(BE$6:BE75)</f>
        <v>108572475.861155</v>
      </c>
      <c r="CD75" s="775"/>
      <c r="CE75" s="775"/>
      <c r="CF75" s="775"/>
      <c r="CG75" s="775"/>
      <c r="CH75" s="775"/>
      <c r="CI75" s="775"/>
      <c r="CJ75" s="775"/>
      <c r="CK75" s="775"/>
      <c r="CL75" s="775"/>
      <c r="CM75" s="775"/>
    </row>
    <row r="76" ht="19.35" customHeight="1" hidden="1">
      <c r="A76" s="762">
        <v>70</v>
      </c>
      <c r="B76" s="763">
        <v>47463</v>
      </c>
      <c r="C76" s="764"/>
      <c r="D76" s="765" cm="1">
        <f t="array" ref="D76">ROUND(850000/F76,4)</f>
        <v>17.8342</v>
      </c>
      <c r="E76" s="766" cm="1">
        <f t="array" ref="E76">D76/K75</f>
        <v>0.0142742081941232</v>
      </c>
      <c r="F76" s="767" cm="1">
        <f t="array" ref="F76">F75*(1+G76)</f>
        <v>47661.338013374</v>
      </c>
      <c r="G76" s="766" cm="1">
        <f t="array" ref="G76">H76-SUM(G65:G75)</f>
        <v>0.0002</v>
      </c>
      <c r="H76" s="768" cm="1">
        <f t="array" ref="H76">'depto - Table 5'!$I$2</f>
        <v>0.04</v>
      </c>
      <c r="I76" s="769" cm="1">
        <f t="array" ref="I76">H76+4.95/100</f>
        <v>0.0895</v>
      </c>
      <c r="J76" s="764" cm="1">
        <f t="array" ref="J76">IF(K75=0,0,ROUND(D76*F76,0))</f>
        <v>850002</v>
      </c>
      <c r="K76" s="770" cm="1">
        <f t="array" ref="K76">IF(K75-BF76&lt;0,0,K75-BF76)</f>
        <v>1237.6481</v>
      </c>
      <c r="L76" s="771" cm="1">
        <f t="array" ref="L76">K76/K$5</f>
        <v>0.313328632911392</v>
      </c>
      <c r="M76" s="772" cm="1">
        <f t="array" ref="M76">ROUND(K76*F76,0)</f>
        <v>58987964</v>
      </c>
      <c r="N76" s="773" cm="1">
        <f t="array" ref="N76">M76/M$5</f>
        <v>0.402284289819124</v>
      </c>
      <c r="O76" s="772" cm="1">
        <f t="array" ref="O76">M76-M75</f>
        <v>-548219</v>
      </c>
      <c r="P76" s="774" cm="1">
        <f t="array" ref="P76">T76-K76</f>
        <v>4162.3519</v>
      </c>
      <c r="Q76" s="772" cm="1">
        <f t="array" ref="Q76">ROUND(P76*F76,0)</f>
        <v>198383261</v>
      </c>
      <c r="R76" s="775" cm="1">
        <f t="array" ref="R76">$K$5-K76</f>
        <v>2712.3519</v>
      </c>
      <c r="S76" s="772" cm="1">
        <f t="array" ref="S76">Q76-Q75</f>
        <v>599682</v>
      </c>
      <c r="T76" s="775">
        <v>5400</v>
      </c>
      <c r="U76" s="772" cm="1">
        <f t="array" ref="U76">T76*F76</f>
        <v>257371225.27222</v>
      </c>
      <c r="V76" s="776" cm="1">
        <f t="array" ref="V76">-S76</f>
        <v>-599682</v>
      </c>
      <c r="W76" s="776"/>
      <c r="X76" s="776" cm="1">
        <f t="array" ref="X76">$K75*4.95/12/100/(1-(1+4.95/12/100)^-(360-$A76+3))+$AY76</f>
        <v>8.443897283085439</v>
      </c>
      <c r="Y76" s="777" cm="1">
        <f t="array" ref="Y76">K75*4.95/12/100/(1-(1+4.95/12/100)^-(360-$A76+3))+AY76</f>
        <v>8.443897283085439</v>
      </c>
      <c r="Z76" s="765" cm="1">
        <f t="array" ref="Z76">IF(Z$3*12&lt;=$A76,0,$K75*'depto - Departamento'!$D$8/12/(1-(1+'depto - Departamento'!$D$8/12)^-(12*Z$3-$A76+3))+$AY77)</f>
        <v>9.44360214668991</v>
      </c>
      <c r="AA76" s="765" cm="1">
        <f t="array" ref="AA76">IF(AA$3*12&lt;=$A76,0,$K75*'depto - Departamento'!$D$8/12/(1-(1+'depto - Departamento'!$D$8/12)^-(12*AA$3-$A76+3))+$AY77)</f>
        <v>11.2047175707134</v>
      </c>
      <c r="AB76" s="765" cm="1">
        <f t="array" ref="AB76">IF(AB$3*12&lt;$A76,0,$K75*'depto - Departamento'!$D$8/12/(1-(1+'depto - Departamento'!$D$8/12)^-(12*AB$3-$A76+3))+$AY76)</f>
        <v>14.9435614405869</v>
      </c>
      <c r="AC76" s="765" cm="1">
        <f t="array" ref="AC76">IF(AC$3*12&lt;$A76,0,$K75*'depto - Departamento'!$D$8/12/(1-(1+'depto - Departamento'!$D$8/12)^-(12*AC$3-$A76+3))+$AY76)</f>
        <v>20.0603965523342</v>
      </c>
      <c r="AD76" s="765" cm="1">
        <f t="array" ref="AD76">IF(AD$3*12&lt;$A76,0,$K75*'depto - Departamento'!$D$8/12/(1-(1+'depto - Departamento'!$D$8/12)^-(12*AD$3-$A76+3))+$AY76)</f>
        <v>27.3808752106561</v>
      </c>
      <c r="AE76" s="765" cm="1">
        <f t="array" ref="AE76">IF(AE$3*12&lt;$A76,0,$K75*'depto - Departamento'!$D$8/12/(1-(1+'depto - Departamento'!$D$8/12)^-(12*AE$3-$A76+3))+$AY76)</f>
        <v>0</v>
      </c>
      <c r="AF76" s="765" cm="1">
        <f t="array" ref="AF76">AF75-(AF74-AF75)</f>
        <v>79.6437</v>
      </c>
      <c r="AG76" s="765"/>
      <c r="AH76" s="765"/>
      <c r="AI76" s="778" cm="1">
        <f t="array" ref="AI76">$F76*Y76</f>
        <v>402447.442559346</v>
      </c>
      <c r="AJ76" s="764" cm="1">
        <f t="array" ref="AJ76">$F76*Z76</f>
        <v>450094.713977212</v>
      </c>
      <c r="AK76" s="764" cm="1">
        <f t="array" ref="AK76">$F76*AA76</f>
        <v>534031.831482162</v>
      </c>
      <c r="AL76" s="764" cm="1">
        <f t="array" ref="AL76">$F76*AB76</f>
        <v>712230.1329434339</v>
      </c>
      <c r="AM76" s="764" cm="1">
        <f t="array" ref="AM76">$F76*AC76</f>
        <v>956105.340763123</v>
      </c>
      <c r="AN76" s="764" cm="1">
        <f t="array" ref="AN76">$F76*AD76</f>
        <v>1305009.14851709</v>
      </c>
      <c r="AO76" s="764"/>
      <c r="AP76" s="764" cm="1">
        <f t="array" ref="AP76">$F76*AF76</f>
        <v>3795925.30633575</v>
      </c>
      <c r="AQ76" s="765"/>
      <c r="AR76" s="779" cm="1">
        <f t="array" ref="AR76">K75-K76</f>
        <v>11.7522</v>
      </c>
      <c r="AS76" s="779" cm="1">
        <f t="array" ref="AS76">D76-AR76</f>
        <v>6.082</v>
      </c>
      <c r="AT76" s="765"/>
      <c r="AU76" s="780" cm="1">
        <f t="array" ref="AU76">ROUND(AV76*F76,0)</f>
        <v>49291</v>
      </c>
      <c r="AV76" s="781" cm="1">
        <f t="array" ref="AV76">IF(K75=0,0,AV75)</f>
        <v>1.0342</v>
      </c>
      <c r="AW76" s="780" cm="1">
        <f t="array" ref="AW76">ROUND(F76*AX76,0)</f>
        <v>2573</v>
      </c>
      <c r="AX76" s="781" cm="1">
        <f t="array" ref="AX76">AX$11/K$10*K75</f>
        <v>0.0539813743017942</v>
      </c>
      <c r="AY76" s="782" cm="1">
        <f t="array" ref="AY76">SUM(AV76,AX76)</f>
        <v>1.08818137430179</v>
      </c>
      <c r="AZ76" s="780" cm="1">
        <f t="array" ref="AZ76">AU76+AW76</f>
        <v>51864</v>
      </c>
      <c r="BA76" s="783" cm="1">
        <f t="array" ref="BA76">AI76-AZ76-BG76</f>
        <v>112573.385340703</v>
      </c>
      <c r="BB76" s="784" cm="1">
        <f t="array" ref="BB76">ROUND(BA76/$F76,4)</f>
        <v>2.3619</v>
      </c>
      <c r="BC76" s="783" cm="1">
        <f t="array" ref="BC76">J76-SUM(AZ76,BA76,BG76)</f>
        <v>447554.557440654</v>
      </c>
      <c r="BD76" s="784" cm="1">
        <f t="array" ref="BD76">ROUND(BC76/$F76,4)</f>
        <v>9.3903</v>
      </c>
      <c r="BE76" s="785" cm="1">
        <f t="array" ref="BE76">BC76+BA76</f>
        <v>560127.942781357</v>
      </c>
      <c r="BF76" s="784" cm="1">
        <f t="array" ref="BF76">ROUND((BA76+BC76)/F76,4)</f>
        <v>11.7522</v>
      </c>
      <c r="BG76" s="786" cm="1">
        <f t="array" ref="BG76">BO76*F76</f>
        <v>238010.057218643</v>
      </c>
      <c r="BH76" s="787" cm="1">
        <f t="array" ref="BH76">ROUND(BG76/$F76,4)</f>
        <v>4.9938</v>
      </c>
      <c r="BI76" s="772" cm="1">
        <f t="array" ref="BI76">M75-M76</f>
        <v>548219</v>
      </c>
      <c r="BJ76" s="772" cm="1">
        <f t="array" ref="BJ76">BE76-BI76</f>
        <v>11908.942781357</v>
      </c>
      <c r="BK76" s="772" cm="1">
        <f t="array" ref="BK76">-BJ76</f>
        <v>-11908.942781357</v>
      </c>
      <c r="BL76" s="772" cm="1">
        <f t="array" ref="BL76">BG76+BJ76</f>
        <v>249919</v>
      </c>
      <c r="BM76" s="772" cm="1">
        <f t="array" ref="BM76">AVERAGE(BL74:BL76)</f>
        <v>423989.666666667</v>
      </c>
      <c r="BN76" s="788" cm="1">
        <f t="array" ref="BN76">BH75-BH76</f>
        <v>0.0483</v>
      </c>
      <c r="BO76" s="775" cm="1">
        <f t="array" ref="BO76">K75*0.0495/12-0.16</f>
        <v>4.9937762375</v>
      </c>
      <c r="BP76" s="789" cm="1">
        <f t="array" ref="BP76">(BA76+BC76)/BG76</f>
        <v>2.35337930391239</v>
      </c>
      <c r="BQ76" s="789" cm="1">
        <f t="array" ref="BQ76">Y76-BB76</f>
        <v>6.08199728308544</v>
      </c>
      <c r="BR76" s="789" cm="1">
        <f t="array" ref="BR76">(BR$4*(1+BR$4)^BR$3*K75)/((1+BR$4)^BR$3-1)</f>
        <v>6.668923953148</v>
      </c>
      <c r="BS76" s="789"/>
      <c r="BT76" s="764"/>
      <c r="BU76" s="764"/>
      <c r="BV76" s="764" cm="1">
        <f t="array" ref="BV76">BA76+BC76+BV75</f>
        <v>109132603.803936</v>
      </c>
      <c r="BW76" s="764" cm="1">
        <f t="array" ref="BW76">BG76+BW75</f>
        <v>21543801.1960637</v>
      </c>
      <c r="BX76" s="775" cm="1">
        <f t="array" ref="BX76">BF76+BX75</f>
        <v>2677.8611</v>
      </c>
      <c r="BY76" s="775" cm="1">
        <f t="array" ref="BY76">BH76+BY75</f>
        <v>520.7474</v>
      </c>
      <c r="BZ76" s="764" cm="1">
        <f t="array" ref="BZ76">SUM(BJ$6:BJ76)</f>
        <v>21488035.8039362</v>
      </c>
      <c r="CA76" s="775"/>
      <c r="CB76" s="775"/>
      <c r="CC76" s="764" cm="1">
        <f t="array" ref="CC76">SUM(BE$6:BE76)</f>
        <v>109132603.803936</v>
      </c>
      <c r="CD76" s="775"/>
      <c r="CE76" s="775"/>
      <c r="CF76" s="775"/>
      <c r="CG76" s="775"/>
      <c r="CH76" s="775"/>
      <c r="CI76" s="775"/>
      <c r="CJ76" s="775"/>
      <c r="CK76" s="775"/>
      <c r="CL76" s="775"/>
      <c r="CM76" s="775"/>
    </row>
    <row r="77" ht="19.35" customHeight="1" hidden="1">
      <c r="A77" s="762">
        <v>71</v>
      </c>
      <c r="B77" s="790">
        <v>47494</v>
      </c>
      <c r="C77" s="405"/>
      <c r="D77" s="791" cm="1">
        <f t="array" ref="D77">ROUND(850000/F77,4)</f>
        <v>18.1833</v>
      </c>
      <c r="E77" s="792" cm="1">
        <f t="array" ref="E77">D77/K76</f>
        <v>0.0146918174883475</v>
      </c>
      <c r="F77" s="793" cm="1">
        <f t="array" ref="F77">F76*(1+G77)</f>
        <v>46746.2403235172</v>
      </c>
      <c r="G77" s="792" cm="1">
        <f t="array" ref="G77">H77-SUM(G66:G76)</f>
        <v>-0.0192</v>
      </c>
      <c r="H77" s="794" cm="1">
        <f t="array" ref="H77">'depto - Table 5'!$J$2</f>
        <v>0.03</v>
      </c>
      <c r="I77" s="795" cm="1">
        <f t="array" ref="I77">H77+4.95/100</f>
        <v>0.0795</v>
      </c>
      <c r="J77" s="405" cm="1">
        <f t="array" ref="J77">IF(K76=0,0,ROUND(D77*F77,0))</f>
        <v>850001</v>
      </c>
      <c r="K77" s="796" cm="1">
        <f t="array" ref="K77">IF(K76-BF77&lt;0,0,K76-BF77)</f>
        <v>1225.4978</v>
      </c>
      <c r="L77" s="797" cm="1">
        <f t="array" ref="L77">K77/K$5</f>
        <v>0.310252607594937</v>
      </c>
      <c r="M77" s="798" cm="1">
        <f t="array" ref="M77">ROUND(K77*F77,0)</f>
        <v>57287415</v>
      </c>
      <c r="N77" s="799" cm="1">
        <f t="array" ref="N77">M77/M$5</f>
        <v>0.390686938421005</v>
      </c>
      <c r="O77" s="798" cm="1">
        <f t="array" ref="O77">M77-M76</f>
        <v>-1700549</v>
      </c>
      <c r="P77" s="800" cm="1">
        <f t="array" ref="P77">T77-K77</f>
        <v>4174.5022</v>
      </c>
      <c r="Q77" s="798" cm="1">
        <f t="array" ref="Q77">ROUND(P77*F77,0)</f>
        <v>195142283</v>
      </c>
      <c r="R77" s="801" cm="1">
        <f t="array" ref="R77">$K$5-K77</f>
        <v>2724.5022</v>
      </c>
      <c r="S77" s="798" cm="1">
        <f t="array" ref="S77">Q77-Q76</f>
        <v>-3240978</v>
      </c>
      <c r="T77" s="801">
        <v>5400</v>
      </c>
      <c r="U77" s="798" cm="1">
        <f t="array" ref="U77">T77*F77</f>
        <v>252429697.746993</v>
      </c>
      <c r="V77" s="802" cm="1">
        <f t="array" ref="V77">-S77</f>
        <v>3240978</v>
      </c>
      <c r="W77" s="802"/>
      <c r="X77" s="802" cm="1">
        <f t="array" ref="X77">$K76*4.95/12/100/(1-(1+4.95/12/100)^-(360-$A77+3))+$AY77</f>
        <v>8.387064075209279</v>
      </c>
      <c r="Y77" s="803" cm="1">
        <f t="array" ref="Y77">K76*4.95/12/100/(1-(1+4.95/12/100)^-(360-$A77+3))+AY77</f>
        <v>8.387064075209279</v>
      </c>
      <c r="Z77" s="791" cm="1">
        <f t="array" ref="Z77">IF(Z$3*12&lt;=$A77,0,$K76*'depto - Departamento'!$D$8/12/(1-(1+'depto - Departamento'!$D$8/12)^-(12*Z$3-$A77+3))+$AY78)</f>
        <v>9.38574794703128</v>
      </c>
      <c r="AA77" s="791" cm="1">
        <f t="array" ref="AA77">IF(AA$3*12&lt;=$A77,0,$K76*'depto - Departamento'!$D$8/12/(1-(1+'depto - Departamento'!$D$8/12)^-(12*AA$3-$A77+3))+$AY78)</f>
        <v>11.1489998374323</v>
      </c>
      <c r="AB77" s="791" cm="1">
        <f t="array" ref="AB77">IF(AB$3*12&lt;$A77,0,$K76*'depto - Departamento'!$D$8/12/(1-(1+'depto - Departamento'!$D$8/12)^-(12*AB$3-$A77+3))+$AY77)</f>
        <v>14.9089864458172</v>
      </c>
      <c r="AC77" s="791" cm="1">
        <f t="array" ref="AC77">IF(AC$3*12&lt;$A77,0,$K76*'depto - Departamento'!$D$8/12/(1-(1+'depto - Departamento'!$D$8/12)^-(12*AC$3-$A77+3))+$AY77)</f>
        <v>20.0916156464282</v>
      </c>
      <c r="AD77" s="791" cm="1">
        <f t="array" ref="AD77">IF(AD$3*12&lt;$A77,0,$K76*'depto - Departamento'!$D$8/12/(1-(1+'depto - Departamento'!$D$8/12)^-(12*AD$3-$A77+3))+$AY77)</f>
        <v>27.5813035796879</v>
      </c>
      <c r="AE77" s="791" cm="1">
        <f t="array" ref="AE77">IF(AE$3*12&lt;$A77,0,$K76*'depto - Departamento'!$D$8/12/(1-(1+'depto - Departamento'!$D$8/12)^-(12*AE$3-$A77+3))+$AY77)</f>
        <v>0</v>
      </c>
      <c r="AF77" s="791" cm="1">
        <f t="array" ref="AF77">AF76-(AF75-AF76)</f>
        <v>79.6409</v>
      </c>
      <c r="AG77" s="791"/>
      <c r="AH77" s="791"/>
      <c r="AI77" s="804" cm="1">
        <f t="array" ref="AI77">$F77*Y77</f>
        <v>392063.712868471</v>
      </c>
      <c r="AJ77" s="405" cm="1">
        <f t="array" ref="AJ77">$F77*Z77</f>
        <v>438748.429147882</v>
      </c>
      <c r="AK77" s="405" cm="1">
        <f t="array" ref="AK77">$F77*AA77</f>
        <v>521173.825767464</v>
      </c>
      <c r="AL77" s="405" cm="1">
        <f t="array" ref="AL77">$F77*AB77</f>
        <v>696939.063376231</v>
      </c>
      <c r="AM77" s="405" cm="1">
        <f t="array" ref="AM77">$F77*AC77</f>
        <v>939207.493495671</v>
      </c>
      <c r="AN77" s="405" cm="1">
        <f t="array" ref="AN77">$F77*AD77</f>
        <v>1289322.24557198</v>
      </c>
      <c r="AO77" s="405"/>
      <c r="AP77" s="405" cm="1">
        <f t="array" ref="AP77">$F77*AF77</f>
        <v>3722912.6509812</v>
      </c>
      <c r="AQ77" s="791"/>
      <c r="AR77" s="805" cm="1">
        <f t="array" ref="AR77">K76-K77</f>
        <v>12.1503</v>
      </c>
      <c r="AS77" s="805" cm="1">
        <f t="array" ref="AS77">D77-AR77</f>
        <v>6.033</v>
      </c>
      <c r="AT77" s="791"/>
      <c r="AU77" s="806" cm="1">
        <f t="array" ref="AU77">ROUND(AV77*F77,0)</f>
        <v>48345</v>
      </c>
      <c r="AV77" s="807" cm="1">
        <f t="array" ref="AV77">IF(K76=0,0,AV76)</f>
        <v>1.0342</v>
      </c>
      <c r="AW77" s="806" cm="1">
        <f t="array" ref="AW77">ROUND(F77*AX77,0)</f>
        <v>2500</v>
      </c>
      <c r="AX77" s="807" cm="1">
        <f t="array" ref="AX77">AX$11/K$10*K76</f>
        <v>0.0534736107715073</v>
      </c>
      <c r="AY77" s="808" cm="1">
        <f t="array" ref="AY77">SUM(AV77,AX77)</f>
        <v>1.08767361077151</v>
      </c>
      <c r="AZ77" s="806" cm="1">
        <f t="array" ref="AZ77">AU77+AW77</f>
        <v>50845</v>
      </c>
      <c r="BA77" s="809" cm="1">
        <f t="array" ref="BA77">AI77-AZ77-BG77</f>
        <v>110044.604806238</v>
      </c>
      <c r="BB77" s="810" cm="1">
        <f t="array" ref="BB77">ROUND(BA77/$F77,4)</f>
        <v>2.3541</v>
      </c>
      <c r="BC77" s="809" cm="1">
        <f t="array" ref="BC77">J77-SUM(AZ77,BA77,BG77)</f>
        <v>457937.287131529</v>
      </c>
      <c r="BD77" s="810" cm="1">
        <f t="array" ref="BD77">ROUND(BC77/$F77,4)</f>
        <v>9.796200000000001</v>
      </c>
      <c r="BE77" s="811" cm="1">
        <f t="array" ref="BE77">BC77+BA77</f>
        <v>567981.891937767</v>
      </c>
      <c r="BF77" s="810" cm="1">
        <f t="array" ref="BF77">ROUND((BA77+BC77)/F77,4)</f>
        <v>12.1503</v>
      </c>
      <c r="BG77" s="812" cm="1">
        <f t="array" ref="BG77">BO77*F77</f>
        <v>231174.108062233</v>
      </c>
      <c r="BH77" s="813" cm="1">
        <f t="array" ref="BH77">ROUND(BG77/$F77,4)</f>
        <v>4.9453</v>
      </c>
      <c r="BI77" s="798" cm="1">
        <f t="array" ref="BI77">M76-M77</f>
        <v>1700549</v>
      </c>
      <c r="BJ77" s="798" cm="1">
        <f t="array" ref="BJ77">BE77-BI77</f>
        <v>-1132567.10806223</v>
      </c>
      <c r="BK77" s="798" cm="1">
        <f t="array" ref="BK77">-BJ77</f>
        <v>1132567.10806223</v>
      </c>
      <c r="BL77" s="798" cm="1">
        <f t="array" ref="BL77">BG77+BJ77</f>
        <v>-901392.999999997</v>
      </c>
      <c r="BM77" s="798" cm="1">
        <f t="array" ref="BM77">AVERAGE(BL75:BL77)</f>
        <v>-63227.6666666657</v>
      </c>
      <c r="BN77" s="814" cm="1">
        <f t="array" ref="BN77">BH76-BH77</f>
        <v>0.0485</v>
      </c>
      <c r="BO77" s="801" cm="1">
        <f t="array" ref="BO77">K76*0.0495/12-0.16</f>
        <v>4.9452984125</v>
      </c>
      <c r="BP77" s="815" cm="1">
        <f t="array" ref="BP77">(BA77+BC77)/BG77</f>
        <v>2.4569442343641</v>
      </c>
      <c r="BQ77" s="815" cm="1">
        <f t="array" ref="BQ77">Y77-BB77</f>
        <v>6.03296407520928</v>
      </c>
      <c r="BR77" s="815" cm="1">
        <f t="array" ref="BR77">(BR$4*(1+BR$4)^BR$3*K76)/((1+BR$4)^BR$3-1)</f>
        <v>6.6061942354729</v>
      </c>
      <c r="BS77" s="815"/>
      <c r="BT77" s="405"/>
      <c r="BU77" s="405"/>
      <c r="BV77" s="405" cm="1">
        <f t="array" ref="BV77">BA77+BC77+BV76</f>
        <v>109700585.695874</v>
      </c>
      <c r="BW77" s="405" cm="1">
        <f t="array" ref="BW77">BG77+BW76</f>
        <v>21774975.3041259</v>
      </c>
      <c r="BX77" s="801" cm="1">
        <f t="array" ref="BX77">BF77+BX76</f>
        <v>2690.0114</v>
      </c>
      <c r="BY77" s="801" cm="1">
        <f t="array" ref="BY77">BH77+BY76</f>
        <v>525.6926999999999</v>
      </c>
      <c r="BZ77" s="405" cm="1">
        <f t="array" ref="BZ77">SUM(BJ$6:BJ77)</f>
        <v>20355468.695874</v>
      </c>
      <c r="CA77" s="801"/>
      <c r="CB77" s="801"/>
      <c r="CC77" s="405" cm="1">
        <f t="array" ref="CC77">SUM(BE$6:BE77)</f>
        <v>109700585.695874</v>
      </c>
      <c r="CD77" s="801"/>
      <c r="CE77" s="801"/>
      <c r="CF77" s="801"/>
      <c r="CG77" s="801"/>
      <c r="CH77" s="801"/>
      <c r="CI77" s="801"/>
      <c r="CJ77" s="801"/>
      <c r="CK77" s="801"/>
      <c r="CL77" s="801"/>
      <c r="CM77" s="801"/>
    </row>
    <row r="78" ht="19.35" customHeight="1" hidden="1">
      <c r="A78" s="762">
        <v>72</v>
      </c>
      <c r="B78" s="790">
        <v>47525</v>
      </c>
      <c r="C78" s="405"/>
      <c r="D78" s="791" cm="1">
        <f t="array" ref="D78">ROUND(850000/F78,4)</f>
        <v>18.1778</v>
      </c>
      <c r="E78" s="792" cm="1">
        <f t="array" ref="E78">D78/K77</f>
        <v>0.0148329927642465</v>
      </c>
      <c r="F78" s="793" cm="1">
        <f t="array" ref="F78">F77*(1+G78)</f>
        <v>46760.2641956143</v>
      </c>
      <c r="G78" s="792" cm="1">
        <f t="array" ref="G78">H78-SUM(G67:G77)</f>
        <v>0.0003</v>
      </c>
      <c r="H78" s="794" cm="1">
        <f t="array" ref="H78">'depto - Table 5'!$J$2</f>
        <v>0.03</v>
      </c>
      <c r="I78" s="795" cm="1">
        <f t="array" ref="I78">H78+4.95/100</f>
        <v>0.0795</v>
      </c>
      <c r="J78" s="405" cm="1">
        <f t="array" ref="J78">IF(K77=0,0,ROUND(D78*F78,0))</f>
        <v>849999</v>
      </c>
      <c r="K78" s="796" cm="1">
        <f t="array" ref="K78">IF(K77-BF78&lt;0,0,K77-BF78)</f>
        <v>1213.3023</v>
      </c>
      <c r="L78" s="797" cm="1">
        <f t="array" ref="L78">K78/K$5</f>
        <v>0.307165139240506</v>
      </c>
      <c r="M78" s="798" cm="1">
        <f t="array" ref="M78">ROUND(K78*F78,0)</f>
        <v>56734336</v>
      </c>
      <c r="N78" s="799" cm="1">
        <f t="array" ref="N78">M78/M$5</f>
        <v>0.386915067387638</v>
      </c>
      <c r="O78" s="798" cm="1">
        <f t="array" ref="O78">M78-M77</f>
        <v>-553079</v>
      </c>
      <c r="P78" s="800" cm="1">
        <f t="array" ref="P78">T78-K78</f>
        <v>4186.6977</v>
      </c>
      <c r="Q78" s="798" cm="1">
        <f t="array" ref="Q78">ROUND(P78*F78,0)</f>
        <v>195771091</v>
      </c>
      <c r="R78" s="801" cm="1">
        <f t="array" ref="R78">$K$5-K78</f>
        <v>2736.6977</v>
      </c>
      <c r="S78" s="798" cm="1">
        <f t="array" ref="S78">Q78-Q77</f>
        <v>628808</v>
      </c>
      <c r="T78" s="801">
        <v>5400</v>
      </c>
      <c r="U78" s="798" cm="1">
        <f t="array" ref="U78">T78*F78</f>
        <v>252505426.656317</v>
      </c>
      <c r="V78" s="802" cm="1">
        <f t="array" ref="V78">-S78</f>
        <v>-628808</v>
      </c>
      <c r="W78" s="802"/>
      <c r="X78" s="802" cm="1">
        <f t="array" ref="X78">$K77*4.95/12/100/(1-(1+4.95/12/100)^-(360-$A78+3))+$AY78</f>
        <v>8.327715190118891</v>
      </c>
      <c r="Y78" s="803" cm="1">
        <f t="array" ref="Y78">K77*4.95/12/100/(1-(1+4.95/12/100)^-(360-$A78+3))+AY78</f>
        <v>8.327715190118891</v>
      </c>
      <c r="Z78" s="791" cm="1">
        <f t="array" ref="Z78">IF(Z$3*12&lt;=$A78,0,$K77*'depto - Departamento'!$D$8/12/(1-(1+'depto - Departamento'!$D$8/12)^-(12*Z$3-$A78+3))+$AY79)</f>
        <v>9.32500777133937</v>
      </c>
      <c r="AA78" s="791" cm="1">
        <f t="array" ref="AA78">IF(AA$3*12&lt;=$A78,0,$K77*'depto - Departamento'!$D$8/12/(1-(1+'depto - Departamento'!$D$8/12)^-(12*AA$3-$A78+3))+$AY79)</f>
        <v>11.0897539214978</v>
      </c>
      <c r="AB78" s="791" cm="1">
        <f t="array" ref="AB78">IF(AB$3*12&lt;$A78,0,$K77*'depto - Departamento'!$D$8/12/(1-(1+'depto - Departamento'!$D$8/12)^-(12*AB$3-$A78+3))+$AY78)</f>
        <v>14.8698374312242</v>
      </c>
      <c r="AC78" s="791" cm="1">
        <f t="array" ref="AC78">IF(AC$3*12&lt;$A78,0,$K77*'depto - Departamento'!$D$8/12/(1-(1+'depto - Departamento'!$D$8/12)^-(12*AC$3-$A78+3))+$AY78)</f>
        <v>20.1182411918571</v>
      </c>
      <c r="AD78" s="791" cm="1">
        <f t="array" ref="AD78">IF(AD$3*12&lt;$A78,0,$K77*'depto - Departamento'!$D$8/12/(1-(1+'depto - Departamento'!$D$8/12)^-(12*AD$3-$A78+3))+$AY78)</f>
        <v>27.7820094681145</v>
      </c>
      <c r="AE78" s="791" cm="1">
        <f t="array" ref="AE78">IF(AE$3*12&lt;$A78,0,$K77*'depto - Departamento'!$D$8/12/(1-(1+'depto - Departamento'!$D$8/12)^-(12*AE$3-$A78+3))+$AY78)</f>
        <v>0</v>
      </c>
      <c r="AF78" s="791" cm="1">
        <f t="array" ref="AF78">AF77-(AF76-AF77)</f>
        <v>79.63809999999999</v>
      </c>
      <c r="AG78" s="791"/>
      <c r="AH78" s="791"/>
      <c r="AI78" s="804" cm="1">
        <f t="array" ref="AI78">$F78*Y78</f>
        <v>389406.16243579</v>
      </c>
      <c r="AJ78" s="405" cm="1">
        <f t="array" ref="AJ78">$F78*Z78</f>
        <v>436039.827013985</v>
      </c>
      <c r="AK78" s="405" cm="1">
        <f t="array" ref="AK78">$F78*AA78</f>
        <v>518559.823233587</v>
      </c>
      <c r="AL78" s="405" cm="1">
        <f t="array" ref="AL78">$F78*AB78</f>
        <v>695317.526829878</v>
      </c>
      <c r="AM78" s="405" cm="1">
        <f t="array" ref="AM78">$F78*AC78</f>
        <v>940734.273282328</v>
      </c>
      <c r="AN78" s="405" cm="1">
        <f t="array" ref="AN78">$F78*AD78</f>
        <v>1299094.10261409</v>
      </c>
      <c r="AO78" s="405"/>
      <c r="AP78" s="405" cm="1">
        <f t="array" ref="AP78">$F78*AF78</f>
        <v>3723898.59603675</v>
      </c>
      <c r="AQ78" s="791"/>
      <c r="AR78" s="805" cm="1">
        <f t="array" ref="AR78">K77-K78</f>
        <v>12.1955</v>
      </c>
      <c r="AS78" s="805" cm="1">
        <f t="array" ref="AS78">D78-AR78</f>
        <v>5.9823</v>
      </c>
      <c r="AT78" s="791"/>
      <c r="AU78" s="806" cm="1">
        <f t="array" ref="AU78">ROUND(AV78*F78,0)</f>
        <v>48359</v>
      </c>
      <c r="AV78" s="807" cm="1">
        <f t="array" ref="AV78">IF(K77=0,0,AV77)</f>
        <v>1.0342</v>
      </c>
      <c r="AW78" s="806" cm="1">
        <f t="array" ref="AW78">ROUND(F78*AX78,0)</f>
        <v>2476</v>
      </c>
      <c r="AX78" s="807" cm="1">
        <f t="array" ref="AX78">AX$11/K$10*K77</f>
        <v>0.0529486470011456</v>
      </c>
      <c r="AY78" s="808" cm="1">
        <f t="array" ref="AY78">SUM(AV78,AX78)</f>
        <v>1.08714864700115</v>
      </c>
      <c r="AZ78" s="806" cm="1">
        <f t="array" ref="AZ78">AU78+AW78</f>
        <v>50835</v>
      </c>
      <c r="BA78" s="809" cm="1">
        <f t="array" ref="BA78">AI78-AZ78-BG78</f>
        <v>109671.325998119</v>
      </c>
      <c r="BB78" s="810" cm="1">
        <f t="array" ref="BB78">ROUND(BA78/$F78,4)</f>
        <v>2.3454</v>
      </c>
      <c r="BC78" s="809" cm="1">
        <f t="array" ref="BC78">J78-SUM(AZ78,BA78,BG78)</f>
        <v>460592.83756421</v>
      </c>
      <c r="BD78" s="810" cm="1">
        <f t="array" ref="BD78">ROUND(BC78/$F78,4)</f>
        <v>9.850099999999999</v>
      </c>
      <c r="BE78" s="811" cm="1">
        <f t="array" ref="BE78">BC78+BA78</f>
        <v>570264.163562329</v>
      </c>
      <c r="BF78" s="810" cm="1">
        <f t="array" ref="BF78">ROUND((BA78+BC78)/F78,4)</f>
        <v>12.1955</v>
      </c>
      <c r="BG78" s="812" cm="1">
        <f t="array" ref="BG78">BO78*F78</f>
        <v>228899.836437671</v>
      </c>
      <c r="BH78" s="813" cm="1">
        <f t="array" ref="BH78">ROUND(BG78/$F78,4)</f>
        <v>4.8952</v>
      </c>
      <c r="BI78" s="798" cm="1">
        <f t="array" ref="BI78">M77-M78</f>
        <v>553079</v>
      </c>
      <c r="BJ78" s="798" cm="1">
        <f t="array" ref="BJ78">BE78-BI78</f>
        <v>17185.163562329</v>
      </c>
      <c r="BK78" s="798" cm="1">
        <f t="array" ref="BK78">-BJ78</f>
        <v>-17185.163562329</v>
      </c>
      <c r="BL78" s="798" cm="1">
        <f t="array" ref="BL78">BG78+BJ78</f>
        <v>246085</v>
      </c>
      <c r="BM78" s="798" cm="1">
        <f t="array" ref="BM78">AVERAGE(BL76:BL78)</f>
        <v>-135129.666666666</v>
      </c>
      <c r="BN78" s="814" cm="1">
        <f t="array" ref="BN78">BH77-BH78</f>
        <v>0.0501</v>
      </c>
      <c r="BO78" s="801" cm="1">
        <f t="array" ref="BO78">K77*0.0495/12-0.16</f>
        <v>4.895178425</v>
      </c>
      <c r="BP78" s="815" cm="1">
        <f t="array" ref="BP78">(BA78+BC78)/BG78</f>
        <v>2.49132621690453</v>
      </c>
      <c r="BQ78" s="815" cm="1">
        <f t="array" ref="BQ78">Y78-BB78</f>
        <v>5.98231519011889</v>
      </c>
      <c r="BR78" s="815" cm="1">
        <f t="array" ref="BR78">(BR$4*(1+BR$4)^BR$3*K77)/((1+BR$4)^BR$3-1)</f>
        <v>6.54133957943678</v>
      </c>
      <c r="BS78" s="815"/>
      <c r="BT78" s="405"/>
      <c r="BU78" s="405"/>
      <c r="BV78" s="405" cm="1">
        <f t="array" ref="BV78">BA78+BC78+BV77</f>
        <v>110270849.859436</v>
      </c>
      <c r="BW78" s="405" cm="1">
        <f t="array" ref="BW78">BG78+BW77</f>
        <v>22003875.1405636</v>
      </c>
      <c r="BX78" s="801" cm="1">
        <f t="array" ref="BX78">BF78+BX77</f>
        <v>2702.2069</v>
      </c>
      <c r="BY78" s="801" cm="1">
        <f t="array" ref="BY78">BH78+BY77</f>
        <v>530.5879</v>
      </c>
      <c r="BZ78" s="405" cm="1">
        <f t="array" ref="BZ78">SUM(BJ$6:BJ78)</f>
        <v>20372653.8594363</v>
      </c>
      <c r="CA78" s="801"/>
      <c r="CB78" s="801"/>
      <c r="CC78" s="405" cm="1">
        <f t="array" ref="CC78">SUM(BE$6:BE78)</f>
        <v>110270849.859436</v>
      </c>
      <c r="CD78" s="801"/>
      <c r="CE78" s="801"/>
      <c r="CF78" s="801"/>
      <c r="CG78" s="801"/>
      <c r="CH78" s="801"/>
      <c r="CI78" s="801"/>
      <c r="CJ78" s="801"/>
      <c r="CK78" s="801"/>
      <c r="CL78" s="801"/>
      <c r="CM78" s="801"/>
    </row>
    <row r="79" ht="19.35" customHeight="1" hidden="1">
      <c r="A79" s="762">
        <v>73</v>
      </c>
      <c r="B79" s="790">
        <v>47553</v>
      </c>
      <c r="C79" s="405"/>
      <c r="D79" s="791" cm="1">
        <f t="array" ref="D79">ROUND(850000/F79,4)</f>
        <v>18.1108</v>
      </c>
      <c r="E79" s="792" cm="1">
        <f t="array" ref="E79">D79/K78</f>
        <v>0.0149268652997691</v>
      </c>
      <c r="F79" s="793" cm="1">
        <f t="array" ref="F79">F78*(1+G79)</f>
        <v>46933.2771731381</v>
      </c>
      <c r="G79" s="792" cm="1">
        <f t="array" ref="G79">H79-SUM(G68:G78)</f>
        <v>0.0037</v>
      </c>
      <c r="H79" s="794" cm="1">
        <f t="array" ref="H79">'depto - Table 5'!$J$2</f>
        <v>0.03</v>
      </c>
      <c r="I79" s="795" cm="1">
        <f t="array" ref="I79">H79+4.95/100</f>
        <v>0.0795</v>
      </c>
      <c r="J79" s="405" cm="1">
        <f t="array" ref="J79">IF(K78=0,0,ROUND(D79*F79,0))</f>
        <v>849999</v>
      </c>
      <c r="K79" s="796" cm="1">
        <f t="array" ref="K79">IF(K78-BF79&lt;0,0,K78-BF79)</f>
        <v>1201.123</v>
      </c>
      <c r="L79" s="797" cm="1">
        <f t="array" ref="L79">K79/K$5</f>
        <v>0.304081772151899</v>
      </c>
      <c r="M79" s="798" cm="1">
        <f t="array" ref="M79">ROUND(K79*F79,0)</f>
        <v>56372639</v>
      </c>
      <c r="N79" s="799" cm="1">
        <f t="array" ref="N79">M79/M$5</f>
        <v>0.384448377390087</v>
      </c>
      <c r="O79" s="798" cm="1">
        <f t="array" ref="O79">M79-M78</f>
        <v>-361697</v>
      </c>
      <c r="P79" s="800" cm="1">
        <f t="array" ref="P79">T79-K79</f>
        <v>4198.877</v>
      </c>
      <c r="Q79" s="798" cm="1">
        <f t="array" ref="Q79">ROUND(P79*F79,0)</f>
        <v>197067058</v>
      </c>
      <c r="R79" s="801" cm="1">
        <f t="array" ref="R79">$K$5-K79</f>
        <v>2748.877</v>
      </c>
      <c r="S79" s="798" cm="1">
        <f t="array" ref="S79">Q79-Q78</f>
        <v>1295967</v>
      </c>
      <c r="T79" s="801">
        <v>5400</v>
      </c>
      <c r="U79" s="798" cm="1">
        <f t="array" ref="U79">T79*F79</f>
        <v>253439696.734946</v>
      </c>
      <c r="V79" s="802" cm="1">
        <f t="array" ref="V79">-S79</f>
        <v>-1295967</v>
      </c>
      <c r="W79" s="802"/>
      <c r="X79" s="802" cm="1">
        <f t="array" ref="X79">$K78*4.95/12/100/(1-(1+4.95/12/100)^-(360-$A79+3))+$AY79</f>
        <v>8.267940218344179</v>
      </c>
      <c r="Y79" s="803" cm="1">
        <f t="array" ref="Y79">K78*4.95/12/100/(1-(1+4.95/12/100)^-(360-$A79+3))+AY79</f>
        <v>8.267940218344179</v>
      </c>
      <c r="Z79" s="791" cm="1">
        <f t="array" ref="Z79">IF(Z$3*12&lt;=$A79,0,$K78*'depto - Departamento'!$D$8/12/(1-(1+'depto - Departamento'!$D$8/12)^-(12*Z$3-$A79+3))+$AY80)</f>
        <v>9.26373880945372</v>
      </c>
      <c r="AA79" s="791" cm="1">
        <f t="array" ref="AA79">IF(AA$3*12&lt;=$A79,0,$K78*'depto - Departamento'!$D$8/12/(1-(1+'depto - Departamento'!$D$8/12)^-(12*AA$3-$A79+3))+$AY80)</f>
        <v>11.0298297512359</v>
      </c>
      <c r="AB79" s="791" cm="1">
        <f t="array" ref="AB79">IF(AB$3*12&lt;$A79,0,$K78*'depto - Departamento'!$D$8/12/(1-(1+'depto - Departamento'!$D$8/12)^-(12*AB$3-$A79+3))+$AY79)</f>
        <v>14.830027650453</v>
      </c>
      <c r="AC79" s="791" cm="1">
        <f t="array" ref="AC79">IF(AC$3*12&lt;$A79,0,$K78*'depto - Departamento'!$D$8/12/(1-(1+'depto - Departamento'!$D$8/12)^-(12*AC$3-$A79+3))+$AY79)</f>
        <v>20.1456817648985</v>
      </c>
      <c r="AD79" s="791" cm="1">
        <f t="array" ref="AD79">IF(AD$3*12&lt;$A79,0,$K78*'depto - Departamento'!$D$8/12/(1-(1+'depto - Departamento'!$D$8/12)^-(12*AD$3-$A79+3))+$AY79)</f>
        <v>27.9909018600344</v>
      </c>
      <c r="AE79" s="791" cm="1">
        <f t="array" ref="AE79">IF(AE$3*12&lt;$A79,0,$K78*'depto - Departamento'!$D$8/12/(1-(1+'depto - Departamento'!$D$8/12)^-(12*AE$3-$A79+3))+$AY79)</f>
        <v>0</v>
      </c>
      <c r="AF79" s="791" cm="1">
        <f t="array" ref="AF79">AF78-(AF77-AF78)</f>
        <v>79.6353</v>
      </c>
      <c r="AG79" s="791"/>
      <c r="AH79" s="791"/>
      <c r="AI79" s="804" cm="1">
        <f t="array" ref="AI79">$F79*Y79</f>
        <v>388041.529918483</v>
      </c>
      <c r="AJ79" s="405" cm="1">
        <f t="array" ref="AJ79">$F79*Z79</f>
        <v>434777.621203648</v>
      </c>
      <c r="AK79" s="405" cm="1">
        <f t="array" ref="AK79">$F79*AA79</f>
        <v>517666.056887279</v>
      </c>
      <c r="AL79" s="405" cm="1">
        <f t="array" ref="AL79">$F79*AB79</f>
        <v>696021.798204013</v>
      </c>
      <c r="AM79" s="405" cm="1">
        <f t="array" ref="AM79">$F79*AC79</f>
        <v>945502.866113815</v>
      </c>
      <c r="AN79" s="405" cm="1">
        <f t="array" ref="AN79">$F79*AD79</f>
        <v>1313704.7553231</v>
      </c>
      <c r="AO79" s="405"/>
      <c r="AP79" s="405" cm="1">
        <f t="array" ref="AP79">$F79*AF79</f>
        <v>3737545.607666</v>
      </c>
      <c r="AQ79" s="791"/>
      <c r="AR79" s="805" cm="1">
        <f t="array" ref="AR79">K78-K79</f>
        <v>12.1793</v>
      </c>
      <c r="AS79" s="805" cm="1">
        <f t="array" ref="AS79">D79-AR79</f>
        <v>5.9315</v>
      </c>
      <c r="AT79" s="791"/>
      <c r="AU79" s="806" cm="1">
        <f t="array" ref="AU79">ROUND(AV79*F79,0)</f>
        <v>48538</v>
      </c>
      <c r="AV79" s="807" cm="1">
        <f t="array" ref="AV79">IF(K78=0,0,AV78)</f>
        <v>1.0342</v>
      </c>
      <c r="AW79" s="806" cm="1">
        <f t="array" ref="AW79">ROUND(F79*AX79,0)</f>
        <v>2460</v>
      </c>
      <c r="AX79" s="807" cm="1">
        <f t="array" ref="AX79">AX$11/K$10*K78</f>
        <v>0.0524217303273641</v>
      </c>
      <c r="AY79" s="808" cm="1">
        <f t="array" ref="AY79">SUM(AV79,AX79)</f>
        <v>1.08662173032736</v>
      </c>
      <c r="AZ79" s="806" cm="1">
        <f t="array" ref="AZ79">AU79+AW79</f>
        <v>50998</v>
      </c>
      <c r="BA79" s="809" cm="1">
        <f t="array" ref="BA79">AI79-AZ79-BG79</f>
        <v>109657.810060773</v>
      </c>
      <c r="BB79" s="810" cm="1">
        <f t="array" ref="BB79">ROUND(BA79/$F79,4)</f>
        <v>2.3365</v>
      </c>
      <c r="BC79" s="809" cm="1">
        <f t="array" ref="BC79">J79-SUM(AZ79,BA79,BG79)</f>
        <v>461957.470081517</v>
      </c>
      <c r="BD79" s="810" cm="1">
        <f t="array" ref="BD79">ROUND(BC79/$F79,4)</f>
        <v>9.8429</v>
      </c>
      <c r="BE79" s="811" cm="1">
        <f t="array" ref="BE79">BC79+BA79</f>
        <v>571615.2801422901</v>
      </c>
      <c r="BF79" s="810" cm="1">
        <f t="array" ref="BF79">ROUND((BA79+BC79)/F79,4)</f>
        <v>12.1793</v>
      </c>
      <c r="BG79" s="812" cm="1">
        <f t="array" ref="BG79">BO79*F79</f>
        <v>227385.71985771</v>
      </c>
      <c r="BH79" s="813" cm="1">
        <f t="array" ref="BH79">ROUND(BG79/$F79,4)</f>
        <v>4.8449</v>
      </c>
      <c r="BI79" s="798" cm="1">
        <f t="array" ref="BI79">M78-M79</f>
        <v>361697</v>
      </c>
      <c r="BJ79" s="798" cm="1">
        <f t="array" ref="BJ79">BE79-BI79</f>
        <v>209918.28014229</v>
      </c>
      <c r="BK79" s="798" cm="1">
        <f t="array" ref="BK79">-BJ79</f>
        <v>-209918.28014229</v>
      </c>
      <c r="BL79" s="798" cm="1">
        <f t="array" ref="BL79">BG79+BJ79</f>
        <v>437304</v>
      </c>
      <c r="BM79" s="798" cm="1">
        <f t="array" ref="BM79">AVERAGE(BL77:BL79)</f>
        <v>-72667.999999999</v>
      </c>
      <c r="BN79" s="814" cm="1">
        <f t="array" ref="BN79">BH78-BH79</f>
        <v>0.0503</v>
      </c>
      <c r="BO79" s="801" cm="1">
        <f t="array" ref="BO79">K78*0.0495/12-0.16</f>
        <v>4.8448719875</v>
      </c>
      <c r="BP79" s="815" cm="1">
        <f t="array" ref="BP79">(BA79+BC79)/BG79</f>
        <v>2.5138574247318</v>
      </c>
      <c r="BQ79" s="815" cm="1">
        <f t="array" ref="BQ79">Y79-BB79</f>
        <v>5.93144021834418</v>
      </c>
      <c r="BR79" s="815" cm="1">
        <f t="array" ref="BR79">(BR$4*(1+BR$4)^BR$3*K78)/((1+BR$4)^BR$3-1)</f>
        <v>6.47624365936167</v>
      </c>
      <c r="BS79" s="815"/>
      <c r="BT79" s="405"/>
      <c r="BU79" s="405"/>
      <c r="BV79" s="405" cm="1">
        <f t="array" ref="BV79">BA79+BC79+BV78</f>
        <v>110842465.139578</v>
      </c>
      <c r="BW79" s="405" cm="1">
        <f t="array" ref="BW79">BG79+BW78</f>
        <v>22231260.8604213</v>
      </c>
      <c r="BX79" s="801" cm="1">
        <f t="array" ref="BX79">BF79+BX78</f>
        <v>2714.3862</v>
      </c>
      <c r="BY79" s="801" cm="1">
        <f t="array" ref="BY79">BH79+BY78</f>
        <v>535.4328</v>
      </c>
      <c r="BZ79" s="405" cm="1">
        <f t="array" ref="BZ79">SUM(BJ$6:BJ79)</f>
        <v>20582572.1395786</v>
      </c>
      <c r="CA79" s="801"/>
      <c r="CB79" s="801"/>
      <c r="CC79" s="405" cm="1">
        <f t="array" ref="CC79">SUM(BE$6:BE79)</f>
        <v>110842465.139579</v>
      </c>
      <c r="CD79" s="801"/>
      <c r="CE79" s="801"/>
      <c r="CF79" s="801"/>
      <c r="CG79" s="801"/>
      <c r="CH79" s="801"/>
      <c r="CI79" s="801"/>
      <c r="CJ79" s="801"/>
      <c r="CK79" s="801"/>
      <c r="CL79" s="801"/>
      <c r="CM79" s="801"/>
    </row>
    <row r="80" ht="19.35" customHeight="1" hidden="1">
      <c r="A80" s="762">
        <v>74</v>
      </c>
      <c r="B80" s="790">
        <v>47584</v>
      </c>
      <c r="C80" s="405"/>
      <c r="D80" s="791" cm="1">
        <f t="array" ref="D80">ROUND(850000/F80,4)</f>
        <v>18.0981</v>
      </c>
      <c r="E80" s="792" cm="1">
        <f t="array" ref="E80">D80/K79</f>
        <v>0.0150676491916315</v>
      </c>
      <c r="F80" s="793" cm="1">
        <f t="array" ref="F80">F79*(1+G80)</f>
        <v>46966.1304671593</v>
      </c>
      <c r="G80" s="792" cm="1">
        <f t="array" ref="G80">H80-SUM(G69:G79)</f>
        <v>0.0007</v>
      </c>
      <c r="H80" s="794" cm="1">
        <f t="array" ref="H80">'depto - Table 5'!$J$2</f>
        <v>0.03</v>
      </c>
      <c r="I80" s="795" cm="1">
        <f t="array" ref="I80">H80+4.95/100</f>
        <v>0.0795</v>
      </c>
      <c r="J80" s="405" cm="1">
        <f t="array" ref="J80">IF(K79=0,0,ROUND(D80*F80,0))</f>
        <v>849998</v>
      </c>
      <c r="K80" s="796" cm="1">
        <f t="array" ref="K80">IF(K79-BF80&lt;0,0,K79-BF80)</f>
        <v>1188.9056</v>
      </c>
      <c r="L80" s="797" cm="1">
        <f t="array" ref="L80">K80/K$5</f>
        <v>0.300988759493671</v>
      </c>
      <c r="M80" s="798" cm="1">
        <f t="array" ref="M80">ROUND(K80*F80,0)</f>
        <v>55838296</v>
      </c>
      <c r="N80" s="799" cm="1">
        <f t="array" ref="N80">M80/M$5</f>
        <v>0.380804281549199</v>
      </c>
      <c r="O80" s="798" cm="1">
        <f t="array" ref="O80">M80-M79</f>
        <v>-534343</v>
      </c>
      <c r="P80" s="800" cm="1">
        <f t="array" ref="P80">T80-K80</f>
        <v>4211.0944</v>
      </c>
      <c r="Q80" s="798" cm="1">
        <f t="array" ref="Q80">ROUND(P80*F80,0)</f>
        <v>197778809</v>
      </c>
      <c r="R80" s="801" cm="1">
        <f t="array" ref="R80">$K$5-K80</f>
        <v>2761.0944</v>
      </c>
      <c r="S80" s="798" cm="1">
        <f t="array" ref="S80">Q80-Q79</f>
        <v>711751</v>
      </c>
      <c r="T80" s="801">
        <v>5400</v>
      </c>
      <c r="U80" s="798" cm="1">
        <f t="array" ref="U80">T80*F80</f>
        <v>253617104.52266</v>
      </c>
      <c r="V80" s="802" cm="1">
        <f t="array" ref="V80">-S80</f>
        <v>-711751</v>
      </c>
      <c r="W80" s="802"/>
      <c r="X80" s="802" cm="1">
        <f t="array" ref="X80">$K79*4.95/12/100/(1-(1+4.95/12/100)^-(360-$A80+3))+$AY80</f>
        <v>8.208102513404629</v>
      </c>
      <c r="Y80" s="803" cm="1">
        <f t="array" ref="Y80">K79*4.95/12/100/(1-(1+4.95/12/100)^-(360-$A80+3))+AY80</f>
        <v>8.208102513404629</v>
      </c>
      <c r="Z80" s="791" cm="1">
        <f t="array" ref="Z80">IF(Z$3*12&lt;=$A80,0,$K79*'depto - Departamento'!$D$8/12/(1-(1+'depto - Departamento'!$D$8/12)^-(12*Z$3-$A80+3))+$AY81)</f>
        <v>9.202347892471151</v>
      </c>
      <c r="AA80" s="791" cm="1">
        <f t="array" ref="AA80">IF(AA$3*12&lt;=$A80,0,$K79*'depto - Departamento'!$D$8/12/(1-(1+'depto - Departamento'!$D$8/12)^-(12*AA$3-$A80+3))+$AY81)</f>
        <v>10.9697196579596</v>
      </c>
      <c r="AB80" s="791" cm="1">
        <f t="array" ref="AB80">IF(AB$3*12&lt;$A80,0,$K79*'depto - Departamento'!$D$8/12/(1-(1+'depto - Departamento'!$D$8/12)^-(12*AB$3-$A80+3))+$AY80)</f>
        <v>14.7902441971337</v>
      </c>
      <c r="AC80" s="791" cm="1">
        <f t="array" ref="AC80">IF(AC$3*12&lt;$A80,0,$K79*'depto - Departamento'!$D$8/12/(1-(1+'depto - Departamento'!$D$8/12)^-(12*AC$3-$A80+3))+$AY80)</f>
        <v>20.1749522211671</v>
      </c>
      <c r="AD80" s="791" cm="1">
        <f t="array" ref="AD80">IF(AD$3*12&lt;$A80,0,$K79*'depto - Departamento'!$D$8/12/(1-(1+'depto - Departamento'!$D$8/12)^-(12*AD$3-$A80+3))+$AY80)</f>
        <v>28.2098752887434</v>
      </c>
      <c r="AE80" s="791" cm="1">
        <f t="array" ref="AE80">IF(AE$3*12&lt;$A80,0,$K79*'depto - Departamento'!$D$8/12/(1-(1+'depto - Departamento'!$D$8/12)^-(12*AE$3-$A80+3))+$AY80)</f>
        <v>0</v>
      </c>
      <c r="AF80" s="791" cm="1">
        <f t="array" ref="AF80">AF79-(AF78-AF79)</f>
        <v>79.63249999999999</v>
      </c>
      <c r="AG80" s="791"/>
      <c r="AH80" s="791"/>
      <c r="AI80" s="804" cm="1">
        <f t="array" ref="AI80">$F80*Y80</f>
        <v>385502.81353238</v>
      </c>
      <c r="AJ80" s="405" cm="1">
        <f t="array" ref="AJ80">$F80*Z80</f>
        <v>432198.671721988</v>
      </c>
      <c r="AK80" s="405" cm="1">
        <f t="array" ref="AK80">$F80*AA80</f>
        <v>515205.284643893</v>
      </c>
      <c r="AL80" s="405" cm="1">
        <f t="array" ref="AL80">$F80*AB80</f>
        <v>694640.538603727</v>
      </c>
      <c r="AM80" s="405" cm="1">
        <f t="array" ref="AM80">$F80*AC80</f>
        <v>947539.438188039</v>
      </c>
      <c r="AN80" s="405" cm="1">
        <f t="array" ref="AN80">$F80*AD80</f>
        <v>1324908.68327342</v>
      </c>
      <c r="AO80" s="405"/>
      <c r="AP80" s="405" cm="1">
        <f t="array" ref="AP80">$F80*AF80</f>
        <v>3740030.38442606</v>
      </c>
      <c r="AQ80" s="791"/>
      <c r="AR80" s="805" cm="1">
        <f t="array" ref="AR80">K79-K80</f>
        <v>12.2174</v>
      </c>
      <c r="AS80" s="805" cm="1">
        <f t="array" ref="AS80">D80-AR80</f>
        <v>5.8807</v>
      </c>
      <c r="AT80" s="791"/>
      <c r="AU80" s="806" cm="1">
        <f t="array" ref="AU80">ROUND(AV80*F80,0)</f>
        <v>48572</v>
      </c>
      <c r="AV80" s="807" cm="1">
        <f t="array" ref="AV80">IF(K79=0,0,AV79)</f>
        <v>1.0342</v>
      </c>
      <c r="AW80" s="806" cm="1">
        <f t="array" ref="AW80">ROUND(F80*AX80,0)</f>
        <v>2437</v>
      </c>
      <c r="AX80" s="807" cm="1">
        <f t="array" ref="AX80">AX$11/K$10*K79</f>
        <v>0.0518955135879942</v>
      </c>
      <c r="AY80" s="808" cm="1">
        <f t="array" ref="AY80">SUM(AV80,AX80)</f>
        <v>1.08609551358799</v>
      </c>
      <c r="AZ80" s="806" cm="1">
        <f t="array" ref="AZ80">AU80+AW80</f>
        <v>51009</v>
      </c>
      <c r="BA80" s="809" cm="1">
        <f t="array" ref="BA80">AI80-AZ80-BG80</f>
        <v>109308.483866064</v>
      </c>
      <c r="BB80" s="810" cm="1">
        <f t="array" ref="BB80">ROUND(BA80/$F80,4)</f>
        <v>2.3274</v>
      </c>
      <c r="BC80" s="809" cm="1">
        <f t="array" ref="BC80">J80-SUM(AZ80,BA80,BG80)</f>
        <v>464495.18646762</v>
      </c>
      <c r="BD80" s="810" cm="1">
        <f t="array" ref="BD80">ROUND(BC80/$F80,4)</f>
        <v>9.890000000000001</v>
      </c>
      <c r="BE80" s="811" cm="1">
        <f t="array" ref="BE80">BC80+BA80</f>
        <v>573803.670333684</v>
      </c>
      <c r="BF80" s="810" cm="1">
        <f t="array" ref="BF80">ROUND((BA80+BC80)/F80,4)</f>
        <v>12.2174</v>
      </c>
      <c r="BG80" s="812" cm="1">
        <f t="array" ref="BG80">BO80*F80</f>
        <v>225185.329666316</v>
      </c>
      <c r="BH80" s="813" cm="1">
        <f t="array" ref="BH80">ROUND(BG80/$F80,4)</f>
        <v>4.7946</v>
      </c>
      <c r="BI80" s="798" cm="1">
        <f t="array" ref="BI80">M79-M80</f>
        <v>534343</v>
      </c>
      <c r="BJ80" s="798" cm="1">
        <f t="array" ref="BJ80">BE80-BI80</f>
        <v>39460.670333684</v>
      </c>
      <c r="BK80" s="798" cm="1">
        <f t="array" ref="BK80">-BJ80</f>
        <v>-39460.670333684</v>
      </c>
      <c r="BL80" s="798" cm="1">
        <f t="array" ref="BL80">BG80+BJ80</f>
        <v>264646</v>
      </c>
      <c r="BM80" s="798" cm="1">
        <f t="array" ref="BM80">AVERAGE(BL78:BL80)</f>
        <v>316011.666666667</v>
      </c>
      <c r="BN80" s="814" cm="1">
        <f t="array" ref="BN80">BH79-BH80</f>
        <v>0.0503</v>
      </c>
      <c r="BO80" s="801" cm="1">
        <f t="array" ref="BO80">K79*0.0495/12-0.16</f>
        <v>4.794632375</v>
      </c>
      <c r="BP80" s="815" cm="1">
        <f t="array" ref="BP80">(BA80+BC80)/BG80</f>
        <v>2.54813966426657</v>
      </c>
      <c r="BQ80" s="815" cm="1">
        <f t="array" ref="BQ80">Y80-BB80</f>
        <v>5.88070251340463</v>
      </c>
      <c r="BR80" s="815" cm="1">
        <f t="array" ref="BR80">(BR$4*(1+BR$4)^BR$3*K79)/((1+BR$4)^BR$3-1)</f>
        <v>6.41123421002619</v>
      </c>
      <c r="BS80" s="815"/>
      <c r="BT80" s="405"/>
      <c r="BU80" s="405"/>
      <c r="BV80" s="405" cm="1">
        <f t="array" ref="BV80">BA80+BC80+BV79</f>
        <v>111416268.809912</v>
      </c>
      <c r="BW80" s="405" cm="1">
        <f t="array" ref="BW80">BG80+BW79</f>
        <v>22456446.1900876</v>
      </c>
      <c r="BX80" s="801" cm="1">
        <f t="array" ref="BX80">BF80+BX79</f>
        <v>2726.6036</v>
      </c>
      <c r="BY80" s="801" cm="1">
        <f t="array" ref="BY80">BH80+BY79</f>
        <v>540.2274</v>
      </c>
      <c r="BZ80" s="405" cm="1">
        <f t="array" ref="BZ80">SUM(BJ$6:BJ80)</f>
        <v>20622032.8099123</v>
      </c>
      <c r="CA80" s="801"/>
      <c r="CB80" s="801"/>
      <c r="CC80" s="405" cm="1">
        <f t="array" ref="CC80">SUM(BE$6:BE80)</f>
        <v>111416268.809912</v>
      </c>
      <c r="CD80" s="801"/>
      <c r="CE80" s="801"/>
      <c r="CF80" s="801"/>
      <c r="CG80" s="801"/>
      <c r="CH80" s="801"/>
      <c r="CI80" s="801"/>
      <c r="CJ80" s="801"/>
      <c r="CK80" s="801"/>
      <c r="CL80" s="801"/>
      <c r="CM80" s="801"/>
    </row>
    <row r="81" ht="19.35" customHeight="1" hidden="1">
      <c r="A81" s="762">
        <v>75</v>
      </c>
      <c r="B81" s="790">
        <v>47614</v>
      </c>
      <c r="C81" s="405"/>
      <c r="D81" s="791" cm="1">
        <f t="array" ref="D81">ROUND(850000/F81,4)</f>
        <v>17.9154</v>
      </c>
      <c r="E81" s="792" cm="1">
        <f t="array" ref="E81">D81/K80</f>
        <v>0.0150688162289756</v>
      </c>
      <c r="F81" s="793" cm="1">
        <f t="array" ref="F81">F80*(1+G81)</f>
        <v>47445.1849979243</v>
      </c>
      <c r="G81" s="792" cm="1">
        <f t="array" ref="G81">H81-SUM(G70:G80)</f>
        <v>0.0102</v>
      </c>
      <c r="H81" s="794" cm="1">
        <f t="array" ref="H81">'depto - Table 5'!$J$2</f>
        <v>0.03</v>
      </c>
      <c r="I81" s="795" cm="1">
        <f t="array" ref="I81">H81+4.95/100</f>
        <v>0.0795</v>
      </c>
      <c r="J81" s="405" cm="1">
        <f t="array" ref="J81">IF(K80=0,0,ROUND(D81*F81,0))</f>
        <v>849999</v>
      </c>
      <c r="K81" s="796" cm="1">
        <f t="array" ref="K81">IF(K80-BF81&lt;0,0,K80-BF81)</f>
        <v>1176.82</v>
      </c>
      <c r="L81" s="797" cm="1">
        <f t="array" ref="L81">K81/K$5</f>
        <v>0.297929113924051</v>
      </c>
      <c r="M81" s="798" cm="1">
        <f t="array" ref="M81">ROUND(K81*F81,0)</f>
        <v>55834443</v>
      </c>
      <c r="N81" s="799" cm="1">
        <f t="array" ref="N81">M81/M$5</f>
        <v>0.380778004979141</v>
      </c>
      <c r="O81" s="798" cm="1">
        <f t="array" ref="O81">M81-M80</f>
        <v>-3853</v>
      </c>
      <c r="P81" s="800" cm="1">
        <f t="array" ref="P81">T81-K81</f>
        <v>4223.18</v>
      </c>
      <c r="Q81" s="798" cm="1">
        <f t="array" ref="Q81">ROUND(P81*F81,0)</f>
        <v>200369556</v>
      </c>
      <c r="R81" s="801" cm="1">
        <f t="array" ref="R81">$K$5-K81</f>
        <v>2773.18</v>
      </c>
      <c r="S81" s="798" cm="1">
        <f t="array" ref="S81">Q81-Q80</f>
        <v>2590747</v>
      </c>
      <c r="T81" s="801">
        <v>5400</v>
      </c>
      <c r="U81" s="798" cm="1">
        <f t="array" ref="U81">T81*F81</f>
        <v>256203998.988791</v>
      </c>
      <c r="V81" s="802" cm="1">
        <f t="array" ref="V81">-S81</f>
        <v>-2590747</v>
      </c>
      <c r="W81" s="802"/>
      <c r="X81" s="802" cm="1">
        <f t="array" ref="X81">$K80*4.95/12/100/(1-(1+4.95/12/100)^-(360-$A81+3))+$AY81</f>
        <v>8.147875734603801</v>
      </c>
      <c r="Y81" s="803" cm="1">
        <f t="array" ref="Y81">K80*4.95/12/100/(1-(1+4.95/12/100)^-(360-$A81+3))+AY81</f>
        <v>8.147875734603801</v>
      </c>
      <c r="Z81" s="791" cm="1">
        <f t="array" ref="Z81">IF(Z$3*12&lt;=$A81,0,$K80*'depto - Departamento'!$D$8/12/(1-(1+'depto - Departamento'!$D$8/12)^-(12*Z$3-$A81+3))+$AY82)</f>
        <v>9.140471889834901</v>
      </c>
      <c r="AA81" s="791" cm="1">
        <f t="array" ref="AA81">IF(AA$3*12&lt;=$A81,0,$K80*'depto - Departamento'!$D$8/12/(1-(1+'depto - Departamento'!$D$8/12)^-(12*AA$3-$A81+3))+$AY82)</f>
        <v>10.9089777019651</v>
      </c>
      <c r="AB81" s="791" cm="1">
        <f t="array" ref="AB81">IF(AB$3*12&lt;$A81,0,$K80*'depto - Departamento'!$D$8/12/(1-(1+'depto - Departamento'!$D$8/12)^-(12*AB$3-$A81+3))+$AY81)</f>
        <v>14.7498593646241</v>
      </c>
      <c r="AC81" s="791" cm="1">
        <f t="array" ref="AC81">IF(AC$3*12&lt;$A81,0,$K80*'depto - Departamento'!$D$8/12/(1-(1+'depto - Departamento'!$D$8/12)^-(12*AC$3-$A81+3))+$AY81)</f>
        <v>20.2052502479388</v>
      </c>
      <c r="AD81" s="791" cm="1">
        <f t="array" ref="AD81">IF(AD$3*12&lt;$A81,0,$K80*'depto - Departamento'!$D$8/12/(1-(1+'depto - Departamento'!$D$8/12)^-(12*AD$3-$A81+3))+$AY81)</f>
        <v>28.4383038046588</v>
      </c>
      <c r="AE81" s="791" cm="1">
        <f t="array" ref="AE81">IF(AE$3*12&lt;$A81,0,$K80*'depto - Departamento'!$D$8/12/(1-(1+'depto - Departamento'!$D$8/12)^-(12*AE$3-$A81+3))+$AY81)</f>
        <v>0</v>
      </c>
      <c r="AF81" s="791" cm="1">
        <f t="array" ref="AF81">AF80-(AF79-AF80)</f>
        <v>79.6297</v>
      </c>
      <c r="AG81" s="791"/>
      <c r="AH81" s="791"/>
      <c r="AI81" s="804" cm="1">
        <f t="array" ref="AI81">$F81*Y81</f>
        <v>386577.471568376</v>
      </c>
      <c r="AJ81" s="405" cm="1">
        <f t="array" ref="AJ81">$F81*Z81</f>
        <v>433671.379781544</v>
      </c>
      <c r="AK81" s="405" cm="1">
        <f t="array" ref="AK81">$F81*AA81</f>
        <v>517578.465207965</v>
      </c>
      <c r="AL81" s="405" cm="1">
        <f t="array" ref="AL81">$F81*AB81</f>
        <v>699809.8062479571</v>
      </c>
      <c r="AM81" s="405" cm="1">
        <f t="array" ref="AM81">$F81*AC81</f>
        <v>958641.835942812</v>
      </c>
      <c r="AN81" s="405" cm="1">
        <f t="array" ref="AN81">$F81*AD81</f>
        <v>1349260.58503921</v>
      </c>
      <c r="AO81" s="405"/>
      <c r="AP81" s="405" cm="1">
        <f t="array" ref="AP81">$F81*AF81</f>
        <v>3778045.84782921</v>
      </c>
      <c r="AQ81" s="791"/>
      <c r="AR81" s="805" cm="1">
        <f t="array" ref="AR81">K80-K81</f>
        <v>12.0856</v>
      </c>
      <c r="AS81" s="805" cm="1">
        <f t="array" ref="AS81">D81-AR81</f>
        <v>5.8298</v>
      </c>
      <c r="AT81" s="791"/>
      <c r="AU81" s="806" cm="1">
        <f t="array" ref="AU81">ROUND(AV81*F81,0)</f>
        <v>49068</v>
      </c>
      <c r="AV81" s="807" cm="1">
        <f t="array" ref="AV81">IF(K80=0,0,AV80)</f>
        <v>1.0342</v>
      </c>
      <c r="AW81" s="806" cm="1">
        <f t="array" ref="AW81">ROUND(F81*AX81,0)</f>
        <v>2437</v>
      </c>
      <c r="AX81" s="807" cm="1">
        <f t="array" ref="AX81">AX$11/K$10*K80</f>
        <v>0.0513676507065824</v>
      </c>
      <c r="AY81" s="808" cm="1">
        <f t="array" ref="AY81">SUM(AV81,AX81)</f>
        <v>1.08556765070658</v>
      </c>
      <c r="AZ81" s="806" cm="1">
        <f t="array" ref="AZ81">AU81+AW81</f>
        <v>51505</v>
      </c>
      <c r="BA81" s="809" cm="1">
        <f t="array" ref="BA81">AI81-AZ81-BG81</f>
        <v>109981.335852638</v>
      </c>
      <c r="BB81" s="810" cm="1">
        <f t="array" ref="BB81">ROUND(BA81/$F81,4)</f>
        <v>2.3181</v>
      </c>
      <c r="BC81" s="809" cm="1">
        <f t="array" ref="BC81">J81-SUM(AZ81,BA81,BG81)</f>
        <v>463421.528431624</v>
      </c>
      <c r="BD81" s="810" cm="1">
        <f t="array" ref="BD81">ROUND(BC81/$F81,4)</f>
        <v>9.7675</v>
      </c>
      <c r="BE81" s="811" cm="1">
        <f t="array" ref="BE81">BC81+BA81</f>
        <v>573402.8642842619</v>
      </c>
      <c r="BF81" s="810" cm="1">
        <f t="array" ref="BF81">ROUND((BA81+BC81)/F81,4)</f>
        <v>12.0856</v>
      </c>
      <c r="BG81" s="812" cm="1">
        <f t="array" ref="BG81">BO81*F81</f>
        <v>225091.135715738</v>
      </c>
      <c r="BH81" s="813" cm="1">
        <f t="array" ref="BH81">ROUND(BG81/$F81,4)</f>
        <v>4.7442</v>
      </c>
      <c r="BI81" s="798" cm="1">
        <f t="array" ref="BI81">M80-M81</f>
        <v>3853</v>
      </c>
      <c r="BJ81" s="798" cm="1">
        <f t="array" ref="BJ81">BE81-BI81</f>
        <v>569549.8642842619</v>
      </c>
      <c r="BK81" s="798" cm="1">
        <f t="array" ref="BK81">-BJ81</f>
        <v>-569549.8642842619</v>
      </c>
      <c r="BL81" s="798" cm="1">
        <f t="array" ref="BL81">BG81+BJ81</f>
        <v>794641</v>
      </c>
      <c r="BM81" s="798" cm="1">
        <f t="array" ref="BM81">AVERAGE(BL79:BL81)</f>
        <v>498863.666666667</v>
      </c>
      <c r="BN81" s="814" cm="1">
        <f t="array" ref="BN81">BH80-BH81</f>
        <v>0.0504</v>
      </c>
      <c r="BO81" s="801" cm="1">
        <f t="array" ref="BO81">K80*0.0495/12-0.16</f>
        <v>4.7442356</v>
      </c>
      <c r="BP81" s="815" cm="1">
        <f t="array" ref="BP81">(BA81+BC81)/BG81</f>
        <v>2.54742534600917</v>
      </c>
      <c r="BQ81" s="815" cm="1">
        <f t="array" ref="BQ81">Y81-BB81</f>
        <v>5.8297757346038</v>
      </c>
      <c r="BR81" s="815" cm="1">
        <f t="array" ref="BR81">(BR$4*(1+BR$4)^BR$3*K80)/((1+BR$4)^BR$3-1)</f>
        <v>6.34602139432158</v>
      </c>
      <c r="BS81" s="815"/>
      <c r="BT81" s="405"/>
      <c r="BU81" s="405"/>
      <c r="BV81" s="405" cm="1">
        <f t="array" ref="BV81">BA81+BC81+BV80</f>
        <v>111989671.674196</v>
      </c>
      <c r="BW81" s="405" cm="1">
        <f t="array" ref="BW81">BG81+BW80</f>
        <v>22681537.3258033</v>
      </c>
      <c r="BX81" s="801" cm="1">
        <f t="array" ref="BX81">BF81+BX80</f>
        <v>2738.6892</v>
      </c>
      <c r="BY81" s="801" cm="1">
        <f t="array" ref="BY81">BH81+BY80</f>
        <v>544.9716</v>
      </c>
      <c r="BZ81" s="405" cm="1">
        <f t="array" ref="BZ81">SUM(BJ$6:BJ81)</f>
        <v>21191582.6741965</v>
      </c>
      <c r="CA81" s="801"/>
      <c r="CB81" s="801"/>
      <c r="CC81" s="405" cm="1">
        <f t="array" ref="CC81">SUM(BE$6:BE81)</f>
        <v>111989671.674197</v>
      </c>
      <c r="CD81" s="801"/>
      <c r="CE81" s="801"/>
      <c r="CF81" s="801"/>
      <c r="CG81" s="801"/>
      <c r="CH81" s="801"/>
      <c r="CI81" s="801"/>
      <c r="CJ81" s="801"/>
      <c r="CK81" s="801"/>
      <c r="CL81" s="801"/>
      <c r="CM81" s="801"/>
    </row>
    <row r="82" ht="19.35" customHeight="1" hidden="1">
      <c r="A82" s="762">
        <v>76</v>
      </c>
      <c r="B82" s="790">
        <v>47645</v>
      </c>
      <c r="C82" s="405"/>
      <c r="D82" s="791" cm="1">
        <f t="array" ref="D82">ROUND(850000/F82,4)</f>
        <v>17.6855</v>
      </c>
      <c r="E82" s="792" cm="1">
        <f t="array" ref="E82">D82/K81</f>
        <v>0.0150282116211485</v>
      </c>
      <c r="F82" s="793" cm="1">
        <f t="array" ref="F82">F81*(1+G82)</f>
        <v>48061.9724028973</v>
      </c>
      <c r="G82" s="792" cm="1">
        <f t="array" ref="G82">H82-SUM(G71:G81)</f>
        <v>0.013</v>
      </c>
      <c r="H82" s="794" cm="1">
        <f t="array" ref="H82">'depto - Table 5'!$J$2</f>
        <v>0.03</v>
      </c>
      <c r="I82" s="795" cm="1">
        <f t="array" ref="I82">H82+4.95/100</f>
        <v>0.0795</v>
      </c>
      <c r="J82" s="405" cm="1">
        <f t="array" ref="J82">IF(K81=0,0,ROUND(D82*F82,0))</f>
        <v>850000</v>
      </c>
      <c r="K82" s="796" cm="1">
        <f t="array" ref="K82">IF(K81-BF82&lt;0,0,K81-BF82)</f>
        <v>1164.9139</v>
      </c>
      <c r="L82" s="797" cm="1">
        <f t="array" ref="L82">K82/K$5</f>
        <v>0.294914911392405</v>
      </c>
      <c r="M82" s="798" cm="1">
        <f t="array" ref="M82">ROUND(K82*F82,0)</f>
        <v>55988060</v>
      </c>
      <c r="N82" s="799" cm="1">
        <f t="array" ref="N82">M82/M$5</f>
        <v>0.381825637437673</v>
      </c>
      <c r="O82" s="798" cm="1">
        <f t="array" ref="O82">M82-M81</f>
        <v>153617</v>
      </c>
      <c r="P82" s="800" cm="1">
        <f t="array" ref="P82">T82-K82</f>
        <v>4235.0861</v>
      </c>
      <c r="Q82" s="798" cm="1">
        <f t="array" ref="Q82">ROUND(P82*F82,0)</f>
        <v>203546591</v>
      </c>
      <c r="R82" s="801" cm="1">
        <f t="array" ref="R82">$K$5-K82</f>
        <v>2785.0861</v>
      </c>
      <c r="S82" s="798" cm="1">
        <f t="array" ref="S82">Q82-Q81</f>
        <v>3177035</v>
      </c>
      <c r="T82" s="801">
        <v>5400</v>
      </c>
      <c r="U82" s="798" cm="1">
        <f t="array" ref="U82">T82*F82</f>
        <v>259534650.975645</v>
      </c>
      <c r="V82" s="802" cm="1">
        <f t="array" ref="V82">-S82</f>
        <v>-3177035</v>
      </c>
      <c r="W82" s="802"/>
      <c r="X82" s="802" cm="1">
        <f t="array" ref="X82">$K81*4.95/12/100/(1-(1+4.95/12/100)^-(360-$A82+3))+$AY82</f>
        <v>8.088275071284659</v>
      </c>
      <c r="Y82" s="803" cm="1">
        <f t="array" ref="Y82">K81*4.95/12/100/(1-(1+4.95/12/100)^-(360-$A82+3))+AY82</f>
        <v>8.088275071284659</v>
      </c>
      <c r="Z82" s="791" cm="1">
        <f t="array" ref="Z82">IF(Z$3*12&lt;=$A82,0,$K81*'depto - Departamento'!$D$8/12/(1-(1+'depto - Departamento'!$D$8/12)^-(12*Z$3-$A82+3))+$AY83)</f>
        <v>9.0792615392304</v>
      </c>
      <c r="AA82" s="791" cm="1">
        <f t="array" ref="AA82">IF(AA$3*12&lt;=$A82,0,$K81*'depto - Departamento'!$D$8/12/(1-(1+'depto - Departamento'!$D$8/12)^-(12*AA$3-$A82+3))+$AY83)</f>
        <v>10.8490053606314</v>
      </c>
      <c r="AB82" s="791" cm="1">
        <f t="array" ref="AB82">IF(AB$3*12&lt;$A82,0,$K81*'depto - Departamento'!$D$8/12/(1-(1+'depto - Departamento'!$D$8/12)^-(12*AB$3-$A82+3))+$AY82)</f>
        <v>14.7108324525108</v>
      </c>
      <c r="AC82" s="791" cm="1">
        <f t="array" ref="AC82">IF(AC$3*12&lt;$A82,0,$K81*'depto - Departamento'!$D$8/12/(1-(1+'depto - Departamento'!$D$8/12)^-(12*AC$3-$A82+3))+$AY82)</f>
        <v>20.2393942410951</v>
      </c>
      <c r="AD82" s="791" cm="1">
        <f t="array" ref="AD82">IF(AD$3*12&lt;$A82,0,$K81*'depto - Departamento'!$D$8/12/(1-(1+'depto - Departamento'!$D$8/12)^-(12*AD$3-$A82+3))+$AY82)</f>
        <v>28.6807855879952</v>
      </c>
      <c r="AE82" s="791" cm="1">
        <f t="array" ref="AE82">IF(AE$3*12&lt;$A82,0,$K81*'depto - Departamento'!$D$8/12/(1-(1+'depto - Departamento'!$D$8/12)^-(12*AE$3-$A82+3))+$AY82)</f>
        <v>0</v>
      </c>
      <c r="AF82" s="791" cm="1">
        <f t="array" ref="AF82">AF81-(AF80-AF81)</f>
        <v>79.62690000000001</v>
      </c>
      <c r="AG82" s="791"/>
      <c r="AH82" s="791"/>
      <c r="AI82" s="804" cm="1">
        <f t="array" ref="AI82">$F82*Y82</f>
        <v>388738.453263126</v>
      </c>
      <c r="AJ82" s="405" cm="1">
        <f t="array" ref="AJ82">$F82*Z82</f>
        <v>436367.217537178</v>
      </c>
      <c r="AK82" s="405" cm="1">
        <f t="array" ref="AK82">$F82*AA82</f>
        <v>521424.596241551</v>
      </c>
      <c r="AL82" s="405" cm="1">
        <f t="array" ref="AL82">$F82*AB82</f>
        <v>707031.62335622</v>
      </c>
      <c r="AM82" s="405" cm="1">
        <f t="array" ref="AM82">$F82*AC82</f>
        <v>972745.207466871</v>
      </c>
      <c r="AN82" s="405" cm="1">
        <f t="array" ref="AN82">$F82*AD82</f>
        <v>1378455.12542364</v>
      </c>
      <c r="AO82" s="405"/>
      <c r="AP82" s="405" cm="1">
        <f t="array" ref="AP82">$F82*AF82</f>
        <v>3827025.87032826</v>
      </c>
      <c r="AQ82" s="791"/>
      <c r="AR82" s="805" cm="1">
        <f t="array" ref="AR82">K81-K82</f>
        <v>11.9061</v>
      </c>
      <c r="AS82" s="805" cm="1">
        <f t="array" ref="AS82">D82-AR82</f>
        <v>5.7794</v>
      </c>
      <c r="AT82" s="791"/>
      <c r="AU82" s="806" cm="1">
        <f t="array" ref="AU82">ROUND(AV82*F82,0)</f>
        <v>49706</v>
      </c>
      <c r="AV82" s="807" cm="1">
        <f t="array" ref="AV82">IF(K81=0,0,AV81)</f>
        <v>1.0342</v>
      </c>
      <c r="AW82" s="806" cm="1">
        <f t="array" ref="AW82">ROUND(F82*AX82,0)</f>
        <v>2444</v>
      </c>
      <c r="AX82" s="807" cm="1">
        <f t="array" ref="AX82">AX$11/K$10*K81</f>
        <v>0.0508454823532838</v>
      </c>
      <c r="AY82" s="808" cm="1">
        <f t="array" ref="AY82">SUM(AV82,AX82)</f>
        <v>1.08504548235328</v>
      </c>
      <c r="AZ82" s="806" cm="1">
        <f t="array" ref="AZ82">AU82+AW82</f>
        <v>52150</v>
      </c>
      <c r="BA82" s="809" cm="1">
        <f t="array" ref="BA82">AI82-AZ82-BG82</f>
        <v>110967.171099482</v>
      </c>
      <c r="BB82" s="810" cm="1">
        <f t="array" ref="BB82">ROUND(BA82/$F82,4)</f>
        <v>2.3088</v>
      </c>
      <c r="BC82" s="809" cm="1">
        <f t="array" ref="BC82">J82-SUM(AZ82,BA82,BG82)</f>
        <v>461261.546736874</v>
      </c>
      <c r="BD82" s="810" cm="1">
        <f t="array" ref="BD82">ROUND(BC82/$F82,4)</f>
        <v>9.597200000000001</v>
      </c>
      <c r="BE82" s="811" cm="1">
        <f t="array" ref="BE82">BC82+BA82</f>
        <v>572228.717836356</v>
      </c>
      <c r="BF82" s="810" cm="1">
        <f t="array" ref="BF82">ROUND((BA82+BC82)/F82,4)</f>
        <v>11.9061</v>
      </c>
      <c r="BG82" s="812" cm="1">
        <f t="array" ref="BG82">BO82*F82</f>
        <v>225621.282163644</v>
      </c>
      <c r="BH82" s="813" cm="1">
        <f t="array" ref="BH82">ROUND(BG82/$F82,4)</f>
        <v>4.6944</v>
      </c>
      <c r="BI82" s="798" cm="1">
        <f t="array" ref="BI82">M81-M82</f>
        <v>-153617</v>
      </c>
      <c r="BJ82" s="798" cm="1">
        <f t="array" ref="BJ82">BE82-BI82</f>
        <v>725845.717836356</v>
      </c>
      <c r="BK82" s="798" cm="1">
        <f t="array" ref="BK82">-BJ82</f>
        <v>-725845.717836356</v>
      </c>
      <c r="BL82" s="798" cm="1">
        <f t="array" ref="BL82">BG82+BJ82</f>
        <v>951467</v>
      </c>
      <c r="BM82" s="798" cm="1">
        <f t="array" ref="BM82">AVERAGE(BL80:BL82)</f>
        <v>670251.333333333</v>
      </c>
      <c r="BN82" s="814" cm="1">
        <f t="array" ref="BN82">BH81-BH82</f>
        <v>0.0498</v>
      </c>
      <c r="BO82" s="801" cm="1">
        <f t="array" ref="BO82">K81*0.0495/12-0.16</f>
        <v>4.6943825</v>
      </c>
      <c r="BP82" s="815" cm="1">
        <f t="array" ref="BP82">(BA82+BC82)/BG82</f>
        <v>2.53623555521379</v>
      </c>
      <c r="BQ82" s="815" cm="1">
        <f t="array" ref="BQ82">Y82-BB82</f>
        <v>5.77947507128466</v>
      </c>
      <c r="BR82" s="815" cm="1">
        <f t="array" ref="BR82">(BR$4*(1+BR$4)^BR$3*K81)/((1+BR$4)^BR$3-1)</f>
        <v>6.28151208747399</v>
      </c>
      <c r="BS82" s="815"/>
      <c r="BT82" s="405"/>
      <c r="BU82" s="405"/>
      <c r="BV82" s="405" cm="1">
        <f t="array" ref="BV82">BA82+BC82+BV81</f>
        <v>112561900.392032</v>
      </c>
      <c r="BW82" s="405" cm="1">
        <f t="array" ref="BW82">BG82+BW81</f>
        <v>22907158.6079669</v>
      </c>
      <c r="BX82" s="801" cm="1">
        <f t="array" ref="BX82">BF82+BX81</f>
        <v>2750.5953</v>
      </c>
      <c r="BY82" s="801" cm="1">
        <f t="array" ref="BY82">BH82+BY81</f>
        <v>549.6660000000001</v>
      </c>
      <c r="BZ82" s="405" cm="1">
        <f t="array" ref="BZ82">SUM(BJ$6:BJ82)</f>
        <v>21917428.3920329</v>
      </c>
      <c r="CA82" s="801"/>
      <c r="CB82" s="801"/>
      <c r="CC82" s="405" cm="1">
        <f t="array" ref="CC82">SUM(BE$6:BE82)</f>
        <v>112561900.392033</v>
      </c>
      <c r="CD82" s="801"/>
      <c r="CE82" s="801"/>
      <c r="CF82" s="801"/>
      <c r="CG82" s="801"/>
      <c r="CH82" s="801"/>
      <c r="CI82" s="801"/>
      <c r="CJ82" s="801"/>
      <c r="CK82" s="801"/>
      <c r="CL82" s="801"/>
      <c r="CM82" s="801"/>
    </row>
    <row r="83" ht="19.35" customHeight="1" hidden="1">
      <c r="A83" s="762">
        <v>77</v>
      </c>
      <c r="B83" s="790">
        <v>47675</v>
      </c>
      <c r="C83" s="405"/>
      <c r="D83" s="791" cm="1">
        <f t="array" ref="D83">ROUND(850000/F83,4)</f>
        <v>17.4983</v>
      </c>
      <c r="E83" s="792" cm="1">
        <f t="array" ref="E83">D83/K82</f>
        <v>0.0150211101438484</v>
      </c>
      <c r="F83" s="793" cm="1">
        <f t="array" ref="F83">F82*(1+G83)</f>
        <v>48576.2355076083</v>
      </c>
      <c r="G83" s="792" cm="1">
        <f t="array" ref="G83">H83-SUM(G72:G82)</f>
        <v>0.0107</v>
      </c>
      <c r="H83" s="794" cm="1">
        <f t="array" ref="H83">'depto - Table 5'!$J$2</f>
        <v>0.03</v>
      </c>
      <c r="I83" s="795" cm="1">
        <f t="array" ref="I83">H83+4.95/100</f>
        <v>0.0795</v>
      </c>
      <c r="J83" s="405" cm="1">
        <f t="array" ref="J83">IF(K82=0,0,ROUND(D83*F83,0))</f>
        <v>850002</v>
      </c>
      <c r="K83" s="796" cm="1">
        <f t="array" ref="K83">IF(K82-BF83&lt;0,0,K82-BF83)</f>
        <v>1153.1454</v>
      </c>
      <c r="L83" s="797" cm="1">
        <f t="array" ref="L83">K83/K$5</f>
        <v>0.291935544303797</v>
      </c>
      <c r="M83" s="798" cm="1">
        <f t="array" ref="M83">ROUND(K83*F83,0)</f>
        <v>56015463</v>
      </c>
      <c r="N83" s="799" cm="1">
        <f t="array" ref="N83">M83/M$5</f>
        <v>0.382012519568304</v>
      </c>
      <c r="O83" s="798" cm="1">
        <f t="array" ref="O83">M83-M82</f>
        <v>27403</v>
      </c>
      <c r="P83" s="800" cm="1">
        <f t="array" ref="P83">T83-K83</f>
        <v>4246.8546</v>
      </c>
      <c r="Q83" s="798" cm="1">
        <f t="array" ref="Q83">ROUND(P83*F83,0)</f>
        <v>206296209</v>
      </c>
      <c r="R83" s="801" cm="1">
        <f t="array" ref="R83">$K$5-K83</f>
        <v>2796.8546</v>
      </c>
      <c r="S83" s="798" cm="1">
        <f t="array" ref="S83">Q83-Q82</f>
        <v>2749618</v>
      </c>
      <c r="T83" s="801">
        <v>5400</v>
      </c>
      <c r="U83" s="798" cm="1">
        <f t="array" ref="U83">T83*F83</f>
        <v>262311671.741085</v>
      </c>
      <c r="V83" s="802" cm="1">
        <f t="array" ref="V83">-S83</f>
        <v>-2749618</v>
      </c>
      <c r="W83" s="802"/>
      <c r="X83" s="802" cm="1">
        <f t="array" ref="X83">$K82*4.95/12/100/(1-(1+4.95/12/100)^-(360-$A83+3))+$AY83</f>
        <v>8.02958924408493</v>
      </c>
      <c r="Y83" s="803" cm="1">
        <f t="array" ref="Y83">K82*4.95/12/100/(1-(1+4.95/12/100)^-(360-$A83+3))+AY83</f>
        <v>8.02958924408493</v>
      </c>
      <c r="Z83" s="791" cm="1">
        <f t="array" ref="Z83">IF(Z$3*12&lt;=$A83,0,$K82*'depto - Departamento'!$D$8/12/(1-(1+'depto - Departamento'!$D$8/12)^-(12*Z$3-$A83+3))+$AY84)</f>
        <v>9.019043571731711</v>
      </c>
      <c r="AA83" s="791" cm="1">
        <f t="array" ref="AA83">IF(AA$3*12&lt;=$A83,0,$K82*'depto - Departamento'!$D$8/12/(1-(1+'depto - Departamento'!$D$8/12)^-(12*AA$3-$A83+3))+$AY84)</f>
        <v>10.7902054304927</v>
      </c>
      <c r="AB83" s="791" cm="1">
        <f t="array" ref="AB83">IF(AB$3*12&lt;$A83,0,$K82*'depto - Departamento'!$D$8/12/(1-(1+'depto - Departamento'!$D$8/12)^-(12*AB$3-$A83+3))+$AY83)</f>
        <v>14.6737504741192</v>
      </c>
      <c r="AC83" s="791" cm="1">
        <f t="array" ref="AC83">IF(AC$3*12&lt;$A83,0,$K82*'depto - Departamento'!$D$8/12/(1-(1+'depto - Departamento'!$D$8/12)^-(12*AC$3-$A83+3))+$AY83)</f>
        <v>20.2783225456215</v>
      </c>
      <c r="AD83" s="791" cm="1">
        <f t="array" ref="AD83">IF(AD$3*12&lt;$A83,0,$K82*'depto - Departamento'!$D$8/12/(1-(1+'depto - Departamento'!$D$8/12)^-(12*AD$3-$A83+3))+$AY83)</f>
        <v>28.9393583307454</v>
      </c>
      <c r="AE83" s="791" cm="1">
        <f t="array" ref="AE83">IF(AE$3*12&lt;$A83,0,$K82*'depto - Departamento'!$D$8/12/(1-(1+'depto - Departamento'!$D$8/12)^-(12*AE$3-$A83+3))+$AY83)</f>
        <v>0</v>
      </c>
      <c r="AF83" s="791" cm="1">
        <f t="array" ref="AF83">AF82-(AF81-AF82)</f>
        <v>79.6241</v>
      </c>
      <c r="AG83" s="791"/>
      <c r="AH83" s="791"/>
      <c r="AI83" s="804" cm="1">
        <f t="array" ref="AI83">$F83*Y83</f>
        <v>390047.218150028</v>
      </c>
      <c r="AJ83" s="405" cm="1">
        <f t="array" ref="AJ83">$F83*Z83</f>
        <v>438111.18459382</v>
      </c>
      <c r="AK83" s="405" cm="1">
        <f t="array" ref="AK83">$F83*AA83</f>
        <v>524147.560167087</v>
      </c>
      <c r="AL83" s="405" cm="1">
        <f t="array" ref="AL83">$F83*AB83</f>
        <v>712795.558810693</v>
      </c>
      <c r="AM83" s="405" cm="1">
        <f t="array" ref="AM83">$F83*AC83</f>
        <v>985044.571675353</v>
      </c>
      <c r="AN83" s="405" cm="1">
        <f t="array" ref="AN83">$F83*AD83</f>
        <v>1405765.08571335</v>
      </c>
      <c r="AO83" s="405"/>
      <c r="AP83" s="405" cm="1">
        <f t="array" ref="AP83">$F83*AF83</f>
        <v>3867839.03368135</v>
      </c>
      <c r="AQ83" s="791"/>
      <c r="AR83" s="805" cm="1">
        <f t="array" ref="AR83">K82-K83</f>
        <v>11.7685</v>
      </c>
      <c r="AS83" s="805" cm="1">
        <f t="array" ref="AS83">D83-AR83</f>
        <v>5.7298</v>
      </c>
      <c r="AT83" s="791"/>
      <c r="AU83" s="806" cm="1">
        <f t="array" ref="AU83">ROUND(AV83*F83,0)</f>
        <v>50238</v>
      </c>
      <c r="AV83" s="807" cm="1">
        <f t="array" ref="AV83">IF(K82=0,0,AV82)</f>
        <v>1.0342</v>
      </c>
      <c r="AW83" s="806" cm="1">
        <f t="array" ref="AW83">ROUND(F83*AX83,0)</f>
        <v>2445</v>
      </c>
      <c r="AX83" s="807" cm="1">
        <f t="array" ref="AX83">AX$11/K$10*K82</f>
        <v>0.0503310694460878</v>
      </c>
      <c r="AY83" s="808" cm="1">
        <f t="array" ref="AY83">SUM(AV83,AX83)</f>
        <v>1.08453106944609</v>
      </c>
      <c r="AZ83" s="806" cm="1">
        <f t="array" ref="AZ83">AU83+AW83</f>
        <v>52683</v>
      </c>
      <c r="BA83" s="809" cm="1">
        <f t="array" ref="BA83">AI83-AZ83-BG83</f>
        <v>111714.496527239</v>
      </c>
      <c r="BB83" s="810" cm="1">
        <f t="array" ref="BB83">ROUND(BA83/$F83,4)</f>
        <v>2.2998</v>
      </c>
      <c r="BC83" s="809" cm="1">
        <f t="array" ref="BC83">J83-SUM(AZ83,BA83,BG83)</f>
        <v>459954.781849972</v>
      </c>
      <c r="BD83" s="810" cm="1">
        <f t="array" ref="BD83">ROUND(BC83/$F83,4)</f>
        <v>9.4687</v>
      </c>
      <c r="BE83" s="811" cm="1">
        <f t="array" ref="BE83">BC83+BA83</f>
        <v>571669.278377211</v>
      </c>
      <c r="BF83" s="810" cm="1">
        <f t="array" ref="BF83">ROUND((BA83+BC83)/F83,4)</f>
        <v>11.7685</v>
      </c>
      <c r="BG83" s="812" cm="1">
        <f t="array" ref="BG83">BO83*F83</f>
        <v>225649.721622789</v>
      </c>
      <c r="BH83" s="813" cm="1">
        <f t="array" ref="BH83">ROUND(BG83/$F83,4)</f>
        <v>4.6453</v>
      </c>
      <c r="BI83" s="798" cm="1">
        <f t="array" ref="BI83">M82-M83</f>
        <v>-27403</v>
      </c>
      <c r="BJ83" s="798" cm="1">
        <f t="array" ref="BJ83">BE83-BI83</f>
        <v>599072.278377211</v>
      </c>
      <c r="BK83" s="798" cm="1">
        <f t="array" ref="BK83">-BJ83</f>
        <v>-599072.278377211</v>
      </c>
      <c r="BL83" s="798" cm="1">
        <f t="array" ref="BL83">BG83+BJ83</f>
        <v>824722</v>
      </c>
      <c r="BM83" s="798" cm="1">
        <f t="array" ref="BM83">AVERAGE(BL81:BL83)</f>
        <v>856943.333333333</v>
      </c>
      <c r="BN83" s="814" cm="1">
        <f t="array" ref="BN83">BH82-BH83</f>
        <v>0.0491</v>
      </c>
      <c r="BO83" s="801" cm="1">
        <f t="array" ref="BO83">K82*0.0495/12-0.16</f>
        <v>4.6452698375</v>
      </c>
      <c r="BP83" s="815" cm="1">
        <f t="array" ref="BP83">(BA83+BC83)/BG83</f>
        <v>2.53343666575779</v>
      </c>
      <c r="BQ83" s="815" cm="1">
        <f t="array" ref="BQ83">Y83-BB83</f>
        <v>5.72978924408493</v>
      </c>
      <c r="BR83" s="815" cm="1">
        <f t="array" ref="BR83">(BR$4*(1+BR$4)^BR$3*K82)/((1+BR$4)^BR$3-1)</f>
        <v>6.21796089777236</v>
      </c>
      <c r="BS83" s="815"/>
      <c r="BT83" s="405"/>
      <c r="BU83" s="405"/>
      <c r="BV83" s="405" cm="1">
        <f t="array" ref="BV83">BA83+BC83+BV82</f>
        <v>113133569.670409</v>
      </c>
      <c r="BW83" s="405" cm="1">
        <f t="array" ref="BW83">BG83+BW82</f>
        <v>23132808.3295897</v>
      </c>
      <c r="BX83" s="801" cm="1">
        <f t="array" ref="BX83">BF83+BX82</f>
        <v>2762.3638</v>
      </c>
      <c r="BY83" s="801" cm="1">
        <f t="array" ref="BY83">BH83+BY82</f>
        <v>554.3113</v>
      </c>
      <c r="BZ83" s="405" cm="1">
        <f t="array" ref="BZ83">SUM(BJ$6:BJ83)</f>
        <v>22516500.6704101</v>
      </c>
      <c r="CA83" s="801"/>
      <c r="CB83" s="801"/>
      <c r="CC83" s="405" cm="1">
        <f t="array" ref="CC83">SUM(BE$6:BE83)</f>
        <v>113133569.67041</v>
      </c>
      <c r="CD83" s="801"/>
      <c r="CE83" s="801"/>
      <c r="CF83" s="801"/>
      <c r="CG83" s="801"/>
      <c r="CH83" s="801"/>
      <c r="CI83" s="801"/>
      <c r="CJ83" s="801"/>
      <c r="CK83" s="801"/>
      <c r="CL83" s="801"/>
      <c r="CM83" s="801"/>
    </row>
    <row r="84" ht="19.35" customHeight="1" hidden="1">
      <c r="A84" s="762">
        <v>78</v>
      </c>
      <c r="B84" s="790">
        <v>47706</v>
      </c>
      <c r="C84" s="405"/>
      <c r="D84" s="791" cm="1">
        <f t="array" ref="D84">ROUND(850000/F84,4)</f>
        <v>17.4983</v>
      </c>
      <c r="E84" s="792" cm="1">
        <f t="array" ref="E84">D84/K83</f>
        <v>0.0151744090554409</v>
      </c>
      <c r="F84" s="793" cm="1">
        <f t="array" ref="F84">F83*(1+G84)</f>
        <v>48576.2355076083</v>
      </c>
      <c r="G84" s="792" cm="1">
        <f t="array" ref="G84">H84-SUM(G73:G83)</f>
        <v>0</v>
      </c>
      <c r="H84" s="794" cm="1">
        <f t="array" ref="H84">'depto - Table 5'!$J$2</f>
        <v>0.03</v>
      </c>
      <c r="I84" s="795" cm="1">
        <f t="array" ref="I84">H84+4.95/100</f>
        <v>0.0795</v>
      </c>
      <c r="J84" s="405" cm="1">
        <f t="array" ref="J84">IF(K83=0,0,ROUND(D84*F84,0))</f>
        <v>850002</v>
      </c>
      <c r="K84" s="796" cm="1">
        <f t="array" ref="K84">IF(K83-BF84&lt;0,0,K83-BF84)</f>
        <v>1141.3278</v>
      </c>
      <c r="L84" s="797" cm="1">
        <f t="array" ref="L84">K84/K$5</f>
        <v>0.288943746835443</v>
      </c>
      <c r="M84" s="798" cm="1">
        <f t="array" ref="M84">ROUND(K84*F84,0)</f>
        <v>55441408</v>
      </c>
      <c r="N84" s="799" cm="1">
        <f t="array" ref="N84">M84/M$5</f>
        <v>0.378097597059839</v>
      </c>
      <c r="O84" s="798" cm="1">
        <f t="array" ref="O84">M84-M83</f>
        <v>-574055</v>
      </c>
      <c r="P84" s="800" cm="1">
        <f t="array" ref="P84">T84-K84</f>
        <v>4258.6722</v>
      </c>
      <c r="Q84" s="798" cm="1">
        <f t="array" ref="Q84">ROUND(P84*F84,0)</f>
        <v>206870264</v>
      </c>
      <c r="R84" s="801" cm="1">
        <f t="array" ref="R84">$K$5-K84</f>
        <v>2808.6722</v>
      </c>
      <c r="S84" s="798" cm="1">
        <f t="array" ref="S84">Q84-Q83</f>
        <v>574055</v>
      </c>
      <c r="T84" s="801">
        <v>5400</v>
      </c>
      <c r="U84" s="798" cm="1">
        <f t="array" ref="U84">T84*F84</f>
        <v>262311671.741085</v>
      </c>
      <c r="V84" s="802" cm="1">
        <f t="array" ref="V84">-S84</f>
        <v>-574055</v>
      </c>
      <c r="W84" s="802"/>
      <c r="X84" s="802" cm="1">
        <f t="array" ref="X84">$K83*4.95/12/100/(1-(1+4.95/12/100)^-(360-$A84+3))+$AY84</f>
        <v>7.9715700680936</v>
      </c>
      <c r="Y84" s="803" cm="1">
        <f t="array" ref="Y84">K83*4.95/12/100/(1-(1+4.95/12/100)^-(360-$A84+3))+AY84</f>
        <v>7.9715700680936</v>
      </c>
      <c r="Z84" s="791" cm="1">
        <f t="array" ref="Z84">IF(Z$3*12&lt;=$A84,0,$K83*'depto - Departamento'!$D$8/12/(1-(1+'depto - Departamento'!$D$8/12)^-(12*Z$3-$A84+3))+$AY85)</f>
        <v>8.9595300657893</v>
      </c>
      <c r="AA84" s="791" cm="1">
        <f t="array" ref="AA84">IF(AA$3*12&lt;=$A84,0,$K83*'depto - Departamento'!$D$8/12/(1-(1+'depto - Departamento'!$D$8/12)^-(12*AA$3-$A84+3))+$AY85)</f>
        <v>10.7322316440392</v>
      </c>
      <c r="AB84" s="791" cm="1">
        <f t="array" ref="AB84">IF(AB$3*12&lt;$A84,0,$K83*'depto - Departamento'!$D$8/12/(1-(1+'depto - Departamento'!$D$8/12)^-(12*AB$3-$A84+3))+$AY84)</f>
        <v>14.6381614250889</v>
      </c>
      <c r="AC84" s="791" cm="1">
        <f t="array" ref="AC84">IF(AC$3*12&lt;$A84,0,$K83*'depto - Departamento'!$D$8/12/(1-(1+'depto - Departamento'!$D$8/12)^-(12*AC$3-$A84+3))+$AY84)</f>
        <v>20.321522934626</v>
      </c>
      <c r="AD84" s="791" cm="1">
        <f t="array" ref="AD84">IF(AD$3*12&lt;$A84,0,$K83*'depto - Departamento'!$D$8/12/(1-(1+'depto - Departamento'!$D$8/12)^-(12*AD$3-$A84+3))+$AY84)</f>
        <v>29.2140418399298</v>
      </c>
      <c r="AE84" s="791" cm="1">
        <f t="array" ref="AE84">IF(AE$3*12&lt;$A84,0,$K83*'depto - Departamento'!$D$8/12/(1-(1+'depto - Departamento'!$D$8/12)^-(12*AE$3-$A84+3))+$AY84)</f>
        <v>0</v>
      </c>
      <c r="AF84" s="791" cm="1">
        <f t="array" ref="AF84">AF83-(AF82-AF83)</f>
        <v>79.62130000000001</v>
      </c>
      <c r="AG84" s="791"/>
      <c r="AH84" s="791"/>
      <c r="AI84" s="804" cm="1">
        <f t="array" ref="AI84">$F84*Y84</f>
        <v>387228.864993116</v>
      </c>
      <c r="AJ84" s="405" cm="1">
        <f t="array" ref="AJ84">$F84*Z84</f>
        <v>435220.242513278</v>
      </c>
      <c r="AK84" s="405" cm="1">
        <f t="array" ref="AK84">$F84*AA84</f>
        <v>521331.411863054</v>
      </c>
      <c r="AL84" s="405" cm="1">
        <f t="array" ref="AL84">$F84*AB84</f>
        <v>711066.776783506</v>
      </c>
      <c r="AM84" s="405" cm="1">
        <f t="array" ref="AM84">$F84*AC84</f>
        <v>987143.083945656</v>
      </c>
      <c r="AN84" s="405" cm="1">
        <f t="array" ref="AN84">$F84*AD84</f>
        <v>1419108.17654555</v>
      </c>
      <c r="AO84" s="405"/>
      <c r="AP84" s="405" cm="1">
        <f t="array" ref="AP84">$F84*AF84</f>
        <v>3867703.02022193</v>
      </c>
      <c r="AQ84" s="791"/>
      <c r="AR84" s="805" cm="1">
        <f t="array" ref="AR84">K83-K84</f>
        <v>11.8176</v>
      </c>
      <c r="AS84" s="805" cm="1">
        <f t="array" ref="AS84">D84-AR84</f>
        <v>5.6807</v>
      </c>
      <c r="AT84" s="791"/>
      <c r="AU84" s="806" cm="1">
        <f t="array" ref="AU84">ROUND(AV84*F84,0)</f>
        <v>50238</v>
      </c>
      <c r="AV84" s="807" cm="1">
        <f t="array" ref="AV84">IF(K83=0,0,AV83)</f>
        <v>1.0342</v>
      </c>
      <c r="AW84" s="806" cm="1">
        <f t="array" ref="AW84">ROUND(F84*AX84,0)</f>
        <v>2420</v>
      </c>
      <c r="AX84" s="807" cm="1">
        <f t="array" ref="AX84">AX$11/K$10*K83</f>
        <v>0.0498226016608066</v>
      </c>
      <c r="AY84" s="808" cm="1">
        <f t="array" ref="AY84">SUM(AV84,AX84)</f>
        <v>1.08402260166081</v>
      </c>
      <c r="AZ84" s="806" cm="1">
        <f t="array" ref="AZ84">AU84+AW84</f>
        <v>52658</v>
      </c>
      <c r="BA84" s="809" cm="1">
        <f t="array" ref="BA84">AI84-AZ84-BG84</f>
        <v>111279.279759058</v>
      </c>
      <c r="BB84" s="810" cm="1">
        <f t="array" ref="BB84">ROUND(BA84/$F84,4)</f>
        <v>2.2908</v>
      </c>
      <c r="BC84" s="809" cm="1">
        <f t="array" ref="BC84">J84-SUM(AZ84,BA84,BG84)</f>
        <v>462773.135006884</v>
      </c>
      <c r="BD84" s="810" cm="1">
        <f t="array" ref="BD84">ROUND(BC84/$F84,4)</f>
        <v>9.5267</v>
      </c>
      <c r="BE84" s="811" cm="1">
        <f t="array" ref="BE84">BC84+BA84</f>
        <v>574052.414765942</v>
      </c>
      <c r="BF84" s="810" cm="1">
        <f t="array" ref="BF84">ROUND((BA84+BC84)/F84,4)</f>
        <v>11.8176</v>
      </c>
      <c r="BG84" s="812" cm="1">
        <f t="array" ref="BG84">BO84*F84</f>
        <v>223291.585234058</v>
      </c>
      <c r="BH84" s="813" cm="1">
        <f t="array" ref="BH84">ROUND(BG84/$F84,4)</f>
        <v>4.5967</v>
      </c>
      <c r="BI84" s="798" cm="1">
        <f t="array" ref="BI84">M83-M84</f>
        <v>574055</v>
      </c>
      <c r="BJ84" s="798" cm="1">
        <f t="array" ref="BJ84">BE84-BI84</f>
        <v>-2.585234058</v>
      </c>
      <c r="BK84" s="798" cm="1">
        <f t="array" ref="BK84">-BJ84</f>
        <v>2.585234058</v>
      </c>
      <c r="BL84" s="798" cm="1">
        <f t="array" ref="BL84">BG84+BJ84</f>
        <v>223289</v>
      </c>
      <c r="BM84" s="798" cm="1">
        <f t="array" ref="BM84">AVERAGE(BL82:BL84)</f>
        <v>666492.666666667</v>
      </c>
      <c r="BN84" s="814" cm="1">
        <f t="array" ref="BN84">BH83-BH84</f>
        <v>0.0486</v>
      </c>
      <c r="BO84" s="801" cm="1">
        <f t="array" ref="BO84">K83*0.0495/12-0.16</f>
        <v>4.596724775</v>
      </c>
      <c r="BP84" s="815" cm="1">
        <f t="array" ref="BP84">(BA84+BC84)/BG84</f>
        <v>2.57086452301465</v>
      </c>
      <c r="BQ84" s="815" cm="1">
        <f t="array" ref="BQ84">Y84-BB84</f>
        <v>5.6807700680936</v>
      </c>
      <c r="BR84" s="815" cm="1">
        <f t="array" ref="BR84">(BR$4*(1+BR$4)^BR$3*K83)/((1+BR$4)^BR$3-1)</f>
        <v>6.15514417558763</v>
      </c>
      <c r="BS84" s="815"/>
      <c r="BT84" s="405"/>
      <c r="BU84" s="405"/>
      <c r="BV84" s="405" cm="1">
        <f t="array" ref="BV84">BA84+BC84+BV83</f>
        <v>113707622.085175</v>
      </c>
      <c r="BW84" s="405" cm="1">
        <f t="array" ref="BW84">BG84+BW83</f>
        <v>23356099.9148238</v>
      </c>
      <c r="BX84" s="801" cm="1">
        <f t="array" ref="BX84">BF84+BX83</f>
        <v>2774.1814</v>
      </c>
      <c r="BY84" s="801" cm="1">
        <f t="array" ref="BY84">BH84+BY83</f>
        <v>558.908</v>
      </c>
      <c r="BZ84" s="405" cm="1">
        <f t="array" ref="BZ84">SUM(BJ$6:BJ84)</f>
        <v>22516498.085176</v>
      </c>
      <c r="CA84" s="801"/>
      <c r="CB84" s="801"/>
      <c r="CC84" s="405" cm="1">
        <f t="array" ref="CC84">SUM(BE$6:BE84)</f>
        <v>113707622.085176</v>
      </c>
      <c r="CD84" s="801"/>
      <c r="CE84" s="801"/>
      <c r="CF84" s="801"/>
      <c r="CG84" s="801"/>
      <c r="CH84" s="801"/>
      <c r="CI84" s="801"/>
      <c r="CJ84" s="801"/>
      <c r="CK84" s="801"/>
      <c r="CL84" s="801"/>
      <c r="CM84" s="801"/>
    </row>
    <row r="85" ht="19.35" customHeight="1" hidden="1">
      <c r="A85" s="762">
        <v>79</v>
      </c>
      <c r="B85" s="790">
        <v>47737</v>
      </c>
      <c r="C85" s="405"/>
      <c r="D85" s="791" cm="1">
        <f t="array" ref="D85">ROUND(850000/F85,4)</f>
        <v>17.4738</v>
      </c>
      <c r="E85" s="792" cm="1">
        <f t="array" ref="E85">D85/K84</f>
        <v>0.0153100625429434</v>
      </c>
      <c r="F85" s="793" cm="1">
        <f t="array" ref="F85">F84*(1+G85)</f>
        <v>48644.242237319</v>
      </c>
      <c r="G85" s="792" cm="1">
        <f t="array" ref="G85">H85-SUM(G74:G84)</f>
        <v>0.0014</v>
      </c>
      <c r="H85" s="794" cm="1">
        <f t="array" ref="H85">'depto - Table 5'!$J$2</f>
        <v>0.03</v>
      </c>
      <c r="I85" s="795" cm="1">
        <f t="array" ref="I85">H85+4.95/100</f>
        <v>0.0795</v>
      </c>
      <c r="J85" s="405" cm="1">
        <f t="array" ref="J85">IF(K84=0,0,ROUND(D85*F85,0))</f>
        <v>850000</v>
      </c>
      <c r="K85" s="796" cm="1">
        <f t="array" ref="K85">IF(K84-BF85&lt;0,0,K84-BF85)</f>
        <v>1129.4855</v>
      </c>
      <c r="L85" s="797" cm="1">
        <f t="array" ref="L85">K85/K$5</f>
        <v>0.285945696202532</v>
      </c>
      <c r="M85" s="798" cm="1">
        <f t="array" ref="M85">ROUND(K85*F85,0)</f>
        <v>54942966</v>
      </c>
      <c r="N85" s="799" cm="1">
        <f t="array" ref="N85">M85/M$5</f>
        <v>0.37469833774677</v>
      </c>
      <c r="O85" s="798" cm="1">
        <f t="array" ref="O85">M85-M84</f>
        <v>-498442</v>
      </c>
      <c r="P85" s="800" cm="1">
        <f t="array" ref="P85">T85-K85</f>
        <v>4270.5145</v>
      </c>
      <c r="Q85" s="798" cm="1">
        <f t="array" ref="Q85">ROUND(P85*F85,0)</f>
        <v>207735942</v>
      </c>
      <c r="R85" s="801" cm="1">
        <f t="array" ref="R85">$K$5-K85</f>
        <v>2820.5145</v>
      </c>
      <c r="S85" s="798" cm="1">
        <f t="array" ref="S85">Q85-Q84</f>
        <v>865678</v>
      </c>
      <c r="T85" s="801">
        <v>5400</v>
      </c>
      <c r="U85" s="798" cm="1">
        <f t="array" ref="U85">T85*F85</f>
        <v>262678908.081523</v>
      </c>
      <c r="V85" s="802" cm="1">
        <f t="array" ref="V85">-S85</f>
        <v>-865678</v>
      </c>
      <c r="W85" s="802"/>
      <c r="X85" s="802" cm="1">
        <f t="array" ref="X85">$K84*4.95/12/100/(1-(1+4.95/12/100)^-(360-$A85+3))+$AY85</f>
        <v>7.91309484506971</v>
      </c>
      <c r="Y85" s="803" cm="1">
        <f t="array" ref="Y85">K84*4.95/12/100/(1-(1+4.95/12/100)^-(360-$A85+3))+AY85</f>
        <v>7.91309484506971</v>
      </c>
      <c r="Z85" s="791" cm="1">
        <f t="array" ref="Z85">IF(Z$3*12&lt;=$A85,0,$K84*'depto - Departamento'!$D$8/12/(1-(1+'depto - Departamento'!$D$8/12)^-(12*Z$3-$A85+3))+$AY86)</f>
        <v>8.89944756978441</v>
      </c>
      <c r="AA85" s="791" cm="1">
        <f t="array" ref="AA85">IF(AA$3*12&lt;=$A85,0,$K84*'depto - Departamento'!$D$8/12/(1-(1+'depto - Departamento'!$D$8/12)^-(12*AA$3-$A85+3))+$AY86)</f>
        <v>10.6735244517233</v>
      </c>
      <c r="AB85" s="791" cm="1">
        <f t="array" ref="AB85">IF(AB$3*12&lt;$A85,0,$K84*'depto - Departamento'!$D$8/12/(1-(1+'depto - Departamento'!$D$8/12)^-(12*AB$3-$A85+3))+$AY85)</f>
        <v>14.6018784832891</v>
      </c>
      <c r="AC85" s="791" cm="1">
        <f t="array" ref="AC85">IF(AC$3*12&lt;$A85,0,$K84*'depto - Departamento'!$D$8/12/(1-(1+'depto - Departamento'!$D$8/12)^-(12*AC$3-$A85+3))+$AY85)</f>
        <v>20.3660061386756</v>
      </c>
      <c r="AD85" s="791" cm="1">
        <f t="array" ref="AD85">IF(AD$3*12&lt;$A85,0,$K84*'depto - Departamento'!$D$8/12/(1-(1+'depto - Departamento'!$D$8/12)^-(12*AD$3-$A85+3))+$AY85)</f>
        <v>29.501254682721</v>
      </c>
      <c r="AE85" s="791" cm="1">
        <f t="array" ref="AE85">IF(AE$3*12&lt;$A85,0,$K84*'depto - Departamento'!$D$8/12/(1-(1+'depto - Departamento'!$D$8/12)^-(12*AE$3-$A85+3))+$AY85)</f>
        <v>0</v>
      </c>
      <c r="AF85" s="791" cm="1">
        <f t="array" ref="AF85">AF84-(AF83-AF84)</f>
        <v>79.6185</v>
      </c>
      <c r="AG85" s="791"/>
      <c r="AH85" s="791"/>
      <c r="AI85" s="804" cm="1">
        <f t="array" ref="AI85">$F85*Y85</f>
        <v>384926.502490451</v>
      </c>
      <c r="AJ85" s="405" cm="1">
        <f t="array" ref="AJ85">$F85*Z85</f>
        <v>432906.883362913</v>
      </c>
      <c r="AK85" s="405" cm="1">
        <f t="array" ref="AK85">$F85*AA85</f>
        <v>519205.508955576</v>
      </c>
      <c r="AL85" s="405" cm="1">
        <f t="array" ref="AL85">$F85*AB85</f>
        <v>710297.314061011</v>
      </c>
      <c r="AM85" s="405" cm="1">
        <f t="array" ref="AM85">$F85*AC85</f>
        <v>990688.936016462</v>
      </c>
      <c r="AN85" s="405" cm="1">
        <f t="array" ref="AN85">$F85*AD85</f>
        <v>1435066.17909112</v>
      </c>
      <c r="AO85" s="405"/>
      <c r="AP85" s="405" cm="1">
        <f t="array" ref="AP85">$F85*AF85</f>
        <v>3872981.60057198</v>
      </c>
      <c r="AQ85" s="791"/>
      <c r="AR85" s="805" cm="1">
        <f t="array" ref="AR85">K84-K85</f>
        <v>11.8423</v>
      </c>
      <c r="AS85" s="805" cm="1">
        <f t="array" ref="AS85">D85-AR85</f>
        <v>5.6315</v>
      </c>
      <c r="AT85" s="791"/>
      <c r="AU85" s="806" cm="1">
        <f t="array" ref="AU85">ROUND(AV85*F85,0)</f>
        <v>50308</v>
      </c>
      <c r="AV85" s="807" cm="1">
        <f t="array" ref="AV85">IF(K84=0,0,AV84)</f>
        <v>1.0342</v>
      </c>
      <c r="AW85" s="806" cm="1">
        <f t="array" ref="AW85">ROUND(F85*AX85,0)</f>
        <v>2399</v>
      </c>
      <c r="AX85" s="807" cm="1">
        <f t="array" ref="AX85">AX$11/K$10*K84</f>
        <v>0.049312012469377</v>
      </c>
      <c r="AY85" s="808" cm="1">
        <f t="array" ref="AY85">SUM(AV85,AX85)</f>
        <v>1.08351201246938</v>
      </c>
      <c r="AZ85" s="806" cm="1">
        <f t="array" ref="AZ85">AU85+AW85</f>
        <v>52707</v>
      </c>
      <c r="BA85" s="809" cm="1">
        <f t="array" ref="BA85">AI85-AZ85-BG85</f>
        <v>110986.599099953</v>
      </c>
      <c r="BB85" s="810" cm="1">
        <f t="array" ref="BB85">ROUND(BA85/$F85,4)</f>
        <v>2.2816</v>
      </c>
      <c r="BC85" s="809" cm="1">
        <f t="array" ref="BC85">J85-SUM(AZ85,BA85,BG85)</f>
        <v>465073.497509549</v>
      </c>
      <c r="BD85" s="810" cm="1">
        <f t="array" ref="BD85">ROUND(BC85/$F85,4)</f>
        <v>9.560700000000001</v>
      </c>
      <c r="BE85" s="811" cm="1">
        <f t="array" ref="BE85">BC85+BA85</f>
        <v>576060.096609502</v>
      </c>
      <c r="BF85" s="810" cm="1">
        <f t="array" ref="BF85">ROUND((BA85+BC85)/F85,4)</f>
        <v>11.8423</v>
      </c>
      <c r="BG85" s="812" cm="1">
        <f t="array" ref="BG85">BO85*F85</f>
        <v>221232.903390498</v>
      </c>
      <c r="BH85" s="813" cm="1">
        <f t="array" ref="BH85">ROUND(BG85/$F85,4)</f>
        <v>4.548</v>
      </c>
      <c r="BI85" s="798" cm="1">
        <f t="array" ref="BI85">M84-M85</f>
        <v>498442</v>
      </c>
      <c r="BJ85" s="798" cm="1">
        <f t="array" ref="BJ85">BE85-BI85</f>
        <v>77618.096609502</v>
      </c>
      <c r="BK85" s="798" cm="1">
        <f t="array" ref="BK85">-BJ85</f>
        <v>-77618.096609502</v>
      </c>
      <c r="BL85" s="798" cm="1">
        <f t="array" ref="BL85">BG85+BJ85</f>
        <v>298851</v>
      </c>
      <c r="BM85" s="798" cm="1">
        <f t="array" ref="BM85">AVERAGE(BL83:BL85)</f>
        <v>448954</v>
      </c>
      <c r="BN85" s="814" cm="1">
        <f t="array" ref="BN85">BH84-BH85</f>
        <v>0.0487</v>
      </c>
      <c r="BO85" s="801" cm="1">
        <f t="array" ref="BO85">K84*0.0495/12-0.16</f>
        <v>4.547977175</v>
      </c>
      <c r="BP85" s="815" cm="1">
        <f t="array" ref="BP85">(BA85+BC85)/BG85</f>
        <v>2.60386266139038</v>
      </c>
      <c r="BQ85" s="815" cm="1">
        <f t="array" ref="BQ85">Y85-BB85</f>
        <v>5.63149484506971</v>
      </c>
      <c r="BR85" s="815" cm="1">
        <f t="array" ref="BR85">(BR$4*(1+BR$4)^BR$3*K84)/((1+BR$4)^BR$3-1)</f>
        <v>6.092065372334</v>
      </c>
      <c r="BS85" s="815"/>
      <c r="BT85" s="405"/>
      <c r="BU85" s="405"/>
      <c r="BV85" s="405" cm="1">
        <f t="array" ref="BV85">BA85+BC85+BV84</f>
        <v>114283682.181785</v>
      </c>
      <c r="BW85" s="405" cm="1">
        <f t="array" ref="BW85">BG85+BW84</f>
        <v>23577332.8182143</v>
      </c>
      <c r="BX85" s="801" cm="1">
        <f t="array" ref="BX85">BF85+BX84</f>
        <v>2786.0237</v>
      </c>
      <c r="BY85" s="801" cm="1">
        <f t="array" ref="BY85">BH85+BY84</f>
        <v>563.456</v>
      </c>
      <c r="BZ85" s="405" cm="1">
        <f t="array" ref="BZ85">SUM(BJ$6:BJ85)</f>
        <v>22594116.1817855</v>
      </c>
      <c r="CA85" s="801"/>
      <c r="CB85" s="801"/>
      <c r="CC85" s="405" cm="1">
        <f t="array" ref="CC85">SUM(BE$6:BE85)</f>
        <v>114283682.181786</v>
      </c>
      <c r="CD85" s="801"/>
      <c r="CE85" s="801"/>
      <c r="CF85" s="801"/>
      <c r="CG85" s="801"/>
      <c r="CH85" s="801"/>
      <c r="CI85" s="801"/>
      <c r="CJ85" s="801"/>
      <c r="CK85" s="801"/>
      <c r="CL85" s="801"/>
      <c r="CM85" s="801"/>
    </row>
    <row r="86" ht="19.35" customHeight="1" hidden="1">
      <c r="A86" s="762">
        <v>80</v>
      </c>
      <c r="B86" s="790">
        <v>47767</v>
      </c>
      <c r="C86" s="405"/>
      <c r="D86" s="791" cm="1">
        <f t="array" ref="D86">ROUND(850000/F86,4)</f>
        <v>17.3817</v>
      </c>
      <c r="E86" s="792" cm="1">
        <f t="array" ref="E86">D86/K85</f>
        <v>0.015389042178939</v>
      </c>
      <c r="F86" s="793" cm="1">
        <f t="array" ref="F86">F85*(1+G86)</f>
        <v>48902.0567211768</v>
      </c>
      <c r="G86" s="792" cm="1">
        <f t="array" ref="G86">H86-SUM(G75:G85)</f>
        <v>0.0053</v>
      </c>
      <c r="H86" s="794" cm="1">
        <f t="array" ref="H86">'depto - Table 5'!$J$2</f>
        <v>0.03</v>
      </c>
      <c r="I86" s="795" cm="1">
        <f t="array" ref="I86">H86+4.95/100</f>
        <v>0.0795</v>
      </c>
      <c r="J86" s="405" cm="1">
        <f t="array" ref="J86">IF(K85=0,0,ROUND(D86*F86,0))</f>
        <v>850001</v>
      </c>
      <c r="K86" s="796" cm="1">
        <f t="array" ref="K86">IF(K85-BF86&lt;0,0,K85-BF86)</f>
        <v>1117.6859</v>
      </c>
      <c r="L86" s="797" cm="1">
        <f t="array" ref="L86">K86/K$5</f>
        <v>0.282958455696203</v>
      </c>
      <c r="M86" s="798" cm="1">
        <f t="array" ref="M86">ROUND(K86*F86,0)</f>
        <v>54657139</v>
      </c>
      <c r="N86" s="799" cm="1">
        <f t="array" ref="N86">M86/M$5</f>
        <v>0.372749063625253</v>
      </c>
      <c r="O86" s="798" cm="1">
        <f t="array" ref="O86">M86-M85</f>
        <v>-285827</v>
      </c>
      <c r="P86" s="800" cm="1">
        <f t="array" ref="P86">T86-K86</f>
        <v>4282.3141</v>
      </c>
      <c r="Q86" s="798" cm="1">
        <f t="array" ref="Q86">ROUND(P86*F86,0)</f>
        <v>209413967</v>
      </c>
      <c r="R86" s="801" cm="1">
        <f t="array" ref="R86">$K$5-K86</f>
        <v>2832.3141</v>
      </c>
      <c r="S86" s="798" cm="1">
        <f t="array" ref="S86">Q86-Q85</f>
        <v>1678025</v>
      </c>
      <c r="T86" s="801">
        <v>5400</v>
      </c>
      <c r="U86" s="798" cm="1">
        <f t="array" ref="U86">T86*F86</f>
        <v>264071106.294355</v>
      </c>
      <c r="V86" s="802" cm="1">
        <f t="array" ref="V86">-S86</f>
        <v>-1678025</v>
      </c>
      <c r="W86" s="802"/>
      <c r="X86" s="802" cm="1">
        <f t="array" ref="X86">$K85*4.95/12/100/(1-(1+4.95/12/100)^-(360-$A86+3))+$AY86</f>
        <v>7.85430727031229</v>
      </c>
      <c r="Y86" s="803" cm="1">
        <f t="array" ref="Y86">K85*4.95/12/100/(1-(1+4.95/12/100)^-(360-$A86+3))+AY86</f>
        <v>7.85430727031229</v>
      </c>
      <c r="Z86" s="791" cm="1">
        <f t="array" ref="Z86">IF(Z$3*12&lt;=$A86,0,$K85*'depto - Departamento'!$D$8/12/(1-(1+'depto - Departamento'!$D$8/12)^-(12*Z$3-$A86+3))+$AY87)</f>
        <v>8.83896028377349</v>
      </c>
      <c r="AA86" s="791" cm="1">
        <f t="array" ref="AA86">IF(AA$3*12&lt;=$A86,0,$K85*'depto - Departamento'!$D$8/12/(1-(1+'depto - Departamento'!$D$8/12)^-(12*AA$3-$A86+3))+$AY87)</f>
        <v>10.6142809005986</v>
      </c>
      <c r="AB86" s="791" cm="1">
        <f t="array" ref="AB86">IF(AB$3*12&lt;$A86,0,$K85*'depto - Departamento'!$D$8/12/(1-(1+'depto - Departamento'!$D$8/12)^-(12*AB$3-$A86+3))+$AY86)</f>
        <v>14.5651762309736</v>
      </c>
      <c r="AC86" s="791" cm="1">
        <f t="array" ref="AC86">IF(AC$3*12&lt;$A86,0,$K85*'depto - Departamento'!$D$8/12/(1-(1+'depto - Departamento'!$D$8/12)^-(12*AC$3-$A86+3))+$AY86)</f>
        <v>20.4122517965284</v>
      </c>
      <c r="AD86" s="791" cm="1">
        <f t="array" ref="AD86">IF(AD$3*12&lt;$A86,0,$K85*'depto - Departamento'!$D$8/12/(1-(1+'depto - Departamento'!$D$8/12)^-(12*AD$3-$A86+3))+$AY86)</f>
        <v>29.8024978031837</v>
      </c>
      <c r="AE86" s="791" cm="1">
        <f t="array" ref="AE86">IF(AE$3*12&lt;$A86,0,$K85*'depto - Departamento'!$D$8/12/(1-(1+'depto - Departamento'!$D$8/12)^-(12*AE$3-$A86+3))+$AY86)</f>
        <v>0</v>
      </c>
      <c r="AF86" s="791" cm="1">
        <f t="array" ref="AF86">AF85-(AF84-AF85)</f>
        <v>79.6157</v>
      </c>
      <c r="AG86" s="791"/>
      <c r="AH86" s="791"/>
      <c r="AI86" s="804" cm="1">
        <f t="array" ref="AI86">$F86*Y86</f>
        <v>384091.779638363</v>
      </c>
      <c r="AJ86" s="405" cm="1">
        <f t="array" ref="AJ86">$F86*Z86</f>
        <v>432243.33715332</v>
      </c>
      <c r="AK86" s="405" cm="1">
        <f t="array" ref="AK86">$F86*AA86</f>
        <v>519060.166655576</v>
      </c>
      <c r="AL86" s="405" cm="1">
        <f t="array" ref="AL86">$F86*AB86</f>
        <v>712267.074201007</v>
      </c>
      <c r="AM86" s="405" cm="1">
        <f t="array" ref="AM86">$F86*AC86</f>
        <v>998201.095160775</v>
      </c>
      <c r="AN86" s="405" cm="1">
        <f t="array" ref="AN86">$F86*AD86</f>
        <v>1457403.43800404</v>
      </c>
      <c r="AO86" s="405"/>
      <c r="AP86" s="405" cm="1">
        <f t="array" ref="AP86">$F86*AF86</f>
        <v>3893371.4772962</v>
      </c>
      <c r="AQ86" s="791"/>
      <c r="AR86" s="805" cm="1">
        <f t="array" ref="AR86">K85-K86</f>
        <v>11.7996</v>
      </c>
      <c r="AS86" s="805" cm="1">
        <f t="array" ref="AS86">D86-AR86</f>
        <v>5.5821</v>
      </c>
      <c r="AT86" s="791"/>
      <c r="AU86" s="806" cm="1">
        <f t="array" ref="AU86">ROUND(AV86*F86,0)</f>
        <v>50575</v>
      </c>
      <c r="AV86" s="807" cm="1">
        <f t="array" ref="AV86">IF(K85=0,0,AV85)</f>
        <v>1.0342</v>
      </c>
      <c r="AW86" s="806" cm="1">
        <f t="array" ref="AW86">ROUND(F86*AX86,0)</f>
        <v>2386</v>
      </c>
      <c r="AX86" s="807" cm="1">
        <f t="array" ref="AX86">AX$11/K$10*K85</f>
        <v>0.048800356093999</v>
      </c>
      <c r="AY86" s="808" cm="1">
        <f t="array" ref="AY86">SUM(AV86,AX86)</f>
        <v>1.083000356094</v>
      </c>
      <c r="AZ86" s="806" cm="1">
        <f t="array" ref="AZ86">AU86+AW86</f>
        <v>52961</v>
      </c>
      <c r="BA86" s="809" cm="1">
        <f t="array" ref="BA86">AI86-AZ86-BG86</f>
        <v>111114.182268421</v>
      </c>
      <c r="BB86" s="810" cm="1">
        <f t="array" ref="BB86">ROUND(BA86/$F86,4)</f>
        <v>2.2722</v>
      </c>
      <c r="BC86" s="809" cm="1">
        <f t="array" ref="BC86">J86-SUM(AZ86,BA86,BG86)</f>
        <v>465909.220361637</v>
      </c>
      <c r="BD86" s="810" cm="1">
        <f t="array" ref="BD86">ROUND(BC86/$F86,4)</f>
        <v>9.5274</v>
      </c>
      <c r="BE86" s="811" cm="1">
        <f t="array" ref="BE86">BC86+BA86</f>
        <v>577023.402630058</v>
      </c>
      <c r="BF86" s="810" cm="1">
        <f t="array" ref="BF86">ROUND((BA86+BC86)/F86,4)</f>
        <v>11.7996</v>
      </c>
      <c r="BG86" s="812" cm="1">
        <f t="array" ref="BG86">BO86*F86</f>
        <v>220016.597369942</v>
      </c>
      <c r="BH86" s="813" cm="1">
        <f t="array" ref="BH86">ROUND(BG86/$F86,4)</f>
        <v>4.4991</v>
      </c>
      <c r="BI86" s="798" cm="1">
        <f t="array" ref="BI86">M85-M86</f>
        <v>285827</v>
      </c>
      <c r="BJ86" s="798" cm="1">
        <f t="array" ref="BJ86">BE86-BI86</f>
        <v>291196.402630058</v>
      </c>
      <c r="BK86" s="798" cm="1">
        <f t="array" ref="BK86">-BJ86</f>
        <v>-291196.402630058</v>
      </c>
      <c r="BL86" s="798" cm="1">
        <f t="array" ref="BL86">BG86+BJ86</f>
        <v>511213</v>
      </c>
      <c r="BM86" s="798" cm="1">
        <f t="array" ref="BM86">AVERAGE(BL84:BL86)</f>
        <v>344451</v>
      </c>
      <c r="BN86" s="814" cm="1">
        <f t="array" ref="BN86">BH85-BH86</f>
        <v>0.0489</v>
      </c>
      <c r="BO86" s="801" cm="1">
        <f t="array" ref="BO86">K85*0.0495/12-0.16</f>
        <v>4.4991276875</v>
      </c>
      <c r="BP86" s="815" cm="1">
        <f t="array" ref="BP86">(BA86+BC86)/BG86</f>
        <v>2.62263578988014</v>
      </c>
      <c r="BQ86" s="815" cm="1">
        <f t="array" ref="BQ86">Y86-BB86</f>
        <v>5.58210727031229</v>
      </c>
      <c r="BR86" s="815" cm="1">
        <f t="array" ref="BR86">(BR$4*(1+BR$4)^BR$3*K85)/((1+BR$4)^BR$3-1)</f>
        <v>6.02885472789093</v>
      </c>
      <c r="BS86" s="815"/>
      <c r="BT86" s="405"/>
      <c r="BU86" s="405"/>
      <c r="BV86" s="405" cm="1">
        <f t="array" ref="BV86">BA86+BC86+BV85</f>
        <v>114860705.584415</v>
      </c>
      <c r="BW86" s="405" cm="1">
        <f t="array" ref="BW86">BG86+BW85</f>
        <v>23797349.4155842</v>
      </c>
      <c r="BX86" s="801" cm="1">
        <f t="array" ref="BX86">BF86+BX85</f>
        <v>2797.8233</v>
      </c>
      <c r="BY86" s="801" cm="1">
        <f t="array" ref="BY86">BH86+BY85</f>
        <v>567.9551</v>
      </c>
      <c r="BZ86" s="405" cm="1">
        <f t="array" ref="BZ86">SUM(BJ$6:BJ86)</f>
        <v>22885312.5844156</v>
      </c>
      <c r="CA86" s="801"/>
      <c r="CB86" s="801"/>
      <c r="CC86" s="405" cm="1">
        <f t="array" ref="CC86">SUM(BE$6:BE86)</f>
        <v>114860705.584416</v>
      </c>
      <c r="CD86" s="801"/>
      <c r="CE86" s="801"/>
      <c r="CF86" s="801"/>
      <c r="CG86" s="801"/>
      <c r="CH86" s="801"/>
      <c r="CI86" s="801"/>
      <c r="CJ86" s="801"/>
      <c r="CK86" s="801"/>
      <c r="CL86" s="801"/>
      <c r="CM86" s="801"/>
    </row>
    <row r="87" ht="19.35" customHeight="1" hidden="1">
      <c r="A87" s="762">
        <v>81</v>
      </c>
      <c r="B87" s="790">
        <v>47798</v>
      </c>
      <c r="C87" s="405"/>
      <c r="D87" s="791" cm="1">
        <f t="array" ref="D87">ROUND(850000/F87,4)</f>
        <v>17.3176</v>
      </c>
      <c r="E87" s="792" cm="1">
        <f t="array" ref="E87">D87/K86</f>
        <v>0.0154941562741375</v>
      </c>
      <c r="F87" s="793" cm="1">
        <f t="array" ref="F87">F86*(1+G87)</f>
        <v>49082.9943310452</v>
      </c>
      <c r="G87" s="792" cm="1">
        <f t="array" ref="G87">H87-SUM(G76:G86)</f>
        <v>0.0037</v>
      </c>
      <c r="H87" s="794" cm="1">
        <f t="array" ref="H87">'depto - Table 5'!$J$2</f>
        <v>0.03</v>
      </c>
      <c r="I87" s="795" cm="1">
        <f t="array" ref="I87">H87+4.95/100</f>
        <v>0.0795</v>
      </c>
      <c r="J87" s="405" cm="1">
        <f t="array" ref="J87">IF(K86=0,0,ROUND(D87*F87,0))</f>
        <v>850000</v>
      </c>
      <c r="K87" s="796" cm="1">
        <f t="array" ref="K87">IF(K86-BF87&lt;0,0,K86-BF87)</f>
        <v>1105.9012</v>
      </c>
      <c r="L87" s="797" cm="1">
        <f t="array" ref="L87">K87/K$5</f>
        <v>0.279974987341772</v>
      </c>
      <c r="M87" s="798" cm="1">
        <f t="array" ref="M87">ROUND(K87*F87,0)</f>
        <v>54280942</v>
      </c>
      <c r="N87" s="799" cm="1">
        <f t="array" ref="N87">M87/M$5</f>
        <v>0.370183486976819</v>
      </c>
      <c r="O87" s="798" cm="1">
        <f t="array" ref="O87">M87-M86</f>
        <v>-376197</v>
      </c>
      <c r="P87" s="800" cm="1">
        <f t="array" ref="P87">T87-K87</f>
        <v>4294.0988</v>
      </c>
      <c r="Q87" s="798" cm="1">
        <f t="array" ref="Q87">ROUND(P87*F87,0)</f>
        <v>210767227</v>
      </c>
      <c r="R87" s="801" cm="1">
        <f t="array" ref="R87">$K$5-K87</f>
        <v>2844.0988</v>
      </c>
      <c r="S87" s="798" cm="1">
        <f t="array" ref="S87">Q87-Q86</f>
        <v>1353260</v>
      </c>
      <c r="T87" s="801">
        <v>5400</v>
      </c>
      <c r="U87" s="798" cm="1">
        <f t="array" ref="U87">T87*F87</f>
        <v>265048169.387644</v>
      </c>
      <c r="V87" s="802" cm="1">
        <f t="array" ref="V87">-S87</f>
        <v>-1353260</v>
      </c>
      <c r="W87" s="802"/>
      <c r="X87" s="802" cm="1">
        <f t="array" ref="X87">$K86*4.95/12/100/(1-(1+4.95/12/100)^-(360-$A87+3))+$AY87</f>
        <v>7.79561220816002</v>
      </c>
      <c r="Y87" s="803" cm="1">
        <f t="array" ref="Y87">K86*4.95/12/100/(1-(1+4.95/12/100)^-(360-$A87+3))+AY87</f>
        <v>7.79561220816002</v>
      </c>
      <c r="Z87" s="791" cm="1">
        <f t="array" ref="Z87">IF(Z$3*12&lt;=$A87,0,$K86*'depto - Departamento'!$D$8/12/(1-(1+'depto - Departamento'!$D$8/12)^-(12*Z$3-$A87+3))+$AY88)</f>
        <v>8.77852612486638</v>
      </c>
      <c r="AA87" s="791" cm="1">
        <f t="array" ref="AA87">IF(AA$3*12&lt;=$A87,0,$K86*'depto - Departamento'!$D$8/12/(1-(1+'depto - Departamento'!$D$8/12)^-(12*AA$3-$A87+3))+$AY88)</f>
        <v>10.555061648607</v>
      </c>
      <c r="AB87" s="791" cm="1">
        <f t="array" ref="AB87">IF(AB$3*12&lt;$A87,0,$K86*'depto - Departamento'!$D$8/12/(1-(1+'depto - Departamento'!$D$8/12)^-(12*AB$3-$A87+3))+$AY87)</f>
        <v>14.5288568900668</v>
      </c>
      <c r="AC87" s="791" cm="1">
        <f t="array" ref="AC87">IF(AC$3*12&lt;$A87,0,$K86*'depto - Departamento'!$D$8/12/(1-(1+'depto - Departamento'!$D$8/12)^-(12*AC$3-$A87+3))+$AY87)</f>
        <v>20.4615126256057</v>
      </c>
      <c r="AD87" s="791" cm="1">
        <f t="array" ref="AD87">IF(AD$3*12&lt;$A87,0,$K86*'depto - Departamento'!$D$8/12/(1-(1+'depto - Departamento'!$D$8/12)^-(12*AD$3-$A87+3))+$AY87)</f>
        <v>30.1205289187822</v>
      </c>
      <c r="AE87" s="791" cm="1">
        <f t="array" ref="AE87">IF(AE$3*12&lt;$A87,0,$K86*'depto - Departamento'!$D$8/12/(1-(1+'depto - Departamento'!$D$8/12)^-(12*AE$3-$A87+3))+$AY87)</f>
        <v>0</v>
      </c>
      <c r="AF87" s="791" cm="1">
        <f t="array" ref="AF87">AF86-(AF85-AF86)</f>
        <v>79.6129</v>
      </c>
      <c r="AG87" s="791"/>
      <c r="AH87" s="791"/>
      <c r="AI87" s="804" cm="1">
        <f t="array" ref="AI87">$F87*Y87</f>
        <v>382631.989820145</v>
      </c>
      <c r="AJ87" s="405" cm="1">
        <f t="array" ref="AJ87">$F87*Z87</f>
        <v>430876.348021749</v>
      </c>
      <c r="AK87" s="405" cm="1">
        <f t="array" ref="AK87">$F87*AA87</f>
        <v>518074.03106241</v>
      </c>
      <c r="AL87" s="405" cm="1">
        <f t="array" ref="AL87">$F87*AB87</f>
        <v>713119.800371716</v>
      </c>
      <c r="AM87" s="405" cm="1">
        <f t="array" ref="AM87">$F87*AC87</f>
        <v>1004312.30820721</v>
      </c>
      <c r="AN87" s="405" cm="1">
        <f t="array" ref="AN87">$F87*AD87</f>
        <v>1478405.75016867</v>
      </c>
      <c r="AO87" s="405"/>
      <c r="AP87" s="405" cm="1">
        <f t="array" ref="AP87">$F87*AF87</f>
        <v>3907639.51937807</v>
      </c>
      <c r="AQ87" s="791"/>
      <c r="AR87" s="805" cm="1">
        <f t="array" ref="AR87">K86-K87</f>
        <v>11.7847</v>
      </c>
      <c r="AS87" s="805" cm="1">
        <f t="array" ref="AS87">D87-AR87</f>
        <v>5.5329</v>
      </c>
      <c r="AT87" s="791"/>
      <c r="AU87" s="806" cm="1">
        <f t="array" ref="AU87">ROUND(AV87*F87,0)</f>
        <v>50762</v>
      </c>
      <c r="AV87" s="807" cm="1">
        <f t="array" ref="AV87">IF(K86=0,0,AV86)</f>
        <v>1.0342</v>
      </c>
      <c r="AW87" s="806" cm="1">
        <f t="array" ref="AW87">ROUND(F87*AX87,0)</f>
        <v>2370</v>
      </c>
      <c r="AX87" s="807" cm="1">
        <f t="array" ref="AX87">AX$11/K$10*K86</f>
        <v>0.0482905446074711</v>
      </c>
      <c r="AY87" s="808" cm="1">
        <f t="array" ref="AY87">SUM(AV87,AX87)</f>
        <v>1.08249054460747</v>
      </c>
      <c r="AZ87" s="806" cm="1">
        <f t="array" ref="AZ87">AU87+AW87</f>
        <v>53132</v>
      </c>
      <c r="BA87" s="809" cm="1">
        <f t="array" ref="BA87">AI87-AZ87-BG87</f>
        <v>111058.364802057</v>
      </c>
      <c r="BB87" s="810" cm="1">
        <f t="array" ref="BB87">ROUND(BA87/$F87,4)</f>
        <v>2.2627</v>
      </c>
      <c r="BC87" s="809" cm="1">
        <f t="array" ref="BC87">J87-SUM(AZ87,BA87,BG87)</f>
        <v>467368.010179855</v>
      </c>
      <c r="BD87" s="810" cm="1">
        <f t="array" ref="BD87">ROUND(BC87/$F87,4)</f>
        <v>9.522</v>
      </c>
      <c r="BE87" s="811" cm="1">
        <f t="array" ref="BE87">BC87+BA87</f>
        <v>578426.374981912</v>
      </c>
      <c r="BF87" s="810" cm="1">
        <f t="array" ref="BF87">ROUND((BA87+BC87)/F87,4)</f>
        <v>11.7847</v>
      </c>
      <c r="BG87" s="812" cm="1">
        <f t="array" ref="BG87">BO87*F87</f>
        <v>218441.625018088</v>
      </c>
      <c r="BH87" s="813" cm="1">
        <f t="array" ref="BH87">ROUND(BG87/$F87,4)</f>
        <v>4.4505</v>
      </c>
      <c r="BI87" s="798" cm="1">
        <f t="array" ref="BI87">M86-M87</f>
        <v>376197</v>
      </c>
      <c r="BJ87" s="798" cm="1">
        <f t="array" ref="BJ87">BE87-BI87</f>
        <v>202229.374981912</v>
      </c>
      <c r="BK87" s="798" cm="1">
        <f t="array" ref="BK87">-BJ87</f>
        <v>-202229.374981912</v>
      </c>
      <c r="BL87" s="798" cm="1">
        <f t="array" ref="BL87">BG87+BJ87</f>
        <v>420671</v>
      </c>
      <c r="BM87" s="798" cm="1">
        <f t="array" ref="BM87">AVERAGE(BL85:BL87)</f>
        <v>410245</v>
      </c>
      <c r="BN87" s="814" cm="1">
        <f t="array" ref="BN87">BH86-BH87</f>
        <v>0.0486</v>
      </c>
      <c r="BO87" s="801" cm="1">
        <f t="array" ref="BO87">K86*0.0495/12-0.16</f>
        <v>4.4504543375</v>
      </c>
      <c r="BP87" s="815" cm="1">
        <f t="array" ref="BP87">(BA87+BC87)/BG87</f>
        <v>2.64796773478505</v>
      </c>
      <c r="BQ87" s="815" cm="1">
        <f t="array" ref="BQ87">Y87-BB87</f>
        <v>5.53291220816002</v>
      </c>
      <c r="BR87" s="815" cm="1">
        <f t="array" ref="BR87">(BR$4*(1+BR$4)^BR$3*K86)/((1+BR$4)^BR$3-1)</f>
        <v>5.9658720032369</v>
      </c>
      <c r="BS87" s="815"/>
      <c r="BT87" s="405"/>
      <c r="BU87" s="405"/>
      <c r="BV87" s="405" cm="1">
        <f t="array" ref="BV87">BA87+BC87+BV86</f>
        <v>115439131.959397</v>
      </c>
      <c r="BW87" s="405" cm="1">
        <f t="array" ref="BW87">BG87+BW86</f>
        <v>24015791.0406023</v>
      </c>
      <c r="BX87" s="801" cm="1">
        <f t="array" ref="BX87">BF87+BX86</f>
        <v>2809.608</v>
      </c>
      <c r="BY87" s="801" cm="1">
        <f t="array" ref="BY87">BH87+BY86</f>
        <v>572.4056</v>
      </c>
      <c r="BZ87" s="405" cm="1">
        <f t="array" ref="BZ87">SUM(BJ$6:BJ87)</f>
        <v>23087541.9593975</v>
      </c>
      <c r="CA87" s="801"/>
      <c r="CB87" s="801"/>
      <c r="CC87" s="405" cm="1">
        <f t="array" ref="CC87">SUM(BE$6:BE87)</f>
        <v>115439131.959398</v>
      </c>
      <c r="CD87" s="801"/>
      <c r="CE87" s="801"/>
      <c r="CF87" s="801"/>
      <c r="CG87" s="801"/>
      <c r="CH87" s="801"/>
      <c r="CI87" s="801"/>
      <c r="CJ87" s="801"/>
      <c r="CK87" s="801"/>
      <c r="CL87" s="801"/>
      <c r="CM87" s="801"/>
    </row>
    <row r="88" ht="19.35" customHeight="1" hidden="1">
      <c r="A88" s="762">
        <v>82</v>
      </c>
      <c r="B88" s="790">
        <v>47828</v>
      </c>
      <c r="C88" s="405"/>
      <c r="D88" s="791" cm="1">
        <f t="array" ref="D88">ROUND(850000/F88,4)</f>
        <v>17.3141</v>
      </c>
      <c r="E88" s="792" cm="1">
        <f t="array" ref="E88">D88/K87</f>
        <v>0.0156561002013561</v>
      </c>
      <c r="F88" s="793" cm="1">
        <f t="array" ref="F88">F87*(1+G88)</f>
        <v>49092.8109299114</v>
      </c>
      <c r="G88" s="792" cm="1">
        <f t="array" ref="G88">H88-SUM(G77:G87)</f>
        <v>0.0002</v>
      </c>
      <c r="H88" s="794" cm="1">
        <f t="array" ref="H88">'depto - Table 5'!$J$2</f>
        <v>0.03</v>
      </c>
      <c r="I88" s="795" cm="1">
        <f t="array" ref="I88">H88+4.95/100</f>
        <v>0.0795</v>
      </c>
      <c r="J88" s="405" cm="1">
        <f t="array" ref="J88">IF(K87=0,0,ROUND(D88*F88,0))</f>
        <v>849998</v>
      </c>
      <c r="K88" s="796" cm="1">
        <f t="array" ref="K88">IF(K87-BF88&lt;0,0,K87-BF88)</f>
        <v>1094.0709</v>
      </c>
      <c r="L88" s="797" cm="1">
        <f t="array" ref="L88">K88/K$5</f>
        <v>0.276979974683544</v>
      </c>
      <c r="M88" s="798" cm="1">
        <f t="array" ref="M88">ROUND(K88*F88,0)</f>
        <v>53711016</v>
      </c>
      <c r="N88" s="799" cm="1">
        <f t="array" ref="N88">M88/M$5</f>
        <v>0.366296723294664</v>
      </c>
      <c r="O88" s="798" cm="1">
        <f t="array" ref="O88">M88-M87</f>
        <v>-569926</v>
      </c>
      <c r="P88" s="800" cm="1">
        <f t="array" ref="P88">T88-K88</f>
        <v>4305.9291</v>
      </c>
      <c r="Q88" s="798" cm="1">
        <f t="array" ref="Q88">ROUND(P88*F88,0)</f>
        <v>211390163</v>
      </c>
      <c r="R88" s="801" cm="1">
        <f t="array" ref="R88">$K$5-K88</f>
        <v>2855.9291</v>
      </c>
      <c r="S88" s="798" cm="1">
        <f t="array" ref="S88">Q88-Q87</f>
        <v>622936</v>
      </c>
      <c r="T88" s="801">
        <v>5400</v>
      </c>
      <c r="U88" s="798" cm="1">
        <f t="array" ref="U88">T88*F88</f>
        <v>265101179.021522</v>
      </c>
      <c r="V88" s="802" cm="1">
        <f t="array" ref="V88">-S88</f>
        <v>-622936</v>
      </c>
      <c r="W88" s="802"/>
      <c r="X88" s="802" cm="1">
        <f t="array" ref="X88">$K87*4.95/12/100/(1-(1+4.95/12/100)^-(360-$A88+3))+$AY88</f>
        <v>7.73684054474567</v>
      </c>
      <c r="Y88" s="803" cm="1">
        <f t="array" ref="Y88">K87*4.95/12/100/(1-(1+4.95/12/100)^-(360-$A88+3))+AY88</f>
        <v>7.73684054474567</v>
      </c>
      <c r="Z88" s="791" cm="1">
        <f t="array" ref="Z88">IF(Z$3*12&lt;=$A88,0,$K87*'depto - Departamento'!$D$8/12/(1-(1+'depto - Departamento'!$D$8/12)^-(12*Z$3-$A88+3))+$AY89)</f>
        <v>8.717949268866461</v>
      </c>
      <c r="AA88" s="791" cm="1">
        <f t="array" ref="AA88">IF(AA$3*12&lt;=$A88,0,$K87*'depto - Departamento'!$D$8/12/(1-(1+'depto - Departamento'!$D$8/12)^-(12*AA$3-$A88+3))+$AY89)</f>
        <v>10.4956252843874</v>
      </c>
      <c r="AB88" s="791" cm="1">
        <f t="array" ref="AB88">IF(AB$3*12&lt;$A88,0,$K87*'depto - Departamento'!$D$8/12/(1-(1+'depto - Departamento'!$D$8/12)^-(12*AB$3-$A88+3))+$AY88)</f>
        <v>14.4925895187619</v>
      </c>
      <c r="AC88" s="791" cm="1">
        <f t="array" ref="AC88">IF(AC$3*12&lt;$A88,0,$K87*'depto - Departamento'!$D$8/12/(1-(1+'depto - Departamento'!$D$8/12)^-(12*AC$3-$A88+3))+$AY88)</f>
        <v>20.513432082586</v>
      </c>
      <c r="AD88" s="791" cm="1">
        <f t="array" ref="AD88">IF(AD$3*12&lt;$A88,0,$K87*'depto - Departamento'!$D$8/12/(1-(1+'depto - Departamento'!$D$8/12)^-(12*AD$3-$A88+3))+$AY88)</f>
        <v>30.4558274430385</v>
      </c>
      <c r="AE88" s="791" cm="1">
        <f t="array" ref="AE88">IF(AE$3*12&lt;$A88,0,$K87*'depto - Departamento'!$D$8/12/(1-(1+'depto - Departamento'!$D$8/12)^-(12*AE$3-$A88+3))+$AY88)</f>
        <v>0</v>
      </c>
      <c r="AF88" s="791" cm="1">
        <f t="array" ref="AF88">AF87-(AF86-AF87)</f>
        <v>79.6101</v>
      </c>
      <c r="AG88" s="791"/>
      <c r="AH88" s="791"/>
      <c r="AI88" s="804" cm="1">
        <f t="array" ref="AI88">$F88*Y88</f>
        <v>379823.250058072</v>
      </c>
      <c r="AJ88" s="405" cm="1">
        <f t="array" ref="AJ88">$F88*Z88</f>
        <v>427988.63515302</v>
      </c>
      <c r="AK88" s="405" cm="1">
        <f t="array" ref="AK88">$F88*AA88</f>
        <v>515259.747677628</v>
      </c>
      <c r="AL88" s="405" cm="1">
        <f t="array" ref="AL88">$F88*AB88</f>
        <v>711481.9571293941</v>
      </c>
      <c r="AM88" s="405" cm="1">
        <f t="array" ref="AM88">$F88*AC88</f>
        <v>1007062.04275397</v>
      </c>
      <c r="AN88" s="405" cm="1">
        <f t="array" ref="AN88">$F88*AD88</f>
        <v>1495162.1783751</v>
      </c>
      <c r="AO88" s="405"/>
      <c r="AP88" s="405" cm="1">
        <f t="array" ref="AP88">$F88*AF88</f>
        <v>3908283.58741134</v>
      </c>
      <c r="AQ88" s="791"/>
      <c r="AR88" s="805" cm="1">
        <f t="array" ref="AR88">K87-K88</f>
        <v>11.8303</v>
      </c>
      <c r="AS88" s="805" cm="1">
        <f t="array" ref="AS88">D88-AR88</f>
        <v>5.4838</v>
      </c>
      <c r="AT88" s="791"/>
      <c r="AU88" s="806" cm="1">
        <f t="array" ref="AU88">ROUND(AV88*F88,0)</f>
        <v>50772</v>
      </c>
      <c r="AV88" s="807" cm="1">
        <f t="array" ref="AV88">IF(K87=0,0,AV87)</f>
        <v>1.0342</v>
      </c>
      <c r="AW88" s="806" cm="1">
        <f t="array" ref="AW88">ROUND(F88*AX88,0)</f>
        <v>2346</v>
      </c>
      <c r="AX88" s="807" cm="1">
        <f t="array" ref="AX88">AX$11/K$10*K87</f>
        <v>0.0477813768877784</v>
      </c>
      <c r="AY88" s="808" cm="1">
        <f t="array" ref="AY88">SUM(AV88,AX88)</f>
        <v>1.08198137688778</v>
      </c>
      <c r="AZ88" s="806" cm="1">
        <f t="array" ref="AZ88">AU88+AW88</f>
        <v>53118</v>
      </c>
      <c r="BA88" s="809" cm="1">
        <f t="array" ref="BA88">AI88-AZ88-BG88</f>
        <v>110606.430916964</v>
      </c>
      <c r="BB88" s="810" cm="1">
        <f t="array" ref="BB88">ROUND(BA88/$F88,4)</f>
        <v>2.253</v>
      </c>
      <c r="BC88" s="809" cm="1">
        <f t="array" ref="BC88">J88-SUM(AZ88,BA88,BG88)</f>
        <v>470174.749941928</v>
      </c>
      <c r="BD88" s="810" cm="1">
        <f t="array" ref="BD88">ROUND(BC88/$F88,4)</f>
        <v>9.577299999999999</v>
      </c>
      <c r="BE88" s="811" cm="1">
        <f t="array" ref="BE88">BC88+BA88</f>
        <v>580781.180858892</v>
      </c>
      <c r="BF88" s="810" cm="1">
        <f t="array" ref="BF88">ROUND((BA88+BC88)/F88,4)</f>
        <v>11.8303</v>
      </c>
      <c r="BG88" s="812" cm="1">
        <f t="array" ref="BG88">BO88*F88</f>
        <v>216098.819141108</v>
      </c>
      <c r="BH88" s="813" cm="1">
        <f t="array" ref="BH88">ROUND(BG88/$F88,4)</f>
        <v>4.4018</v>
      </c>
      <c r="BI88" s="798" cm="1">
        <f t="array" ref="BI88">M87-M88</f>
        <v>569926</v>
      </c>
      <c r="BJ88" s="798" cm="1">
        <f t="array" ref="BJ88">BE88-BI88</f>
        <v>10855.180858892</v>
      </c>
      <c r="BK88" s="798" cm="1">
        <f t="array" ref="BK88">-BJ88</f>
        <v>-10855.180858892</v>
      </c>
      <c r="BL88" s="798" cm="1">
        <f t="array" ref="BL88">BG88+BJ88</f>
        <v>226954</v>
      </c>
      <c r="BM88" s="798" cm="1">
        <f t="array" ref="BM88">AVERAGE(BL86:BL88)</f>
        <v>386279.333333333</v>
      </c>
      <c r="BN88" s="814" cm="1">
        <f t="array" ref="BN88">BH87-BH88</f>
        <v>0.0487</v>
      </c>
      <c r="BO88" s="801" cm="1">
        <f t="array" ref="BO88">K87*0.0495/12-0.16</f>
        <v>4.40184245</v>
      </c>
      <c r="BP88" s="815" cm="1">
        <f t="array" ref="BP88">(BA88+BC88)/BG88</f>
        <v>2.68757220963644</v>
      </c>
      <c r="BQ88" s="815" cm="1">
        <f t="array" ref="BQ88">Y88-BB88</f>
        <v>5.48384054474567</v>
      </c>
      <c r="BR88" s="815" cm="1">
        <f t="array" ref="BR88">(BR$4*(1+BR$4)^BR$3*K87)/((1+BR$4)^BR$3-1)</f>
        <v>5.90296881031253</v>
      </c>
      <c r="BS88" s="815"/>
      <c r="BT88" s="405"/>
      <c r="BU88" s="405"/>
      <c r="BV88" s="405" cm="1">
        <f t="array" ref="BV88">BA88+BC88+BV87</f>
        <v>116019913.140256</v>
      </c>
      <c r="BW88" s="405" cm="1">
        <f t="array" ref="BW88">BG88+BW87</f>
        <v>24231889.8597434</v>
      </c>
      <c r="BX88" s="801" cm="1">
        <f t="array" ref="BX88">BF88+BX87</f>
        <v>2821.4383</v>
      </c>
      <c r="BY88" s="801" cm="1">
        <f t="array" ref="BY88">BH88+BY87</f>
        <v>576.8074</v>
      </c>
      <c r="BZ88" s="405" cm="1">
        <f t="array" ref="BZ88">SUM(BJ$6:BJ88)</f>
        <v>23098397.1402564</v>
      </c>
      <c r="CA88" s="801"/>
      <c r="CB88" s="801"/>
      <c r="CC88" s="405" cm="1">
        <f t="array" ref="CC88">SUM(BE$6:BE88)</f>
        <v>116019913.140256</v>
      </c>
      <c r="CD88" s="801"/>
      <c r="CE88" s="801"/>
      <c r="CF88" s="801"/>
      <c r="CG88" s="801"/>
      <c r="CH88" s="801"/>
      <c r="CI88" s="801"/>
      <c r="CJ88" s="801"/>
      <c r="CK88" s="801"/>
      <c r="CL88" s="801"/>
      <c r="CM88" s="801"/>
    </row>
    <row r="89" ht="19.35" customHeight="1" hidden="1">
      <c r="A89" s="762">
        <v>83</v>
      </c>
      <c r="B89" s="763">
        <v>47859</v>
      </c>
      <c r="C89" s="764"/>
      <c r="D89" s="765" cm="1">
        <f t="array" ref="D89">ROUND(850000/F89,4)</f>
        <v>17.6531</v>
      </c>
      <c r="E89" s="766" cm="1">
        <f t="array" ref="E89">D89/K88</f>
        <v>0.0161352431547169</v>
      </c>
      <c r="F89" s="767" cm="1">
        <f t="array" ref="F89">F88*(1+G89)</f>
        <v>48150.2289600571</v>
      </c>
      <c r="G89" s="766" cm="1">
        <f t="array" ref="G89">H89-SUM(G78:G88)</f>
        <v>-0.0192</v>
      </c>
      <c r="H89" s="768" cm="1">
        <f t="array" ref="H89">'depto - Table 5'!$K$2</f>
        <v>0.03</v>
      </c>
      <c r="I89" s="769" cm="1">
        <f t="array" ref="I89">H89+4.95/100</f>
        <v>0.0795</v>
      </c>
      <c r="J89" s="764" cm="1">
        <f t="array" ref="J89">IF(K88=0,0,ROUND(D89*F89,0))</f>
        <v>850001</v>
      </c>
      <c r="K89" s="770" cm="1">
        <f t="array" ref="K89">IF(K88-BF89&lt;0,0,K88-BF89)</f>
        <v>1081.8523</v>
      </c>
      <c r="L89" s="771" cm="1">
        <f t="array" ref="L89">K89/K$5</f>
        <v>0.273886658227848</v>
      </c>
      <c r="M89" s="772" cm="1">
        <f t="array" ref="M89">ROUND(K89*F89,0)</f>
        <v>52091436</v>
      </c>
      <c r="N89" s="773" cm="1">
        <f t="array" ref="N89">M89/M$5</f>
        <v>0.355251561774845</v>
      </c>
      <c r="O89" s="772" cm="1">
        <f t="array" ref="O89">M89-M88</f>
        <v>-1619580</v>
      </c>
      <c r="P89" s="774" cm="1">
        <f t="array" ref="P89">T89-K89</f>
        <v>4318.1477</v>
      </c>
      <c r="Q89" s="772" cm="1">
        <f t="array" ref="Q89">ROUND(P89*F89,0)</f>
        <v>207919800</v>
      </c>
      <c r="R89" s="775" cm="1">
        <f t="array" ref="R89">$K$5-K89</f>
        <v>2868.1477</v>
      </c>
      <c r="S89" s="772" cm="1">
        <f t="array" ref="S89">Q89-Q88</f>
        <v>-3470363</v>
      </c>
      <c r="T89" s="775">
        <v>5400</v>
      </c>
      <c r="U89" s="772" cm="1">
        <f t="array" ref="U89">T89*F89</f>
        <v>260011236.384308</v>
      </c>
      <c r="V89" s="776" cm="1">
        <f t="array" ref="V89">-S89</f>
        <v>3470363</v>
      </c>
      <c r="W89" s="776"/>
      <c r="X89" s="776" cm="1">
        <f t="array" ref="X89">$K88*4.95/12/100/(1-(1+4.95/12/100)^-(360-$A89+3))+$AY89</f>
        <v>7.67762332918865</v>
      </c>
      <c r="Y89" s="777" cm="1">
        <f t="array" ref="Y89">K88*4.95/12/100/(1-(1+4.95/12/100)^-(360-$A89+3))+AY89</f>
        <v>7.67762332918865</v>
      </c>
      <c r="Z89" s="765" cm="1">
        <f t="array" ref="Z89">IF(Z$3*12&lt;=$A89,0,$K88*'depto - Departamento'!$D$8/12/(1-(1+'depto - Departamento'!$D$8/12)^-(12*Z$3-$A89+3))+$AY90)</f>
        <v>8.65679310821236</v>
      </c>
      <c r="AA89" s="765" cm="1">
        <f t="array" ref="AA89">IF(AA$3*12&lt;=$A89,0,$K88*'depto - Departamento'!$D$8/12/(1-(1+'depto - Departamento'!$D$8/12)^-(12*AA$3-$A89+3))+$AY90)</f>
        <v>10.4354343918538</v>
      </c>
      <c r="AB89" s="765" cm="1">
        <f t="array" ref="AB89">IF(AB$3*12&lt;$A89,0,$K88*'depto - Departamento'!$D$8/12/(1-(1+'depto - Departamento'!$D$8/12)^-(12*AB$3-$A89+3))+$AY89)</f>
        <v>14.4556314554248</v>
      </c>
      <c r="AC89" s="765" cm="1">
        <f t="array" ref="AC89">IF(AC$3*12&lt;$A89,0,$K88*'depto - Departamento'!$D$8/12/(1-(1+'depto - Departamento'!$D$8/12)^-(12*AC$3-$A89+3))+$AY89)</f>
        <v>20.5670515207307</v>
      </c>
      <c r="AD89" s="765" cm="1">
        <f t="array" ref="AD89">IF(AD$3*12&lt;$A89,0,$K88*'depto - Departamento'!$D$8/12/(1-(1+'depto - Departamento'!$D$8/12)^-(12*AD$3-$A89+3))+$AY89)</f>
        <v>30.8080370288002</v>
      </c>
      <c r="AE89" s="765" cm="1">
        <f t="array" ref="AE89">IF(AE$3*12&lt;$A89,0,$K88*'depto - Departamento'!$D$8/12/(1-(1+'depto - Departamento'!$D$8/12)^-(12*AE$3-$A89+3))+$AY89)</f>
        <v>0</v>
      </c>
      <c r="AF89" s="765" cm="1">
        <f t="array" ref="AF89">AF88-(AF87-AF88)</f>
        <v>79.6073</v>
      </c>
      <c r="AG89" s="765"/>
      <c r="AH89" s="765"/>
      <c r="AI89" s="778" cm="1">
        <f t="array" ref="AI89">$F89*Y89</f>
        <v>369679.321169509</v>
      </c>
      <c r="AJ89" s="816" cm="1">
        <f t="array" ref="AJ89">$F89*Z89</f>
        <v>416826.570220269</v>
      </c>
      <c r="AK89" s="816" cm="1">
        <f t="array" ref="AK89">$F89*AA89</f>
        <v>502468.555265415</v>
      </c>
      <c r="AL89" s="764" cm="1">
        <f t="array" ref="AL89">$F89*AB89</f>
        <v>696041.964340908</v>
      </c>
      <c r="AM89" s="764" cm="1">
        <f t="array" ref="AM89">$F89*AC89</f>
        <v>990308.239756474</v>
      </c>
      <c r="AN89" s="764" cm="1">
        <f t="array" ref="AN89">$F89*AD89</f>
        <v>1483414.03674665</v>
      </c>
      <c r="AO89" s="764"/>
      <c r="AP89" s="764" cm="1">
        <f t="array" ref="AP89">$F89*AF89</f>
        <v>3833109.72189195</v>
      </c>
      <c r="AQ89" s="765"/>
      <c r="AR89" s="779" cm="1">
        <f t="array" ref="AR89">K88-K89</f>
        <v>12.2186</v>
      </c>
      <c r="AS89" s="779" cm="1">
        <f t="array" ref="AS89">D89-AR89</f>
        <v>5.4345</v>
      </c>
      <c r="AT89" s="765"/>
      <c r="AU89" s="780" cm="1">
        <f t="array" ref="AU89">ROUND(AV89*F89,0)</f>
        <v>49797</v>
      </c>
      <c r="AV89" s="781" cm="1">
        <f t="array" ref="AV89">IF(K88=0,0,AV88)</f>
        <v>1.0342</v>
      </c>
      <c r="AW89" s="780" cm="1">
        <f t="array" ref="AW89">ROUND(F89*AX89,0)</f>
        <v>2276</v>
      </c>
      <c r="AX89" s="781" cm="1">
        <f t="array" ref="AX89">AX$11/K$10*K88</f>
        <v>0.0472702389823349</v>
      </c>
      <c r="AY89" s="782" cm="1">
        <f t="array" ref="AY89">SUM(AV89,AX89)</f>
        <v>1.08147023898233</v>
      </c>
      <c r="AZ89" s="780" cm="1">
        <f t="array" ref="AZ89">AU89+AW89</f>
        <v>52073</v>
      </c>
      <c r="BA89" s="783" cm="1">
        <f t="array" ref="BA89">AI89-AZ89-BG89</f>
        <v>108006.329927283</v>
      </c>
      <c r="BB89" s="784" cm="1">
        <f t="array" ref="BB89">ROUND(BA89/$F89,4)</f>
        <v>2.2431</v>
      </c>
      <c r="BC89" s="783" cm="1">
        <f t="array" ref="BC89">J89-SUM(AZ89,BA89,BG89)</f>
        <v>480321.678830491</v>
      </c>
      <c r="BD89" s="784" cm="1">
        <f t="array" ref="BD89">ROUND(BC89/$F89,4)</f>
        <v>9.9755</v>
      </c>
      <c r="BE89" s="785" cm="1">
        <f t="array" ref="BE89">BC89+BA89</f>
        <v>588328.008757774</v>
      </c>
      <c r="BF89" s="784" cm="1">
        <f t="array" ref="BF89">ROUND((BA89+BC89)/F89,4)</f>
        <v>12.2186</v>
      </c>
      <c r="BG89" s="786" cm="1">
        <f t="array" ref="BG89">BO89*F89</f>
        <v>209599.991242226</v>
      </c>
      <c r="BH89" s="787" cm="1">
        <f t="array" ref="BH89">ROUND(BG89/$F89,4)</f>
        <v>4.353</v>
      </c>
      <c r="BI89" s="772" cm="1">
        <f t="array" ref="BI89">M88-M89</f>
        <v>1619580</v>
      </c>
      <c r="BJ89" s="772" cm="1">
        <f t="array" ref="BJ89">BE89-BI89</f>
        <v>-1031251.99124223</v>
      </c>
      <c r="BK89" s="772" cm="1">
        <f t="array" ref="BK89">-BJ89</f>
        <v>1031251.99124223</v>
      </c>
      <c r="BL89" s="772" cm="1">
        <f t="array" ref="BL89">BG89+BJ89</f>
        <v>-821652.000000004</v>
      </c>
      <c r="BM89" s="772" cm="1">
        <f t="array" ref="BM89">AVERAGE(BL87:BL89)</f>
        <v>-58009.0000000013</v>
      </c>
      <c r="BN89" s="788" cm="1">
        <f t="array" ref="BN89">BH88-BH89</f>
        <v>0.0488</v>
      </c>
      <c r="BO89" s="775" cm="1">
        <f t="array" ref="BO89">K88*0.0495/12-0.16</f>
        <v>4.3530424625</v>
      </c>
      <c r="BP89" s="789" cm="1">
        <f t="array" ref="BP89">(BA89+BC89)/BG89</f>
        <v>2.80690855601166</v>
      </c>
      <c r="BQ89" s="789" cm="1">
        <f t="array" ref="BQ89">Y89-BB89</f>
        <v>5.43452332918865</v>
      </c>
      <c r="BR89" s="789" cm="1">
        <f t="array" ref="BR89">(BR$4*(1+BR$4)^BR$3*K88)/((1+BR$4)^BR$3-1)</f>
        <v>5.83982221826919</v>
      </c>
      <c r="BS89" s="789"/>
      <c r="BT89" s="764"/>
      <c r="BU89" s="764"/>
      <c r="BV89" s="764" cm="1">
        <f t="array" ref="BV89">BA89+BC89+BV88</f>
        <v>116608241.149014</v>
      </c>
      <c r="BW89" s="764" cm="1">
        <f t="array" ref="BW89">BG89+BW88</f>
        <v>24441489.8509856</v>
      </c>
      <c r="BX89" s="775" cm="1">
        <f t="array" ref="BX89">BF89+BX88</f>
        <v>2833.6569</v>
      </c>
      <c r="BY89" s="775" cm="1">
        <f t="array" ref="BY89">BH89+BY88</f>
        <v>581.1604</v>
      </c>
      <c r="BZ89" s="764" cm="1">
        <f t="array" ref="BZ89">SUM(BJ$6:BJ89)</f>
        <v>22067145.1490142</v>
      </c>
      <c r="CA89" s="775"/>
      <c r="CB89" s="775"/>
      <c r="CC89" s="764" cm="1">
        <f t="array" ref="CC89">SUM(BE$6:BE89)</f>
        <v>116608241.149014</v>
      </c>
      <c r="CD89" s="775"/>
      <c r="CE89" s="775"/>
      <c r="CF89" s="775"/>
      <c r="CG89" s="775"/>
      <c r="CH89" s="775"/>
      <c r="CI89" s="775"/>
      <c r="CJ89" s="775"/>
      <c r="CK89" s="775"/>
      <c r="CL89" s="775"/>
      <c r="CM89" s="775"/>
    </row>
    <row r="90" ht="19.35" customHeight="1" hidden="1">
      <c r="A90" s="762">
        <v>84</v>
      </c>
      <c r="B90" s="763">
        <v>47890</v>
      </c>
      <c r="C90" s="764"/>
      <c r="D90" s="765" cm="1">
        <f t="array" ref="D90">ROUND(850000/F90,4)</f>
        <v>17.6478</v>
      </c>
      <c r="E90" s="766" cm="1">
        <f t="array" ref="E90">D90/K89</f>
        <v>0.0163125779739064</v>
      </c>
      <c r="F90" s="767" cm="1">
        <f t="array" ref="F90">F89*(1+G90)</f>
        <v>48164.6740287451</v>
      </c>
      <c r="G90" s="766" cm="1">
        <f t="array" ref="G90">H90-SUM(G79:G89)</f>
        <v>0.0003</v>
      </c>
      <c r="H90" s="768" cm="1">
        <f t="array" ref="H90">'depto - Table 5'!$K$2</f>
        <v>0.03</v>
      </c>
      <c r="I90" s="769" cm="1">
        <f t="array" ref="I90">H90+4.95/100</f>
        <v>0.0795</v>
      </c>
      <c r="J90" s="764" cm="1">
        <f t="array" ref="J90">IF(K89=0,0,ROUND(D90*F90,0))</f>
        <v>850001</v>
      </c>
      <c r="K90" s="770" cm="1">
        <f t="array" ref="K90">IF(K89-BF90&lt;0,0,K89-BF90)</f>
        <v>1069.5881</v>
      </c>
      <c r="L90" s="771" cm="1">
        <f t="array" ref="L90">K90/K$5</f>
        <v>0.270781797468354</v>
      </c>
      <c r="M90" s="772" cm="1">
        <f t="array" ref="M90">ROUND(K90*F90,0)</f>
        <v>51516362</v>
      </c>
      <c r="N90" s="773" cm="1">
        <f t="array" ref="N90">M90/M$5</f>
        <v>0.351329689921743</v>
      </c>
      <c r="O90" s="772" cm="1">
        <f t="array" ref="O90">M90-M89</f>
        <v>-575074</v>
      </c>
      <c r="P90" s="774" cm="1">
        <f t="array" ref="P90">T90-K90</f>
        <v>4330.4119</v>
      </c>
      <c r="Q90" s="772" cm="1">
        <f t="array" ref="Q90">ROUND(P90*F90,0)</f>
        <v>208572878</v>
      </c>
      <c r="R90" s="775" cm="1">
        <f t="array" ref="R90">$K$5-K90</f>
        <v>2880.4119</v>
      </c>
      <c r="S90" s="772" cm="1">
        <f t="array" ref="S90">Q90-Q89</f>
        <v>653078</v>
      </c>
      <c r="T90" s="775">
        <v>5400</v>
      </c>
      <c r="U90" s="772" cm="1">
        <f t="array" ref="U90">T90*F90</f>
        <v>260089239.755224</v>
      </c>
      <c r="V90" s="776" cm="1">
        <f t="array" ref="V90">-S90</f>
        <v>-653078</v>
      </c>
      <c r="W90" s="776"/>
      <c r="X90" s="776" cm="1">
        <f t="array" ref="X90">$K89*4.95/12/100/(1-(1+4.95/12/100)^-(360-$A90+3))+$AY90</f>
        <v>7.61587198303137</v>
      </c>
      <c r="Y90" s="777" cm="1">
        <f t="array" ref="Y90">K89*4.95/12/100/(1-(1+4.95/12/100)^-(360-$A90+3))+AY90</f>
        <v>7.61587198303137</v>
      </c>
      <c r="Z90" s="765" cm="1">
        <f t="array" ref="Z90">IF(Z$3*12&lt;=$A90,0,$K89*'depto - Departamento'!$D$8/12/(1-(1+'depto - Departamento'!$D$8/12)^-(12*Z$3-$A90+3))+$AY91)</f>
        <v>8.592686324011479</v>
      </c>
      <c r="AA90" s="765" cm="1">
        <f t="array" ref="AA90">IF(AA$3*12&lt;=$A90,0,$K89*'depto - Departamento'!$D$8/12/(1-(1+'depto - Departamento'!$D$8/12)^-(12*AA$3-$A90+3))+$AY91)</f>
        <v>10.3715482555772</v>
      </c>
      <c r="AB90" s="765" cm="1">
        <f t="array" ref="AB90">IF(AB$3*12&lt;$A90,0,$K89*'depto - Departamento'!$D$8/12/(1-(1+'depto - Departamento'!$D$8/12)^-(12*AB$3-$A90+3))+$AY90)</f>
        <v>14.4137258308361</v>
      </c>
      <c r="AC90" s="765" cm="1">
        <f t="array" ref="AC90">IF(AC$3*12&lt;$A90,0,$K89*'depto - Departamento'!$D$8/12/(1-(1+'depto - Departamento'!$D$8/12)^-(12*AC$3-$A90+3))+$AY90)</f>
        <v>20.6162522504317</v>
      </c>
      <c r="AD90" s="765" cm="1">
        <f t="array" ref="AD90">IF(AD$3*12&lt;$A90,0,$K89*'depto - Departamento'!$D$8/12/(1-(1+'depto - Departamento'!$D$8/12)^-(12*AD$3-$A90+3))+$AY90)</f>
        <v>31.1689179369295</v>
      </c>
      <c r="AE90" s="765" cm="1">
        <f t="array" ref="AE90">IF(AE$3*12&lt;$A90,0,$K89*'depto - Departamento'!$D$8/12/(1-(1+'depto - Departamento'!$D$8/12)^-(12*AE$3-$A90+3))+$AY90)</f>
        <v>0</v>
      </c>
      <c r="AF90" s="765" cm="1">
        <f t="array" ref="AF90">AF89-(AF88-AF89)</f>
        <v>79.6045</v>
      </c>
      <c r="AG90" s="765"/>
      <c r="AH90" s="765"/>
      <c r="AI90" s="778" cm="1">
        <f t="array" ref="AI90">$F90*Y90</f>
        <v>366815.991507358</v>
      </c>
      <c r="AJ90" s="816" cm="1">
        <f t="array" ref="AJ90">$F90*Z90</f>
        <v>413863.935827269</v>
      </c>
      <c r="AK90" s="816" cm="1">
        <f t="array" ref="AK90">$F90*AA90</f>
        <v>499542.240903276</v>
      </c>
      <c r="AL90" s="764" cm="1">
        <f t="array" ref="AL90">$F90*AB90</f>
        <v>694232.406181924</v>
      </c>
      <c r="AM90" s="764" cm="1">
        <f t="array" ref="AM90">$F90*AC90</f>
        <v>992975.069336425</v>
      </c>
      <c r="AN90" s="764" cm="1">
        <f t="array" ref="AN90">$F90*AD90</f>
        <v>1501240.77226092</v>
      </c>
      <c r="AO90" s="764"/>
      <c r="AP90" s="764" cm="1">
        <f t="array" ref="AP90">$F90*AF90</f>
        <v>3834124.79372124</v>
      </c>
      <c r="AQ90" s="765"/>
      <c r="AR90" s="779" cm="1">
        <f t="array" ref="AR90">K89-K90</f>
        <v>12.2642</v>
      </c>
      <c r="AS90" s="779" cm="1">
        <f t="array" ref="AS90">D90-AR90</f>
        <v>5.3836</v>
      </c>
      <c r="AT90" s="765"/>
      <c r="AU90" s="780" cm="1">
        <f t="array" ref="AU90">ROUND(AV90*F90,0)</f>
        <v>49812</v>
      </c>
      <c r="AV90" s="781" cm="1">
        <f t="array" ref="AV90">IF(K89=0,0,AV89)</f>
        <v>1.0342</v>
      </c>
      <c r="AW90" s="780" cm="1">
        <f t="array" ref="AW90">ROUND(F90*AX90,0)</f>
        <v>2251</v>
      </c>
      <c r="AX90" s="781" cm="1">
        <f t="array" ref="AX90">AX$11/K$10*K89</f>
        <v>0.0467423242539296</v>
      </c>
      <c r="AY90" s="782" cm="1">
        <f t="array" ref="AY90">SUM(AV90,AX90)</f>
        <v>1.08094232425393</v>
      </c>
      <c r="AZ90" s="780" cm="1">
        <f t="array" ref="AZ90">AU90+AW90</f>
        <v>52063</v>
      </c>
      <c r="BA90" s="783" cm="1">
        <f t="array" ref="BA90">AI90-AZ90-BG90</f>
        <v>107517.702922871</v>
      </c>
      <c r="BB90" s="784" cm="1">
        <f t="array" ref="BB90">ROUND(BA90/$F90,4)</f>
        <v>2.2323</v>
      </c>
      <c r="BC90" s="783" cm="1">
        <f t="array" ref="BC90">J90-SUM(AZ90,BA90,BG90)</f>
        <v>483185.008492642</v>
      </c>
      <c r="BD90" s="784" cm="1">
        <f t="array" ref="BD90">ROUND(BC90/$F90,4)</f>
        <v>10.0319</v>
      </c>
      <c r="BE90" s="785" cm="1">
        <f t="array" ref="BE90">BC90+BA90</f>
        <v>590702.711415513</v>
      </c>
      <c r="BF90" s="784" cm="1">
        <f t="array" ref="BF90">ROUND((BA90+BC90)/F90,4)</f>
        <v>12.2642</v>
      </c>
      <c r="BG90" s="786" cm="1">
        <f t="array" ref="BG90">BO90*F90</f>
        <v>207235.288584487</v>
      </c>
      <c r="BH90" s="787" cm="1">
        <f t="array" ref="BH90">ROUND(BG90/$F90,4)</f>
        <v>4.3026</v>
      </c>
      <c r="BI90" s="772" cm="1">
        <f t="array" ref="BI90">M89-M90</f>
        <v>575074</v>
      </c>
      <c r="BJ90" s="772" cm="1">
        <f t="array" ref="BJ90">BE90-BI90</f>
        <v>15628.711415513</v>
      </c>
      <c r="BK90" s="772" cm="1">
        <f t="array" ref="BK90">-BJ90</f>
        <v>-15628.711415513</v>
      </c>
      <c r="BL90" s="772" cm="1">
        <f t="array" ref="BL90">BG90+BJ90</f>
        <v>222864</v>
      </c>
      <c r="BM90" s="772" cm="1">
        <f t="array" ref="BM90">AVERAGE(BL88:BL90)</f>
        <v>-123944.666666668</v>
      </c>
      <c r="BN90" s="788" cm="1">
        <f t="array" ref="BN90">BH89-BH90</f>
        <v>0.0504</v>
      </c>
      <c r="BO90" s="775" cm="1">
        <f t="array" ref="BO90">K89*0.0495/12-0.16</f>
        <v>4.3026407375</v>
      </c>
      <c r="BP90" s="789" cm="1">
        <f t="array" ref="BP90">(BA90+BC90)/BG90</f>
        <v>2.85039635599847</v>
      </c>
      <c r="BQ90" s="789" cm="1">
        <f t="array" ref="BQ90">Y90-BB90</f>
        <v>5.38357198303137</v>
      </c>
      <c r="BR90" s="789" cm="1">
        <f t="array" ref="BR90">(BR$4*(1+BR$4)^BR$3*K89)/((1+BR$4)^BR$3-1)</f>
        <v>5.7746029973246</v>
      </c>
      <c r="BS90" s="789"/>
      <c r="BT90" s="764"/>
      <c r="BU90" s="764"/>
      <c r="BV90" s="764" cm="1">
        <f t="array" ref="BV90">BA90+BC90+BV89</f>
        <v>117198943.86043</v>
      </c>
      <c r="BW90" s="764" cm="1">
        <f t="array" ref="BW90">BG90+BW89</f>
        <v>24648725.1395701</v>
      </c>
      <c r="BX90" s="775" cm="1">
        <f t="array" ref="BX90">BF90+BX89</f>
        <v>2845.9211</v>
      </c>
      <c r="BY90" s="775" cm="1">
        <f t="array" ref="BY90">BH90+BY89</f>
        <v>585.463</v>
      </c>
      <c r="BZ90" s="764" cm="1">
        <f t="array" ref="BZ90">SUM(BJ$6:BJ90)</f>
        <v>22082773.8604297</v>
      </c>
      <c r="CA90" s="775"/>
      <c r="CB90" s="775"/>
      <c r="CC90" s="764" cm="1">
        <f t="array" ref="CC90">SUM(BE$6:BE90)</f>
        <v>117198943.86043</v>
      </c>
      <c r="CD90" s="775"/>
      <c r="CE90" s="775"/>
      <c r="CF90" s="775"/>
      <c r="CG90" s="775"/>
      <c r="CH90" s="775"/>
      <c r="CI90" s="775"/>
      <c r="CJ90" s="775"/>
      <c r="CK90" s="775"/>
      <c r="CL90" s="775"/>
      <c r="CM90" s="775"/>
    </row>
    <row r="91" ht="19.35" customHeight="1" hidden="1">
      <c r="A91" s="762">
        <v>85</v>
      </c>
      <c r="B91" s="763">
        <v>47918</v>
      </c>
      <c r="C91" s="764"/>
      <c r="D91" s="765" cm="1">
        <f t="array" ref="D91">ROUND(850000/F91,4)</f>
        <v>17.5827</v>
      </c>
      <c r="E91" s="766" cm="1">
        <f t="array" ref="E91">D91/K90</f>
        <v>0.016438758060229</v>
      </c>
      <c r="F91" s="767" cm="1">
        <f t="array" ref="F91">F90*(1+G91)</f>
        <v>48342.8833226515</v>
      </c>
      <c r="G91" s="766" cm="1">
        <f t="array" ref="G91">H91-SUM(G80:G90)</f>
        <v>0.0037</v>
      </c>
      <c r="H91" s="768" cm="1">
        <f t="array" ref="H91">'depto - Table 5'!$K$2</f>
        <v>0.03</v>
      </c>
      <c r="I91" s="769" cm="1">
        <f t="array" ref="I91">H91+4.95/100</f>
        <v>0.0795</v>
      </c>
      <c r="J91" s="764" cm="1">
        <f t="array" ref="J91">IF(K90=0,0,ROUND(D91*F91,0))</f>
        <v>849998</v>
      </c>
      <c r="K91" s="770" cm="1">
        <f t="array" ref="K91">IF(K90-BF91&lt;0,0,K90-BF91)</f>
        <v>1057.3379</v>
      </c>
      <c r="L91" s="771" cm="1">
        <f t="array" ref="L91">K91/K$5</f>
        <v>0.267680481012658</v>
      </c>
      <c r="M91" s="772" cm="1">
        <f t="array" ref="M91">ROUND(K91*F91,0)</f>
        <v>51114763</v>
      </c>
      <c r="N91" s="773" cm="1">
        <f t="array" ref="N91">M91/M$5</f>
        <v>0.348590877500499</v>
      </c>
      <c r="O91" s="772" cm="1">
        <f t="array" ref="O91">M91-M90</f>
        <v>-401599</v>
      </c>
      <c r="P91" s="774" cm="1">
        <f t="array" ref="P91">T91-K91</f>
        <v>4342.6621</v>
      </c>
      <c r="Q91" s="772" cm="1">
        <f t="array" ref="Q91">ROUND(P91*F91,0)</f>
        <v>209936807</v>
      </c>
      <c r="R91" s="775" cm="1">
        <f t="array" ref="R91">$K$5-K91</f>
        <v>2892.6621</v>
      </c>
      <c r="S91" s="772" cm="1">
        <f t="array" ref="S91">Q91-Q90</f>
        <v>1363929</v>
      </c>
      <c r="T91" s="775">
        <v>5400</v>
      </c>
      <c r="U91" s="772" cm="1">
        <f t="array" ref="U91">T91*F91</f>
        <v>261051569.942318</v>
      </c>
      <c r="V91" s="776" cm="1">
        <f t="array" ref="V91">-S91</f>
        <v>-1363929</v>
      </c>
      <c r="W91" s="776"/>
      <c r="X91" s="776" cm="1">
        <f t="array" ref="X91">$K90*4.95/12/100/(1-(1+4.95/12/100)^-(360-$A91+3))+$AY91</f>
        <v>7.55365969864269</v>
      </c>
      <c r="Y91" s="777" cm="1">
        <f t="array" ref="Y91">K90*4.95/12/100/(1-(1+4.95/12/100)^-(360-$A91+3))+AY91</f>
        <v>7.55365969864269</v>
      </c>
      <c r="Z91" s="765" cm="1">
        <f t="array" ref="Z91">IF(Z$3*12&lt;=$A91,0,$K90*'depto - Departamento'!$D$8/12/(1-(1+'depto - Departamento'!$D$8/12)^-(12*Z$3-$A91+3))+$AY92)</f>
        <v>8.52799113852282</v>
      </c>
      <c r="AA91" s="765" cm="1">
        <f t="array" ref="AA91">IF(AA$3*12&lt;=$A91,0,$K90*'depto - Departamento'!$D$8/12/(1-(1+'depto - Departamento'!$D$8/12)^-(12*AA$3-$A91+3))+$AY92)</f>
        <v>10.3068735555481</v>
      </c>
      <c r="AB91" s="765" cm="1">
        <f t="array" ref="AB91">IF(AB$3*12&lt;$A91,0,$K90*'depto - Departamento'!$D$8/12/(1-(1+'depto - Departamento'!$D$8/12)^-(12*AB$3-$A91+3))+$AY91)</f>
        <v>14.3710216842496</v>
      </c>
      <c r="AC91" s="765" cm="1">
        <f t="array" ref="AC91">IF(AC$3*12&lt;$A91,0,$K90*'depto - Departamento'!$D$8/12/(1-(1+'depto - Departamento'!$D$8/12)^-(12*AC$3-$A91+3))+$AY91)</f>
        <v>20.6671522151643</v>
      </c>
      <c r="AD91" s="765" cm="1">
        <f t="array" ref="AD91">IF(AD$3*12&lt;$A91,0,$K90*'depto - Departamento'!$D$8/12/(1-(1+'depto - Departamento'!$D$8/12)^-(12*AD$3-$A91+3))+$AY91)</f>
        <v>31.5489970627258</v>
      </c>
      <c r="AE91" s="765" cm="1">
        <f t="array" ref="AE91">IF(AE$3*12&lt;$A91,0,$K90*'depto - Departamento'!$D$8/12/(1-(1+'depto - Departamento'!$D$8/12)^-(12*AE$3-$A91+3))+$AY91)</f>
        <v>0</v>
      </c>
      <c r="AF91" s="765" cm="1">
        <f t="array" ref="AF91">AF90-(AF89-AF90)</f>
        <v>79.60169999999999</v>
      </c>
      <c r="AG91" s="765"/>
      <c r="AH91" s="765"/>
      <c r="AI91" s="778" cm="1">
        <f t="array" ref="AI91">$F91*Y91</f>
        <v>365165.689470498</v>
      </c>
      <c r="AJ91" s="816" cm="1">
        <f t="array" ref="AJ91">$F91*Z91</f>
        <v>412267.680586215</v>
      </c>
      <c r="AK91" s="816" cm="1">
        <f t="array" ref="AK91">$F91*AA91</f>
        <v>498263.985717184</v>
      </c>
      <c r="AL91" s="764" cm="1">
        <f t="array" ref="AL91">$F91*AB91</f>
        <v>694736.624508973</v>
      </c>
      <c r="AM91" s="764" cm="1">
        <f t="array" ref="AM91">$F91*AC91</f>
        <v>999109.728149166</v>
      </c>
      <c r="AN91" s="764" cm="1">
        <f t="array" ref="AN91">$F91*AD91</f>
        <v>1525169.48395003</v>
      </c>
      <c r="AO91" s="764"/>
      <c r="AP91" s="764" cm="1">
        <f t="array" ref="AP91">$F91*AF91</f>
        <v>3848175.69538471</v>
      </c>
      <c r="AQ91" s="765"/>
      <c r="AR91" s="779" cm="1">
        <f t="array" ref="AR91">K90-K91</f>
        <v>12.2502</v>
      </c>
      <c r="AS91" s="779" cm="1">
        <f t="array" ref="AS91">D91-AR91</f>
        <v>5.3325</v>
      </c>
      <c r="AT91" s="765"/>
      <c r="AU91" s="780" cm="1">
        <f t="array" ref="AU91">ROUND(AV91*F91,0)</f>
        <v>49996</v>
      </c>
      <c r="AV91" s="781" cm="1">
        <f t="array" ref="AV91">IF(K90=0,0,AV90)</f>
        <v>1.0342</v>
      </c>
      <c r="AW91" s="780" cm="1">
        <f t="array" ref="AW91">ROUND(F91*AX91,0)</f>
        <v>2234</v>
      </c>
      <c r="AX91" s="781" cm="1">
        <f t="array" ref="AX91">AX$11/K$10*K90</f>
        <v>0.0462124393397736</v>
      </c>
      <c r="AY91" s="782" cm="1">
        <f t="array" ref="AY91">SUM(AV91,AX91)</f>
        <v>1.08041243933977</v>
      </c>
      <c r="AZ91" s="780" cm="1">
        <f t="array" ref="AZ91">AU91+AW91</f>
        <v>52230</v>
      </c>
      <c r="BA91" s="783" cm="1">
        <f t="array" ref="BA91">AI91-AZ91-BG91</f>
        <v>107379.288325537</v>
      </c>
      <c r="BB91" s="784" cm="1">
        <f t="array" ref="BB91">ROUND(BA91/$F91,4)</f>
        <v>2.2212</v>
      </c>
      <c r="BC91" s="783" cm="1">
        <f t="array" ref="BC91">J91-SUM(AZ91,BA91,BG91)</f>
        <v>484832.310529502</v>
      </c>
      <c r="BD91" s="784" cm="1">
        <f t="array" ref="BD91">ROUND(BC91/$F91,4)</f>
        <v>10.029</v>
      </c>
      <c r="BE91" s="785" cm="1">
        <f t="array" ref="BE91">BC91+BA91</f>
        <v>592211.598855039</v>
      </c>
      <c r="BF91" s="784" cm="1">
        <f t="array" ref="BF91">ROUND((BA91+BC91)/F91,4)</f>
        <v>12.2502</v>
      </c>
      <c r="BG91" s="786" cm="1">
        <f t="array" ref="BG91">BO91*F91</f>
        <v>205556.401144961</v>
      </c>
      <c r="BH91" s="787" cm="1">
        <f t="array" ref="BH91">ROUND(BG91/$F91,4)</f>
        <v>4.2521</v>
      </c>
      <c r="BI91" s="772" cm="1">
        <f t="array" ref="BI91">M90-M91</f>
        <v>401599</v>
      </c>
      <c r="BJ91" s="772" cm="1">
        <f t="array" ref="BJ91">BE91-BI91</f>
        <v>190612.598855039</v>
      </c>
      <c r="BK91" s="772" cm="1">
        <f t="array" ref="BK91">-BJ91</f>
        <v>-190612.598855039</v>
      </c>
      <c r="BL91" s="772" cm="1">
        <f t="array" ref="BL91">BG91+BJ91</f>
        <v>396169</v>
      </c>
      <c r="BM91" s="772" cm="1">
        <f t="array" ref="BM91">AVERAGE(BL89:BL91)</f>
        <v>-67539.666666668</v>
      </c>
      <c r="BN91" s="788" cm="1">
        <f t="array" ref="BN91">BH90-BH91</f>
        <v>0.0505</v>
      </c>
      <c r="BO91" s="775" cm="1">
        <f t="array" ref="BO91">K90*0.0495/12-0.16</f>
        <v>4.2520509125</v>
      </c>
      <c r="BP91" s="789" cm="1">
        <f t="array" ref="BP91">(BA91+BC91)/BG91</f>
        <v>2.88101754825628</v>
      </c>
      <c r="BQ91" s="789" cm="1">
        <f t="array" ref="BQ91">Y91-BB91</f>
        <v>5.33245969864269</v>
      </c>
      <c r="BR91" s="789" cm="1">
        <f t="array" ref="BR91">(BR$4*(1+BR$4)^BR$3*K90)/((1+BR$4)^BR$3-1)</f>
        <v>5.70914037726105</v>
      </c>
      <c r="BS91" s="789"/>
      <c r="BT91" s="764"/>
      <c r="BU91" s="764"/>
      <c r="BV91" s="764" cm="1">
        <f t="array" ref="BV91">BA91+BC91+BV90</f>
        <v>117791155.459285</v>
      </c>
      <c r="BW91" s="764" cm="1">
        <f t="array" ref="BW91">BG91+BW90</f>
        <v>24854281.5407151</v>
      </c>
      <c r="BX91" s="775" cm="1">
        <f t="array" ref="BX91">BF91+BX90</f>
        <v>2858.1713</v>
      </c>
      <c r="BY91" s="775" cm="1">
        <f t="array" ref="BY91">BH91+BY90</f>
        <v>589.7151</v>
      </c>
      <c r="BZ91" s="764" cm="1">
        <f t="array" ref="BZ91">SUM(BJ$6:BJ91)</f>
        <v>22273386.4592847</v>
      </c>
      <c r="CA91" s="775"/>
      <c r="CB91" s="775"/>
      <c r="CC91" s="764" cm="1">
        <f t="array" ref="CC91">SUM(BE$6:BE91)</f>
        <v>117791155.459285</v>
      </c>
      <c r="CD91" s="775"/>
      <c r="CE91" s="775"/>
      <c r="CF91" s="775"/>
      <c r="CG91" s="775"/>
      <c r="CH91" s="775"/>
      <c r="CI91" s="775"/>
      <c r="CJ91" s="775"/>
      <c r="CK91" s="775"/>
      <c r="CL91" s="775"/>
      <c r="CM91" s="775"/>
    </row>
    <row r="92" ht="19.35" customHeight="1" hidden="1">
      <c r="A92" s="762">
        <v>86</v>
      </c>
      <c r="B92" s="763">
        <v>47949</v>
      </c>
      <c r="C92" s="764"/>
      <c r="D92" s="765" cm="1">
        <f t="array" ref="D92">ROUND(850000/F92,4)</f>
        <v>17.5704</v>
      </c>
      <c r="E92" s="766" cm="1">
        <f t="array" ref="E92">D92/K91</f>
        <v>0.0166175827046396</v>
      </c>
      <c r="F92" s="767" cm="1">
        <f t="array" ref="F92">F91*(1+G92)</f>
        <v>48376.7233409774</v>
      </c>
      <c r="G92" s="766" cm="1">
        <f t="array" ref="G92">H92-SUM(G81:G91)</f>
        <v>0.0007</v>
      </c>
      <c r="H92" s="768" cm="1">
        <f t="array" ref="H92">'depto - Table 5'!$K$2</f>
        <v>0.03</v>
      </c>
      <c r="I92" s="769" cm="1">
        <f t="array" ref="I92">H92+4.95/100</f>
        <v>0.0795</v>
      </c>
      <c r="J92" s="764" cm="1">
        <f t="array" ref="J92">IF(K91=0,0,ROUND(D92*F92,0))</f>
        <v>849998</v>
      </c>
      <c r="K92" s="770" cm="1">
        <f t="array" ref="K92">IF(K91-BF92&lt;0,0,K91-BF92)</f>
        <v>1045.0489</v>
      </c>
      <c r="L92" s="771" cm="1">
        <f t="array" ref="L92">K92/K$5</f>
        <v>0.264569341772152</v>
      </c>
      <c r="M92" s="772" cm="1">
        <f t="array" ref="M92">ROUND(K92*F92,0)</f>
        <v>50556042</v>
      </c>
      <c r="N92" s="773" cm="1">
        <f t="array" ref="N92">M92/M$5</f>
        <v>0.344780529330285</v>
      </c>
      <c r="O92" s="772" cm="1">
        <f t="array" ref="O92">M92-M91</f>
        <v>-558721</v>
      </c>
      <c r="P92" s="774" cm="1">
        <f t="array" ref="P92">T92-K92</f>
        <v>4354.9511</v>
      </c>
      <c r="Q92" s="772" cm="1">
        <f t="array" ref="Q92">ROUND(P92*F92,0)</f>
        <v>210678265</v>
      </c>
      <c r="R92" s="775" cm="1">
        <f t="array" ref="R92">$K$5-K92</f>
        <v>2904.9511</v>
      </c>
      <c r="S92" s="772" cm="1">
        <f t="array" ref="S92">Q92-Q91</f>
        <v>741458</v>
      </c>
      <c r="T92" s="775">
        <v>5400</v>
      </c>
      <c r="U92" s="772" cm="1">
        <f t="array" ref="U92">T92*F92</f>
        <v>261234306.041278</v>
      </c>
      <c r="V92" s="776" cm="1">
        <f t="array" ref="V92">-S92</f>
        <v>-741458</v>
      </c>
      <c r="W92" s="776"/>
      <c r="X92" s="776" cm="1">
        <f t="array" ref="X92">$K91*4.95/12/100/(1-(1+4.95/12/100)^-(360-$A92+3))+$AY92</f>
        <v>7.49134655185475</v>
      </c>
      <c r="Y92" s="777" cm="1">
        <f t="array" ref="Y92">K91*4.95/12/100/(1-(1+4.95/12/100)^-(360-$A92+3))+AY92</f>
        <v>7.49134655185475</v>
      </c>
      <c r="Z92" s="765" cm="1">
        <f t="array" ref="Z92">IF(Z$3*12&lt;=$A92,0,$K91*'depto - Departamento'!$D$8/12/(1-(1+'depto - Departamento'!$D$8/12)^-(12*Z$3-$A92+3))+$AY93)</f>
        <v>8.46311458175791</v>
      </c>
      <c r="AA92" s="765" cm="1">
        <f t="array" ref="AA92">IF(AA$3*12&lt;=$A92,0,$K91*'depto - Departamento'!$D$8/12/(1-(1+'depto - Departamento'!$D$8/12)^-(12*AA$3-$A92+3))+$AY93)</f>
        <v>10.2419109624944</v>
      </c>
      <c r="AB92" s="765" cm="1">
        <f t="array" ref="AB92">IF(AB$3*12&lt;$A92,0,$K91*'depto - Departamento'!$D$8/12/(1-(1+'depto - Departamento'!$D$8/12)^-(12*AB$3-$A92+3))+$AY92)</f>
        <v>14.3282459925864</v>
      </c>
      <c r="AC92" s="765" cm="1">
        <f t="array" ref="AC92">IF(AC$3*12&lt;$A92,0,$K91*'depto - Departamento'!$D$8/12/(1-(1+'depto - Departamento'!$D$8/12)^-(12*AC$3-$A92+3))+$AY92)</f>
        <v>20.7209481189148</v>
      </c>
      <c r="AD92" s="765" cm="1">
        <f t="array" ref="AD92">IF(AD$3*12&lt;$A92,0,$K91*'depto - Departamento'!$D$8/12/(1-(1+'depto - Departamento'!$D$8/12)^-(12*AD$3-$A92+3))+$AY92)</f>
        <v>31.9515791600565</v>
      </c>
      <c r="AE92" s="765" cm="1">
        <f t="array" ref="AE92">IF(AE$3*12&lt;$A92,0,$K91*'depto - Departamento'!$D$8/12/(1-(1+'depto - Departamento'!$D$8/12)^-(12*AE$3-$A92+3))+$AY92)</f>
        <v>0</v>
      </c>
      <c r="AF92" s="765" cm="1">
        <f t="array" ref="AF92">AF91-(AF90-AF91)</f>
        <v>79.5989</v>
      </c>
      <c r="AG92" s="765"/>
      <c r="AH92" s="765"/>
      <c r="AI92" s="778" cm="1">
        <f t="array" ref="AI92">$F92*Y92</f>
        <v>362406.799590462</v>
      </c>
      <c r="AJ92" s="816" cm="1">
        <f t="array" ref="AJ92">$F92*Z92</f>
        <v>409417.752724694</v>
      </c>
      <c r="AK92" s="816" cm="1">
        <f t="array" ref="AK92">$F92*AA92</f>
        <v>495470.093115515</v>
      </c>
      <c r="AL92" s="764" cm="1">
        <f t="array" ref="AL92">$F92*AB92</f>
        <v>693153.59234482</v>
      </c>
      <c r="AM92" s="764" cm="1">
        <f t="array" ref="AM92">$F92*AC92</f>
        <v>1002411.57451149</v>
      </c>
      <c r="AN92" s="764" cm="1">
        <f t="array" ref="AN92">$F92*AD92</f>
        <v>1545712.70533339</v>
      </c>
      <c r="AO92" s="764"/>
      <c r="AP92" s="764" cm="1">
        <f t="array" ref="AP92">$F92*AF92</f>
        <v>3850733.96354613</v>
      </c>
      <c r="AQ92" s="765"/>
      <c r="AR92" s="779" cm="1">
        <f t="array" ref="AR92">K91-K92</f>
        <v>12.289</v>
      </c>
      <c r="AS92" s="779" cm="1">
        <f t="array" ref="AS92">D92-AR92</f>
        <v>5.2814</v>
      </c>
      <c r="AT92" s="765"/>
      <c r="AU92" s="780" cm="1">
        <f t="array" ref="AU92">ROUND(AV92*F92,0)</f>
        <v>50031</v>
      </c>
      <c r="AV92" s="781" cm="1">
        <f t="array" ref="AV92">IF(K91=0,0,AV91)</f>
        <v>1.0342</v>
      </c>
      <c r="AW92" s="780" cm="1">
        <f t="array" ref="AW92">ROUND(F92*AX92,0)</f>
        <v>2210</v>
      </c>
      <c r="AX92" s="781" cm="1">
        <f t="array" ref="AX92">AX$11/K$10*K91</f>
        <v>0.0456831593072077</v>
      </c>
      <c r="AY92" s="782" cm="1">
        <f t="array" ref="AY92">SUM(AV92,AX92)</f>
        <v>1.07988315930721</v>
      </c>
      <c r="AZ92" s="780" cm="1">
        <f t="array" ref="AZ92">AU92+AW92</f>
        <v>52241</v>
      </c>
      <c r="BA92" s="783" cm="1">
        <f t="array" ref="BA92">AI92-AZ92-BG92</f>
        <v>106910.08517682</v>
      </c>
      <c r="BB92" s="784" cm="1">
        <f t="array" ref="BB92">ROUND(BA92/$F92,4)</f>
        <v>2.2099</v>
      </c>
      <c r="BC92" s="783" cm="1">
        <f t="array" ref="BC92">J92-SUM(AZ92,BA92,BG92)</f>
        <v>487591.200409538</v>
      </c>
      <c r="BD92" s="784" cm="1">
        <f t="array" ref="BD92">ROUND(BC92/$F92,4)</f>
        <v>10.079</v>
      </c>
      <c r="BE92" s="785" cm="1">
        <f t="array" ref="BE92">BC92+BA92</f>
        <v>594501.285586358</v>
      </c>
      <c r="BF92" s="784" cm="1">
        <f t="array" ref="BF92">ROUND((BA92+BC92)/F92,4)</f>
        <v>12.289</v>
      </c>
      <c r="BG92" s="786" cm="1">
        <f t="array" ref="BG92">BO92*F92</f>
        <v>203255.714413642</v>
      </c>
      <c r="BH92" s="787" cm="1">
        <f t="array" ref="BH92">ROUND(BG92/$F92,4)</f>
        <v>4.2015</v>
      </c>
      <c r="BI92" s="772" cm="1">
        <f t="array" ref="BI92">M91-M92</f>
        <v>558721</v>
      </c>
      <c r="BJ92" s="772" cm="1">
        <f t="array" ref="BJ92">BE92-BI92</f>
        <v>35780.285586358</v>
      </c>
      <c r="BK92" s="772" cm="1">
        <f t="array" ref="BK92">-BJ92</f>
        <v>-35780.285586358</v>
      </c>
      <c r="BL92" s="772" cm="1">
        <f t="array" ref="BL92">BG92+BJ92</f>
        <v>239036</v>
      </c>
      <c r="BM92" s="772" cm="1">
        <f t="array" ref="BM92">AVERAGE(BL90:BL92)</f>
        <v>286023</v>
      </c>
      <c r="BN92" s="788" cm="1">
        <f t="array" ref="BN92">BH91-BH92</f>
        <v>0.0506</v>
      </c>
      <c r="BO92" s="775" cm="1">
        <f t="array" ref="BO92">K91*0.0495/12-0.16</f>
        <v>4.2015188375</v>
      </c>
      <c r="BP92" s="789" cm="1">
        <f t="array" ref="BP92">(BA92+BC92)/BG92</f>
        <v>2.92489334089028</v>
      </c>
      <c r="BQ92" s="789" cm="1">
        <f t="array" ref="BQ92">Y92-BB92</f>
        <v>5.28144655185475</v>
      </c>
      <c r="BR92" s="789" cm="1">
        <f t="array" ref="BR92">(BR$4*(1+BR$4)^BR$3*K91)/((1+BR$4)^BR$3-1)</f>
        <v>5.64375248499717</v>
      </c>
      <c r="BS92" s="789"/>
      <c r="BT92" s="764"/>
      <c r="BU92" s="764"/>
      <c r="BV92" s="764" cm="1">
        <f t="array" ref="BV92">BA92+BC92+BV91</f>
        <v>118385656.744871</v>
      </c>
      <c r="BW92" s="764" cm="1">
        <f t="array" ref="BW92">BG92+BW91</f>
        <v>25057537.2551287</v>
      </c>
      <c r="BX92" s="775" cm="1">
        <f t="array" ref="BX92">BF92+BX91</f>
        <v>2870.4603</v>
      </c>
      <c r="BY92" s="775" cm="1">
        <f t="array" ref="BY92">BH92+BY91</f>
        <v>593.9166</v>
      </c>
      <c r="BZ92" s="764" cm="1">
        <f t="array" ref="BZ92">SUM(BJ$6:BJ92)</f>
        <v>22309166.7448711</v>
      </c>
      <c r="CA92" s="775"/>
      <c r="CB92" s="775"/>
      <c r="CC92" s="764" cm="1">
        <f t="array" ref="CC92">SUM(BE$6:BE92)</f>
        <v>118385656.744871</v>
      </c>
      <c r="CD92" s="775"/>
      <c r="CE92" s="775"/>
      <c r="CF92" s="775"/>
      <c r="CG92" s="775"/>
      <c r="CH92" s="775"/>
      <c r="CI92" s="775"/>
      <c r="CJ92" s="775"/>
      <c r="CK92" s="775"/>
      <c r="CL92" s="775"/>
      <c r="CM92" s="775"/>
    </row>
    <row r="93" ht="19.35" customHeight="1" hidden="1">
      <c r="A93" s="762">
        <v>87</v>
      </c>
      <c r="B93" s="763">
        <v>47979</v>
      </c>
      <c r="C93" s="764"/>
      <c r="D93" s="765" cm="1">
        <f t="array" ref="D93">ROUND(850000/F93,4)</f>
        <v>17.393</v>
      </c>
      <c r="E93" s="766" cm="1">
        <f t="array" ref="E93">D93/K92</f>
        <v>0.0166432403306678</v>
      </c>
      <c r="F93" s="767" cm="1">
        <f t="array" ref="F93">F92*(1+G93)</f>
        <v>48870.1659190554</v>
      </c>
      <c r="G93" s="766" cm="1">
        <f t="array" ref="G93">H93-SUM(G82:G92)</f>
        <v>0.0102</v>
      </c>
      <c r="H93" s="768" cm="1">
        <f t="array" ref="H93">'depto - Table 5'!$K$2</f>
        <v>0.03</v>
      </c>
      <c r="I93" s="769" cm="1">
        <f t="array" ref="I93">H93+4.95/100</f>
        <v>0.0795</v>
      </c>
      <c r="J93" s="764" cm="1">
        <f t="array" ref="J93">IF(K92=0,0,ROUND(D93*F93,0))</f>
        <v>849999</v>
      </c>
      <c r="K93" s="770" cm="1">
        <f t="array" ref="K93">IF(K92-BF93&lt;0,0,K92-BF93)</f>
        <v>1032.8861</v>
      </c>
      <c r="L93" s="771" cm="1">
        <f t="array" ref="L93">K93/K$5</f>
        <v>0.261490151898734</v>
      </c>
      <c r="M93" s="772" cm="1">
        <f t="array" ref="M93">ROUND(K93*F93,0)</f>
        <v>50477315</v>
      </c>
      <c r="N93" s="773" cm="1">
        <f t="array" ref="N93">M93/M$5</f>
        <v>0.344243629374142</v>
      </c>
      <c r="O93" s="772" cm="1">
        <f t="array" ref="O93">M93-M92</f>
        <v>-78727</v>
      </c>
      <c r="P93" s="774" cm="1">
        <f t="array" ref="P93">T93-K93</f>
        <v>4367.1139</v>
      </c>
      <c r="Q93" s="772" cm="1">
        <f t="array" ref="Q93">ROUND(P93*F93,0)</f>
        <v>213421581</v>
      </c>
      <c r="R93" s="775" cm="1">
        <f t="array" ref="R93">$K$5-K93</f>
        <v>2917.1139</v>
      </c>
      <c r="S93" s="772" cm="1">
        <f t="array" ref="S93">Q93-Q92</f>
        <v>2743316</v>
      </c>
      <c r="T93" s="775">
        <v>5400</v>
      </c>
      <c r="U93" s="772" cm="1">
        <f t="array" ref="U93">T93*F93</f>
        <v>263898895.962899</v>
      </c>
      <c r="V93" s="776" cm="1">
        <f t="array" ref="V93">-S93</f>
        <v>-2743316</v>
      </c>
      <c r="W93" s="776"/>
      <c r="X93" s="776" cm="1">
        <f t="array" ref="X93">$K92*4.95/12/100/(1-(1+4.95/12/100)^-(360-$A93+3))+$AY93</f>
        <v>7.42860761815284</v>
      </c>
      <c r="Y93" s="777" cm="1">
        <f t="array" ref="Y93">K92*4.95/12/100/(1-(1+4.95/12/100)^-(360-$A93+3))+AY93</f>
        <v>7.42860761815284</v>
      </c>
      <c r="Z93" s="765" cm="1">
        <f t="array" ref="Z93">IF(Z$3*12&lt;=$A93,0,$K92*'depto - Departamento'!$D$8/12/(1-(1+'depto - Departamento'!$D$8/12)^-(12*Z$3-$A93+3))+$AY94)</f>
        <v>8.397690556021161</v>
      </c>
      <c r="AA93" s="765" cm="1">
        <f t="array" ref="AA93">IF(AA$3*12&lt;=$A93,0,$K92*'depto - Departamento'!$D$8/12/(1-(1+'depto - Departamento'!$D$8/12)^-(12*AA$3-$A93+3))+$AY94)</f>
        <v>10.1762011626844</v>
      </c>
      <c r="AB93" s="765" cm="1">
        <f t="array" ref="AB93">IF(AB$3*12&lt;$A93,0,$K92*'depto - Departamento'!$D$8/12/(1-(1+'depto - Departamento'!$D$8/12)^-(12*AB$3-$A93+3))+$AY93)</f>
        <v>14.2847249538923</v>
      </c>
      <c r="AC93" s="765" cm="1">
        <f t="array" ref="AC93">IF(AC$3*12&lt;$A93,0,$K92*'depto - Departamento'!$D$8/12/(1-(1+'depto - Departamento'!$D$8/12)^-(12*AC$3-$A93+3))+$AY93)</f>
        <v>20.7767839776849</v>
      </c>
      <c r="AD93" s="765" cm="1">
        <f t="array" ref="AD93">IF(AD$3*12&lt;$A93,0,$K92*'depto - Departamento'!$D$8/12/(1-(1+'depto - Departamento'!$D$8/12)^-(12*AD$3-$A93+3))+$AY93)</f>
        <v>32.3769504649278</v>
      </c>
      <c r="AE93" s="765" cm="1">
        <f t="array" ref="AE93">IF(AE$3*12&lt;$A93,0,$K92*'depto - Departamento'!$D$8/12/(1-(1+'depto - Departamento'!$D$8/12)^-(12*AE$3-$A93+3))+$AY93)</f>
        <v>0</v>
      </c>
      <c r="AF93" s="765" cm="1">
        <f t="array" ref="AF93">AF92-(AF91-AF92)</f>
        <v>79.59610000000001</v>
      </c>
      <c r="AG93" s="765"/>
      <c r="AH93" s="765"/>
      <c r="AI93" s="778" cm="1">
        <f t="array" ref="AI93">$F93*Y93</f>
        <v>363037.286846688</v>
      </c>
      <c r="AJ93" s="816" cm="1">
        <f t="array" ref="AJ93">$F93*Z93</f>
        <v>410396.530809639</v>
      </c>
      <c r="AK93" s="816" cm="1">
        <f t="array" ref="AK93">$F93*AA93</f>
        <v>497312.639246071</v>
      </c>
      <c r="AL93" s="764" cm="1">
        <f t="array" ref="AL93">$F93*AB93</f>
        <v>698096.878604788</v>
      </c>
      <c r="AM93" s="764" cm="1">
        <f t="array" ref="AM93">$F93*AC93</f>
        <v>1015364.88025383</v>
      </c>
      <c r="AN93" s="764" cm="1">
        <f t="array" ref="AN93">$F93*AD93</f>
        <v>1582266.94117406</v>
      </c>
      <c r="AO93" s="764"/>
      <c r="AP93" s="764" cm="1">
        <f t="array" ref="AP93">$F93*AF93</f>
        <v>3889874.61350973</v>
      </c>
      <c r="AQ93" s="765"/>
      <c r="AR93" s="779" cm="1">
        <f t="array" ref="AR93">K92-K93</f>
        <v>12.1628</v>
      </c>
      <c r="AS93" s="779" cm="1">
        <f t="array" ref="AS93">D93-AR93</f>
        <v>5.2302</v>
      </c>
      <c r="AT93" s="765"/>
      <c r="AU93" s="780" cm="1">
        <f t="array" ref="AU93">ROUND(AV93*F93,0)</f>
        <v>50542</v>
      </c>
      <c r="AV93" s="781" cm="1">
        <f t="array" ref="AV93">IF(K92=0,0,AV92)</f>
        <v>1.0342</v>
      </c>
      <c r="AW93" s="780" cm="1">
        <f t="array" ref="AW93">ROUND(F93*AX93,0)</f>
        <v>2207</v>
      </c>
      <c r="AX93" s="781" cm="1">
        <f t="array" ref="AX93">AX$11/K$10*K92</f>
        <v>0.0451522028885205</v>
      </c>
      <c r="AY93" s="782" cm="1">
        <f t="array" ref="AY93">SUM(AV93,AX93)</f>
        <v>1.07935220288852</v>
      </c>
      <c r="AZ93" s="780" cm="1">
        <f t="array" ref="AZ93">AU93+AW93</f>
        <v>52749</v>
      </c>
      <c r="BA93" s="783" cm="1">
        <f t="array" ref="BA93">AI93-AZ93-BG93</f>
        <v>107436.696705566</v>
      </c>
      <c r="BB93" s="784" cm="1">
        <f t="array" ref="BB93">ROUND(BA93/$F93,4)</f>
        <v>2.1984</v>
      </c>
      <c r="BC93" s="783" cm="1">
        <f t="array" ref="BC93">J93-SUM(AZ93,BA93,BG93)</f>
        <v>486961.713153312</v>
      </c>
      <c r="BD93" s="784" cm="1">
        <f t="array" ref="BD93">ROUND(BC93/$F93,4)</f>
        <v>9.964399999999999</v>
      </c>
      <c r="BE93" s="785" cm="1">
        <f t="array" ref="BE93">BC93+BA93</f>
        <v>594398.409858878</v>
      </c>
      <c r="BF93" s="784" cm="1">
        <f t="array" ref="BF93">ROUND((BA93+BC93)/F93,4)</f>
        <v>12.1628</v>
      </c>
      <c r="BG93" s="786" cm="1">
        <f t="array" ref="BG93">BO93*F93</f>
        <v>202851.590141122</v>
      </c>
      <c r="BH93" s="787" cm="1">
        <f t="array" ref="BH93">ROUND(BG93/$F93,4)</f>
        <v>4.1508</v>
      </c>
      <c r="BI93" s="772" cm="1">
        <f t="array" ref="BI93">M92-M93</f>
        <v>78727</v>
      </c>
      <c r="BJ93" s="772" cm="1">
        <f t="array" ref="BJ93">BE93-BI93</f>
        <v>515671.409858878</v>
      </c>
      <c r="BK93" s="772" cm="1">
        <f t="array" ref="BK93">-BJ93</f>
        <v>-515671.409858878</v>
      </c>
      <c r="BL93" s="772" cm="1">
        <f t="array" ref="BL93">BG93+BJ93</f>
        <v>718523</v>
      </c>
      <c r="BM93" s="772" cm="1">
        <f t="array" ref="BM93">AVERAGE(BL91:BL93)</f>
        <v>451242.666666667</v>
      </c>
      <c r="BN93" s="788" cm="1">
        <f t="array" ref="BN93">BH92-BH93</f>
        <v>0.0507</v>
      </c>
      <c r="BO93" s="775" cm="1">
        <f t="array" ref="BO93">K92*0.0495/12-0.16</f>
        <v>4.1508267125</v>
      </c>
      <c r="BP93" s="789" cm="1">
        <f t="array" ref="BP93">(BA93+BC93)/BG93</f>
        <v>2.93021321373601</v>
      </c>
      <c r="BQ93" s="789" cm="1">
        <f t="array" ref="BQ93">Y93-BB93</f>
        <v>5.23020761815284</v>
      </c>
      <c r="BR93" s="789" cm="1">
        <f t="array" ref="BR93">(BR$4*(1+BR$4)^BR$3*K92)/((1+BR$4)^BR$3-1)</f>
        <v>5.57815748997417</v>
      </c>
      <c r="BS93" s="789"/>
      <c r="BT93" s="764"/>
      <c r="BU93" s="764"/>
      <c r="BV93" s="764" cm="1">
        <f t="array" ref="BV93">BA93+BC93+BV92</f>
        <v>118980055.15473</v>
      </c>
      <c r="BW93" s="764" cm="1">
        <f t="array" ref="BW93">BG93+BW92</f>
        <v>25260388.8452698</v>
      </c>
      <c r="BX93" s="775" cm="1">
        <f t="array" ref="BX93">BF93+BX92</f>
        <v>2882.6231</v>
      </c>
      <c r="BY93" s="775" cm="1">
        <f t="array" ref="BY93">BH93+BY92</f>
        <v>598.0674</v>
      </c>
      <c r="BZ93" s="764" cm="1">
        <f t="array" ref="BZ93">SUM(BJ$6:BJ93)</f>
        <v>22824838.15473</v>
      </c>
      <c r="CA93" s="775"/>
      <c r="CB93" s="775"/>
      <c r="CC93" s="764" cm="1">
        <f t="array" ref="CC93">SUM(BE$6:BE93)</f>
        <v>118980055.15473</v>
      </c>
      <c r="CD93" s="775"/>
      <c r="CE93" s="775"/>
      <c r="CF93" s="775"/>
      <c r="CG93" s="775"/>
      <c r="CH93" s="775"/>
      <c r="CI93" s="775"/>
      <c r="CJ93" s="775"/>
      <c r="CK93" s="775"/>
      <c r="CL93" s="775"/>
      <c r="CM93" s="775"/>
    </row>
    <row r="94" ht="19.35" customHeight="1" hidden="1">
      <c r="A94" s="762">
        <v>88</v>
      </c>
      <c r="B94" s="763">
        <v>48010</v>
      </c>
      <c r="C94" s="764"/>
      <c r="D94" s="765" cm="1">
        <f t="array" ref="D94">ROUND(850000/F94,4)</f>
        <v>17.1698</v>
      </c>
      <c r="E94" s="766" cm="1">
        <f t="array" ref="E94">D94/K93</f>
        <v>0.0166231300818164</v>
      </c>
      <c r="F94" s="767" cm="1">
        <f t="array" ref="F94">F93*(1+G94)</f>
        <v>49505.4780760031</v>
      </c>
      <c r="G94" s="766" cm="1">
        <f t="array" ref="G94">H94-SUM(G83:G93)</f>
        <v>0.013</v>
      </c>
      <c r="H94" s="768" cm="1">
        <f t="array" ref="H94">'depto - Table 5'!$K$2</f>
        <v>0.03</v>
      </c>
      <c r="I94" s="769" cm="1">
        <f t="array" ref="I94">H94+4.95/100</f>
        <v>0.0795</v>
      </c>
      <c r="J94" s="764" cm="1">
        <f t="array" ref="J94">IF(K93=0,0,ROUND(D94*F94,0))</f>
        <v>849999</v>
      </c>
      <c r="K94" s="770" cm="1">
        <f t="array" ref="K94">IF(K93-BF94&lt;0,0,K93-BF94)</f>
        <v>1020.8958</v>
      </c>
      <c r="L94" s="771" cm="1">
        <f t="array" ref="L94">K94/K$5</f>
        <v>0.258454632911392</v>
      </c>
      <c r="M94" s="772" cm="1">
        <f t="array" ref="M94">ROUND(K94*F94,0)</f>
        <v>50539935</v>
      </c>
      <c r="N94" s="773" cm="1">
        <f t="array" ref="N94">M94/M$5</f>
        <v>0.344670683310577</v>
      </c>
      <c r="O94" s="772" cm="1">
        <f t="array" ref="O94">M94-M93</f>
        <v>62620</v>
      </c>
      <c r="P94" s="774" cm="1">
        <f t="array" ref="P94">T94-K94</f>
        <v>4379.1042</v>
      </c>
      <c r="Q94" s="772" cm="1">
        <f t="array" ref="Q94">ROUND(P94*F94,0)</f>
        <v>216789647</v>
      </c>
      <c r="R94" s="775" cm="1">
        <f t="array" ref="R94">$K$5-K94</f>
        <v>2929.1042</v>
      </c>
      <c r="S94" s="772" cm="1">
        <f t="array" ref="S94">Q94-Q93</f>
        <v>3368066</v>
      </c>
      <c r="T94" s="775">
        <v>5400</v>
      </c>
      <c r="U94" s="772" cm="1">
        <f t="array" ref="U94">T94*F94</f>
        <v>267329581.610417</v>
      </c>
      <c r="V94" s="776" cm="1">
        <f t="array" ref="V94">-S94</f>
        <v>-3368066</v>
      </c>
      <c r="W94" s="776"/>
      <c r="X94" s="776" cm="1">
        <f t="array" ref="X94">$K93*4.95/12/100/(1-(1+4.95/12/100)^-(360-$A94+3))+$AY94</f>
        <v>7.36645069156354</v>
      </c>
      <c r="Y94" s="777" cm="1">
        <f t="array" ref="Y94">K93*4.95/12/100/(1-(1+4.95/12/100)^-(360-$A94+3))+AY94</f>
        <v>7.36645069156354</v>
      </c>
      <c r="Z94" s="765" cm="1">
        <f t="array" ref="Z94">IF(Z$3*12&lt;=$A94,0,$K93*'depto - Departamento'!$D$8/12/(1-(1+'depto - Departamento'!$D$8/12)^-(12*Z$3-$A94+3))+$AY95)</f>
        <v>8.33287323883888</v>
      </c>
      <c r="AA94" s="765" cm="1">
        <f t="array" ref="AA94">IF(AA$3*12&lt;=$A94,0,$K93*'depto - Departamento'!$D$8/12/(1-(1+'depto - Departamento'!$D$8/12)^-(12*AA$3-$A94+3))+$AY95)</f>
        <v>10.1111757991469</v>
      </c>
      <c r="AB94" s="765" cm="1">
        <f t="array" ref="AB94">IF(AB$3*12&lt;$A94,0,$K93*'depto - Departamento'!$D$8/12/(1-(1+'depto - Departamento'!$D$8/12)^-(12*AB$3-$A94+3))+$AY94)</f>
        <v>14.2425468607013</v>
      </c>
      <c r="AC94" s="765" cm="1">
        <f t="array" ref="AC94">IF(AC$3*12&lt;$A94,0,$K93*'depto - Departamento'!$D$8/12/(1-(1+'depto - Departamento'!$D$8/12)^-(12*AC$3-$A94+3))+$AY94)</f>
        <v>20.8379298398634</v>
      </c>
      <c r="AD94" s="765" cm="1">
        <f t="array" ref="AD94">IF(AD$3*12&lt;$A94,0,$K93*'depto - Departamento'!$D$8/12/(1-(1+'depto - Departamento'!$D$8/12)^-(12*AD$3-$A94+3))+$AY94)</f>
        <v>32.8321483332049</v>
      </c>
      <c r="AE94" s="765" cm="1">
        <f t="array" ref="AE94">IF(AE$3*12&lt;$A94,0,$K93*'depto - Departamento'!$D$8/12/(1-(1+'depto - Departamento'!$D$8/12)^-(12*AE$3-$A94+3))+$AY94)</f>
        <v>0</v>
      </c>
      <c r="AF94" s="765" cm="1">
        <f t="array" ref="AF94">AF93-(AF92-AF93)</f>
        <v>79.5933</v>
      </c>
      <c r="AG94" s="765"/>
      <c r="AH94" s="765"/>
      <c r="AI94" s="778" cm="1">
        <f t="array" ref="AI94">$F94*Y94</f>
        <v>364679.663209157</v>
      </c>
      <c r="AJ94" s="816" cm="1">
        <f t="array" ref="AJ94">$F94*Z94</f>
        <v>412522.873435451</v>
      </c>
      <c r="AK94" s="816" cm="1">
        <f t="array" ref="AK94">$F94*AA94</f>
        <v>500558.59184728</v>
      </c>
      <c r="AL94" s="764" cm="1">
        <f t="array" ref="AL94">$F94*AB94</f>
        <v>705084.0913588949</v>
      </c>
      <c r="AM94" s="764" cm="1">
        <f t="array" ref="AM94">$F94*AC94</f>
        <v>1031591.67883665</v>
      </c>
      <c r="AN94" s="764" cm="1">
        <f t="array" ref="AN94">$F94*AD94</f>
        <v>1625371.19949756</v>
      </c>
      <c r="AO94" s="764"/>
      <c r="AP94" s="764" cm="1">
        <f t="array" ref="AP94">$F94*AF94</f>
        <v>3940304.36814674</v>
      </c>
      <c r="AQ94" s="765"/>
      <c r="AR94" s="779" cm="1">
        <f t="array" ref="AR94">K93-K94</f>
        <v>11.9903</v>
      </c>
      <c r="AS94" s="779" cm="1">
        <f t="array" ref="AS94">D94-AR94</f>
        <v>5.1795</v>
      </c>
      <c r="AT94" s="765"/>
      <c r="AU94" s="780" cm="1">
        <f t="array" ref="AU94">ROUND(AV94*F94,0)</f>
        <v>51199</v>
      </c>
      <c r="AV94" s="781" cm="1">
        <f t="array" ref="AV94">IF(K93=0,0,AV93)</f>
        <v>1.0342</v>
      </c>
      <c r="AW94" s="780" cm="1">
        <f t="array" ref="AW94">ROUND(F94*AX94,0)</f>
        <v>2209</v>
      </c>
      <c r="AX94" s="781" cm="1">
        <f t="array" ref="AX94">AX$11/K$10*K93</f>
        <v>0.0446266990453103</v>
      </c>
      <c r="AY94" s="782" cm="1">
        <f t="array" ref="AY94">SUM(AV94,AX94)</f>
        <v>1.07882669904531</v>
      </c>
      <c r="AZ94" s="780" cm="1">
        <f t="array" ref="AZ94">AU94+AW94</f>
        <v>53408</v>
      </c>
      <c r="BA94" s="783" cm="1">
        <f t="array" ref="BA94">AI94-AZ94-BG94</f>
        <v>108266.768964764</v>
      </c>
      <c r="BB94" s="784" cm="1">
        <f t="array" ref="BB94">ROUND(BA94/$F94,4)</f>
        <v>2.187</v>
      </c>
      <c r="BC94" s="783" cm="1">
        <f t="array" ref="BC94">J94-SUM(AZ94,BA94,BG94)</f>
        <v>485319.336790843</v>
      </c>
      <c r="BD94" s="784" cm="1">
        <f t="array" ref="BD94">ROUND(BC94/$F94,4)</f>
        <v>9.8033</v>
      </c>
      <c r="BE94" s="785" cm="1">
        <f t="array" ref="BE94">BC94+BA94</f>
        <v>593586.105755607</v>
      </c>
      <c r="BF94" s="784" cm="1">
        <f t="array" ref="BF94">ROUND((BA94+BC94)/F94,4)</f>
        <v>11.9903</v>
      </c>
      <c r="BG94" s="786" cm="1">
        <f t="array" ref="BG94">BO94*F94</f>
        <v>203004.894244393</v>
      </c>
      <c r="BH94" s="787" cm="1">
        <f t="array" ref="BH94">ROUND(BG94/$F94,4)</f>
        <v>4.1007</v>
      </c>
      <c r="BI94" s="772" cm="1">
        <f t="array" ref="BI94">M93-M94</f>
        <v>-62620</v>
      </c>
      <c r="BJ94" s="772" cm="1">
        <f t="array" ref="BJ94">BE94-BI94</f>
        <v>656206.105755607</v>
      </c>
      <c r="BK94" s="772" cm="1">
        <f t="array" ref="BK94">-BJ94</f>
        <v>-656206.105755607</v>
      </c>
      <c r="BL94" s="772" cm="1">
        <f t="array" ref="BL94">BG94+BJ94</f>
        <v>859211</v>
      </c>
      <c r="BM94" s="772" cm="1">
        <f t="array" ref="BM94">AVERAGE(BL92:BL94)</f>
        <v>605590</v>
      </c>
      <c r="BN94" s="788" cm="1">
        <f t="array" ref="BN94">BH93-BH94</f>
        <v>0.0501</v>
      </c>
      <c r="BO94" s="775" cm="1">
        <f t="array" ref="BO94">K93*0.0495/12-0.16</f>
        <v>4.1006551625</v>
      </c>
      <c r="BP94" s="789" cm="1">
        <f t="array" ref="BP94">(BA94+BC94)/BG94</f>
        <v>2.92399899009825</v>
      </c>
      <c r="BQ94" s="789" cm="1">
        <f t="array" ref="BQ94">Y94-BB94</f>
        <v>5.17945069156354</v>
      </c>
      <c r="BR94" s="789" cm="1">
        <f t="array" ref="BR94">(BR$4*(1+BR$4)^BR$3*K93)/((1+BR$4)^BR$3-1)</f>
        <v>5.51323611268832</v>
      </c>
      <c r="BS94" s="789"/>
      <c r="BT94" s="764"/>
      <c r="BU94" s="764"/>
      <c r="BV94" s="764" cm="1">
        <f t="array" ref="BV94">BA94+BC94+BV93</f>
        <v>119573641.260486</v>
      </c>
      <c r="BW94" s="764" cm="1">
        <f t="array" ref="BW94">BG94+BW93</f>
        <v>25463393.7395142</v>
      </c>
      <c r="BX94" s="775" cm="1">
        <f t="array" ref="BX94">BF94+BX93</f>
        <v>2894.6134</v>
      </c>
      <c r="BY94" s="775" cm="1">
        <f t="array" ref="BY94">BH94+BY93</f>
        <v>602.1681</v>
      </c>
      <c r="BZ94" s="764" cm="1">
        <f t="array" ref="BZ94">SUM(BJ$6:BJ94)</f>
        <v>23481044.2604856</v>
      </c>
      <c r="CA94" s="775"/>
      <c r="CB94" s="775"/>
      <c r="CC94" s="764" cm="1">
        <f t="array" ref="CC94">SUM(BE$6:BE94)</f>
        <v>119573641.260486</v>
      </c>
      <c r="CD94" s="775"/>
      <c r="CE94" s="775"/>
      <c r="CF94" s="775"/>
      <c r="CG94" s="775"/>
      <c r="CH94" s="775"/>
      <c r="CI94" s="775"/>
      <c r="CJ94" s="775"/>
      <c r="CK94" s="775"/>
      <c r="CL94" s="775"/>
      <c r="CM94" s="775"/>
    </row>
    <row r="95" ht="19.35" customHeight="1" hidden="1">
      <c r="A95" s="762">
        <v>89</v>
      </c>
      <c r="B95" s="763">
        <v>48040</v>
      </c>
      <c r="C95" s="764"/>
      <c r="D95" s="765" cm="1">
        <f t="array" ref="D95">ROUND(850000/F95,4)</f>
        <v>16.988</v>
      </c>
      <c r="E95" s="766" cm="1">
        <f t="array" ref="E95">D95/K94</f>
        <v>0.0166402878726703</v>
      </c>
      <c r="F95" s="767" cm="1">
        <f t="array" ref="F95">F94*(1+G95)</f>
        <v>50035.1866914163</v>
      </c>
      <c r="G95" s="766" cm="1">
        <f t="array" ref="G95">H95-SUM(G84:G94)</f>
        <v>0.0107</v>
      </c>
      <c r="H95" s="768" cm="1">
        <f t="array" ref="H95">'depto - Table 5'!$K$2</f>
        <v>0.03</v>
      </c>
      <c r="I95" s="769" cm="1">
        <f t="array" ref="I95">H95+4.95/100</f>
        <v>0.0795</v>
      </c>
      <c r="J95" s="764" cm="1">
        <f t="array" ref="J95">IF(K94=0,0,ROUND(D95*F95,0))</f>
        <v>849998</v>
      </c>
      <c r="K95" s="770" cm="1">
        <f t="array" ref="K95">IF(K94-BF95&lt;0,0,K94-BF95)</f>
        <v>1009.0373</v>
      </c>
      <c r="L95" s="771" cm="1">
        <f t="array" ref="L95">K95/K$5</f>
        <v>0.255452481012658</v>
      </c>
      <c r="M95" s="772" cm="1">
        <f t="array" ref="M95">ROUND(K95*F95,0)</f>
        <v>50487370</v>
      </c>
      <c r="N95" s="773" cm="1">
        <f t="array" ref="N95">M95/M$5</f>
        <v>0.344312202151703</v>
      </c>
      <c r="O95" s="772" cm="1">
        <f t="array" ref="O95">M95-M94</f>
        <v>-52565</v>
      </c>
      <c r="P95" s="774" cm="1">
        <f t="array" ref="P95">T95-K95</f>
        <v>4390.9627</v>
      </c>
      <c r="Q95" s="772" cm="1">
        <f t="array" ref="Q95">ROUND(P95*F95,0)</f>
        <v>219702638</v>
      </c>
      <c r="R95" s="775" cm="1">
        <f t="array" ref="R95">$K$5-K95</f>
        <v>2940.9627</v>
      </c>
      <c r="S95" s="772" cm="1">
        <f t="array" ref="S95">Q95-Q94</f>
        <v>2912991</v>
      </c>
      <c r="T95" s="775">
        <v>5400</v>
      </c>
      <c r="U95" s="772" cm="1">
        <f t="array" ref="U95">T95*F95</f>
        <v>270190008.133648</v>
      </c>
      <c r="V95" s="776" cm="1">
        <f t="array" ref="V95">-S95</f>
        <v>-2912991</v>
      </c>
      <c r="W95" s="776"/>
      <c r="X95" s="776" cm="1">
        <f t="array" ref="X95">$K94*4.95/12/100/(1-(1+4.95/12/100)^-(360-$A95+3))+$AY95</f>
        <v>7.30516228111435</v>
      </c>
      <c r="Y95" s="777" cm="1">
        <f t="array" ref="Y95">K94*4.95/12/100/(1-(1+4.95/12/100)^-(360-$A95+3))+AY95</f>
        <v>7.30516228111435</v>
      </c>
      <c r="Z95" s="765" cm="1">
        <f t="array" ref="Z95">IF(Z$3*12&lt;=$A95,0,$K94*'depto - Departamento'!$D$8/12/(1-(1+'depto - Departamento'!$D$8/12)^-(12*Z$3-$A95+3))+$AY96)</f>
        <v>8.26899027239762</v>
      </c>
      <c r="AA95" s="765" cm="1">
        <f t="array" ref="AA95">IF(AA$3*12&lt;=$A95,0,$K94*'depto - Departamento'!$D$8/12/(1-(1+'depto - Departamento'!$D$8/12)^-(12*AA$3-$A95+3))+$AY96)</f>
        <v>10.0472463147811</v>
      </c>
      <c r="AB95" s="765" cm="1">
        <f t="array" ref="AB95">IF(AB$3*12&lt;$A95,0,$K94*'depto - Departamento'!$D$8/12/(1-(1+'depto - Departamento'!$D$8/12)^-(12*AB$3-$A95+3))+$AY95)</f>
        <v>14.2023411429439</v>
      </c>
      <c r="AC95" s="765" cm="1">
        <f t="array" ref="AC95">IF(AC$3*12&lt;$A95,0,$K94*'depto - Departamento'!$D$8/12/(1-(1+'depto - Departamento'!$D$8/12)^-(12*AC$3-$A95+3))+$AY95)</f>
        <v>20.9055449707081</v>
      </c>
      <c r="AD95" s="765" cm="1">
        <f t="array" ref="AD95">IF(AD$3*12&lt;$A95,0,$K94*'depto - Departamento'!$D$8/12/(1-(1+'depto - Departamento'!$D$8/12)^-(12*AD$3-$A95+3))+$AY95)</f>
        <v>33.3212412269478</v>
      </c>
      <c r="AE95" s="765" cm="1">
        <f t="array" ref="AE95">IF(AE$3*12&lt;$A95,0,$K94*'depto - Departamento'!$D$8/12/(1-(1+'depto - Departamento'!$D$8/12)^-(12*AE$3-$A95+3))+$AY95)</f>
        <v>0</v>
      </c>
      <c r="AF95" s="765" cm="1">
        <f t="array" ref="AF95">AF94-(AF93-AF94)</f>
        <v>79.59050000000001</v>
      </c>
      <c r="AG95" s="765"/>
      <c r="AH95" s="765"/>
      <c r="AI95" s="778" cm="1">
        <f t="array" ref="AI95">$F95*Y95</f>
        <v>365515.158546649</v>
      </c>
      <c r="AJ95" s="816" cm="1">
        <f t="array" ref="AJ95">$F95*Z95</f>
        <v>413740.47202892</v>
      </c>
      <c r="AK95" s="816" cm="1">
        <f t="array" ref="AK95">$F95*AA95</f>
        <v>502715.845094717</v>
      </c>
      <c r="AL95" s="764" cm="1">
        <f t="array" ref="AL95">$F95*AB95</f>
        <v>710616.790542381</v>
      </c>
      <c r="AM95" s="764" cm="1">
        <f t="array" ref="AM95">$F95*AC95</f>
        <v>1046012.84549518</v>
      </c>
      <c r="AN95" s="764" cm="1">
        <f t="array" ref="AN95">$F95*AD95</f>
        <v>1667234.52558005</v>
      </c>
      <c r="AO95" s="764"/>
      <c r="AP95" s="764" cm="1">
        <f t="array" ref="AP95">$F95*AF95</f>
        <v>3982325.52636317</v>
      </c>
      <c r="AQ95" s="765"/>
      <c r="AR95" s="779" cm="1">
        <f t="array" ref="AR95">K94-K95</f>
        <v>11.8585</v>
      </c>
      <c r="AS95" s="779" cm="1">
        <f t="array" ref="AS95">D95-AR95</f>
        <v>5.1295</v>
      </c>
      <c r="AT95" s="765"/>
      <c r="AU95" s="780" cm="1">
        <f t="array" ref="AU95">ROUND(AV95*F95,0)</f>
        <v>51746</v>
      </c>
      <c r="AV95" s="781" cm="1">
        <f t="array" ref="AV95">IF(K94=0,0,AV94)</f>
        <v>1.0342</v>
      </c>
      <c r="AW95" s="780" cm="1">
        <f t="array" ref="AW95">ROUND(F95*AX95,0)</f>
        <v>2207</v>
      </c>
      <c r="AX95" s="781" cm="1">
        <f t="array" ref="AX95">AX$11/K$10*K94</f>
        <v>0.0441086482074077</v>
      </c>
      <c r="AY95" s="782" cm="1">
        <f t="array" ref="AY95">SUM(AV95,AX95)</f>
        <v>1.07830864820741</v>
      </c>
      <c r="AZ95" s="780" cm="1">
        <f t="array" ref="AZ95">AU95+AW95</f>
        <v>53953</v>
      </c>
      <c r="BA95" s="783" cm="1">
        <f t="array" ref="BA95">AI95-AZ95-BG95</f>
        <v>108859.851642159</v>
      </c>
      <c r="BB95" s="784" cm="1">
        <f t="array" ref="BB95">ROUND(BA95/$F95,4)</f>
        <v>2.1757</v>
      </c>
      <c r="BC95" s="783" cm="1">
        <f t="array" ref="BC95">J95-SUM(AZ95,BA95,BG95)</f>
        <v>484482.841453351</v>
      </c>
      <c r="BD95" s="784" cm="1">
        <f t="array" ref="BD95">ROUND(BC95/$F95,4)</f>
        <v>9.6828</v>
      </c>
      <c r="BE95" s="785" cm="1">
        <f t="array" ref="BE95">BC95+BA95</f>
        <v>593342.69309551</v>
      </c>
      <c r="BF95" s="784" cm="1">
        <f t="array" ref="BF95">ROUND((BA95+BC95)/F95,4)</f>
        <v>11.8585</v>
      </c>
      <c r="BG95" s="786" cm="1">
        <f t="array" ref="BG95">BO95*F95</f>
        <v>202702.30690449</v>
      </c>
      <c r="BH95" s="787" cm="1">
        <f t="array" ref="BH95">ROUND(BG95/$F95,4)</f>
        <v>4.0512</v>
      </c>
      <c r="BI95" s="772" cm="1">
        <f t="array" ref="BI95">M94-M95</f>
        <v>52565</v>
      </c>
      <c r="BJ95" s="772" cm="1">
        <f t="array" ref="BJ95">BE95-BI95</f>
        <v>540777.69309551</v>
      </c>
      <c r="BK95" s="772" cm="1">
        <f t="array" ref="BK95">-BJ95</f>
        <v>-540777.69309551</v>
      </c>
      <c r="BL95" s="772" cm="1">
        <f t="array" ref="BL95">BG95+BJ95</f>
        <v>743480</v>
      </c>
      <c r="BM95" s="772" cm="1">
        <f t="array" ref="BM95">AVERAGE(BL93:BL95)</f>
        <v>773738</v>
      </c>
      <c r="BN95" s="788" cm="1">
        <f t="array" ref="BN95">BH94-BH95</f>
        <v>0.0495</v>
      </c>
      <c r="BO95" s="775" cm="1">
        <f t="array" ref="BO95">K94*0.0495/12-0.16</f>
        <v>4.051195175</v>
      </c>
      <c r="BP95" s="789" cm="1">
        <f t="array" ref="BP95">(BA95+BC95)/BG95</f>
        <v>2.92716300152955</v>
      </c>
      <c r="BQ95" s="789" cm="1">
        <f t="array" ref="BQ95">Y95-BB95</f>
        <v>5.12946228111435</v>
      </c>
      <c r="BR95" s="789" cm="1">
        <f t="array" ref="BR95">(BR$4*(1+BR$4)^BR$3*K94)/((1+BR$4)^BR$3-1)</f>
        <v>5.44923548864859</v>
      </c>
      <c r="BS95" s="789"/>
      <c r="BT95" s="764"/>
      <c r="BU95" s="764"/>
      <c r="BV95" s="764" cm="1">
        <f t="array" ref="BV95">BA95+BC95+BV94</f>
        <v>120166983.953582</v>
      </c>
      <c r="BW95" s="764" cm="1">
        <f t="array" ref="BW95">BG95+BW94</f>
        <v>25666096.0464187</v>
      </c>
      <c r="BX95" s="775" cm="1">
        <f t="array" ref="BX95">BF95+BX94</f>
        <v>2906.4719</v>
      </c>
      <c r="BY95" s="775" cm="1">
        <f t="array" ref="BY95">BH95+BY94</f>
        <v>606.2193</v>
      </c>
      <c r="BZ95" s="764" cm="1">
        <f t="array" ref="BZ95">SUM(BJ$6:BJ95)</f>
        <v>24021821.9535811</v>
      </c>
      <c r="CA95" s="775"/>
      <c r="CB95" s="775"/>
      <c r="CC95" s="764" cm="1">
        <f t="array" ref="CC95">SUM(BE$6:BE95)</f>
        <v>120166983.953581</v>
      </c>
      <c r="CD95" s="775"/>
      <c r="CE95" s="775"/>
      <c r="CF95" s="775"/>
      <c r="CG95" s="775"/>
      <c r="CH95" s="775"/>
      <c r="CI95" s="775"/>
      <c r="CJ95" s="775"/>
      <c r="CK95" s="775"/>
      <c r="CL95" s="775"/>
      <c r="CM95" s="775"/>
    </row>
    <row r="96" ht="19.35" customHeight="1" hidden="1">
      <c r="A96" s="762">
        <v>90</v>
      </c>
      <c r="B96" s="763">
        <v>48071</v>
      </c>
      <c r="C96" s="764"/>
      <c r="D96" s="765" cm="1">
        <f t="array" ref="D96">ROUND(850000/F96,4)</f>
        <v>16.988</v>
      </c>
      <c r="E96" s="766" cm="1">
        <f t="array" ref="E96">D96/K95</f>
        <v>0.0168358493784125</v>
      </c>
      <c r="F96" s="767" cm="1">
        <f t="array" ref="F96">F95*(1+G96)</f>
        <v>50035.1866914163</v>
      </c>
      <c r="G96" s="766" cm="1">
        <f t="array" ref="G96">H96-SUM(G85:G95)</f>
        <v>0</v>
      </c>
      <c r="H96" s="768" cm="1">
        <f t="array" ref="H96">'depto - Table 5'!$K$2</f>
        <v>0.03</v>
      </c>
      <c r="I96" s="769" cm="1">
        <f t="array" ref="I96">H96+4.95/100</f>
        <v>0.0795</v>
      </c>
      <c r="J96" s="764" cm="1">
        <f t="array" ref="J96">IF(K95=0,0,ROUND(D96*F96,0))</f>
        <v>849998</v>
      </c>
      <c r="K96" s="770" cm="1">
        <f t="array" ref="K96">IF(K95-BF96&lt;0,0,K95-BF96)</f>
        <v>997.1294</v>
      </c>
      <c r="L96" s="771" cm="1">
        <f t="array" ref="L96">K96/K$5</f>
        <v>0.25243782278481</v>
      </c>
      <c r="M96" s="772" cm="1">
        <f t="array" ref="M96">ROUND(K96*F96,0)</f>
        <v>49891556</v>
      </c>
      <c r="N96" s="773" cm="1">
        <f t="array" ref="N96">M96/M$5</f>
        <v>0.340248888288992</v>
      </c>
      <c r="O96" s="772" cm="1">
        <f t="array" ref="O96">M96-M95</f>
        <v>-595814</v>
      </c>
      <c r="P96" s="774" cm="1">
        <f t="array" ref="P96">T96-K96</f>
        <v>4402.8706</v>
      </c>
      <c r="Q96" s="772" cm="1">
        <f t="array" ref="Q96">ROUND(P96*F96,0)</f>
        <v>220298452</v>
      </c>
      <c r="R96" s="775" cm="1">
        <f t="array" ref="R96">$K$5-K96</f>
        <v>2952.8706</v>
      </c>
      <c r="S96" s="772" cm="1">
        <f t="array" ref="S96">Q96-Q95</f>
        <v>595814</v>
      </c>
      <c r="T96" s="775">
        <v>5400</v>
      </c>
      <c r="U96" s="772" cm="1">
        <f t="array" ref="U96">T96*F96</f>
        <v>270190008.133648</v>
      </c>
      <c r="V96" s="776" cm="1">
        <f t="array" ref="V96">-S96</f>
        <v>-595814</v>
      </c>
      <c r="W96" s="776"/>
      <c r="X96" s="776" cm="1">
        <f t="array" ref="X96">$K95*4.95/12/100/(1-(1+4.95/12/100)^-(360-$A96+3))+$AY96</f>
        <v>7.2444957112562</v>
      </c>
      <c r="Y96" s="777" cm="1">
        <f t="array" ref="Y96">K95*4.95/12/100/(1-(1+4.95/12/100)^-(360-$A96+3))+AY96</f>
        <v>7.2444957112562</v>
      </c>
      <c r="Z96" s="765" cm="1">
        <f t="array" ref="Z96">IF(Z$3*12&lt;=$A96,0,$K95*'depto - Departamento'!$D$8/12/(1-(1+'depto - Departamento'!$D$8/12)^-(12*Z$3-$A96+3))+$AY97)</f>
        <v>8.20575249530388</v>
      </c>
      <c r="AA96" s="765" cm="1">
        <f t="array" ref="AA96">IF(AA$3*12&lt;=$A96,0,$K95*'depto - Departamento'!$D$8/12/(1-(1+'depto - Departamento'!$D$8/12)^-(12*AA$3-$A96+3))+$AY97)</f>
        <v>9.98405793281183</v>
      </c>
      <c r="AB96" s="765" cm="1">
        <f t="array" ref="AB96">IF(AB$3*12&lt;$A96,0,$K95*'depto - Departamento'!$D$8/12/(1-(1+'depto - Departamento'!$D$8/12)^-(12*AB$3-$A96+3))+$AY96)</f>
        <v>14.1636275775624</v>
      </c>
      <c r="AC96" s="765" cm="1">
        <f t="array" ref="AC96">IF(AC$3*12&lt;$A96,0,$K95*'depto - Departamento'!$D$8/12/(1-(1+'depto - Departamento'!$D$8/12)^-(12*AC$3-$A96+3))+$AY96)</f>
        <v>20.9791429858316</v>
      </c>
      <c r="AD96" s="765" cm="1">
        <f t="array" ref="AD96">IF(AD$3*12&lt;$A96,0,$K95*'depto - Departamento'!$D$8/12/(1-(1+'depto - Departamento'!$D$8/12)^-(12*AD$3-$A96+3))+$AY96)</f>
        <v>33.8459494147527</v>
      </c>
      <c r="AE96" s="765" cm="1">
        <f t="array" ref="AE96">IF(AE$3*12&lt;$A96,0,$K95*'depto - Departamento'!$D$8/12/(1-(1+'depto - Departamento'!$D$8/12)^-(12*AE$3-$A96+3))+$AY96)</f>
        <v>0</v>
      </c>
      <c r="AF96" s="765" cm="1">
        <f t="array" ref="AF96">AF95-(AF94-AF95)</f>
        <v>79.5877</v>
      </c>
      <c r="AG96" s="765"/>
      <c r="AH96" s="765"/>
      <c r="AI96" s="778" cm="1">
        <f t="array" ref="AI96">$F96*Y96</f>
        <v>362479.695397869</v>
      </c>
      <c r="AJ96" s="816" cm="1">
        <f t="array" ref="AJ96">$F96*Z96</f>
        <v>410576.358046085</v>
      </c>
      <c r="AK96" s="816" cm="1">
        <f t="array" ref="AK96">$F96*AA96</f>
        <v>499554.202606156</v>
      </c>
      <c r="AL96" s="764" cm="1">
        <f t="array" ref="AL96">$F96*AB96</f>
        <v>708679.750071027</v>
      </c>
      <c r="AM96" s="764" cm="1">
        <f t="array" ref="AM96">$F96*AC96</f>
        <v>1049695.335922</v>
      </c>
      <c r="AN96" s="764" cm="1">
        <f t="array" ref="AN96">$F96*AD96</f>
        <v>1693488.39771538</v>
      </c>
      <c r="AO96" s="764"/>
      <c r="AP96" s="764" cm="1">
        <f t="array" ref="AP96">$F96*AF96</f>
        <v>3982185.42784043</v>
      </c>
      <c r="AQ96" s="765"/>
      <c r="AR96" s="779" cm="1">
        <f t="array" ref="AR96">K95-K96</f>
        <v>11.9079</v>
      </c>
      <c r="AS96" s="779" cm="1">
        <f t="array" ref="AS96">D96-AR96</f>
        <v>5.0801</v>
      </c>
      <c r="AT96" s="765"/>
      <c r="AU96" s="780" cm="1">
        <f t="array" ref="AU96">ROUND(AV96*F96,0)</f>
        <v>51746</v>
      </c>
      <c r="AV96" s="781" cm="1">
        <f t="array" ref="AV96">IF(K95=0,0,AV95)</f>
        <v>1.0342</v>
      </c>
      <c r="AW96" s="780" cm="1">
        <f t="array" ref="AW96">ROUND(F96*AX96,0)</f>
        <v>2181</v>
      </c>
      <c r="AX96" s="781" cm="1">
        <f t="array" ref="AX96">AX$11/K$10*K95</f>
        <v>0.0435962918976183</v>
      </c>
      <c r="AY96" s="782" cm="1">
        <f t="array" ref="AY96">SUM(AV96,AX96)</f>
        <v>1.07779629189762</v>
      </c>
      <c r="AZ96" s="780" cm="1">
        <f t="array" ref="AZ96">AU96+AW96</f>
        <v>53927</v>
      </c>
      <c r="BA96" s="783" cm="1">
        <f t="array" ref="BA96">AI96-AZ96-BG96</f>
        <v>108297.925321572</v>
      </c>
      <c r="BB96" s="784" cm="1">
        <f t="array" ref="BB96">ROUND(BA96/$F96,4)</f>
        <v>2.1644</v>
      </c>
      <c r="BC96" s="783" cm="1">
        <f t="array" ref="BC96">J96-SUM(AZ96,BA96,BG96)</f>
        <v>487518.304602131</v>
      </c>
      <c r="BD96" s="784" cm="1">
        <f t="array" ref="BD96">ROUND(BC96/$F96,4)</f>
        <v>9.743499999999999</v>
      </c>
      <c r="BE96" s="785" cm="1">
        <f t="array" ref="BE96">BC96+BA96</f>
        <v>595816.229923703</v>
      </c>
      <c r="BF96" s="784" cm="1">
        <f t="array" ref="BF96">ROUND((BA96+BC96)/F96,4)</f>
        <v>11.9079</v>
      </c>
      <c r="BG96" s="786" cm="1">
        <f t="array" ref="BG96">BO96*F96</f>
        <v>200254.770076297</v>
      </c>
      <c r="BH96" s="787" cm="1">
        <f t="array" ref="BH96">ROUND(BG96/$F96,4)</f>
        <v>4.0023</v>
      </c>
      <c r="BI96" s="772" cm="1">
        <f t="array" ref="BI96">M95-M96</f>
        <v>595814</v>
      </c>
      <c r="BJ96" s="772" cm="1">
        <f t="array" ref="BJ96">BE96-BI96</f>
        <v>2.229923703</v>
      </c>
      <c r="BK96" s="772" cm="1">
        <f t="array" ref="BK96">-BJ96</f>
        <v>-2.229923703</v>
      </c>
      <c r="BL96" s="772" cm="1">
        <f t="array" ref="BL96">BG96+BJ96</f>
        <v>200257</v>
      </c>
      <c r="BM96" s="772" cm="1">
        <f t="array" ref="BM96">AVERAGE(BL94:BL96)</f>
        <v>600982.666666667</v>
      </c>
      <c r="BN96" s="788" cm="1">
        <f t="array" ref="BN96">BH95-BH96</f>
        <v>0.0489</v>
      </c>
      <c r="BO96" s="775" cm="1">
        <f t="array" ref="BO96">K95*0.0495/12-0.16</f>
        <v>4.0022788625</v>
      </c>
      <c r="BP96" s="789" cm="1">
        <f t="array" ref="BP96">(BA96+BC96)/BG96</f>
        <v>2.97529107394894</v>
      </c>
      <c r="BQ96" s="789" cm="1">
        <f t="array" ref="BQ96">Y96-BB96</f>
        <v>5.0800957112562</v>
      </c>
      <c r="BR96" s="789" cm="1">
        <f t="array" ref="BR96">(BR$4*(1+BR$4)^BR$3*K95)/((1+BR$4)^BR$3-1)</f>
        <v>5.38593837346588</v>
      </c>
      <c r="BS96" s="789"/>
      <c r="BT96" s="764"/>
      <c r="BU96" s="764"/>
      <c r="BV96" s="764" cm="1">
        <f t="array" ref="BV96">BA96+BC96+BV95</f>
        <v>120762800.183506</v>
      </c>
      <c r="BW96" s="764" cm="1">
        <f t="array" ref="BW96">BG96+BW95</f>
        <v>25866350.816495</v>
      </c>
      <c r="BX96" s="775" cm="1">
        <f t="array" ref="BX96">BF96+BX95</f>
        <v>2918.3798</v>
      </c>
      <c r="BY96" s="775" cm="1">
        <f t="array" ref="BY96">BH96+BY95</f>
        <v>610.2216</v>
      </c>
      <c r="BZ96" s="764" cm="1">
        <f t="array" ref="BZ96">SUM(BJ$6:BJ96)</f>
        <v>24021824.1835048</v>
      </c>
      <c r="CA96" s="775"/>
      <c r="CB96" s="775"/>
      <c r="CC96" s="764" cm="1">
        <f t="array" ref="CC96">SUM(BE$6:BE96)</f>
        <v>120762800.183505</v>
      </c>
      <c r="CD96" s="775"/>
      <c r="CE96" s="775"/>
      <c r="CF96" s="775"/>
      <c r="CG96" s="775"/>
      <c r="CH96" s="775"/>
      <c r="CI96" s="775"/>
      <c r="CJ96" s="775"/>
      <c r="CK96" s="775"/>
      <c r="CL96" s="775"/>
      <c r="CM96" s="775"/>
    </row>
    <row r="97" ht="19.35" customHeight="1" hidden="1">
      <c r="A97" s="762">
        <v>91</v>
      </c>
      <c r="B97" s="763">
        <v>48102</v>
      </c>
      <c r="C97" s="764"/>
      <c r="D97" s="765" cm="1">
        <f t="array" ref="D97">ROUND(850000/F97,4)</f>
        <v>16.9643</v>
      </c>
      <c r="E97" s="766" cm="1">
        <f t="array" ref="E97">D97/K96</f>
        <v>0.0170131379136951</v>
      </c>
      <c r="F97" s="767" cm="1">
        <f t="array" ref="F97">F96*(1+G97)</f>
        <v>50105.2359527843</v>
      </c>
      <c r="G97" s="766" cm="1">
        <f t="array" ref="G97">H97-SUM(G86:G96)</f>
        <v>0.0014</v>
      </c>
      <c r="H97" s="768" cm="1">
        <f t="array" ref="H97">'depto - Table 5'!$K$2</f>
        <v>0.03</v>
      </c>
      <c r="I97" s="769" cm="1">
        <f t="array" ref="I97">H97+4.95/100</f>
        <v>0.0795</v>
      </c>
      <c r="J97" s="764" cm="1">
        <f t="array" ref="J97">IF(K96=0,0,ROUND(D97*F97,0))</f>
        <v>850000</v>
      </c>
      <c r="K97" s="770" cm="1">
        <f t="array" ref="K97">IF(K96-BF97&lt;0,0,K96-BF97)</f>
        <v>985.1956</v>
      </c>
      <c r="L97" s="771" cm="1">
        <f t="array" ref="L97">K97/K$5</f>
        <v>0.249416607594937</v>
      </c>
      <c r="M97" s="772" cm="1">
        <f t="array" ref="M97">ROUND(K97*F97,0)</f>
        <v>49363458</v>
      </c>
      <c r="N97" s="773" cm="1">
        <f t="array" ref="N97">M97/M$5</f>
        <v>0.336647381905674</v>
      </c>
      <c r="O97" s="772" cm="1">
        <f t="array" ref="O97">M97-M96</f>
        <v>-528098</v>
      </c>
      <c r="P97" s="774" cm="1">
        <f t="array" ref="P97">T97-K97</f>
        <v>4414.8044</v>
      </c>
      <c r="Q97" s="772" cm="1">
        <f t="array" ref="Q97">ROUND(P97*F97,0)</f>
        <v>221204816</v>
      </c>
      <c r="R97" s="775" cm="1">
        <f t="array" ref="R97">$K$5-K97</f>
        <v>2964.8044</v>
      </c>
      <c r="S97" s="772" cm="1">
        <f t="array" ref="S97">Q97-Q96</f>
        <v>906364</v>
      </c>
      <c r="T97" s="775">
        <v>5400</v>
      </c>
      <c r="U97" s="772" cm="1">
        <f t="array" ref="U97">T97*F97</f>
        <v>270568274.145035</v>
      </c>
      <c r="V97" s="776" cm="1">
        <f t="array" ref="V97">-S97</f>
        <v>-906364</v>
      </c>
      <c r="W97" s="776"/>
      <c r="X97" s="776" cm="1">
        <f t="array" ref="X97">$K96*4.95/12/100/(1-(1+4.95/12/100)^-(360-$A97+3))+$AY97</f>
        <v>7.18333595051997</v>
      </c>
      <c r="Y97" s="777" cm="1">
        <f t="array" ref="Y97">K96*4.95/12/100/(1-(1+4.95/12/100)^-(360-$A97+3))+AY97</f>
        <v>7.18333595051997</v>
      </c>
      <c r="Z97" s="765" cm="1">
        <f t="array" ref="Z97">IF(Z$3*12&lt;=$A97,0,$K96*'depto - Departamento'!$D$8/12/(1-(1+'depto - Departamento'!$D$8/12)^-(12*Z$3-$A97+3))+$AY98)</f>
        <v>8.141880822473979</v>
      </c>
      <c r="AA97" s="765" cm="1">
        <f t="array" ref="AA97">IF(AA$3*12&lt;=$A97,0,$K96*'depto - Departamento'!$D$8/12/(1-(1+'depto - Departamento'!$D$8/12)^-(12*AA$3-$A97+3))+$AY98)</f>
        <v>9.92001222083508</v>
      </c>
      <c r="AB97" s="765" cm="1">
        <f t="array" ref="AB97">IF(AB$3*12&lt;$A97,0,$K96*'depto - Departamento'!$D$8/12/(1-(1+'depto - Departamento'!$D$8/12)^-(12*AB$3-$A97+3))+$AY97)</f>
        <v>14.1240648596377</v>
      </c>
      <c r="AC97" s="765" cm="1">
        <f t="array" ref="AC97">IF(AC$3*12&lt;$A97,0,$K96*'depto - Departamento'!$D$8/12/(1-(1+'depto - Departamento'!$D$8/12)^-(12*AC$3-$A97+3))+$AY97)</f>
        <v>21.0553883209412</v>
      </c>
      <c r="AD97" s="765" cm="1">
        <f t="array" ref="AD97">IF(AD$3*12&lt;$A97,0,$K96*'depto - Departamento'!$D$8/12/(1-(1+'depto - Departamento'!$D$8/12)^-(12*AD$3-$A97+3))+$AY97)</f>
        <v>34.4035175834431</v>
      </c>
      <c r="AE97" s="765" cm="1">
        <f t="array" ref="AE97">IF(AE$3*12&lt;$A97,0,$K96*'depto - Departamento'!$D$8/12/(1-(1+'depto - Departamento'!$D$8/12)^-(12*AE$3-$A97+3))+$AY97)</f>
        <v>0</v>
      </c>
      <c r="AF97" s="765" cm="1">
        <f t="array" ref="AF97">AF96-(AF95-AF96)</f>
        <v>79.5849</v>
      </c>
      <c r="AG97" s="765"/>
      <c r="AH97" s="765"/>
      <c r="AI97" s="778" cm="1">
        <f t="array" ref="AI97">$F97*Y97</f>
        <v>359922.742728921</v>
      </c>
      <c r="AJ97" s="816" cm="1">
        <f t="array" ref="AJ97">$F97*Z97</f>
        <v>407950.859709508</v>
      </c>
      <c r="AK97" s="816" cm="1">
        <f t="array" ref="AK97">$F97*AA97</f>
        <v>497044.552979445</v>
      </c>
      <c r="AL97" s="764" cm="1">
        <f t="array" ref="AL97">$F97*AB97</f>
        <v>707689.602404576</v>
      </c>
      <c r="AM97" s="764" cm="1">
        <f t="array" ref="AM97">$F97*AC97</f>
        <v>1054985.19989826</v>
      </c>
      <c r="AN97" s="764" cm="1">
        <f t="array" ref="AN97">$F97*AD97</f>
        <v>1723796.36612418</v>
      </c>
      <c r="AO97" s="764"/>
      <c r="AP97" s="764" cm="1">
        <f t="array" ref="AP97">$F97*AF97</f>
        <v>3987620.19277874</v>
      </c>
      <c r="AQ97" s="765"/>
      <c r="AR97" s="779" cm="1">
        <f t="array" ref="AR97">K96-K97</f>
        <v>11.9338</v>
      </c>
      <c r="AS97" s="779" cm="1">
        <f t="array" ref="AS97">D97-AR97</f>
        <v>5.0305</v>
      </c>
      <c r="AT97" s="765"/>
      <c r="AU97" s="780" cm="1">
        <f t="array" ref="AU97">ROUND(AV97*F97,0)</f>
        <v>51819</v>
      </c>
      <c r="AV97" s="781" cm="1">
        <f t="array" ref="AV97">IF(K96=0,0,AV96)</f>
        <v>1.0342</v>
      </c>
      <c r="AW97" s="780" cm="1">
        <f t="array" ref="AW97">ROUND(F97*AX97,0)</f>
        <v>2159</v>
      </c>
      <c r="AX97" s="781" cm="1">
        <f t="array" ref="AX97">AX$11/K$10*K96</f>
        <v>0.0430818012199321</v>
      </c>
      <c r="AY97" s="782" cm="1">
        <f t="array" ref="AY97">SUM(AV97,AX97)</f>
        <v>1.07728180121993</v>
      </c>
      <c r="AZ97" s="780" cm="1">
        <f t="array" ref="AZ97">AU97+AW97</f>
        <v>53978</v>
      </c>
      <c r="BA97" s="783" cm="1">
        <f t="array" ref="BA97">AI97-AZ97-BG97</f>
        <v>107870.789548726</v>
      </c>
      <c r="BB97" s="784" cm="1">
        <f t="array" ref="BB97">ROUND(BA97/$F97,4)</f>
        <v>2.1529</v>
      </c>
      <c r="BC97" s="783" cm="1">
        <f t="array" ref="BC97">J97-SUM(AZ97,BA97,BG97)</f>
        <v>490077.257271079</v>
      </c>
      <c r="BD97" s="784" cm="1">
        <f t="array" ref="BD97">ROUND(BC97/$F97,4)</f>
        <v>9.781000000000001</v>
      </c>
      <c r="BE97" s="785" cm="1">
        <f t="array" ref="BE97">BC97+BA97</f>
        <v>597948.0468198051</v>
      </c>
      <c r="BF97" s="784" cm="1">
        <f t="array" ref="BF97">ROUND((BA97+BC97)/F97,4)</f>
        <v>11.9338</v>
      </c>
      <c r="BG97" s="786" cm="1">
        <f t="array" ref="BG97">BO97*F97</f>
        <v>198073.953180195</v>
      </c>
      <c r="BH97" s="787" cm="1">
        <f t="array" ref="BH97">ROUND(BG97/$F97,4)</f>
        <v>3.9532</v>
      </c>
      <c r="BI97" s="772" cm="1">
        <f t="array" ref="BI97">M96-M97</f>
        <v>528098</v>
      </c>
      <c r="BJ97" s="772" cm="1">
        <f t="array" ref="BJ97">BE97-BI97</f>
        <v>69850.046819804993</v>
      </c>
      <c r="BK97" s="772" cm="1">
        <f t="array" ref="BK97">-BJ97</f>
        <v>-69850.046819804993</v>
      </c>
      <c r="BL97" s="772" cm="1">
        <f t="array" ref="BL97">BG97+BJ97</f>
        <v>267924</v>
      </c>
      <c r="BM97" s="772" cm="1">
        <f t="array" ref="BM97">AVERAGE(BL95:BL97)</f>
        <v>403887</v>
      </c>
      <c r="BN97" s="788" cm="1">
        <f t="array" ref="BN97">BH96-BH97</f>
        <v>0.0491</v>
      </c>
      <c r="BO97" s="775" cm="1">
        <f t="array" ref="BO97">K96*0.0495/12-0.16</f>
        <v>3.953158775</v>
      </c>
      <c r="BP97" s="789" cm="1">
        <f t="array" ref="BP97">(BA97+BC97)/BG97</f>
        <v>3.01881210133586</v>
      </c>
      <c r="BQ97" s="789" cm="1">
        <f t="array" ref="BQ97">Y97-BB97</f>
        <v>5.03043595051997</v>
      </c>
      <c r="BR97" s="789" cm="1">
        <f t="array" ref="BR97">(BR$4*(1+BR$4)^BR$3*K96)/((1+BR$4)^BR$3-1)</f>
        <v>5.32237757590429</v>
      </c>
      <c r="BS97" s="789"/>
      <c r="BT97" s="764"/>
      <c r="BU97" s="764"/>
      <c r="BV97" s="764" cm="1">
        <f t="array" ref="BV97">BA97+BC97+BV96</f>
        <v>121360748.230326</v>
      </c>
      <c r="BW97" s="764" cm="1">
        <f t="array" ref="BW97">BG97+BW96</f>
        <v>26064424.7696752</v>
      </c>
      <c r="BX97" s="775" cm="1">
        <f t="array" ref="BX97">BF97+BX96</f>
        <v>2930.3136</v>
      </c>
      <c r="BY97" s="775" cm="1">
        <f t="array" ref="BY97">BH97+BY96</f>
        <v>614.1748</v>
      </c>
      <c r="BZ97" s="764" cm="1">
        <f t="array" ref="BZ97">SUM(BJ$6:BJ97)</f>
        <v>24091674.2303246</v>
      </c>
      <c r="CA97" s="775"/>
      <c r="CB97" s="775"/>
      <c r="CC97" s="764" cm="1">
        <f t="array" ref="CC97">SUM(BE$6:BE97)</f>
        <v>121360748.230325</v>
      </c>
      <c r="CD97" s="775"/>
      <c r="CE97" s="775"/>
      <c r="CF97" s="775"/>
      <c r="CG97" s="775"/>
      <c r="CH97" s="775"/>
      <c r="CI97" s="775"/>
      <c r="CJ97" s="775"/>
      <c r="CK97" s="775"/>
      <c r="CL97" s="775"/>
      <c r="CM97" s="775"/>
    </row>
    <row r="98" ht="19.35" customHeight="1" hidden="1">
      <c r="A98" s="762">
        <v>92</v>
      </c>
      <c r="B98" s="763">
        <v>48132</v>
      </c>
      <c r="C98" s="764"/>
      <c r="D98" s="765" cm="1">
        <f t="array" ref="D98">ROUND(850000/F98,4)</f>
        <v>16.8749</v>
      </c>
      <c r="E98" s="766" cm="1">
        <f t="array" ref="E98">D98/K97</f>
        <v>0.0171284768222676</v>
      </c>
      <c r="F98" s="767" cm="1">
        <f t="array" ref="F98">F97*(1+G98)</f>
        <v>50370.7937033341</v>
      </c>
      <c r="G98" s="766" cm="1">
        <f t="array" ref="G98">H98-SUM(G87:G97)</f>
        <v>0.0053</v>
      </c>
      <c r="H98" s="768" cm="1">
        <f t="array" ref="H98">'depto - Table 5'!$K$2</f>
        <v>0.03</v>
      </c>
      <c r="I98" s="769" cm="1">
        <f t="array" ref="I98">H98+4.95/100</f>
        <v>0.0795</v>
      </c>
      <c r="J98" s="764" cm="1">
        <f t="array" ref="J98">IF(K97=0,0,ROUND(D98*F98,0))</f>
        <v>850002</v>
      </c>
      <c r="K98" s="770" cm="1">
        <f t="array" ref="K98">IF(K97-BF98&lt;0,0,K97-BF98)</f>
        <v>973.3013999999999</v>
      </c>
      <c r="L98" s="771" cm="1">
        <f t="array" ref="L98">K98/K$5</f>
        <v>0.246405417721519</v>
      </c>
      <c r="M98" s="772" cm="1">
        <f t="array" ref="M98">ROUND(K98*F98,0)</f>
        <v>49025964</v>
      </c>
      <c r="N98" s="773" cm="1">
        <f t="array" ref="N98">M98/M$5</f>
        <v>0.33434575077787</v>
      </c>
      <c r="O98" s="772" cm="1">
        <f t="array" ref="O98">M98-M97</f>
        <v>-337494</v>
      </c>
      <c r="P98" s="774" cm="1">
        <f t="array" ref="P98">T98-K98</f>
        <v>4426.6986</v>
      </c>
      <c r="Q98" s="772" cm="1">
        <f t="array" ref="Q98">ROUND(P98*F98,0)</f>
        <v>222976322</v>
      </c>
      <c r="R98" s="775" cm="1">
        <f t="array" ref="R98">$K$5-K98</f>
        <v>2976.6986</v>
      </c>
      <c r="S98" s="772" cm="1">
        <f t="array" ref="S98">Q98-Q97</f>
        <v>1771506</v>
      </c>
      <c r="T98" s="775">
        <v>5400</v>
      </c>
      <c r="U98" s="772" cm="1">
        <f t="array" ref="U98">T98*F98</f>
        <v>272002285.998004</v>
      </c>
      <c r="V98" s="776" cm="1">
        <f t="array" ref="V98">-S98</f>
        <v>-1771506</v>
      </c>
      <c r="W98" s="776"/>
      <c r="X98" s="776" cm="1">
        <f t="array" ref="X98">$K97*4.95/12/100/(1-(1+4.95/12/100)^-(360-$A98+3))+$AY98</f>
        <v>7.12182398337153</v>
      </c>
      <c r="Y98" s="777" cm="1">
        <f t="array" ref="Y98">K97*4.95/12/100/(1-(1+4.95/12/100)^-(360-$A98+3))+AY98</f>
        <v>7.12182398337153</v>
      </c>
      <c r="Z98" s="765" cm="1">
        <f t="array" ref="Z98">IF(Z$3*12&lt;=$A98,0,$K97*'depto - Departamento'!$D$8/12/(1-(1+'depto - Departamento'!$D$8/12)^-(12*Z$3-$A98+3))+$AY99)</f>
        <v>8.07753751494324</v>
      </c>
      <c r="AA98" s="765" cm="1">
        <f t="array" ref="AA98">IF(AA$3*12&lt;=$A98,0,$K97*'depto - Departamento'!$D$8/12/(1-(1+'depto - Departamento'!$D$8/12)^-(12*AA$3-$A98+3))+$AY99)</f>
        <v>9.85530621380347</v>
      </c>
      <c r="AB98" s="765" cm="1">
        <f t="array" ref="AB98">IF(AB$3*12&lt;$A98,0,$K97*'depto - Departamento'!$D$8/12/(1-(1+'depto - Departamento'!$D$8/12)^-(12*AB$3-$A98+3))+$AY98)</f>
        <v>14.0839390404207</v>
      </c>
      <c r="AC98" s="765" cm="1">
        <f t="array" ref="AC98">IF(AC$3*12&lt;$A98,0,$K97*'depto - Departamento'!$D$8/12/(1-(1+'depto - Departamento'!$D$8/12)^-(12*AC$3-$A98+3))+$AY98)</f>
        <v>21.1349091256856</v>
      </c>
      <c r="AD98" s="765" cm="1">
        <f t="array" ref="AD98">IF(AD$3*12&lt;$A98,0,$K97*'depto - Departamento'!$D$8/12/(1-(1+'depto - Departamento'!$D$8/12)^-(12*AD$3-$A98+3))+$AY98)</f>
        <v>34.9979431334295</v>
      </c>
      <c r="AE98" s="765" cm="1">
        <f t="array" ref="AE98">IF(AE$3*12&lt;$A98,0,$K97*'depto - Departamento'!$D$8/12/(1-(1+'depto - Departamento'!$D$8/12)^-(12*AE$3-$A98+3))+$AY98)</f>
        <v>0</v>
      </c>
      <c r="AF98" s="765" cm="1">
        <f t="array" ref="AF98">AF97-(AF96-AF97)</f>
        <v>79.5821</v>
      </c>
      <c r="AG98" s="765"/>
      <c r="AH98" s="765"/>
      <c r="AI98" s="778" cm="1">
        <f t="array" ref="AI98">$F98*Y98</f>
        <v>358731.926657864</v>
      </c>
      <c r="AJ98" s="816" cm="1">
        <f t="array" ref="AJ98">$F98*Z98</f>
        <v>406871.975796148</v>
      </c>
      <c r="AK98" s="816" cm="1">
        <f t="array" ref="AK98">$F98*AA98</f>
        <v>496419.596178681</v>
      </c>
      <c r="AL98" s="764" cm="1">
        <f t="array" ref="AL98">$F98*AB98</f>
        <v>709419.187935364</v>
      </c>
      <c r="AM98" s="764" cm="1">
        <f t="array" ref="AM98">$F98*AC98</f>
        <v>1064582.14750862</v>
      </c>
      <c r="AN98" s="764" cm="1">
        <f t="array" ref="AN98">$F98*AD98</f>
        <v>1762874.173615</v>
      </c>
      <c r="AO98" s="764"/>
      <c r="AP98" s="764" cm="1">
        <f t="array" ref="AP98">$F98*AF98</f>
        <v>4008613.5415781</v>
      </c>
      <c r="AQ98" s="765"/>
      <c r="AR98" s="779" cm="1">
        <f t="array" ref="AR98">K97-K98</f>
        <v>11.8942</v>
      </c>
      <c r="AS98" s="779" cm="1">
        <f t="array" ref="AS98">D98-AR98</f>
        <v>4.9807</v>
      </c>
      <c r="AT98" s="765"/>
      <c r="AU98" s="780" cm="1">
        <f t="array" ref="AU98">ROUND(AV98*F98,0)</f>
        <v>52093</v>
      </c>
      <c r="AV98" s="781" cm="1">
        <f t="array" ref="AV98">IF(K97=0,0,AV97)</f>
        <v>1.0342</v>
      </c>
      <c r="AW98" s="780" cm="1">
        <f t="array" ref="AW98">ROUND(F98*AX98,0)</f>
        <v>2144</v>
      </c>
      <c r="AX98" s="781" cm="1">
        <f t="array" ref="AX98">AX$11/K$10*K97</f>
        <v>0.0425661915113041</v>
      </c>
      <c r="AY98" s="782" cm="1">
        <f t="array" ref="AY98">SUM(AV98,AX98)</f>
        <v>1.0767661915113</v>
      </c>
      <c r="AZ98" s="780" cm="1">
        <f t="array" ref="AZ98">AU98+AW98</f>
        <v>54237</v>
      </c>
      <c r="BA98" s="783" cm="1">
        <f t="array" ref="BA98">AI98-AZ98-BG98</f>
        <v>107850.780809639</v>
      </c>
      <c r="BB98" s="784" cm="1">
        <f t="array" ref="BB98">ROUND(BA98/$F98,4)</f>
        <v>2.1411</v>
      </c>
      <c r="BC98" s="783" cm="1">
        <f t="array" ref="BC98">J98-SUM(AZ98,BA98,BG98)</f>
        <v>491270.073342136</v>
      </c>
      <c r="BD98" s="784" cm="1">
        <f t="array" ref="BD98">ROUND(BC98/$F98,4)</f>
        <v>9.7531</v>
      </c>
      <c r="BE98" s="785" cm="1">
        <f t="array" ref="BE98">BC98+BA98</f>
        <v>599120.854151775</v>
      </c>
      <c r="BF98" s="784" cm="1">
        <f t="array" ref="BF98">ROUND((BA98+BC98)/F98,4)</f>
        <v>11.8942</v>
      </c>
      <c r="BG98" s="786" cm="1">
        <f t="array" ref="BG98">BO98*F98</f>
        <v>196644.145848225</v>
      </c>
      <c r="BH98" s="787" cm="1">
        <f t="array" ref="BH98">ROUND(BG98/$F98,4)</f>
        <v>3.9039</v>
      </c>
      <c r="BI98" s="772" cm="1">
        <f t="array" ref="BI98">M97-M98</f>
        <v>337494</v>
      </c>
      <c r="BJ98" s="772" cm="1">
        <f t="array" ref="BJ98">BE98-BI98</f>
        <v>261626.854151775</v>
      </c>
      <c r="BK98" s="772" cm="1">
        <f t="array" ref="BK98">-BJ98</f>
        <v>-261626.854151775</v>
      </c>
      <c r="BL98" s="772" cm="1">
        <f t="array" ref="BL98">BG98+BJ98</f>
        <v>458271</v>
      </c>
      <c r="BM98" s="772" cm="1">
        <f t="array" ref="BM98">AVERAGE(BL96:BL98)</f>
        <v>308817.333333333</v>
      </c>
      <c r="BN98" s="788" cm="1">
        <f t="array" ref="BN98">BH97-BH98</f>
        <v>0.0493</v>
      </c>
      <c r="BO98" s="775" cm="1">
        <f t="array" ref="BO98">K97*0.0495/12-0.16</f>
        <v>3.90393185</v>
      </c>
      <c r="BP98" s="789" cm="1">
        <f t="array" ref="BP98">(BA98+BC98)/BG98</f>
        <v>3.04672611313938</v>
      </c>
      <c r="BQ98" s="789" cm="1">
        <f t="array" ref="BQ98">Y98-BB98</f>
        <v>4.98072398337153</v>
      </c>
      <c r="BR98" s="789" cm="1">
        <f t="array" ref="BR98">(BR$4*(1+BR$4)^BR$3*K97)/((1+BR$4)^BR$3-1)</f>
        <v>5.25867853191329</v>
      </c>
      <c r="BS98" s="789"/>
      <c r="BT98" s="764"/>
      <c r="BU98" s="764"/>
      <c r="BV98" s="764" cm="1">
        <f t="array" ref="BV98">BA98+BC98+BV97</f>
        <v>121959869.084478</v>
      </c>
      <c r="BW98" s="764" cm="1">
        <f t="array" ref="BW98">BG98+BW97</f>
        <v>26261068.9155234</v>
      </c>
      <c r="BX98" s="775" cm="1">
        <f t="array" ref="BX98">BF98+BX97</f>
        <v>2942.2078</v>
      </c>
      <c r="BY98" s="775" cm="1">
        <f t="array" ref="BY98">BH98+BY97</f>
        <v>618.0787</v>
      </c>
      <c r="BZ98" s="764" cm="1">
        <f t="array" ref="BZ98">SUM(BJ$6:BJ98)</f>
        <v>24353301.0844764</v>
      </c>
      <c r="CA98" s="775"/>
      <c r="CB98" s="775"/>
      <c r="CC98" s="764" cm="1">
        <f t="array" ref="CC98">SUM(BE$6:BE98)</f>
        <v>121959869.084476</v>
      </c>
      <c r="CD98" s="775"/>
      <c r="CE98" s="775"/>
      <c r="CF98" s="775"/>
      <c r="CG98" s="775"/>
      <c r="CH98" s="775"/>
      <c r="CI98" s="775"/>
      <c r="CJ98" s="775"/>
      <c r="CK98" s="775"/>
      <c r="CL98" s="775"/>
      <c r="CM98" s="775"/>
    </row>
    <row r="99" ht="19.35" customHeight="1" hidden="1">
      <c r="A99" s="762">
        <v>93</v>
      </c>
      <c r="B99" s="763">
        <v>48163</v>
      </c>
      <c r="C99" s="764"/>
      <c r="D99" s="765" cm="1">
        <f t="array" ref="D99">ROUND(850000/F99,4)</f>
        <v>16.8127</v>
      </c>
      <c r="E99" s="766" cm="1">
        <f t="array" ref="E99">D99/K98</f>
        <v>0.0172738886433329</v>
      </c>
      <c r="F99" s="767" cm="1">
        <f t="array" ref="F99">F98*(1+G99)</f>
        <v>50557.1656400364</v>
      </c>
      <c r="G99" s="766" cm="1">
        <f t="array" ref="G99">H99-SUM(G88:G98)</f>
        <v>0.0037</v>
      </c>
      <c r="H99" s="768" cm="1">
        <f t="array" ref="H99">'depto - Table 5'!$K$2</f>
        <v>0.03</v>
      </c>
      <c r="I99" s="769" cm="1">
        <f t="array" ref="I99">H99+4.95/100</f>
        <v>0.0795</v>
      </c>
      <c r="J99" s="764" cm="1">
        <f t="array" ref="J99">IF(K98=0,0,ROUND(D99*F99,0))</f>
        <v>850002</v>
      </c>
      <c r="K99" s="770" cm="1">
        <f t="array" ref="K99">IF(K98-BF99&lt;0,0,K98-BF99)</f>
        <v>961.4198</v>
      </c>
      <c r="L99" s="771" cm="1">
        <f t="array" ref="L99">K99/K$5</f>
        <v>0.243397417721519</v>
      </c>
      <c r="M99" s="772" cm="1">
        <f t="array" ref="M99">ROUND(K99*F99,0)</f>
        <v>48606660</v>
      </c>
      <c r="N99" s="773" cm="1">
        <f t="array" ref="N99">M99/M$5</f>
        <v>0.331486194346013</v>
      </c>
      <c r="O99" s="772" cm="1">
        <f t="array" ref="O99">M99-M98</f>
        <v>-419304</v>
      </c>
      <c r="P99" s="774" cm="1">
        <f t="array" ref="P99">T99-K99</f>
        <v>4438.5802</v>
      </c>
      <c r="Q99" s="772" cm="1">
        <f t="array" ref="Q99">ROUND(P99*F99,0)</f>
        <v>224402034</v>
      </c>
      <c r="R99" s="775" cm="1">
        <f t="array" ref="R99">$K$5-K99</f>
        <v>2988.5802</v>
      </c>
      <c r="S99" s="772" cm="1">
        <f t="array" ref="S99">Q99-Q98</f>
        <v>1425712</v>
      </c>
      <c r="T99" s="775">
        <v>5400</v>
      </c>
      <c r="U99" s="772" cm="1">
        <f t="array" ref="U99">T99*F99</f>
        <v>273008694.456197</v>
      </c>
      <c r="V99" s="776" cm="1">
        <f t="array" ref="V99">-S99</f>
        <v>-1425712</v>
      </c>
      <c r="W99" s="776"/>
      <c r="X99" s="776" cm="1">
        <f t="array" ref="X99">$K98*4.95/12/100/(1-(1+4.95/12/100)^-(360-$A99+3))+$AY99</f>
        <v>7.06036193224455</v>
      </c>
      <c r="Y99" s="777" cm="1">
        <f t="array" ref="Y99">K98*4.95/12/100/(1-(1+4.95/12/100)^-(360-$A99+3))+AY99</f>
        <v>7.06036193224455</v>
      </c>
      <c r="Z99" s="765" cm="1">
        <f t="array" ref="Z99">IF(Z$3*12&lt;=$A99,0,$K98*'depto - Departamento'!$D$8/12/(1-(1+'depto - Departamento'!$D$8/12)^-(12*Z$3-$A99+3))+$AY100)</f>
        <v>8.01318205169555</v>
      </c>
      <c r="AA99" s="765" cm="1">
        <f t="array" ref="AA99">IF(AA$3*12&lt;=$A99,0,$K98*'depto - Departamento'!$D$8/12/(1-(1+'depto - Departamento'!$D$8/12)^-(12*AA$3-$A99+3))+$AY100)</f>
        <v>9.790512627797121</v>
      </c>
      <c r="AB99" s="765" cm="1">
        <f t="array" ref="AB99">IF(AB$3*12&lt;$A99,0,$K98*'depto - Departamento'!$D$8/12/(1-(1+'depto - Departamento'!$D$8/12)^-(12*AB$3-$A99+3))+$AY99)</f>
        <v>14.0441078140853</v>
      </c>
      <c r="AC99" s="765" cm="1">
        <f t="array" ref="AC99">IF(AC$3*12&lt;$A99,0,$K98*'depto - Departamento'!$D$8/12/(1-(1+'depto - Departamento'!$D$8/12)^-(12*AC$3-$A99+3))+$AY99)</f>
        <v>21.2192471568761</v>
      </c>
      <c r="AD99" s="765" cm="1">
        <f t="array" ref="AD99">IF(AD$3*12&lt;$A99,0,$K98*'depto - Departamento'!$D$8/12/(1-(1+'depto - Departamento'!$D$8/12)^-(12*AD$3-$A99+3))+$AY99)</f>
        <v>35.6352426626034</v>
      </c>
      <c r="AE99" s="765" cm="1">
        <f t="array" ref="AE99">IF(AE$3*12&lt;$A99,0,$K98*'depto - Departamento'!$D$8/12/(1-(1+'depto - Departamento'!$D$8/12)^-(12*AE$3-$A99+3))+$AY99)</f>
        <v>0</v>
      </c>
      <c r="AF99" s="765" cm="1">
        <f t="array" ref="AF99">AF98-(AF97-AF98)</f>
        <v>79.5793</v>
      </c>
      <c r="AG99" s="765"/>
      <c r="AH99" s="765"/>
      <c r="AI99" s="778" cm="1">
        <f t="array" ref="AI99">$F99*Y99</f>
        <v>356951.887687095</v>
      </c>
      <c r="AJ99" s="816" cm="1">
        <f t="array" ref="AJ99">$F99*Z99</f>
        <v>405123.772291339</v>
      </c>
      <c r="AK99" s="816" cm="1">
        <f t="array" ref="AK99">$F99*AA99</f>
        <v>494980.568624407</v>
      </c>
      <c r="AL99" s="764" cm="1">
        <f t="array" ref="AL99">$F99*AB99</f>
        <v>710030.28502324</v>
      </c>
      <c r="AM99" s="764" cm="1">
        <f t="array" ref="AM99">$F99*AC99</f>
        <v>1072784.99326706</v>
      </c>
      <c r="AN99" s="764" cm="1">
        <f t="array" ref="AN99">$F99*AD99</f>
        <v>1801616.86591613</v>
      </c>
      <c r="AO99" s="764"/>
      <c r="AP99" s="764" cm="1">
        <f t="array" ref="AP99">$F99*AF99</f>
        <v>4023303.85161815</v>
      </c>
      <c r="AQ99" s="765"/>
      <c r="AR99" s="779" cm="1">
        <f t="array" ref="AR99">K98-K99</f>
        <v>11.8816</v>
      </c>
      <c r="AS99" s="779" cm="1">
        <f t="array" ref="AS99">D99-AR99</f>
        <v>4.9311</v>
      </c>
      <c r="AT99" s="765"/>
      <c r="AU99" s="780" cm="1">
        <f t="array" ref="AU99">ROUND(AV99*F99,0)</f>
        <v>52286</v>
      </c>
      <c r="AV99" s="781" cm="1">
        <f t="array" ref="AV99">IF(K98=0,0,AV98)</f>
        <v>1.0342</v>
      </c>
      <c r="AW99" s="780" cm="1">
        <f t="array" ref="AW99">ROUND(F99*AX99,0)</f>
        <v>2126</v>
      </c>
      <c r="AX99" s="781" cm="1">
        <f t="array" ref="AX99">AX$11/K$10*K98</f>
        <v>0.0420522927534597</v>
      </c>
      <c r="AY99" s="782" cm="1">
        <f t="array" ref="AY99">SUM(AV99,AX99)</f>
        <v>1.07625229275346</v>
      </c>
      <c r="AZ99" s="780" cm="1">
        <f t="array" ref="AZ99">AU99+AW99</f>
        <v>54412</v>
      </c>
      <c r="BA99" s="783" cm="1">
        <f t="array" ref="BA99">AI99-AZ99-BG99</f>
        <v>107648.673787399</v>
      </c>
      <c r="BB99" s="784" cm="1">
        <f t="array" ref="BB99">ROUND(BA99/$F99,4)</f>
        <v>2.1292</v>
      </c>
      <c r="BC99" s="783" cm="1">
        <f t="array" ref="BC99">J99-SUM(AZ99,BA99,BG99)</f>
        <v>493050.112312905</v>
      </c>
      <c r="BD99" s="784" cm="1">
        <f t="array" ref="BD99">ROUND(BC99/$F99,4)</f>
        <v>9.7523</v>
      </c>
      <c r="BE99" s="785" cm="1">
        <f t="array" ref="BE99">BC99+BA99</f>
        <v>600698.786100304</v>
      </c>
      <c r="BF99" s="784" cm="1">
        <f t="array" ref="BF99">ROUND((BA99+BC99)/F99,4)</f>
        <v>11.8816</v>
      </c>
      <c r="BG99" s="786" cm="1">
        <f t="array" ref="BG99">BO99*F99</f>
        <v>194891.213899696</v>
      </c>
      <c r="BH99" s="787" cm="1">
        <f t="array" ref="BH99">ROUND(BG99/$F99,4)</f>
        <v>3.8549</v>
      </c>
      <c r="BI99" s="772" cm="1">
        <f t="array" ref="BI99">M98-M99</f>
        <v>419304</v>
      </c>
      <c r="BJ99" s="772" cm="1">
        <f t="array" ref="BJ99">BE99-BI99</f>
        <v>181394.786100304</v>
      </c>
      <c r="BK99" s="772" cm="1">
        <f t="array" ref="BK99">-BJ99</f>
        <v>-181394.786100304</v>
      </c>
      <c r="BL99" s="772" cm="1">
        <f t="array" ref="BL99">BG99+BJ99</f>
        <v>376286</v>
      </c>
      <c r="BM99" s="772" cm="1">
        <f t="array" ref="BM99">AVERAGE(BL97:BL99)</f>
        <v>367493.666666667</v>
      </c>
      <c r="BN99" s="788" cm="1">
        <f t="array" ref="BN99">BH98-BH99</f>
        <v>0.049</v>
      </c>
      <c r="BO99" s="775" cm="1">
        <f t="array" ref="BO99">K98*0.0495/12-0.16</f>
        <v>3.854868275</v>
      </c>
      <c r="BP99" s="789" cm="1">
        <f t="array" ref="BP99">(BA99+BC99)/BG99</f>
        <v>3.08222609978438</v>
      </c>
      <c r="BQ99" s="789" cm="1">
        <f t="array" ref="BQ99">Y99-BB99</f>
        <v>4.93116193224455</v>
      </c>
      <c r="BR99" s="789" cm="1">
        <f t="array" ref="BR99">(BR$4*(1+BR$4)^BR$3*K98)/((1+BR$4)^BR$3-1)</f>
        <v>5.19519086084139</v>
      </c>
      <c r="BS99" s="789"/>
      <c r="BT99" s="764"/>
      <c r="BU99" s="764"/>
      <c r="BV99" s="764" cm="1">
        <f t="array" ref="BV99">BA99+BC99+BV98</f>
        <v>122560567.870578</v>
      </c>
      <c r="BW99" s="764" cm="1">
        <f t="array" ref="BW99">BG99+BW98</f>
        <v>26455960.1294231</v>
      </c>
      <c r="BX99" s="775" cm="1">
        <f t="array" ref="BX99">BF99+BX98</f>
        <v>2954.0894</v>
      </c>
      <c r="BY99" s="775" cm="1">
        <f t="array" ref="BY99">BH99+BY98</f>
        <v>621.9336</v>
      </c>
      <c r="BZ99" s="764" cm="1">
        <f t="array" ref="BZ99">SUM(BJ$6:BJ99)</f>
        <v>24534695.8705767</v>
      </c>
      <c r="CA99" s="775"/>
      <c r="CB99" s="775"/>
      <c r="CC99" s="764" cm="1">
        <f t="array" ref="CC99">SUM(BE$6:BE99)</f>
        <v>122560567.870577</v>
      </c>
      <c r="CD99" s="775"/>
      <c r="CE99" s="775"/>
      <c r="CF99" s="775"/>
      <c r="CG99" s="775"/>
      <c r="CH99" s="775"/>
      <c r="CI99" s="775"/>
      <c r="CJ99" s="775"/>
      <c r="CK99" s="775"/>
      <c r="CL99" s="775"/>
      <c r="CM99" s="775"/>
    </row>
    <row r="100" ht="19.35" customHeight="1" hidden="1">
      <c r="A100" s="762">
        <v>94</v>
      </c>
      <c r="B100" s="763">
        <v>48193</v>
      </c>
      <c r="C100" s="764"/>
      <c r="D100" s="765" cm="1">
        <f t="array" ref="D100">ROUND(850000/F100,4)</f>
        <v>16.8093</v>
      </c>
      <c r="E100" s="766" cm="1">
        <f t="array" ref="E100">D100/K99</f>
        <v>0.0174838296444488</v>
      </c>
      <c r="F100" s="767" cm="1">
        <f t="array" ref="F100">F99*(1+G100)</f>
        <v>50567.2770731644</v>
      </c>
      <c r="G100" s="766" cm="1">
        <f t="array" ref="G100">H100-SUM(G89:G99)</f>
        <v>0.0002</v>
      </c>
      <c r="H100" s="768" cm="1">
        <f t="array" ref="H100">'depto - Table 5'!$K$2</f>
        <v>0.03</v>
      </c>
      <c r="I100" s="769" cm="1">
        <f t="array" ref="I100">H100+4.95/100</f>
        <v>0.0795</v>
      </c>
      <c r="J100" s="764" cm="1">
        <f t="array" ref="J100">IF(K99=0,0,ROUND(D100*F100,0))</f>
        <v>850001</v>
      </c>
      <c r="K100" s="770" cm="1">
        <f t="array" ref="K100">IF(K99-BF100&lt;0,0,K99-BF100)</f>
        <v>949.4921000000001</v>
      </c>
      <c r="L100" s="771" cm="1">
        <f t="array" ref="L100">K100/K$5</f>
        <v>0.240377746835443</v>
      </c>
      <c r="M100" s="772" cm="1">
        <f t="array" ref="M100">ROUND(K100*F100,0)</f>
        <v>48013230</v>
      </c>
      <c r="N100" s="773" cm="1">
        <f t="array" ref="N100">M100/M$5</f>
        <v>0.327439138812661</v>
      </c>
      <c r="O100" s="772" cm="1">
        <f t="array" ref="O100">M100-M99</f>
        <v>-593430</v>
      </c>
      <c r="P100" s="774" cm="1">
        <f t="array" ref="P100">T100-K100</f>
        <v>4450.5079</v>
      </c>
      <c r="Q100" s="772" cm="1">
        <f t="array" ref="Q100">ROUND(P100*F100,0)</f>
        <v>225050066</v>
      </c>
      <c r="R100" s="775" cm="1">
        <f t="array" ref="R100">$K$5-K100</f>
        <v>3000.5079</v>
      </c>
      <c r="S100" s="772" cm="1">
        <f t="array" ref="S100">Q100-Q99</f>
        <v>648032</v>
      </c>
      <c r="T100" s="775">
        <v>5400</v>
      </c>
      <c r="U100" s="772" cm="1">
        <f t="array" ref="U100">T100*F100</f>
        <v>273063296.195088</v>
      </c>
      <c r="V100" s="776" cm="1">
        <f t="array" ref="V100">-S100</f>
        <v>-648032</v>
      </c>
      <c r="W100" s="776"/>
      <c r="X100" s="776" cm="1">
        <f t="array" ref="X100">$K99*4.95/12/100/(1-(1+4.95/12/100)^-(360-$A100+3))+$AY100</f>
        <v>6.99878126909859</v>
      </c>
      <c r="Y100" s="777" cm="1">
        <f t="array" ref="Y100">K99*4.95/12/100/(1-(1+4.95/12/100)^-(360-$A100+3))+AY100</f>
        <v>6.99878126909859</v>
      </c>
      <c r="Z100" s="765" cm="1">
        <f t="array" ref="Z100">IF(Z$3*12&lt;=$A100,0,$K99*'depto - Departamento'!$D$8/12/(1-(1+'depto - Departamento'!$D$8/12)^-(12*Z$3-$A100+3))+$AY101)</f>
        <v>7.94861674299349</v>
      </c>
      <c r="AA100" s="765" cm="1">
        <f t="array" ref="AA100">IF(AA$3*12&lt;=$A100,0,$K99*'depto - Departamento'!$D$8/12/(1-(1+'depto - Departamento'!$D$8/12)^-(12*AA$3-$A100+3))+$AY101)</f>
        <v>9.725381602884781</v>
      </c>
      <c r="AB100" s="765" cm="1">
        <f t="array" ref="AB100">IF(AB$3*12&lt;$A100,0,$K99*'depto - Departamento'!$D$8/12/(1-(1+'depto - Departamento'!$D$8/12)^-(12*AB$3-$A100+3))+$AY100)</f>
        <v>14.0042126070987</v>
      </c>
      <c r="AC100" s="765" cm="1">
        <f t="array" ref="AC100">IF(AC$3*12&lt;$A100,0,$K99*'depto - Departamento'!$D$8/12/(1-(1+'depto - Departamento'!$D$8/12)^-(12*AC$3-$A100+3))+$AY100)</f>
        <v>21.3080987750315</v>
      </c>
      <c r="AD100" s="765" cm="1">
        <f t="array" ref="AD100">IF(AD$3*12&lt;$A100,0,$K99*'depto - Departamento'!$D$8/12/(1-(1+'depto - Departamento'!$D$8/12)^-(12*AD$3-$A100+3))+$AY100)</f>
        <v>36.3188480485219</v>
      </c>
      <c r="AE100" s="765" cm="1">
        <f t="array" ref="AE100">IF(AE$3*12&lt;$A100,0,$K99*'depto - Departamento'!$D$8/12/(1-(1+'depto - Departamento'!$D$8/12)^-(12*AE$3-$A100+3))+$AY100)</f>
        <v>0</v>
      </c>
      <c r="AF100" s="765" cm="1">
        <f t="array" ref="AF100">AF99-(AF98-AF99)</f>
        <v>79.5765</v>
      </c>
      <c r="AG100" s="765"/>
      <c r="AH100" s="765"/>
      <c r="AI100" s="778" cm="1">
        <f t="array" ref="AI100">$F100*Y100</f>
        <v>353909.311608982</v>
      </c>
      <c r="AJ100" s="816" cm="1">
        <f t="array" ref="AJ100">$F100*Z100</f>
        <v>401939.905191345</v>
      </c>
      <c r="AK100" s="816" cm="1">
        <f t="array" ref="AK100">$F100*AA100</f>
        <v>491786.06615533</v>
      </c>
      <c r="AL100" s="764" cm="1">
        <f t="array" ref="AL100">$F100*AB100</f>
        <v>708154.899094662</v>
      </c>
      <c r="AM100" s="764" cm="1">
        <f t="array" ref="AM100">$F100*AC100</f>
        <v>1077492.53465937</v>
      </c>
      <c r="AN100" s="764" cm="1">
        <f t="array" ref="AN100">$F100*AD100</f>
        <v>1836545.25224776</v>
      </c>
      <c r="AO100" s="764"/>
      <c r="AP100" s="764" cm="1">
        <f t="array" ref="AP100">$F100*AF100</f>
        <v>4023966.92401267</v>
      </c>
      <c r="AQ100" s="765"/>
      <c r="AR100" s="779" cm="1">
        <f t="array" ref="AR100">K99-K100</f>
        <v>11.9277</v>
      </c>
      <c r="AS100" s="779" cm="1">
        <f t="array" ref="AS100">D100-AR100</f>
        <v>4.8816</v>
      </c>
      <c r="AT100" s="765"/>
      <c r="AU100" s="780" cm="1">
        <f t="array" ref="AU100">ROUND(AV100*F100,0)</f>
        <v>52297</v>
      </c>
      <c r="AV100" s="781" cm="1">
        <f t="array" ref="AV100">IF(K99=0,0,AV99)</f>
        <v>1.0342</v>
      </c>
      <c r="AW100" s="780" cm="1">
        <f t="array" ref="AW100">ROUND(F100*AX100,0)</f>
        <v>2101</v>
      </c>
      <c r="AX100" s="781" cm="1">
        <f t="array" ref="AX100">AX$11/K$10*K99</f>
        <v>0.0415389383890464</v>
      </c>
      <c r="AY100" s="782" cm="1">
        <f t="array" ref="AY100">SUM(AV100,AX100)</f>
        <v>1.07573893838905</v>
      </c>
      <c r="AZ100" s="780" cm="1">
        <f t="array" ref="AZ100">AU100+AW100</f>
        <v>54398</v>
      </c>
      <c r="BA100" s="783" cm="1">
        <f t="array" ref="BA100">AI100-AZ100-BG100</f>
        <v>107059.502623505</v>
      </c>
      <c r="BB100" s="784" cm="1">
        <f t="array" ref="BB100">ROUND(BA100/$F100,4)</f>
        <v>2.1172</v>
      </c>
      <c r="BC100" s="783" cm="1">
        <f t="array" ref="BC100">J100-SUM(AZ100,BA100,BG100)</f>
        <v>496091.688391018</v>
      </c>
      <c r="BD100" s="784" cm="1">
        <f t="array" ref="BD100">ROUND(BC100/$F100,4)</f>
        <v>9.810499999999999</v>
      </c>
      <c r="BE100" s="785" cm="1">
        <f t="array" ref="BE100">BC100+BA100</f>
        <v>603151.191014523</v>
      </c>
      <c r="BF100" s="784" cm="1">
        <f t="array" ref="BF100">ROUND((BA100+BC100)/F100,4)</f>
        <v>11.9277</v>
      </c>
      <c r="BG100" s="786" cm="1">
        <f t="array" ref="BG100">BO100*F100</f>
        <v>192451.808985477</v>
      </c>
      <c r="BH100" s="787" cm="1">
        <f t="array" ref="BH100">ROUND(BG100/$F100,4)</f>
        <v>3.8059</v>
      </c>
      <c r="BI100" s="772" cm="1">
        <f t="array" ref="BI100">M99-M100</f>
        <v>593430</v>
      </c>
      <c r="BJ100" s="772" cm="1">
        <f t="array" ref="BJ100">BE100-BI100</f>
        <v>9721.191014522999</v>
      </c>
      <c r="BK100" s="772" cm="1">
        <f t="array" ref="BK100">-BJ100</f>
        <v>-9721.191014522999</v>
      </c>
      <c r="BL100" s="772" cm="1">
        <f t="array" ref="BL100">BG100+BJ100</f>
        <v>202173</v>
      </c>
      <c r="BM100" s="772" cm="1">
        <f t="array" ref="BM100">AVERAGE(BL98:BL100)</f>
        <v>345576.666666667</v>
      </c>
      <c r="BN100" s="788" cm="1">
        <f t="array" ref="BN100">BH99-BH100</f>
        <v>0.049</v>
      </c>
      <c r="BO100" s="775" cm="1">
        <f t="array" ref="BO100">K99*0.0495/12-0.16</f>
        <v>3.805856675</v>
      </c>
      <c r="BP100" s="789" cm="1">
        <f t="array" ref="BP100">(BA100+BC100)/BG100</f>
        <v>3.1340375244799</v>
      </c>
      <c r="BQ100" s="789" cm="1">
        <f t="array" ref="BQ100">Y100-BB100</f>
        <v>4.88158126909859</v>
      </c>
      <c r="BR100" s="789" cm="1">
        <f t="array" ref="BR100">(BR$4*(1+BR$4)^BR$3*K99)/((1+BR$4)^BR$3-1)</f>
        <v>5.1317704447892</v>
      </c>
      <c r="BS100" s="789"/>
      <c r="BT100" s="764"/>
      <c r="BU100" s="764"/>
      <c r="BV100" s="764" cm="1">
        <f t="array" ref="BV100">BA100+BC100+BV99</f>
        <v>123163719.061593</v>
      </c>
      <c r="BW100" s="764" cm="1">
        <f t="array" ref="BW100">BG100+BW99</f>
        <v>26648411.9384086</v>
      </c>
      <c r="BX100" s="775" cm="1">
        <f t="array" ref="BX100">BF100+BX99</f>
        <v>2966.0171</v>
      </c>
      <c r="BY100" s="775" cm="1">
        <f t="array" ref="BY100">BH100+BY99</f>
        <v>625.7395</v>
      </c>
      <c r="BZ100" s="764" cm="1">
        <f t="array" ref="BZ100">SUM(BJ$6:BJ100)</f>
        <v>24544417.0615912</v>
      </c>
      <c r="CA100" s="775"/>
      <c r="CB100" s="775"/>
      <c r="CC100" s="764" cm="1">
        <f t="array" ref="CC100">SUM(BE$6:BE100)</f>
        <v>123163719.061591</v>
      </c>
      <c r="CD100" s="775"/>
      <c r="CE100" s="775"/>
      <c r="CF100" s="775"/>
      <c r="CG100" s="775"/>
      <c r="CH100" s="775"/>
      <c r="CI100" s="775"/>
      <c r="CJ100" s="775"/>
      <c r="CK100" s="775"/>
      <c r="CL100" s="775"/>
      <c r="CM100" s="775"/>
    </row>
    <row r="101" ht="19.35" customHeight="1" hidden="1">
      <c r="A101" s="762">
        <v>95</v>
      </c>
      <c r="B101" s="790">
        <v>48224</v>
      </c>
      <c r="C101" s="405"/>
      <c r="D101" s="791" cm="1">
        <f t="array" ref="D101">ROUND(850000/F101,4)</f>
        <v>17.1383</v>
      </c>
      <c r="E101" s="792" cm="1">
        <f t="array" ref="E101">D101/K100</f>
        <v>0.0180499658712274</v>
      </c>
      <c r="F101" s="793" cm="1">
        <f t="array" ref="F101">F100*(1+G101)</f>
        <v>49596.3853533596</v>
      </c>
      <c r="G101" s="792" cm="1">
        <f t="array" ref="G101">H101-SUM(G90:G100)</f>
        <v>-0.0192</v>
      </c>
      <c r="H101" s="794" cm="1">
        <f t="array" ref="H101">'depto - Table 5'!$L$2</f>
        <v>0.03</v>
      </c>
      <c r="I101" s="795" cm="1">
        <f t="array" ref="I101">H101+4.95/100</f>
        <v>0.0795</v>
      </c>
      <c r="J101" s="405" cm="1">
        <f t="array" ref="J101">IF(K100=0,0,ROUND(D101*F101,0))</f>
        <v>849998</v>
      </c>
      <c r="K101" s="796" cm="1">
        <f t="array" ref="K101">IF(K100-BF101&lt;0,0,K100-BF101)</f>
        <v>937.1857</v>
      </c>
      <c r="L101" s="797" cm="1">
        <f t="array" ref="L101">K101/K$5</f>
        <v>0.237262202531646</v>
      </c>
      <c r="M101" s="798" cm="1">
        <f t="array" ref="M101">ROUND(K101*F101,0)</f>
        <v>46481023</v>
      </c>
      <c r="N101" s="799" cm="1">
        <f t="array" ref="N101">M101/M$5</f>
        <v>0.316989840971988</v>
      </c>
      <c r="O101" s="798" cm="1">
        <f t="array" ref="O101">M101-M100</f>
        <v>-1532207</v>
      </c>
      <c r="P101" s="800" cm="1">
        <f t="array" ref="P101">T101-K101</f>
        <v>4462.8143</v>
      </c>
      <c r="Q101" s="798" cm="1">
        <f t="array" ref="Q101">ROUND(P101*F101,0)</f>
        <v>221339458</v>
      </c>
      <c r="R101" s="801" cm="1">
        <f t="array" ref="R101">$K$5-K101</f>
        <v>3012.8143</v>
      </c>
      <c r="S101" s="798" cm="1">
        <f t="array" ref="S101">Q101-Q100</f>
        <v>-3710608</v>
      </c>
      <c r="T101" s="801">
        <v>5400</v>
      </c>
      <c r="U101" s="798" cm="1">
        <f t="array" ref="U101">T101*F101</f>
        <v>267820480.908142</v>
      </c>
      <c r="V101" s="802" cm="1">
        <f t="array" ref="V101">-S101</f>
        <v>3710608</v>
      </c>
      <c r="W101" s="802"/>
      <c r="X101" s="802" cm="1">
        <f t="array" ref="X101">$K100*4.95/12/100/(1-(1+4.95/12/100)^-(360-$A101+3))+$AY101</f>
        <v>6.93671503223098</v>
      </c>
      <c r="Y101" s="803" cm="1">
        <f t="array" ref="Y101">K100*4.95/12/100/(1-(1+4.95/12/100)^-(360-$A101+3))+AY101</f>
        <v>6.93671503223098</v>
      </c>
      <c r="Z101" s="791" cm="1">
        <f t="array" ref="Z101">IF(Z$3*12&lt;=$A101,0,$K100*'depto - Departamento'!$D$8/12/(1-(1+'depto - Departamento'!$D$8/12)^-(12*Z$3-$A101+3))+$AY102)</f>
        <v>7.88340236713688</v>
      </c>
      <c r="AA101" s="791" cm="1">
        <f t="array" ref="AA101">IF(AA$3*12&lt;=$A101,0,$K100*'depto - Departamento'!$D$8/12/(1-(1+'depto - Departamento'!$D$8/12)^-(12*AA$3-$A101+3))+$AY102)</f>
        <v>9.659359962442981</v>
      </c>
      <c r="AB101" s="791" cm="1">
        <f t="array" ref="AB101">IF(AB$3*12&lt;$A101,0,$K100*'depto - Departamento'!$D$8/12/(1-(1+'depto - Departamento'!$D$8/12)^-(12*AB$3-$A101+3))+$AY101)</f>
        <v>13.9634497849894</v>
      </c>
      <c r="AC101" s="791" cm="1">
        <f t="array" ref="AC101">IF(AC$3*12&lt;$A101,0,$K100*'depto - Departamento'!$D$8/12/(1-(1+'depto - Departamento'!$D$8/12)^-(12*AC$3-$A101+3))+$AY101)</f>
        <v>21.4004617239871</v>
      </c>
      <c r="AD101" s="791" cm="1">
        <f t="array" ref="AD101">IF(AD$3*12&lt;$A101,0,$K100*'depto - Departamento'!$D$8/12/(1-(1+'depto - Departamento'!$D$8/12)^-(12*AD$3-$A101+3))+$AY101)</f>
        <v>37.0514874102025</v>
      </c>
      <c r="AE101" s="791" cm="1">
        <f t="array" ref="AE101">IF(AE$3*12&lt;$A101,0,$K100*'depto - Departamento'!$D$8/12/(1-(1+'depto - Departamento'!$D$8/12)^-(12*AE$3-$A101+3))+$AY101)</f>
        <v>0</v>
      </c>
      <c r="AF101" s="791" cm="1">
        <f t="array" ref="AF101">AF100-(AF99-AF100)</f>
        <v>79.5737</v>
      </c>
      <c r="AG101" s="791"/>
      <c r="AH101" s="791"/>
      <c r="AI101" s="804" cm="1">
        <f t="array" ref="AI101">$F101*Y101</f>
        <v>344035.99182497</v>
      </c>
      <c r="AJ101" s="405" cm="1">
        <f t="array" ref="AJ101">$F101*Z101</f>
        <v>390988.261696108</v>
      </c>
      <c r="AK101" s="405" cm="1">
        <f t="array" ref="AK101">$F101*AA101</f>
        <v>479069.338964135</v>
      </c>
      <c r="AL101" s="405" cm="1">
        <f t="array" ref="AL101">$F101*AB101</f>
        <v>692536.636398621</v>
      </c>
      <c r="AM101" s="405" cm="1">
        <f t="array" ref="AM101">$F101*AC101</f>
        <v>1061385.54640269</v>
      </c>
      <c r="AN101" s="405" cm="1">
        <f t="array" ref="AN101">$F101*AD101</f>
        <v>1837619.84751155</v>
      </c>
      <c r="AO101" s="405"/>
      <c r="AP101" s="405" cm="1">
        <f t="array" ref="AP101">$F101*AF101</f>
        <v>3946567.88919263</v>
      </c>
      <c r="AQ101" s="791"/>
      <c r="AR101" s="805" cm="1">
        <f t="array" ref="AR101">K100-K101</f>
        <v>12.3064</v>
      </c>
      <c r="AS101" s="805" cm="1">
        <f t="array" ref="AS101">D101-AR101</f>
        <v>4.8319</v>
      </c>
      <c r="AT101" s="791"/>
      <c r="AU101" s="806" cm="1">
        <f t="array" ref="AU101">ROUND(AV101*F101,0)</f>
        <v>51293</v>
      </c>
      <c r="AV101" s="807" cm="1">
        <f t="array" ref="AV101">IF(K100=0,0,AV100)</f>
        <v>1.0342</v>
      </c>
      <c r="AW101" s="806" cm="1">
        <f t="array" ref="AW101">ROUND(F101*AX101,0)</f>
        <v>2035</v>
      </c>
      <c r="AX101" s="807" cm="1">
        <f t="array" ref="AX101">AX$11/K$10*K100</f>
        <v>0.0410235922359684</v>
      </c>
      <c r="AY101" s="808" cm="1">
        <f t="array" ref="AY101">SUM(AV101,AX101)</f>
        <v>1.07522359223597</v>
      </c>
      <c r="AZ101" s="806" cm="1">
        <f t="array" ref="AZ101">AU101+AW101</f>
        <v>53328</v>
      </c>
      <c r="BA101" s="809" cm="1">
        <f t="array" ref="BA101">AI101-AZ101-BG101</f>
        <v>104391.487145029</v>
      </c>
      <c r="BB101" s="810" cm="1">
        <f t="array" ref="BB101">ROUND(BA101/$F101,4)</f>
        <v>2.1048</v>
      </c>
      <c r="BC101" s="809" cm="1">
        <f t="array" ref="BC101">J101-SUM(AZ101,BA101,BG101)</f>
        <v>505962.00817503</v>
      </c>
      <c r="BD101" s="810" cm="1">
        <f t="array" ref="BD101">ROUND(BC101/$F101,4)</f>
        <v>10.2016</v>
      </c>
      <c r="BE101" s="811" cm="1">
        <f t="array" ref="BE101">BC101+BA101</f>
        <v>610353.495320059</v>
      </c>
      <c r="BF101" s="810" cm="1">
        <f t="array" ref="BF101">ROUND((BA101+BC101)/F101,4)</f>
        <v>12.3064</v>
      </c>
      <c r="BG101" s="812" cm="1">
        <f t="array" ref="BG101">BO101*F101</f>
        <v>186316.504679941</v>
      </c>
      <c r="BH101" s="813" cm="1">
        <f t="array" ref="BH101">ROUND(BG101/$F101,4)</f>
        <v>3.7567</v>
      </c>
      <c r="BI101" s="798" cm="1">
        <f t="array" ref="BI101">M100-M101</f>
        <v>1532207</v>
      </c>
      <c r="BJ101" s="798" cm="1">
        <f t="array" ref="BJ101">BE101-BI101</f>
        <v>-921853.504679941</v>
      </c>
      <c r="BK101" s="798" cm="1">
        <f t="array" ref="BK101">-BJ101</f>
        <v>921853.504679941</v>
      </c>
      <c r="BL101" s="798" cm="1">
        <f t="array" ref="BL101">BG101+BJ101</f>
        <v>-735537</v>
      </c>
      <c r="BM101" s="798" cm="1">
        <f t="array" ref="BM101">AVERAGE(BL99:BL101)</f>
        <v>-52359.3333333333</v>
      </c>
      <c r="BN101" s="814" cm="1">
        <f t="array" ref="BN101">BH100-BH101</f>
        <v>0.0492</v>
      </c>
      <c r="BO101" s="801" cm="1">
        <f t="array" ref="BO101">K100*0.0495/12-0.16</f>
        <v>3.7566549125</v>
      </c>
      <c r="BP101" s="815" cm="1">
        <f t="array" ref="BP101">(BA101+BC101)/BG101</f>
        <v>3.27589601559206</v>
      </c>
      <c r="BQ101" s="815" cm="1">
        <f t="array" ref="BQ101">Y101-BB101</f>
        <v>4.83191503223098</v>
      </c>
      <c r="BR101" s="815" cm="1">
        <f t="array" ref="BR101">(BR$4*(1+BR$4)^BR$3*K100)/((1+BR$4)^BR$3-1)</f>
        <v>5.06810396076806</v>
      </c>
      <c r="BS101" s="815"/>
      <c r="BT101" s="405"/>
      <c r="BU101" s="405"/>
      <c r="BV101" s="405" cm="1">
        <f t="array" ref="BV101">BA101+BC101+BV100</f>
        <v>123774072.556913</v>
      </c>
      <c r="BW101" s="405" cm="1">
        <f t="array" ref="BW101">BG101+BW100</f>
        <v>26834728.4430885</v>
      </c>
      <c r="BX101" s="801" cm="1">
        <f t="array" ref="BX101">BF101+BX100</f>
        <v>2978.3235</v>
      </c>
      <c r="BY101" s="801" cm="1">
        <f t="array" ref="BY101">BH101+BY100</f>
        <v>629.4962</v>
      </c>
      <c r="BZ101" s="405" cm="1">
        <f t="array" ref="BZ101">SUM(BJ$6:BJ101)</f>
        <v>23622563.5569112</v>
      </c>
      <c r="CA101" s="801"/>
      <c r="CB101" s="801"/>
      <c r="CC101" s="405" cm="1">
        <f t="array" ref="CC101">SUM(BE$6:BE101)</f>
        <v>123774072.556911</v>
      </c>
      <c r="CD101" s="801"/>
      <c r="CE101" s="801"/>
      <c r="CF101" s="801"/>
      <c r="CG101" s="801"/>
      <c r="CH101" s="801"/>
      <c r="CI101" s="801"/>
      <c r="CJ101" s="801"/>
      <c r="CK101" s="801"/>
      <c r="CL101" s="801"/>
      <c r="CM101" s="801"/>
    </row>
    <row r="102" ht="19.35" customHeight="1" hidden="1">
      <c r="A102" s="762">
        <v>96</v>
      </c>
      <c r="B102" s="790">
        <v>48255</v>
      </c>
      <c r="C102" s="405"/>
      <c r="D102" s="791" cm="1">
        <f t="array" ref="D102">ROUND(850000/F102,4)</f>
        <v>17.1332</v>
      </c>
      <c r="E102" s="792" cm="1">
        <f t="array" ref="E102">D102/K101</f>
        <v>0.0182815422813216</v>
      </c>
      <c r="F102" s="793" cm="1">
        <f t="array" ref="F102">F101*(1+G102)</f>
        <v>49611.2642689656</v>
      </c>
      <c r="G102" s="792" cm="1">
        <f t="array" ref="G102">H102-SUM(G91:G101)</f>
        <v>0.0003</v>
      </c>
      <c r="H102" s="794" cm="1">
        <f t="array" ref="H102">'depto - Table 5'!$L$2</f>
        <v>0.03</v>
      </c>
      <c r="I102" s="795" cm="1">
        <f t="array" ref="I102">H102+4.95/100</f>
        <v>0.0795</v>
      </c>
      <c r="J102" s="405" cm="1">
        <f t="array" ref="J102">IF(K101=0,0,ROUND(D102*F102,0))</f>
        <v>850000</v>
      </c>
      <c r="K102" s="796" cm="1">
        <f t="array" ref="K102">IF(K101-BF102&lt;0,0,K101-BF102)</f>
        <v>924.8330999999999</v>
      </c>
      <c r="L102" s="797" cm="1">
        <f t="array" ref="L102">K102/K$5</f>
        <v>0.234134962025316</v>
      </c>
      <c r="M102" s="798" cm="1">
        <f t="array" ref="M102">ROUND(K102*F102,0)</f>
        <v>45882139</v>
      </c>
      <c r="N102" s="799" cm="1">
        <f t="array" ref="N102">M102/M$5</f>
        <v>0.312905590418366</v>
      </c>
      <c r="O102" s="798" cm="1">
        <f t="array" ref="O102">M102-M101</f>
        <v>-598884</v>
      </c>
      <c r="P102" s="800" cm="1">
        <f t="array" ref="P102">T102-K102</f>
        <v>4475.1669</v>
      </c>
      <c r="Q102" s="798" cm="1">
        <f t="array" ref="Q102">ROUND(P102*F102,0)</f>
        <v>222018688</v>
      </c>
      <c r="R102" s="801" cm="1">
        <f t="array" ref="R102">$K$5-K102</f>
        <v>3025.1669</v>
      </c>
      <c r="S102" s="798" cm="1">
        <f t="array" ref="S102">Q102-Q101</f>
        <v>679230</v>
      </c>
      <c r="T102" s="801">
        <v>5400</v>
      </c>
      <c r="U102" s="798" cm="1">
        <f t="array" ref="U102">T102*F102</f>
        <v>267900827.052414</v>
      </c>
      <c r="V102" s="802" cm="1">
        <f t="array" ref="V102">-S102</f>
        <v>-679230</v>
      </c>
      <c r="W102" s="802"/>
      <c r="X102" s="802" cm="1">
        <f t="array" ref="X102">$K101*4.95/12/100/(1-(1+4.95/12/100)^-(360-$A102+3))+$AY102</f>
        <v>6.8720870853098</v>
      </c>
      <c r="Y102" s="803" cm="1">
        <f t="array" ref="Y102">K101*4.95/12/100/(1-(1+4.95/12/100)^-(360-$A102+3))+AY102</f>
        <v>6.8720870853098</v>
      </c>
      <c r="Z102" s="791" cm="1">
        <f t="array" ref="Z102">IF(Z$3*12&lt;=$A102,0,$K101*'depto - Departamento'!$D$8/12/(1-(1+'depto - Departamento'!$D$8/12)^-(12*Z$3-$A102+3))+$AY103)</f>
        <v>7.81515310969062</v>
      </c>
      <c r="AA102" s="791" cm="1">
        <f t="array" ref="AA102">IF(AA$3*12&lt;=$A102,0,$K101*'depto - Departamento'!$D$8/12/(1-(1+'depto - Departamento'!$D$8/12)^-(12*AA$3-$A102+3))+$AY103)</f>
        <v>9.589423904257499</v>
      </c>
      <c r="AB102" s="791" cm="1">
        <f t="array" ref="AB102">IF(AB$3*12&lt;$A102,0,$K101*'depto - Departamento'!$D$8/12/(1-(1+'depto - Departamento'!$D$8/12)^-(12*AB$3-$A102+3))+$AY102)</f>
        <v>13.9172199494846</v>
      </c>
      <c r="AC102" s="791" cm="1">
        <f t="array" ref="AC102">IF(AC$3*12&lt;$A102,0,$K101*'depto - Departamento'!$D$8/12/(1-(1+'depto - Departamento'!$D$8/12)^-(12*AC$3-$A102+3))+$AY102)</f>
        <v>21.4892873447847</v>
      </c>
      <c r="AD102" s="791" cm="1">
        <f t="array" ref="AD102">IF(AD$3*12&lt;$A102,0,$K101*'depto - Departamento'!$D$8/12/(1-(1+'depto - Departamento'!$D$8/12)^-(12*AD$3-$A102+3))+$AY102)</f>
        <v>37.8255594594807</v>
      </c>
      <c r="AE102" s="791" cm="1">
        <f t="array" ref="AE102">IF(AE$3*12&lt;$A102,0,$K101*'depto - Departamento'!$D$8/12/(1-(1+'depto - Departamento'!$D$8/12)^-(12*AE$3-$A102+3))+$AY102)</f>
        <v>0</v>
      </c>
      <c r="AF102" s="791" cm="1">
        <f t="array" ref="AF102">AF101-(AF100-AF101)</f>
        <v>79.57089999999999</v>
      </c>
      <c r="AG102" s="791"/>
      <c r="AH102" s="791"/>
      <c r="AI102" s="804" cm="1">
        <f t="array" ref="AI102">$F102*Y102</f>
        <v>340932.92846865</v>
      </c>
      <c r="AJ102" s="405" cm="1">
        <f t="array" ref="AJ102">$F102*Z102</f>
        <v>387719.62622729</v>
      </c>
      <c r="AK102" s="405" cm="1">
        <f t="array" ref="AK102">$F102*AA102</f>
        <v>475743.443501255</v>
      </c>
      <c r="AL102" s="405" cm="1">
        <f t="array" ref="AL102">$F102*AB102</f>
        <v>690450.876803201</v>
      </c>
      <c r="AM102" s="405" cm="1">
        <f t="array" ref="AM102">$F102*AC102</f>
        <v>1066110.71341385</v>
      </c>
      <c r="AN102" s="405" cm="1">
        <f t="array" ref="AN102">$F102*AD102</f>
        <v>1876573.82646577</v>
      </c>
      <c r="AO102" s="405"/>
      <c r="AP102" s="405" cm="1">
        <f t="array" ref="AP102">$F102*AF102</f>
        <v>3947612.94801943</v>
      </c>
      <c r="AQ102" s="791"/>
      <c r="AR102" s="805" cm="1">
        <f t="array" ref="AR102">K101-K102</f>
        <v>12.3526</v>
      </c>
      <c r="AS102" s="805" cm="1">
        <f t="array" ref="AS102">D102-AR102</f>
        <v>4.7806</v>
      </c>
      <c r="AT102" s="791"/>
      <c r="AU102" s="806" cm="1">
        <f t="array" ref="AU102">ROUND(AV102*F102,0)</f>
        <v>51308</v>
      </c>
      <c r="AV102" s="807" cm="1">
        <f t="array" ref="AV102">IF(K101=0,0,AV101)</f>
        <v>1.0342</v>
      </c>
      <c r="AW102" s="806" cm="1">
        <f t="array" ref="AW102">ROUND(F102*AX102,0)</f>
        <v>2009</v>
      </c>
      <c r="AX102" s="807" cm="1">
        <f t="array" ref="AX102">AX$11/K$10*K101</f>
        <v>0.0404918840358763</v>
      </c>
      <c r="AY102" s="808" cm="1">
        <f t="array" ref="AY102">SUM(AV102,AX102)</f>
        <v>1.07469188403588</v>
      </c>
      <c r="AZ102" s="806" cm="1">
        <f t="array" ref="AZ102">AU102+AW102</f>
        <v>53317</v>
      </c>
      <c r="BA102" s="809" cm="1">
        <f t="array" ref="BA102">AI102-AZ102-BG102</f>
        <v>103761.990095528</v>
      </c>
      <c r="BB102" s="810" cm="1">
        <f t="array" ref="BB102">ROUND(BA102/$F102,4)</f>
        <v>2.0915</v>
      </c>
      <c r="BC102" s="809" cm="1">
        <f t="array" ref="BC102">J102-SUM(AZ102,BA102,BG102)</f>
        <v>509067.07153135</v>
      </c>
      <c r="BD102" s="810" cm="1">
        <f t="array" ref="BD102">ROUND(BC102/$F102,4)</f>
        <v>10.2611</v>
      </c>
      <c r="BE102" s="811" cm="1">
        <f t="array" ref="BE102">BC102+BA102</f>
        <v>612829.061626878</v>
      </c>
      <c r="BF102" s="810" cm="1">
        <f t="array" ref="BF102">ROUND((BA102+BC102)/F102,4)</f>
        <v>12.3526</v>
      </c>
      <c r="BG102" s="812" cm="1">
        <f t="array" ref="BG102">BO102*F102</f>
        <v>183853.938373122</v>
      </c>
      <c r="BH102" s="813" cm="1">
        <f t="array" ref="BH102">ROUND(BG102/$F102,4)</f>
        <v>3.7059</v>
      </c>
      <c r="BI102" s="798" cm="1">
        <f t="array" ref="BI102">M101-M102</f>
        <v>598884</v>
      </c>
      <c r="BJ102" s="798" cm="1">
        <f t="array" ref="BJ102">BE102-BI102</f>
        <v>13945.061626878</v>
      </c>
      <c r="BK102" s="798" cm="1">
        <f t="array" ref="BK102">-BJ102</f>
        <v>-13945.061626878</v>
      </c>
      <c r="BL102" s="798" cm="1">
        <f t="array" ref="BL102">BG102+BJ102</f>
        <v>197799</v>
      </c>
      <c r="BM102" s="798" cm="1">
        <f t="array" ref="BM102">AVERAGE(BL100:BL102)</f>
        <v>-111855</v>
      </c>
      <c r="BN102" s="814" cm="1">
        <f t="array" ref="BN102">BH101-BH102</f>
        <v>0.0508</v>
      </c>
      <c r="BO102" s="801" cm="1">
        <f t="array" ref="BO102">K101*0.0495/12-0.16</f>
        <v>3.7058910125</v>
      </c>
      <c r="BP102" s="815" cm="1">
        <f t="array" ref="BP102">(BA102+BC102)/BG102</f>
        <v>3.33323869507311</v>
      </c>
      <c r="BQ102" s="815" cm="1">
        <f t="array" ref="BQ102">Y102-BB102</f>
        <v>4.7805870853098</v>
      </c>
      <c r="BR102" s="815" cm="1">
        <f t="array" ref="BR102">(BR$4*(1+BR$4)^BR$3*K101)/((1+BR$4)^BR$3-1)</f>
        <v>5.00241608976545</v>
      </c>
      <c r="BS102" s="815"/>
      <c r="BT102" s="405"/>
      <c r="BU102" s="405"/>
      <c r="BV102" s="405" cm="1">
        <f t="array" ref="BV102">BA102+BC102+BV101</f>
        <v>124386901.61854</v>
      </c>
      <c r="BW102" s="405" cm="1">
        <f t="array" ref="BW102">BG102+BW101</f>
        <v>27018582.3814616</v>
      </c>
      <c r="BX102" s="801" cm="1">
        <f t="array" ref="BX102">BF102+BX101</f>
        <v>2990.6761</v>
      </c>
      <c r="BY102" s="801" cm="1">
        <f t="array" ref="BY102">BH102+BY101</f>
        <v>633.2021</v>
      </c>
      <c r="BZ102" s="405" cm="1">
        <f t="array" ref="BZ102">SUM(BJ$6:BJ102)</f>
        <v>23636508.6185381</v>
      </c>
      <c r="CA102" s="801"/>
      <c r="CB102" s="801"/>
      <c r="CC102" s="405" cm="1">
        <f t="array" ref="CC102">SUM(BE$6:BE102)</f>
        <v>124386901.618538</v>
      </c>
      <c r="CD102" s="801"/>
      <c r="CE102" s="801"/>
      <c r="CF102" s="801"/>
      <c r="CG102" s="801"/>
      <c r="CH102" s="801"/>
      <c r="CI102" s="801"/>
      <c r="CJ102" s="801"/>
      <c r="CK102" s="801"/>
      <c r="CL102" s="801"/>
      <c r="CM102" s="801"/>
    </row>
    <row r="103" ht="19.35" customHeight="1" hidden="1">
      <c r="A103" s="762">
        <v>97</v>
      </c>
      <c r="B103" s="790">
        <v>48284</v>
      </c>
      <c r="C103" s="405"/>
      <c r="D103" s="791" cm="1">
        <f t="array" ref="D103">ROUND(850000/F103,4)</f>
        <v>17.07</v>
      </c>
      <c r="E103" s="792" cm="1">
        <f t="array" ref="E103">D103/K102</f>
        <v>0.0184573843648113</v>
      </c>
      <c r="F103" s="793" cm="1">
        <f t="array" ref="F103">F102*(1+G103)</f>
        <v>49794.8259467608</v>
      </c>
      <c r="G103" s="792" cm="1">
        <f t="array" ref="G103">H103-SUM(G92:G102)</f>
        <v>0.0037</v>
      </c>
      <c r="H103" s="794" cm="1">
        <f t="array" ref="H103">'depto - Table 5'!$L$2</f>
        <v>0.03</v>
      </c>
      <c r="I103" s="795" cm="1">
        <f t="array" ref="I103">H103+4.95/100</f>
        <v>0.0795</v>
      </c>
      <c r="J103" s="405" cm="1">
        <f t="array" ref="J103">IF(K102=0,0,ROUND(D103*F103,0))</f>
        <v>849998</v>
      </c>
      <c r="K103" s="796" cm="1">
        <f t="array" ref="K103">IF(K102-BF103&lt;0,0,K102-BF103)</f>
        <v>912.4922</v>
      </c>
      <c r="L103" s="797" cm="1">
        <f t="array" ref="L103">K103/K$5</f>
        <v>0.231010683544304</v>
      </c>
      <c r="M103" s="798" cm="1">
        <f t="array" ref="M103">ROUND(K103*F103,0)</f>
        <v>45437390</v>
      </c>
      <c r="N103" s="799" cm="1">
        <f t="array" ref="N103">M103/M$5</f>
        <v>0.309872504963632</v>
      </c>
      <c r="O103" s="798" cm="1">
        <f t="array" ref="O103">M103-M102</f>
        <v>-444749</v>
      </c>
      <c r="P103" s="800" cm="1">
        <f t="array" ref="P103">T103-K103</f>
        <v>4487.5078</v>
      </c>
      <c r="Q103" s="798" cm="1">
        <f t="array" ref="Q103">ROUND(P103*F103,0)</f>
        <v>223454670</v>
      </c>
      <c r="R103" s="801" cm="1">
        <f t="array" ref="R103">$K$5-K103</f>
        <v>3037.5078</v>
      </c>
      <c r="S103" s="798" cm="1">
        <f t="array" ref="S103">Q103-Q102</f>
        <v>1435982</v>
      </c>
      <c r="T103" s="801">
        <v>5400</v>
      </c>
      <c r="U103" s="798" cm="1">
        <f t="array" ref="U103">T103*F103</f>
        <v>268892060.112508</v>
      </c>
      <c r="V103" s="802" cm="1">
        <f t="array" ref="V103">-S103</f>
        <v>-1435982</v>
      </c>
      <c r="W103" s="802"/>
      <c r="X103" s="802" cm="1">
        <f t="array" ref="X103">$K102*4.95/12/100/(1-(1+4.95/12/100)^-(360-$A103+3))+$AY103</f>
        <v>6.80695574420973</v>
      </c>
      <c r="Y103" s="803" cm="1">
        <f t="array" ref="Y103">K102*4.95/12/100/(1-(1+4.95/12/100)^-(360-$A103+3))+AY103</f>
        <v>6.80695574420973</v>
      </c>
      <c r="Z103" s="791" cm="1">
        <f t="array" ref="Z103">IF(Z$3*12&lt;=$A103,0,$K102*'depto - Departamento'!$D$8/12/(1-(1+'depto - Departamento'!$D$8/12)^-(12*Z$3-$A103+3))+$AY104)</f>
        <v>7.74624034491963</v>
      </c>
      <c r="AA103" s="791" cm="1">
        <f t="array" ref="AA103">IF(AA$3*12&lt;=$A103,0,$K102*'depto - Departamento'!$D$8/12/(1-(1+'depto - Departamento'!$D$8/12)^-(12*AA$3-$A103+3))+$AY104)</f>
        <v>9.51855027100439</v>
      </c>
      <c r="AB103" s="791" cm="1">
        <f t="array" ref="AB103">IF(AB$3*12&lt;$A103,0,$K102*'depto - Departamento'!$D$8/12/(1-(1+'depto - Departamento'!$D$8/12)^-(12*AB$3-$A103+3))+$AY103)</f>
        <v>13.869977049342</v>
      </c>
      <c r="AC103" s="791" cm="1">
        <f t="array" ref="AC103">IF(AC$3*12&lt;$A103,0,$K102*'depto - Departamento'!$D$8/12/(1-(1+'depto - Departamento'!$D$8/12)^-(12*AC$3-$A103+3))+$AY103)</f>
        <v>21.5817998413515</v>
      </c>
      <c r="AD103" s="791" cm="1">
        <f t="array" ref="AD103">IF(AD$3*12&lt;$A103,0,$K102*'depto - Departamento'!$D$8/12/(1-(1+'depto - Departamento'!$D$8/12)^-(12*AD$3-$A103+3))+$AY103)</f>
        <v>38.6594634953137</v>
      </c>
      <c r="AE103" s="791" cm="1">
        <f t="array" ref="AE103">IF(AE$3*12&lt;$A103,0,$K102*'depto - Departamento'!$D$8/12/(1-(1+'depto - Departamento'!$D$8/12)^-(12*AE$3-$A103+3))+$AY103)</f>
        <v>0</v>
      </c>
      <c r="AF103" s="791" cm="1">
        <f t="array" ref="AF103">AF102-(AF101-AF102)</f>
        <v>79.5681</v>
      </c>
      <c r="AG103" s="791"/>
      <c r="AH103" s="791"/>
      <c r="AI103" s="804" cm="1">
        <f t="array" ref="AI103">$F103*Y103</f>
        <v>338951.176510227</v>
      </c>
      <c r="AJ103" s="405" cm="1">
        <f t="array" ref="AJ103">$F103*Z103</f>
        <v>385722.689717049</v>
      </c>
      <c r="AK103" s="405" cm="1">
        <f t="array" ref="AK103">$F103*AA103</f>
        <v>473974.554010156</v>
      </c>
      <c r="AL103" s="405" cm="1">
        <f t="array" ref="AL103">$F103*AB103</f>
        <v>690653.093057552</v>
      </c>
      <c r="AM103" s="405" cm="1">
        <f t="array" ref="AM103">$F103*AC103</f>
        <v>1074661.96671793</v>
      </c>
      <c r="AN103" s="405" cm="1">
        <f t="array" ref="AN103">$F103*AD103</f>
        <v>1925041.2559443</v>
      </c>
      <c r="AO103" s="405"/>
      <c r="AP103" s="405" cm="1">
        <f t="array" ref="AP103">$F103*AF103</f>
        <v>3962079.69041446</v>
      </c>
      <c r="AQ103" s="791"/>
      <c r="AR103" s="805" cm="1">
        <f t="array" ref="AR103">K102-K103</f>
        <v>12.3409</v>
      </c>
      <c r="AS103" s="805" cm="1">
        <f t="array" ref="AS103">D103-AR103</f>
        <v>4.7291</v>
      </c>
      <c r="AT103" s="791"/>
      <c r="AU103" s="806" cm="1">
        <f t="array" ref="AU103">ROUND(AV103*F103,0)</f>
        <v>51498</v>
      </c>
      <c r="AV103" s="807" cm="1">
        <f t="array" ref="AV103">IF(K102=0,0,AV102)</f>
        <v>1.0342</v>
      </c>
      <c r="AW103" s="806" cm="1">
        <f t="array" ref="AW103">ROUND(F103*AX103,0)</f>
        <v>1990</v>
      </c>
      <c r="AX103" s="807" cm="1">
        <f t="array" ref="AX103">AX$11/K$10*K102</f>
        <v>0.0399581797265366</v>
      </c>
      <c r="AY103" s="808" cm="1">
        <f t="array" ref="AY103">SUM(AV103,AX103)</f>
        <v>1.07415817972654</v>
      </c>
      <c r="AZ103" s="806" cm="1">
        <f t="array" ref="AZ103">AU103+AW103</f>
        <v>53488</v>
      </c>
      <c r="BA103" s="809" cm="1">
        <f t="array" ref="BA103">AI103-AZ103-BG103</f>
        <v>103466.247778958</v>
      </c>
      <c r="BB103" s="810" cm="1">
        <f t="array" ref="BB103">ROUND(BA103/$F103,4)</f>
        <v>2.0779</v>
      </c>
      <c r="BC103" s="809" cm="1">
        <f t="array" ref="BC103">J103-SUM(AZ103,BA103,BG103)</f>
        <v>511046.823489773</v>
      </c>
      <c r="BD103" s="810" cm="1">
        <f t="array" ref="BD103">ROUND(BC103/$F103,4)</f>
        <v>10.2631</v>
      </c>
      <c r="BE103" s="811" cm="1">
        <f t="array" ref="BE103">BC103+BA103</f>
        <v>614513.071268731</v>
      </c>
      <c r="BF103" s="810" cm="1">
        <f t="array" ref="BF103">ROUND((BA103+BC103)/F103,4)</f>
        <v>12.3409</v>
      </c>
      <c r="BG103" s="812" cm="1">
        <f t="array" ref="BG103">BO103*F103</f>
        <v>181996.928731269</v>
      </c>
      <c r="BH103" s="813" cm="1">
        <f t="array" ref="BH103">ROUND(BG103/$F103,4)</f>
        <v>3.6549</v>
      </c>
      <c r="BI103" s="798" cm="1">
        <f t="array" ref="BI103">M102-M103</f>
        <v>444749</v>
      </c>
      <c r="BJ103" s="798" cm="1">
        <f t="array" ref="BJ103">BE103-BI103</f>
        <v>169764.071268731</v>
      </c>
      <c r="BK103" s="798" cm="1">
        <f t="array" ref="BK103">-BJ103</f>
        <v>-169764.071268731</v>
      </c>
      <c r="BL103" s="798" cm="1">
        <f t="array" ref="BL103">BG103+BJ103</f>
        <v>351761</v>
      </c>
      <c r="BM103" s="798" cm="1">
        <f t="array" ref="BM103">AVERAGE(BL101:BL103)</f>
        <v>-61992.3333333333</v>
      </c>
      <c r="BN103" s="814" cm="1">
        <f t="array" ref="BN103">BH102-BH103</f>
        <v>0.051</v>
      </c>
      <c r="BO103" s="801" cm="1">
        <f t="array" ref="BO103">K102*0.0495/12-0.16</f>
        <v>3.6549365375</v>
      </c>
      <c r="BP103" s="815" cm="1">
        <f t="array" ref="BP103">(BA103+BC103)/BG103</f>
        <v>3.37650242535742</v>
      </c>
      <c r="BQ103" s="815" cm="1">
        <f t="array" ref="BQ103">Y103-BB103</f>
        <v>4.72905574420973</v>
      </c>
      <c r="BR103" s="815" cm="1">
        <f t="array" ref="BR103">(BR$4*(1+BR$4)^BR$3*K102)/((1+BR$4)^BR$3-1)</f>
        <v>4.93648161702388</v>
      </c>
      <c r="BS103" s="815"/>
      <c r="BT103" s="405"/>
      <c r="BU103" s="405"/>
      <c r="BV103" s="405" cm="1">
        <f t="array" ref="BV103">BA103+BC103+BV102</f>
        <v>125001414.689809</v>
      </c>
      <c r="BW103" s="405" cm="1">
        <f t="array" ref="BW103">BG103+BW102</f>
        <v>27200579.3101929</v>
      </c>
      <c r="BX103" s="801" cm="1">
        <f t="array" ref="BX103">BF103+BX102</f>
        <v>3003.017</v>
      </c>
      <c r="BY103" s="801" cm="1">
        <f t="array" ref="BY103">BH103+BY102</f>
        <v>636.857</v>
      </c>
      <c r="BZ103" s="405" cm="1">
        <f t="array" ref="BZ103">SUM(BJ$6:BJ103)</f>
        <v>23806272.6898068</v>
      </c>
      <c r="CA103" s="801"/>
      <c r="CB103" s="801"/>
      <c r="CC103" s="405" cm="1">
        <f t="array" ref="CC103">SUM(BE$6:BE103)</f>
        <v>125001414.689807</v>
      </c>
      <c r="CD103" s="801"/>
      <c r="CE103" s="801"/>
      <c r="CF103" s="801"/>
      <c r="CG103" s="801"/>
      <c r="CH103" s="801"/>
      <c r="CI103" s="801"/>
      <c r="CJ103" s="801"/>
      <c r="CK103" s="801"/>
      <c r="CL103" s="801"/>
      <c r="CM103" s="801"/>
    </row>
    <row r="104" ht="19.35" customHeight="1" hidden="1">
      <c r="A104" s="762">
        <v>98</v>
      </c>
      <c r="B104" s="790">
        <v>48315</v>
      </c>
      <c r="C104" s="405"/>
      <c r="D104" s="791" cm="1">
        <f t="array" ref="D104">ROUND(850000/F104,4)</f>
        <v>17.0581</v>
      </c>
      <c r="E104" s="792" cm="1">
        <f t="array" ref="E104">D104/K103</f>
        <v>0.0186939680141923</v>
      </c>
      <c r="F104" s="793" cm="1">
        <f t="array" ref="F104">F103*(1+G104)</f>
        <v>49829.6823249235</v>
      </c>
      <c r="G104" s="792" cm="1">
        <f t="array" ref="G104">H104-SUM(G93:G103)</f>
        <v>0.0007</v>
      </c>
      <c r="H104" s="794" cm="1">
        <f t="array" ref="H104">'depto - Table 5'!$L$2</f>
        <v>0.03</v>
      </c>
      <c r="I104" s="795" cm="1">
        <f t="array" ref="I104">H104+4.95/100</f>
        <v>0.0795</v>
      </c>
      <c r="J104" s="405" cm="1">
        <f t="array" ref="J104">IF(K103=0,0,ROUND(D104*F104,0))</f>
        <v>850000</v>
      </c>
      <c r="K104" s="796" cm="1">
        <f t="array" ref="K104">IF(K103-BF104&lt;0,0,K103-BF104)</f>
        <v>900.1118</v>
      </c>
      <c r="L104" s="797" cm="1">
        <f t="array" ref="L104">K104/K$5</f>
        <v>0.227876405063291</v>
      </c>
      <c r="M104" s="798" cm="1">
        <f t="array" ref="M104">ROUND(K104*F104,0)</f>
        <v>44852285</v>
      </c>
      <c r="N104" s="799" cm="1">
        <f t="array" ref="N104">M104/M$5</f>
        <v>0.305882224007426</v>
      </c>
      <c r="O104" s="798" cm="1">
        <f t="array" ref="O104">M104-M103</f>
        <v>-585105</v>
      </c>
      <c r="P104" s="800" cm="1">
        <f t="array" ref="P104">T104-K104</f>
        <v>4499.8882</v>
      </c>
      <c r="Q104" s="798" cm="1">
        <f t="array" ref="Q104">ROUND(P104*F104,0)</f>
        <v>224228000</v>
      </c>
      <c r="R104" s="801" cm="1">
        <f t="array" ref="R104">$K$5-K104</f>
        <v>3049.8882</v>
      </c>
      <c r="S104" s="798" cm="1">
        <f t="array" ref="S104">Q104-Q103</f>
        <v>773330</v>
      </c>
      <c r="T104" s="801">
        <v>5400</v>
      </c>
      <c r="U104" s="798" cm="1">
        <f t="array" ref="U104">T104*F104</f>
        <v>269080284.554587</v>
      </c>
      <c r="V104" s="802" cm="1">
        <f t="array" ref="V104">-S104</f>
        <v>-773330</v>
      </c>
      <c r="W104" s="802"/>
      <c r="X104" s="802" cm="1">
        <f t="array" ref="X104">$K103*4.95/12/100/(1-(1+4.95/12/100)^-(360-$A104+3))+$AY104</f>
        <v>6.74167860152753</v>
      </c>
      <c r="Y104" s="803" cm="1">
        <f t="array" ref="Y104">K103*4.95/12/100/(1-(1+4.95/12/100)^-(360-$A104+3))+AY104</f>
        <v>6.74167860152753</v>
      </c>
      <c r="Z104" s="791" cm="1">
        <f t="array" ref="Z104">IF(Z$3*12&lt;=$A104,0,$K103*'depto - Departamento'!$D$8/12/(1-(1+'depto - Departamento'!$D$8/12)^-(12*Z$3-$A104+3))+$AY105)</f>
        <v>7.67707249564912</v>
      </c>
      <c r="AA104" s="791" cm="1">
        <f t="array" ref="AA104">IF(AA$3*12&lt;=$A104,0,$K103*'depto - Departamento'!$D$8/12/(1-(1+'depto - Departamento'!$D$8/12)^-(12*AA$3-$A104+3))+$AY105)</f>
        <v>9.44725047833567</v>
      </c>
      <c r="AB104" s="791" cm="1">
        <f t="array" ref="AB104">IF(AB$3*12&lt;$A104,0,$K103*'depto - Departamento'!$D$8/12/(1-(1+'depto - Departamento'!$D$8/12)^-(12*AB$3-$A104+3))+$AY104)</f>
        <v>13.8224994018104</v>
      </c>
      <c r="AC104" s="791" cm="1">
        <f t="array" ref="AC104">IF(AC$3*12&lt;$A104,0,$K103*'depto - Departamento'!$D$8/12/(1-(1+'depto - Departamento'!$D$8/12)^-(12*AC$3-$A104+3))+$AY104)</f>
        <v>21.6795391790109</v>
      </c>
      <c r="AD104" s="791" cm="1">
        <f t="array" ref="AD104">IF(AD$3*12&lt;$A104,0,$K103*'depto - Departamento'!$D$8/12/(1-(1+'depto - Departamento'!$D$8/12)^-(12*AD$3-$A104+3))+$AY104)</f>
        <v>39.5628320068564</v>
      </c>
      <c r="AE104" s="791" cm="1">
        <f t="array" ref="AE104">IF(AE$3*12&lt;$A104,0,$K103*'depto - Departamento'!$D$8/12/(1-(1+'depto - Departamento'!$D$8/12)^-(12*AE$3-$A104+3))+$AY104)</f>
        <v>0</v>
      </c>
      <c r="AF104" s="791" cm="1">
        <f t="array" ref="AF104">AF103-(AF102-AF103)</f>
        <v>79.56529999999999</v>
      </c>
      <c r="AG104" s="791"/>
      <c r="AH104" s="791"/>
      <c r="AI104" s="804" cm="1">
        <f t="array" ref="AI104">$F104*Y104</f>
        <v>335935.703050851</v>
      </c>
      <c r="AJ104" s="405" cm="1">
        <f t="array" ref="AJ104">$F104*Z104</f>
        <v>382546.083643603</v>
      </c>
      <c r="AK104" s="405" cm="1">
        <f t="array" ref="AK104">$F104*AA104</f>
        <v>470753.490179448</v>
      </c>
      <c r="AL104" s="405" cm="1">
        <f t="array" ref="AL104">$F104*AB104</f>
        <v>688770.754128657</v>
      </c>
      <c r="AM104" s="405" cm="1">
        <f t="array" ref="AM104">$F104*AC104</f>
        <v>1080284.55024085</v>
      </c>
      <c r="AN104" s="405" cm="1">
        <f t="array" ref="AN104">$F104*AD104</f>
        <v>1971403.35077597</v>
      </c>
      <c r="AO104" s="405"/>
      <c r="AP104" s="405" cm="1">
        <f t="array" ref="AP104">$F104*AF104</f>
        <v>3964713.62308724</v>
      </c>
      <c r="AQ104" s="791"/>
      <c r="AR104" s="805" cm="1">
        <f t="array" ref="AR104">K103-K104</f>
        <v>12.3804</v>
      </c>
      <c r="AS104" s="805" cm="1">
        <f t="array" ref="AS104">D104-AR104</f>
        <v>4.6777</v>
      </c>
      <c r="AT104" s="791"/>
      <c r="AU104" s="806" cm="1">
        <f t="array" ref="AU104">ROUND(AV104*F104,0)</f>
        <v>51534</v>
      </c>
      <c r="AV104" s="807" cm="1">
        <f t="array" ref="AV104">IF(K103=0,0,AV103)</f>
        <v>1.0342</v>
      </c>
      <c r="AW104" s="806" cm="1">
        <f t="array" ref="AW104">ROUND(F104*AX104,0)</f>
        <v>1965</v>
      </c>
      <c r="AX104" s="807" cm="1">
        <f t="array" ref="AX104">AX$11/K$10*K103</f>
        <v>0.0394249809253829</v>
      </c>
      <c r="AY104" s="808" cm="1">
        <f t="array" ref="AY104">SUM(AV104,AX104)</f>
        <v>1.07362498092538</v>
      </c>
      <c r="AZ104" s="806" cm="1">
        <f t="array" ref="AZ104">AU104+AW104</f>
        <v>53499</v>
      </c>
      <c r="BA104" s="809" cm="1">
        <f t="array" ref="BA104">AI104-AZ104-BG104</f>
        <v>102849.01686671</v>
      </c>
      <c r="BB104" s="810" cm="1">
        <f t="array" ref="BB104">ROUND(BA104/$F104,4)</f>
        <v>2.064</v>
      </c>
      <c r="BC104" s="809" cm="1">
        <f t="array" ref="BC104">J104-SUM(AZ104,BA104,BG104)</f>
        <v>514064.296949149</v>
      </c>
      <c r="BD104" s="810" cm="1">
        <f t="array" ref="BD104">ROUND(BC104/$F104,4)</f>
        <v>10.3164</v>
      </c>
      <c r="BE104" s="811" cm="1">
        <f t="array" ref="BE104">BC104+BA104</f>
        <v>616913.313815859</v>
      </c>
      <c r="BF104" s="810" cm="1">
        <f t="array" ref="BF104">ROUND((BA104+BC104)/F104,4)</f>
        <v>12.3804</v>
      </c>
      <c r="BG104" s="812" cm="1">
        <f t="array" ref="BG104">BO104*F104</f>
        <v>179587.686184141</v>
      </c>
      <c r="BH104" s="813" cm="1">
        <f t="array" ref="BH104">ROUND(BG104/$F104,4)</f>
        <v>3.604</v>
      </c>
      <c r="BI104" s="798" cm="1">
        <f t="array" ref="BI104">M103-M104</f>
        <v>585105</v>
      </c>
      <c r="BJ104" s="798" cm="1">
        <f t="array" ref="BJ104">BE104-BI104</f>
        <v>31808.313815859</v>
      </c>
      <c r="BK104" s="798" cm="1">
        <f t="array" ref="BK104">-BJ104</f>
        <v>-31808.313815859</v>
      </c>
      <c r="BL104" s="798" cm="1">
        <f t="array" ref="BL104">BG104+BJ104</f>
        <v>211396</v>
      </c>
      <c r="BM104" s="798" cm="1">
        <f t="array" ref="BM104">AVERAGE(BL102:BL104)</f>
        <v>253652</v>
      </c>
      <c r="BN104" s="814" cm="1">
        <f t="array" ref="BN104">BH103-BH104</f>
        <v>0.0509</v>
      </c>
      <c r="BO104" s="801" cm="1">
        <f t="array" ref="BO104">K103*0.0495/12-0.16</f>
        <v>3.604030325</v>
      </c>
      <c r="BP104" s="815" cm="1">
        <f t="array" ref="BP104">(BA104+BC104)/BG104</f>
        <v>3.43516488754861</v>
      </c>
      <c r="BQ104" s="815" cm="1">
        <f t="array" ref="BQ104">Y104-BB104</f>
        <v>4.67767860152753</v>
      </c>
      <c r="BR104" s="815" cm="1">
        <f t="array" ref="BR104">(BR$4*(1+BR$4)^BR$3*K103)/((1+BR$4)^BR$3-1)</f>
        <v>4.87060959537205</v>
      </c>
      <c r="BS104" s="815"/>
      <c r="BT104" s="405"/>
      <c r="BU104" s="405"/>
      <c r="BV104" s="405" cm="1">
        <f t="array" ref="BV104">BA104+BC104+BV103</f>
        <v>125618328.003625</v>
      </c>
      <c r="BW104" s="405" cm="1">
        <f t="array" ref="BW104">BG104+BW103</f>
        <v>27380166.996377</v>
      </c>
      <c r="BX104" s="801" cm="1">
        <f t="array" ref="BX104">BF104+BX103</f>
        <v>3015.3974</v>
      </c>
      <c r="BY104" s="801" cm="1">
        <f t="array" ref="BY104">BH104+BY103</f>
        <v>640.461</v>
      </c>
      <c r="BZ104" s="405" cm="1">
        <f t="array" ref="BZ104">SUM(BJ$6:BJ104)</f>
        <v>23838081.0036227</v>
      </c>
      <c r="CA104" s="801"/>
      <c r="CB104" s="801"/>
      <c r="CC104" s="405" cm="1">
        <f t="array" ref="CC104">SUM(BE$6:BE104)</f>
        <v>125618328.003623</v>
      </c>
      <c r="CD104" s="801"/>
      <c r="CE104" s="801"/>
      <c r="CF104" s="801"/>
      <c r="CG104" s="801"/>
      <c r="CH104" s="801"/>
      <c r="CI104" s="801"/>
      <c r="CJ104" s="801"/>
      <c r="CK104" s="801"/>
      <c r="CL104" s="801"/>
      <c r="CM104" s="801"/>
    </row>
    <row r="105" ht="19.35" customHeight="1" hidden="1">
      <c r="A105" s="762">
        <v>99</v>
      </c>
      <c r="B105" s="790">
        <v>48345</v>
      </c>
      <c r="C105" s="405"/>
      <c r="D105" s="791" cm="1">
        <f t="array" ref="D105">ROUND(850000/F105,4)</f>
        <v>16.8859</v>
      </c>
      <c r="E105" s="792" cm="1">
        <f t="array" ref="E105">D105/K104</f>
        <v>0.0187597807294605</v>
      </c>
      <c r="F105" s="793" cm="1">
        <f t="array" ref="F105">F104*(1+G105)</f>
        <v>50337.9450846377</v>
      </c>
      <c r="G105" s="792" cm="1">
        <f t="array" ref="G105">H105-SUM(G94:G104)</f>
        <v>0.0102</v>
      </c>
      <c r="H105" s="794" cm="1">
        <f t="array" ref="H105">'depto - Table 5'!$L$2</f>
        <v>0.03</v>
      </c>
      <c r="I105" s="795" cm="1">
        <f t="array" ref="I105">H105+4.95/100</f>
        <v>0.0795</v>
      </c>
      <c r="J105" s="405" cm="1">
        <f t="array" ref="J105">IF(K104=0,0,ROUND(D105*F105,0))</f>
        <v>850002</v>
      </c>
      <c r="K105" s="796" cm="1">
        <f t="array" ref="K105">IF(K104-BF105&lt;0,0,K104-BF105)</f>
        <v>887.852</v>
      </c>
      <c r="L105" s="797" cm="1">
        <f t="array" ref="L105">K105/K$5</f>
        <v>0.224772658227848</v>
      </c>
      <c r="M105" s="798" cm="1">
        <f t="array" ref="M105">ROUND(K105*F105,0)</f>
        <v>44692645</v>
      </c>
      <c r="N105" s="799" cm="1">
        <f t="array" ref="N105">M105/M$5</f>
        <v>0.304793516080047</v>
      </c>
      <c r="O105" s="798" cm="1">
        <f t="array" ref="O105">M105-M104</f>
        <v>-159640</v>
      </c>
      <c r="P105" s="800" cm="1">
        <f t="array" ref="P105">T105-K105</f>
        <v>4512.148</v>
      </c>
      <c r="Q105" s="798" cm="1">
        <f t="array" ref="Q105">ROUND(P105*F105,0)</f>
        <v>227132258</v>
      </c>
      <c r="R105" s="801" cm="1">
        <f t="array" ref="R105">$K$5-K105</f>
        <v>3062.148</v>
      </c>
      <c r="S105" s="798" cm="1">
        <f t="array" ref="S105">Q105-Q104</f>
        <v>2904258</v>
      </c>
      <c r="T105" s="801">
        <v>5400</v>
      </c>
      <c r="U105" s="798" cm="1">
        <f t="array" ref="U105">T105*F105</f>
        <v>271824903.457044</v>
      </c>
      <c r="V105" s="802" cm="1">
        <f t="array" ref="V105">-S105</f>
        <v>-2904258</v>
      </c>
      <c r="W105" s="802"/>
      <c r="X105" s="802" cm="1">
        <f t="array" ref="X105">$K104*4.95/12/100/(1-(1+4.95/12/100)^-(360-$A105+3))+$AY105</f>
        <v>6.67593236738657</v>
      </c>
      <c r="Y105" s="803" cm="1">
        <f t="array" ref="Y105">K104*4.95/12/100/(1-(1+4.95/12/100)^-(360-$A105+3))+AY105</f>
        <v>6.67593236738657</v>
      </c>
      <c r="Z105" s="791" cm="1">
        <f t="array" ref="Z105">IF(Z$3*12&lt;=$A105,0,$K104*'depto - Departamento'!$D$8/12/(1-(1+'depto - Departamento'!$D$8/12)^-(12*Z$3-$A105+3))+$AY106)</f>
        <v>7.60728012338434</v>
      </c>
      <c r="AA105" s="791" cm="1">
        <f t="array" ref="AA105">IF(AA$3*12&lt;=$A105,0,$K104*'depto - Departamento'!$D$8/12/(1-(1+'depto - Departamento'!$D$8/12)^-(12*AA$3-$A105+3))+$AY106)</f>
        <v>9.37504904458962</v>
      </c>
      <c r="AB105" s="791" cm="1">
        <f t="array" ref="AB105">IF(AB$3*12&lt;$A105,0,$K104*'depto - Departamento'!$D$8/12/(1-(1+'depto - Departamento'!$D$8/12)^-(12*AB$3-$A105+3))+$AY105)</f>
        <v>13.7740517533031</v>
      </c>
      <c r="AC105" s="791" cm="1">
        <f t="array" ref="AC105">IF(AC$3*12&lt;$A105,0,$K104*'depto - Departamento'!$D$8/12/(1-(1+'depto - Departamento'!$D$8/12)^-(12*AC$3-$A105+3))+$AY105)</f>
        <v>21.7816480757751</v>
      </c>
      <c r="AD105" s="791" cm="1">
        <f t="array" ref="AD105">IF(AD$3*12&lt;$A105,0,$K104*'depto - Departamento'!$D$8/12/(1-(1+'depto - Departamento'!$D$8/12)^-(12*AD$3-$A105+3))+$AY105)</f>
        <v>40.5420932358913</v>
      </c>
      <c r="AE105" s="791" cm="1">
        <f t="array" ref="AE105">IF(AE$3*12&lt;$A105,0,$K104*'depto - Departamento'!$D$8/12/(1-(1+'depto - Departamento'!$D$8/12)^-(12*AE$3-$A105+3))+$AY105)</f>
        <v>0</v>
      </c>
      <c r="AF105" s="791" cm="1">
        <f t="array" ref="AF105">AF104-(AF103-AF104)</f>
        <v>79.5625</v>
      </c>
      <c r="AG105" s="791"/>
      <c r="AH105" s="791"/>
      <c r="AI105" s="804" cm="1">
        <f t="array" ref="AI105">$F105*Y105</f>
        <v>336052.716898261</v>
      </c>
      <c r="AJ105" s="405" cm="1">
        <f t="array" ref="AJ105">$F105*Z105</f>
        <v>382934.849094377</v>
      </c>
      <c r="AK105" s="405" cm="1">
        <f t="array" ref="AK105">$F105*AA105</f>
        <v>471920.703972337</v>
      </c>
      <c r="AL105" s="405" cm="1">
        <f t="array" ref="AL105">$F105*AB105</f>
        <v>693357.460750729</v>
      </c>
      <c r="AM105" s="405" cm="1">
        <f t="array" ref="AM105">$F105*AC105</f>
        <v>1096443.40469127</v>
      </c>
      <c r="AN105" s="405" cm="1">
        <f t="array" ref="AN105">$F105*AD105</f>
        <v>2040805.66292456</v>
      </c>
      <c r="AO105" s="405"/>
      <c r="AP105" s="405" cm="1">
        <f t="array" ref="AP105">$F105*AF105</f>
        <v>4005012.75579649</v>
      </c>
      <c r="AQ105" s="791"/>
      <c r="AR105" s="805" cm="1">
        <f t="array" ref="AR105">K104-K105</f>
        <v>12.2598</v>
      </c>
      <c r="AS105" s="805" cm="1">
        <f t="array" ref="AS105">D105-AR105</f>
        <v>4.6261</v>
      </c>
      <c r="AT105" s="791"/>
      <c r="AU105" s="806" cm="1">
        <f t="array" ref="AU105">ROUND(AV105*F105,0)</f>
        <v>52060</v>
      </c>
      <c r="AV105" s="807" cm="1">
        <f t="array" ref="AV105">IF(K104=0,0,AV104)</f>
        <v>1.0342</v>
      </c>
      <c r="AW105" s="806" cm="1">
        <f t="array" ref="AW105">ROUND(F105*AX105,0)</f>
        <v>1958</v>
      </c>
      <c r="AX105" s="807" cm="1">
        <f t="array" ref="AX105">AX$11/K$10*K104</f>
        <v>0.0388900754940284</v>
      </c>
      <c r="AY105" s="808" cm="1">
        <f t="array" ref="AY105">SUM(AV105,AX105)</f>
        <v>1.07309007549403</v>
      </c>
      <c r="AZ105" s="806" cm="1">
        <f t="array" ref="AZ105">AU105+AW105</f>
        <v>54018</v>
      </c>
      <c r="BA105" s="809" cm="1">
        <f t="array" ref="BA105">AI105-AZ105-BG105</f>
        <v>103185.952383261</v>
      </c>
      <c r="BB105" s="810" cm="1">
        <f t="array" ref="BB105">ROUND(BA105/$F105,4)</f>
        <v>2.0499</v>
      </c>
      <c r="BC105" s="809" cm="1">
        <f t="array" ref="BC105">J105-SUM(AZ105,BA105,BG105)</f>
        <v>513949.283101739</v>
      </c>
      <c r="BD105" s="810" cm="1">
        <f t="array" ref="BD105">ROUND(BC105/$F105,4)</f>
        <v>10.21</v>
      </c>
      <c r="BE105" s="811" cm="1">
        <f t="array" ref="BE105">BC105+BA105</f>
        <v>617135.235485</v>
      </c>
      <c r="BF105" s="810" cm="1">
        <f t="array" ref="BF105">ROUND((BA105+BC105)/F105,4)</f>
        <v>12.2598</v>
      </c>
      <c r="BG105" s="812" cm="1">
        <f t="array" ref="BG105">BO105*F105</f>
        <v>178848.764515</v>
      </c>
      <c r="BH105" s="813" cm="1">
        <f t="array" ref="BH105">ROUND(BG105/$F105,4)</f>
        <v>3.553</v>
      </c>
      <c r="BI105" s="798" cm="1">
        <f t="array" ref="BI105">M104-M105</f>
        <v>159640</v>
      </c>
      <c r="BJ105" s="798" cm="1">
        <f t="array" ref="BJ105">BE105-BI105</f>
        <v>457495.235485</v>
      </c>
      <c r="BK105" s="798" cm="1">
        <f t="array" ref="BK105">-BJ105</f>
        <v>-457495.235485</v>
      </c>
      <c r="BL105" s="798" cm="1">
        <f t="array" ref="BL105">BG105+BJ105</f>
        <v>636344</v>
      </c>
      <c r="BM105" s="798" cm="1">
        <f t="array" ref="BM105">AVERAGE(BL103:BL105)</f>
        <v>399833.666666667</v>
      </c>
      <c r="BN105" s="814" cm="1">
        <f t="array" ref="BN105">BH104-BH105</f>
        <v>0.051</v>
      </c>
      <c r="BO105" s="801" cm="1">
        <f t="array" ref="BO105">K104*0.0495/12-0.16</f>
        <v>3.552961175</v>
      </c>
      <c r="BP105" s="815" cm="1">
        <f t="array" ref="BP105">(BA105+BC105)/BG105</f>
        <v>3.45059825914112</v>
      </c>
      <c r="BQ105" s="815" cm="1">
        <f t="array" ref="BQ105">Y105-BB105</f>
        <v>4.62603236738657</v>
      </c>
      <c r="BR105" s="815" cm="1">
        <f t="array" ref="BR105">(BR$4*(1+BR$4)^BR$3*K104)/((1+BR$4)^BR$3-1)</f>
        <v>4.80452673457111</v>
      </c>
      <c r="BS105" s="815"/>
      <c r="BT105" s="405"/>
      <c r="BU105" s="405"/>
      <c r="BV105" s="405" cm="1">
        <f t="array" ref="BV105">BA105+BC105+BV104</f>
        <v>126235463.23911</v>
      </c>
      <c r="BW105" s="405" cm="1">
        <f t="array" ref="BW105">BG105+BW104</f>
        <v>27559015.760892</v>
      </c>
      <c r="BX105" s="801" cm="1">
        <f t="array" ref="BX105">BF105+BX104</f>
        <v>3027.6572</v>
      </c>
      <c r="BY105" s="801" cm="1">
        <f t="array" ref="BY105">BH105+BY104</f>
        <v>644.014</v>
      </c>
      <c r="BZ105" s="405" cm="1">
        <f t="array" ref="BZ105">SUM(BJ$6:BJ105)</f>
        <v>24295576.2391077</v>
      </c>
      <c r="CA105" s="801"/>
      <c r="CB105" s="801"/>
      <c r="CC105" s="405" cm="1">
        <f t="array" ref="CC105">SUM(BE$6:BE105)</f>
        <v>126235463.239108</v>
      </c>
      <c r="CD105" s="801"/>
      <c r="CE105" s="801"/>
      <c r="CF105" s="801"/>
      <c r="CG105" s="801"/>
      <c r="CH105" s="801"/>
      <c r="CI105" s="801"/>
      <c r="CJ105" s="801"/>
      <c r="CK105" s="801"/>
      <c r="CL105" s="801"/>
      <c r="CM105" s="801"/>
    </row>
    <row r="106" ht="19.35" customHeight="1" hidden="1">
      <c r="A106" s="762">
        <v>100</v>
      </c>
      <c r="B106" s="790">
        <v>48376</v>
      </c>
      <c r="C106" s="405"/>
      <c r="D106" s="791" cm="1">
        <f t="array" ref="D106">ROUND(850000/F106,4)</f>
        <v>16.6692</v>
      </c>
      <c r="E106" s="792" cm="1">
        <f t="array" ref="E106">D106/K105</f>
        <v>0.0187747507467461</v>
      </c>
      <c r="F106" s="793" cm="1">
        <f t="array" ref="F106">F105*(1+G106)</f>
        <v>50992.338370738</v>
      </c>
      <c r="G106" s="792" cm="1">
        <f t="array" ref="G106">H106-SUM(G95:G105)</f>
        <v>0.013</v>
      </c>
      <c r="H106" s="794" cm="1">
        <f t="array" ref="H106">'depto - Table 5'!$L$2</f>
        <v>0.03</v>
      </c>
      <c r="I106" s="795" cm="1">
        <f t="array" ref="I106">H106+4.95/100</f>
        <v>0.0795</v>
      </c>
      <c r="J106" s="405" cm="1">
        <f t="array" ref="J106">IF(K105=0,0,ROUND(D106*F106,0))</f>
        <v>850001</v>
      </c>
      <c r="K106" s="796" cm="1">
        <f t="array" ref="K106">IF(K105-BF106&lt;0,0,K105-BF106)</f>
        <v>875.7578</v>
      </c>
      <c r="L106" s="797" cm="1">
        <f t="array" ref="L106">K106/K$5</f>
        <v>0.221710835443038</v>
      </c>
      <c r="M106" s="798" cm="1">
        <f t="array" ref="M106">ROUND(K106*F106,0)</f>
        <v>44656938</v>
      </c>
      <c r="N106" s="799" cm="1">
        <f t="array" ref="N106">M106/M$5</f>
        <v>0.30455000258742</v>
      </c>
      <c r="O106" s="798" cm="1">
        <f t="array" ref="O106">M106-M105</f>
        <v>-35707</v>
      </c>
      <c r="P106" s="800" cm="1">
        <f t="array" ref="P106">T106-K106</f>
        <v>4524.2422</v>
      </c>
      <c r="Q106" s="798" cm="1">
        <f t="array" ref="Q106">ROUND(P106*F106,0)</f>
        <v>230701689</v>
      </c>
      <c r="R106" s="801" cm="1">
        <f t="array" ref="R106">$K$5-K106</f>
        <v>3074.2422</v>
      </c>
      <c r="S106" s="798" cm="1">
        <f t="array" ref="S106">Q106-Q105</f>
        <v>3569431</v>
      </c>
      <c r="T106" s="801">
        <v>5400</v>
      </c>
      <c r="U106" s="798" cm="1">
        <f t="array" ref="U106">T106*F106</f>
        <v>275358627.201985</v>
      </c>
      <c r="V106" s="802" cm="1">
        <f t="array" ref="V106">-S106</f>
        <v>-3569431</v>
      </c>
      <c r="W106" s="802"/>
      <c r="X106" s="802" cm="1">
        <f t="array" ref="X106">$K105*4.95/12/100/(1-(1+4.95/12/100)^-(360-$A106+3))+$AY106</f>
        <v>6.61071818997936</v>
      </c>
      <c r="Y106" s="803" cm="1">
        <f t="array" ref="Y106">K105*4.95/12/100/(1-(1+4.95/12/100)^-(360-$A106+3))+AY106</f>
        <v>6.61071818997936</v>
      </c>
      <c r="Z106" s="791" cm="1">
        <f t="array" ref="Z106">IF(Z$3*12&lt;=$A106,0,$K105*'depto - Departamento'!$D$8/12/(1-(1+'depto - Departamento'!$D$8/12)^-(12*Z$3-$A106+3))+$AY107)</f>
        <v>7.53802289029346</v>
      </c>
      <c r="AA106" s="791" cm="1">
        <f t="array" ref="AA106">IF(AA$3*12&lt;=$A106,0,$K105*'depto - Departamento'!$D$8/12/(1-(1+'depto - Departamento'!$D$8/12)^-(12*AA$3-$A106+3))+$AY107)</f>
        <v>9.303414537351459</v>
      </c>
      <c r="AB106" s="791" cm="1">
        <f t="array" ref="AB106">IF(AB$3*12&lt;$A106,0,$K105*'depto - Departamento'!$D$8/12/(1-(1+'depto - Departamento'!$D$8/12)^-(12*AB$3-$A106+3))+$AY106)</f>
        <v>13.7268899294293</v>
      </c>
      <c r="AC106" s="791" cm="1">
        <f t="array" ref="AC106">IF(AC$3*12&lt;$A106,0,$K105*'depto - Departamento'!$D$8/12/(1-(1+'depto - Departamento'!$D$8/12)^-(12*AC$3-$A106+3))+$AY106)</f>
        <v>21.8921700442486</v>
      </c>
      <c r="AD106" s="791" cm="1">
        <f t="array" ref="AD106">IF(AD$3*12&lt;$A106,0,$K105*'depto - Departamento'!$D$8/12/(1-(1+'depto - Departamento'!$D$8/12)^-(12*AD$3-$A106+3))+$AY106)</f>
        <v>41.6144704322328</v>
      </c>
      <c r="AE106" s="791" cm="1">
        <f t="array" ref="AE106">IF(AE$3*12&lt;$A106,0,$K105*'depto - Departamento'!$D$8/12/(1-(1+'depto - Departamento'!$D$8/12)^-(12*AE$3-$A106+3))+$AY106)</f>
        <v>0</v>
      </c>
      <c r="AF106" s="791" cm="1">
        <f t="array" ref="AF106">AF105-(AF104-AF105)</f>
        <v>79.55970000000001</v>
      </c>
      <c r="AG106" s="791"/>
      <c r="AH106" s="791"/>
      <c r="AI106" s="804" cm="1">
        <f t="array" ref="AI106">$F106*Y106</f>
        <v>337095.97881702</v>
      </c>
      <c r="AJ106" s="405" cm="1">
        <f t="array" ref="AJ106">$F106*Z106</f>
        <v>384381.413868213</v>
      </c>
      <c r="AK106" s="405" cm="1">
        <f t="array" ref="AK106">$F106*AA106</f>
        <v>474402.862091869</v>
      </c>
      <c r="AL106" s="405" cm="1">
        <f t="array" ref="AL106">$F106*AB106</f>
        <v>699966.216059335</v>
      </c>
      <c r="AM106" s="405" cm="1">
        <f t="array" ref="AM106">$F106*AC106</f>
        <v>1116332.94256606</v>
      </c>
      <c r="AN106" s="405" cm="1">
        <f t="array" ref="AN106">$F106*AD106</f>
        <v>2122019.15739949</v>
      </c>
      <c r="AO106" s="405"/>
      <c r="AP106" s="405" cm="1">
        <f t="array" ref="AP106">$F106*AF106</f>
        <v>4056935.1430744</v>
      </c>
      <c r="AQ106" s="791"/>
      <c r="AR106" s="805" cm="1">
        <f t="array" ref="AR106">K105-K106</f>
        <v>12.0942</v>
      </c>
      <c r="AS106" s="805" cm="1">
        <f t="array" ref="AS106">D106-AR106</f>
        <v>4.575</v>
      </c>
      <c r="AT106" s="791"/>
      <c r="AU106" s="806" cm="1">
        <f t="array" ref="AU106">ROUND(AV106*F106,0)</f>
        <v>52736</v>
      </c>
      <c r="AV106" s="807" cm="1">
        <f t="array" ref="AV106">IF(K105=0,0,AV105)</f>
        <v>1.0342</v>
      </c>
      <c r="AW106" s="806" cm="1">
        <f t="array" ref="AW106">ROUND(F106*AX106,0)</f>
        <v>1956</v>
      </c>
      <c r="AX106" s="807" cm="1">
        <f t="array" ref="AX106">AX$11/K$10*K105</f>
        <v>0.038360380685515</v>
      </c>
      <c r="AY106" s="808" cm="1">
        <f t="array" ref="AY106">SUM(AV106,AX106)</f>
        <v>1.07256038068552</v>
      </c>
      <c r="AZ106" s="806" cm="1">
        <f t="array" ref="AZ106">AU106+AW106</f>
        <v>54692</v>
      </c>
      <c r="BA106" s="809" cm="1">
        <f t="array" ref="BA106">AI106-AZ106-BG106</f>
        <v>103808.9483269</v>
      </c>
      <c r="BB106" s="810" cm="1">
        <f t="array" ref="BB106">ROUND(BA106/$F106,4)</f>
        <v>2.0358</v>
      </c>
      <c r="BC106" s="809" cm="1">
        <f t="array" ref="BC106">J106-SUM(AZ106,BA106,BG106)</f>
        <v>512905.02118298</v>
      </c>
      <c r="BD106" s="810" cm="1">
        <f t="array" ref="BD106">ROUND(BC106/$F106,4)</f>
        <v>10.0585</v>
      </c>
      <c r="BE106" s="811" cm="1">
        <f t="array" ref="BE106">BC106+BA106</f>
        <v>616713.9695098799</v>
      </c>
      <c r="BF106" s="810" cm="1">
        <f t="array" ref="BF106">ROUND((BA106+BC106)/F106,4)</f>
        <v>12.0942</v>
      </c>
      <c r="BG106" s="812" cm="1">
        <f t="array" ref="BG106">BO106*F106</f>
        <v>178595.03049012</v>
      </c>
      <c r="BH106" s="813" cm="1">
        <f t="array" ref="BH106">ROUND(BG106/$F106,4)</f>
        <v>3.5024</v>
      </c>
      <c r="BI106" s="798" cm="1">
        <f t="array" ref="BI106">M105-M106</f>
        <v>35707</v>
      </c>
      <c r="BJ106" s="798" cm="1">
        <f t="array" ref="BJ106">BE106-BI106</f>
        <v>581006.9695098799</v>
      </c>
      <c r="BK106" s="798" cm="1">
        <f t="array" ref="BK106">-BJ106</f>
        <v>-581006.9695098799</v>
      </c>
      <c r="BL106" s="798" cm="1">
        <f t="array" ref="BL106">BG106+BJ106</f>
        <v>759602</v>
      </c>
      <c r="BM106" s="798" cm="1">
        <f t="array" ref="BM106">AVERAGE(BL104:BL106)</f>
        <v>535780.666666667</v>
      </c>
      <c r="BN106" s="814" cm="1">
        <f t="array" ref="BN106">BH105-BH106</f>
        <v>0.0506</v>
      </c>
      <c r="BO106" s="801" cm="1">
        <f t="array" ref="BO106">K105*0.0495/12-0.16</f>
        <v>3.5023895</v>
      </c>
      <c r="BP106" s="815" cm="1">
        <f t="array" ref="BP106">(BA106+BC106)/BG106</f>
        <v>3.45314182492887</v>
      </c>
      <c r="BQ106" s="815" cm="1">
        <f t="array" ref="BQ106">Y106-BB106</f>
        <v>4.57491818997936</v>
      </c>
      <c r="BR106" s="815" cm="1">
        <f t="array" ref="BR106">(BR$4*(1+BR$4)^BR$3*K105)/((1+BR$4)^BR$3-1)</f>
        <v>4.73908760038745</v>
      </c>
      <c r="BS106" s="815"/>
      <c r="BT106" s="405"/>
      <c r="BU106" s="405"/>
      <c r="BV106" s="405" cm="1">
        <f t="array" ref="BV106">BA106+BC106+BV105</f>
        <v>126852177.20862</v>
      </c>
      <c r="BW106" s="405" cm="1">
        <f t="array" ref="BW106">BG106+BW105</f>
        <v>27737610.7913821</v>
      </c>
      <c r="BX106" s="801" cm="1">
        <f t="array" ref="BX106">BF106+BX105</f>
        <v>3039.7514</v>
      </c>
      <c r="BY106" s="801" cm="1">
        <f t="array" ref="BY106">BH106+BY105</f>
        <v>647.5164</v>
      </c>
      <c r="BZ106" s="405" cm="1">
        <f t="array" ref="BZ106">SUM(BJ$6:BJ106)</f>
        <v>24876583.2086176</v>
      </c>
      <c r="CA106" s="801"/>
      <c r="CB106" s="801"/>
      <c r="CC106" s="405" cm="1">
        <f t="array" ref="CC106">SUM(BE$6:BE106)</f>
        <v>126852177.208618</v>
      </c>
      <c r="CD106" s="801"/>
      <c r="CE106" s="801"/>
      <c r="CF106" s="801"/>
      <c r="CG106" s="801"/>
      <c r="CH106" s="801"/>
      <c r="CI106" s="801"/>
      <c r="CJ106" s="801"/>
      <c r="CK106" s="801"/>
      <c r="CL106" s="801"/>
      <c r="CM106" s="801"/>
    </row>
    <row r="107" ht="19.35" customHeight="1" hidden="1">
      <c r="A107" s="762">
        <v>101</v>
      </c>
      <c r="B107" s="790">
        <v>48406</v>
      </c>
      <c r="C107" s="405"/>
      <c r="D107" s="791" cm="1">
        <f t="array" ref="D107">ROUND(850000/F107,4)</f>
        <v>16.4927</v>
      </c>
      <c r="E107" s="792" cm="1">
        <f t="array" ref="E107">D107/K106</f>
        <v>0.0188324899875285</v>
      </c>
      <c r="F107" s="793" cm="1">
        <f t="array" ref="F107">F106*(1+G107)</f>
        <v>51537.9563913049</v>
      </c>
      <c r="G107" s="792" cm="1">
        <f t="array" ref="G107">H107-SUM(G96:G106)</f>
        <v>0.0107</v>
      </c>
      <c r="H107" s="794" cm="1">
        <f t="array" ref="H107">'depto - Table 5'!$L$2</f>
        <v>0.03</v>
      </c>
      <c r="I107" s="795" cm="1">
        <f t="array" ref="I107">H107+4.95/100</f>
        <v>0.0795</v>
      </c>
      <c r="J107" s="405" cm="1">
        <f t="array" ref="J107">IF(K106=0,0,ROUND(D107*F107,0))</f>
        <v>850000</v>
      </c>
      <c r="K107" s="796" cm="1">
        <f t="array" ref="K107">IF(K106-BF107&lt;0,0,K106-BF107)</f>
        <v>863.7896</v>
      </c>
      <c r="L107" s="797" cm="1">
        <f t="array" ref="L107">K107/K$5</f>
        <v>0.218680911392405</v>
      </c>
      <c r="M107" s="798" cm="1">
        <f t="array" ref="M107">ROUND(K107*F107,0)</f>
        <v>44517951</v>
      </c>
      <c r="N107" s="799" cm="1">
        <f t="array" ref="N107">M107/M$5</f>
        <v>0.303602143349745</v>
      </c>
      <c r="O107" s="798" cm="1">
        <f t="array" ref="O107">M107-M106</f>
        <v>-138987</v>
      </c>
      <c r="P107" s="800" cm="1">
        <f t="array" ref="P107">T107-K107</f>
        <v>4536.2104</v>
      </c>
      <c r="Q107" s="798" cm="1">
        <f t="array" ref="Q107">ROUND(P107*F107,0)</f>
        <v>233787014</v>
      </c>
      <c r="R107" s="801" cm="1">
        <f t="array" ref="R107">$K$5-K107</f>
        <v>3086.2104</v>
      </c>
      <c r="S107" s="798" cm="1">
        <f t="array" ref="S107">Q107-Q106</f>
        <v>3085325</v>
      </c>
      <c r="T107" s="801">
        <v>5400</v>
      </c>
      <c r="U107" s="798" cm="1">
        <f t="array" ref="U107">T107*F107</f>
        <v>278304964.513046</v>
      </c>
      <c r="V107" s="802" cm="1">
        <f t="array" ref="V107">-S107</f>
        <v>-3085325</v>
      </c>
      <c r="W107" s="802"/>
      <c r="X107" s="802" cm="1">
        <f t="array" ref="X107">$K106*4.95/12/100/(1-(1+4.95/12/100)^-(360-$A107+3))+$AY107</f>
        <v>6.54632115179922</v>
      </c>
      <c r="Y107" s="803" cm="1">
        <f t="array" ref="Y107">K106*4.95/12/100/(1-(1+4.95/12/100)^-(360-$A107+3))+AY107</f>
        <v>6.54632115179922</v>
      </c>
      <c r="Z107" s="791" cm="1">
        <f t="array" ref="Z107">IF(Z$3*12&lt;=$A107,0,$K106*'depto - Departamento'!$D$8/12/(1-(1+'depto - Departamento'!$D$8/12)^-(12*Z$3-$A107+3))+$AY108)</f>
        <v>7.4696305129347</v>
      </c>
      <c r="AA107" s="791" cm="1">
        <f t="array" ref="AA107">IF(AA$3*12&lt;=$A107,0,$K106*'depto - Departamento'!$D$8/12/(1-(1+'depto - Departamento'!$D$8/12)^-(12*AA$3-$A107+3))+$AY108)</f>
        <v>9.23276945247431</v>
      </c>
      <c r="AB107" s="791" cm="1">
        <f t="array" ref="AB107">IF(AB$3*12&lt;$A107,0,$K106*'depto - Departamento'!$D$8/12/(1-(1+'depto - Departamento'!$D$8/12)^-(12*AB$3-$A107+3))+$AY107)</f>
        <v>13.6816992773024</v>
      </c>
      <c r="AC107" s="791" cm="1">
        <f t="array" ref="AC107">IF(AC$3*12&lt;$A107,0,$K106*'depto - Departamento'!$D$8/12/(1-(1+'depto - Departamento'!$D$8/12)^-(12*AC$3-$A107+3))+$AY107)</f>
        <v>22.0127118611644</v>
      </c>
      <c r="AD107" s="791" cm="1">
        <f t="array" ref="AD107">IF(AD$3*12&lt;$A107,0,$K106*'depto - Departamento'!$D$8/12/(1-(1+'depto - Departamento'!$D$8/12)^-(12*AD$3-$A107+3))+$AY107)</f>
        <v>42.7947666152026</v>
      </c>
      <c r="AE107" s="791" cm="1">
        <f t="array" ref="AE107">IF(AE$3*12&lt;$A107,0,$K106*'depto - Departamento'!$D$8/12/(1-(1+'depto - Departamento'!$D$8/12)^-(12*AE$3-$A107+3))+$AY107)</f>
        <v>0</v>
      </c>
      <c r="AF107" s="791" cm="1">
        <f t="array" ref="AF107">AF106-(AF105-AF106)</f>
        <v>79.5569</v>
      </c>
      <c r="AG107" s="791"/>
      <c r="AH107" s="791"/>
      <c r="AI107" s="804" cm="1">
        <f t="array" ref="AI107">$F107*Y107</f>
        <v>337384.014044905</v>
      </c>
      <c r="AJ107" s="405" cm="1">
        <f t="array" ref="AJ107">$F107*Z107</f>
        <v>384969.491634789</v>
      </c>
      <c r="AK107" s="405" cm="1">
        <f t="array" ref="AK107">$F107*AA107</f>
        <v>475838.069412593</v>
      </c>
      <c r="AL107" s="405" cm="1">
        <f t="array" ref="AL107">$F107*AB107</f>
        <v>705126.820712559</v>
      </c>
      <c r="AM107" s="405" cm="1">
        <f t="array" ref="AM107">$F107*AC107</f>
        <v>1134490.18395505</v>
      </c>
      <c r="AN107" s="405" cm="1">
        <f t="array" ref="AN107">$F107*AD107</f>
        <v>2205554.81559038</v>
      </c>
      <c r="AO107" s="405"/>
      <c r="AP107" s="405" cm="1">
        <f t="array" ref="AP107">$F107*AF107</f>
        <v>4100200.0428274</v>
      </c>
      <c r="AQ107" s="791"/>
      <c r="AR107" s="805" cm="1">
        <f t="array" ref="AR107">K106-K107</f>
        <v>11.9682</v>
      </c>
      <c r="AS107" s="805" cm="1">
        <f t="array" ref="AS107">D107-AR107</f>
        <v>4.5245</v>
      </c>
      <c r="AT107" s="791"/>
      <c r="AU107" s="806" cm="1">
        <f t="array" ref="AU107">ROUND(AV107*F107,0)</f>
        <v>53301</v>
      </c>
      <c r="AV107" s="807" cm="1">
        <f t="array" ref="AV107">IF(K106=0,0,AV106)</f>
        <v>1.0342</v>
      </c>
      <c r="AW107" s="806" cm="1">
        <f t="array" ref="AW107">ROUND(F107*AX107,0)</f>
        <v>1950</v>
      </c>
      <c r="AX107" s="807" cm="1">
        <f t="array" ref="AX107">AX$11/K$10*K106</f>
        <v>0.0378378407620967</v>
      </c>
      <c r="AY107" s="808" cm="1">
        <f t="array" ref="AY107">SUM(AV107,AX107)</f>
        <v>1.0720378407621</v>
      </c>
      <c r="AZ107" s="806" cm="1">
        <f t="array" ref="AZ107">AU107+AW107</f>
        <v>55251</v>
      </c>
      <c r="BA107" s="809" cm="1">
        <f t="array" ref="BA107">AI107-AZ107-BG107</f>
        <v>104198.171931315</v>
      </c>
      <c r="BB107" s="810" cm="1">
        <f t="array" ref="BB107">ROUND(BA107/$F107,4)</f>
        <v>2.0218</v>
      </c>
      <c r="BC107" s="809" cm="1">
        <f t="array" ref="BC107">J107-SUM(AZ107,BA107,BG107)</f>
        <v>512615.985955095</v>
      </c>
      <c r="BD107" s="810" cm="1">
        <f t="array" ref="BD107">ROUND(BC107/$F107,4)</f>
        <v>9.946400000000001</v>
      </c>
      <c r="BE107" s="811" cm="1">
        <f t="array" ref="BE107">BC107+BA107</f>
        <v>616814.15788641</v>
      </c>
      <c r="BF107" s="810" cm="1">
        <f t="array" ref="BF107">ROUND((BA107+BC107)/F107,4)</f>
        <v>11.9682</v>
      </c>
      <c r="BG107" s="812" cm="1">
        <f t="array" ref="BG107">BO107*F107</f>
        <v>177934.84211359</v>
      </c>
      <c r="BH107" s="813" cm="1">
        <f t="array" ref="BH107">ROUND(BG107/$F107,4)</f>
        <v>3.4525</v>
      </c>
      <c r="BI107" s="798" cm="1">
        <f t="array" ref="BI107">M106-M107</f>
        <v>138987</v>
      </c>
      <c r="BJ107" s="798" cm="1">
        <f t="array" ref="BJ107">BE107-BI107</f>
        <v>477827.15788641</v>
      </c>
      <c r="BK107" s="798" cm="1">
        <f t="array" ref="BK107">-BJ107</f>
        <v>-477827.15788641</v>
      </c>
      <c r="BL107" s="798" cm="1">
        <f t="array" ref="BL107">BG107+BJ107</f>
        <v>655762</v>
      </c>
      <c r="BM107" s="798" cm="1">
        <f t="array" ref="BM107">AVERAGE(BL105:BL107)</f>
        <v>683902.666666667</v>
      </c>
      <c r="BN107" s="814" cm="1">
        <f t="array" ref="BN107">BH106-BH107</f>
        <v>0.0499</v>
      </c>
      <c r="BO107" s="801" cm="1">
        <f t="array" ref="BO107">K106*0.0495/12-0.16</f>
        <v>3.452500925</v>
      </c>
      <c r="BP107" s="815" cm="1">
        <f t="array" ref="BP107">(BA107+BC107)/BG107</f>
        <v>3.46651701577732</v>
      </c>
      <c r="BQ107" s="815" cm="1">
        <f t="array" ref="BQ107">Y107-BB107</f>
        <v>4.52452115179922</v>
      </c>
      <c r="BR107" s="815" cm="1">
        <f t="array" ref="BR107">(BR$4*(1+BR$4)^BR$3*K106)/((1+BR$4)^BR$3-1)</f>
        <v>4.67453238932006</v>
      </c>
      <c r="BS107" s="815"/>
      <c r="BT107" s="405"/>
      <c r="BU107" s="405"/>
      <c r="BV107" s="405" cm="1">
        <f t="array" ref="BV107">BA107+BC107+BV106</f>
        <v>127468991.366506</v>
      </c>
      <c r="BW107" s="405" cm="1">
        <f t="array" ref="BW107">BG107+BW106</f>
        <v>27915545.6334957</v>
      </c>
      <c r="BX107" s="801" cm="1">
        <f t="array" ref="BX107">BF107+BX106</f>
        <v>3051.7196</v>
      </c>
      <c r="BY107" s="801" cm="1">
        <f t="array" ref="BY107">BH107+BY106</f>
        <v>650.9689</v>
      </c>
      <c r="BZ107" s="405" cm="1">
        <f t="array" ref="BZ107">SUM(BJ$6:BJ107)</f>
        <v>25354410.366504</v>
      </c>
      <c r="CA107" s="801"/>
      <c r="CB107" s="801"/>
      <c r="CC107" s="405" cm="1">
        <f t="array" ref="CC107">SUM(BE$6:BE107)</f>
        <v>127468991.366504</v>
      </c>
      <c r="CD107" s="801"/>
      <c r="CE107" s="801"/>
      <c r="CF107" s="801"/>
      <c r="CG107" s="801"/>
      <c r="CH107" s="801"/>
      <c r="CI107" s="801"/>
      <c r="CJ107" s="801"/>
      <c r="CK107" s="801"/>
      <c r="CL107" s="801"/>
      <c r="CM107" s="801"/>
    </row>
    <row r="108" ht="19.35" customHeight="1" hidden="1">
      <c r="A108" s="762">
        <v>102</v>
      </c>
      <c r="B108" s="790">
        <v>48437</v>
      </c>
      <c r="C108" s="405"/>
      <c r="D108" s="791" cm="1">
        <f t="array" ref="D108">ROUND(850000/F108,4)</f>
        <v>16.4927</v>
      </c>
      <c r="E108" s="792" cm="1">
        <f t="array" ref="E108">D108/K107</f>
        <v>0.0190934227501697</v>
      </c>
      <c r="F108" s="793" cm="1">
        <f t="array" ref="F108">F107*(1+G108)</f>
        <v>51537.9563913049</v>
      </c>
      <c r="G108" s="792" cm="1">
        <f t="array" ref="G108">H108-SUM(G97:G107)</f>
        <v>0</v>
      </c>
      <c r="H108" s="794" cm="1">
        <f t="array" ref="H108">'depto - Table 5'!$L$2</f>
        <v>0.03</v>
      </c>
      <c r="I108" s="795" cm="1">
        <f t="array" ref="I108">H108+4.95/100</f>
        <v>0.0795</v>
      </c>
      <c r="J108" s="405" cm="1">
        <f t="array" ref="J108">IF(K107=0,0,ROUND(D108*F108,0))</f>
        <v>850000</v>
      </c>
      <c r="K108" s="796" cm="1">
        <f t="array" ref="K108">IF(K107-BF108&lt;0,0,K107-BF108)</f>
        <v>851.7716</v>
      </c>
      <c r="L108" s="797" cm="1">
        <f t="array" ref="L108">K108/K$5</f>
        <v>0.215638379746835</v>
      </c>
      <c r="M108" s="798" cm="1">
        <f t="array" ref="M108">ROUND(K108*F108,0)</f>
        <v>43898568</v>
      </c>
      <c r="N108" s="799" cm="1">
        <f t="array" ref="N108">M108/M$5</f>
        <v>0.29937809435085</v>
      </c>
      <c r="O108" s="798" cm="1">
        <f t="array" ref="O108">M108-M107</f>
        <v>-619383</v>
      </c>
      <c r="P108" s="800" cm="1">
        <f t="array" ref="P108">T108-K108</f>
        <v>4548.2284</v>
      </c>
      <c r="Q108" s="798" cm="1">
        <f t="array" ref="Q108">ROUND(P108*F108,0)</f>
        <v>234406397</v>
      </c>
      <c r="R108" s="801" cm="1">
        <f t="array" ref="R108">$K$5-K108</f>
        <v>3098.2284</v>
      </c>
      <c r="S108" s="798" cm="1">
        <f t="array" ref="S108">Q108-Q107</f>
        <v>619383</v>
      </c>
      <c r="T108" s="801">
        <v>5400</v>
      </c>
      <c r="U108" s="798" cm="1">
        <f t="array" ref="U108">T108*F108</f>
        <v>278304964.513046</v>
      </c>
      <c r="V108" s="802" cm="1">
        <f t="array" ref="V108">-S108</f>
        <v>-619383</v>
      </c>
      <c r="W108" s="802"/>
      <c r="X108" s="802" cm="1">
        <f t="array" ref="X108">$K107*4.95/12/100/(1-(1+4.95/12/100)^-(360-$A108+3))+$AY108</f>
        <v>6.48249515845463</v>
      </c>
      <c r="Y108" s="803" cm="1">
        <f t="array" ref="Y108">K107*4.95/12/100/(1-(1+4.95/12/100)^-(360-$A108+3))+AY108</f>
        <v>6.48249515845463</v>
      </c>
      <c r="Z108" s="791" cm="1">
        <f t="array" ref="Z108">IF(Z$3*12&lt;=$A108,0,$K107*'depto - Departamento'!$D$8/12/(1-(1+'depto - Departamento'!$D$8/12)^-(12*Z$3-$A108+3))+$AY109)</f>
        <v>7.40181103881307</v>
      </c>
      <c r="AA108" s="791" cm="1">
        <f t="array" ref="AA108">IF(AA$3*12&lt;=$A108,0,$K107*'depto - Departamento'!$D$8/12/(1-(1+'depto - Departamento'!$D$8/12)^-(12*AA$3-$A108+3))+$AY109)</f>
        <v>9.162746800725291</v>
      </c>
      <c r="AB108" s="791" cm="1">
        <f t="array" ref="AB108">IF(AB$3*12&lt;$A108,0,$K107*'depto - Departamento'!$D$8/12/(1-(1+'depto - Departamento'!$D$8/12)^-(12*AB$3-$A108+3))+$AY108)</f>
        <v>13.6379594040467</v>
      </c>
      <c r="AC108" s="791" cm="1">
        <f t="array" ref="AC108">IF(AC$3*12&lt;$A108,0,$K107*'depto - Departamento'!$D$8/12/(1-(1+'depto - Departamento'!$D$8/12)^-(12*AC$3-$A108+3))+$AY108)</f>
        <v>22.1429468336397</v>
      </c>
      <c r="AD108" s="791" cm="1">
        <f t="array" ref="AD108">IF(AD$3*12&lt;$A108,0,$K107*'depto - Departamento'!$D$8/12/(1-(1+'depto - Departamento'!$D$8/12)^-(12*AD$3-$A108+3))+$AY108)</f>
        <v>44.0963684220067</v>
      </c>
      <c r="AE108" s="791" cm="1">
        <f t="array" ref="AE108">IF(AE$3*12&lt;$A108,0,$K107*'depto - Departamento'!$D$8/12/(1-(1+'depto - Departamento'!$D$8/12)^-(12*AE$3-$A108+3))+$AY108)</f>
        <v>0</v>
      </c>
      <c r="AF108" s="791" cm="1">
        <f t="array" ref="AF108">AF107-(AF106-AF107)</f>
        <v>79.55410000000001</v>
      </c>
      <c r="AG108" s="791"/>
      <c r="AH108" s="791"/>
      <c r="AI108" s="804" cm="1">
        <f t="array" ref="AI108">$F108*Y108</f>
        <v>334094.55278328</v>
      </c>
      <c r="AJ108" s="405" cm="1">
        <f t="array" ref="AJ108">$F108*Z108</f>
        <v>381474.214535027</v>
      </c>
      <c r="AK108" s="405" cm="1">
        <f t="array" ref="AK108">$F108*AA108</f>
        <v>472229.245040348</v>
      </c>
      <c r="AL108" s="405" cm="1">
        <f t="array" ref="AL108">$F108*AB108</f>
        <v>702872.557032145</v>
      </c>
      <c r="AM108" s="405" cm="1">
        <f t="array" ref="AM108">$F108*AC108</f>
        <v>1141202.22828711</v>
      </c>
      <c r="AN108" s="405" cm="1">
        <f t="array" ref="AN108">$F108*AD108</f>
        <v>2272636.7127483</v>
      </c>
      <c r="AO108" s="405"/>
      <c r="AP108" s="405" cm="1">
        <f t="array" ref="AP108">$F108*AF108</f>
        <v>4100055.73654951</v>
      </c>
      <c r="AQ108" s="791"/>
      <c r="AR108" s="805" cm="1">
        <f t="array" ref="AR108">K107-K108</f>
        <v>12.018</v>
      </c>
      <c r="AS108" s="805" cm="1">
        <f t="array" ref="AS108">D108-AR108</f>
        <v>4.4747</v>
      </c>
      <c r="AT108" s="791"/>
      <c r="AU108" s="806" cm="1">
        <f t="array" ref="AU108">ROUND(AV108*F108,0)</f>
        <v>53301</v>
      </c>
      <c r="AV108" s="807" cm="1">
        <f t="array" ref="AV108">IF(K107=0,0,AV107)</f>
        <v>1.0342</v>
      </c>
      <c r="AW108" s="806" cm="1">
        <f t="array" ref="AW108">ROUND(F108*AX108,0)</f>
        <v>1923</v>
      </c>
      <c r="AX108" s="807" cm="1">
        <f t="array" ref="AX108">AX$11/K$10*K107</f>
        <v>0.03732074477299</v>
      </c>
      <c r="AY108" s="808" cm="1">
        <f t="array" ref="AY108">SUM(AV108,AX108)</f>
        <v>1.07152074477299</v>
      </c>
      <c r="AZ108" s="806" cm="1">
        <f t="array" ref="AZ108">AU108+AW108</f>
        <v>55224</v>
      </c>
      <c r="BA108" s="809" cm="1">
        <f t="array" ref="BA108">AI108-AZ108-BG108</f>
        <v>103480.07901963</v>
      </c>
      <c r="BB108" s="810" cm="1">
        <f t="array" ref="BB108">ROUND(BA108/$F108,4)</f>
        <v>2.0078</v>
      </c>
      <c r="BC108" s="809" cm="1">
        <f t="array" ref="BC108">J108-SUM(AZ108,BA108,BG108)</f>
        <v>515905.44721672</v>
      </c>
      <c r="BD108" s="810" cm="1">
        <f t="array" ref="BD108">ROUND(BC108/$F108,4)</f>
        <v>10.0102</v>
      </c>
      <c r="BE108" s="811" cm="1">
        <f t="array" ref="BE108">BC108+BA108</f>
        <v>619385.5262363499</v>
      </c>
      <c r="BF108" s="810" cm="1">
        <f t="array" ref="BF108">ROUND((BA108+BC108)/F108,4)</f>
        <v>12.018</v>
      </c>
      <c r="BG108" s="812" cm="1">
        <f t="array" ref="BG108">BO108*F108</f>
        <v>175390.47376365</v>
      </c>
      <c r="BH108" s="813" cm="1">
        <f t="array" ref="BH108">ROUND(BG108/$F108,4)</f>
        <v>3.4031</v>
      </c>
      <c r="BI108" s="798" cm="1">
        <f t="array" ref="BI108">M107-M108</f>
        <v>619383</v>
      </c>
      <c r="BJ108" s="798" cm="1">
        <f t="array" ref="BJ108">BE108-BI108</f>
        <v>2.52623635</v>
      </c>
      <c r="BK108" s="798" cm="1">
        <f t="array" ref="BK108">-BJ108</f>
        <v>-2.52623635</v>
      </c>
      <c r="BL108" s="798" cm="1">
        <f t="array" ref="BL108">BG108+BJ108</f>
        <v>175393</v>
      </c>
      <c r="BM108" s="798" cm="1">
        <f t="array" ref="BM108">AVERAGE(BL106:BL108)</f>
        <v>530252.333333333</v>
      </c>
      <c r="BN108" s="814" cm="1">
        <f t="array" ref="BN108">BH107-BH108</f>
        <v>0.0494</v>
      </c>
      <c r="BO108" s="801" cm="1">
        <f t="array" ref="BO108">K107*0.0495/12-0.16</f>
        <v>3.4031321</v>
      </c>
      <c r="BP108" s="815" cm="1">
        <f t="array" ref="BP108">(BA108+BC108)/BG108</f>
        <v>3.53146617912106</v>
      </c>
      <c r="BQ108" s="815" cm="1">
        <f t="array" ref="BQ108">Y108-BB108</f>
        <v>4.47469515845463</v>
      </c>
      <c r="BR108" s="815" cm="1">
        <f t="array" ref="BR108">(BR$4*(1+BR$4)^BR$3*K107)/((1+BR$4)^BR$3-1)</f>
        <v>4.61064972844983</v>
      </c>
      <c r="BS108" s="815"/>
      <c r="BT108" s="405"/>
      <c r="BU108" s="405"/>
      <c r="BV108" s="405" cm="1">
        <f t="array" ref="BV108">BA108+BC108+BV107</f>
        <v>128088376.892742</v>
      </c>
      <c r="BW108" s="405" cm="1">
        <f t="array" ref="BW108">BG108+BW107</f>
        <v>28090936.1072594</v>
      </c>
      <c r="BX108" s="801" cm="1">
        <f t="array" ref="BX108">BF108+BX107</f>
        <v>3063.7376</v>
      </c>
      <c r="BY108" s="801" cm="1">
        <f t="array" ref="BY108">BH108+BY107</f>
        <v>654.372</v>
      </c>
      <c r="BZ108" s="405" cm="1">
        <f t="array" ref="BZ108">SUM(BJ$6:BJ108)</f>
        <v>25354412.8927403</v>
      </c>
      <c r="CA108" s="801"/>
      <c r="CB108" s="801"/>
      <c r="CC108" s="405" cm="1">
        <f t="array" ref="CC108">SUM(BE$6:BE108)</f>
        <v>128088376.89274</v>
      </c>
      <c r="CD108" s="801"/>
      <c r="CE108" s="801"/>
      <c r="CF108" s="801"/>
      <c r="CG108" s="801"/>
      <c r="CH108" s="801"/>
      <c r="CI108" s="801"/>
      <c r="CJ108" s="801"/>
      <c r="CK108" s="801"/>
      <c r="CL108" s="801"/>
      <c r="CM108" s="801"/>
    </row>
    <row r="109" ht="19.35" customHeight="1" hidden="1">
      <c r="A109" s="762">
        <v>103</v>
      </c>
      <c r="B109" s="790">
        <v>48468</v>
      </c>
      <c r="C109" s="405"/>
      <c r="D109" s="791" cm="1">
        <f t="array" ref="D109">ROUND(850000/F109,4)</f>
        <v>16.4696</v>
      </c>
      <c r="E109" s="792" cm="1">
        <f t="array" ref="E109">D109/K108</f>
        <v>0.0193356998519321</v>
      </c>
      <c r="F109" s="793" cm="1">
        <f t="array" ref="F109">F108*(1+G109)</f>
        <v>51610.1095302527</v>
      </c>
      <c r="G109" s="792" cm="1">
        <f t="array" ref="G109">H109-SUM(G98:G108)</f>
        <v>0.0014</v>
      </c>
      <c r="H109" s="794" cm="1">
        <f t="array" ref="H109">'depto - Table 5'!$L$2</f>
        <v>0.03</v>
      </c>
      <c r="I109" s="795" cm="1">
        <f t="array" ref="I109">H109+4.95/100</f>
        <v>0.0795</v>
      </c>
      <c r="J109" s="405" cm="1">
        <f t="array" ref="J109">IF(K108=0,0,ROUND(D109*F109,0))</f>
        <v>849998</v>
      </c>
      <c r="K109" s="796" cm="1">
        <f t="array" ref="K109">IF(K108-BF109&lt;0,0,K108-BF109)</f>
        <v>839.7265</v>
      </c>
      <c r="L109" s="797" cm="1">
        <f t="array" ref="L109">K109/K$5</f>
        <v>0.212588987341772</v>
      </c>
      <c r="M109" s="798" cm="1">
        <f t="array" ref="M109">ROUND(K109*F109,0)</f>
        <v>43338377</v>
      </c>
      <c r="N109" s="799" cm="1">
        <f t="array" ref="N109">M109/M$5</f>
        <v>0.295557721120167</v>
      </c>
      <c r="O109" s="798" cm="1">
        <f t="array" ref="O109">M109-M108</f>
        <v>-560191</v>
      </c>
      <c r="P109" s="800" cm="1">
        <f t="array" ref="P109">T109-K109</f>
        <v>4560.2735</v>
      </c>
      <c r="Q109" s="798" cm="1">
        <f t="array" ref="Q109">ROUND(P109*F109,0)</f>
        <v>235356215</v>
      </c>
      <c r="R109" s="801" cm="1">
        <f t="array" ref="R109">$K$5-K109</f>
        <v>3110.2735</v>
      </c>
      <c r="S109" s="798" cm="1">
        <f t="array" ref="S109">Q109-Q108</f>
        <v>949818</v>
      </c>
      <c r="T109" s="801">
        <v>5400</v>
      </c>
      <c r="U109" s="798" cm="1">
        <f t="array" ref="U109">T109*F109</f>
        <v>278694591.463365</v>
      </c>
      <c r="V109" s="802" cm="1">
        <f t="array" ref="V109">-S109</f>
        <v>-949818</v>
      </c>
      <c r="W109" s="802"/>
      <c r="X109" s="802" cm="1">
        <f t="array" ref="X109">$K108*4.95/12/100/(1-(1+4.95/12/100)^-(360-$A109+3))+$AY109</f>
        <v>6.41813115270601</v>
      </c>
      <c r="Y109" s="803" cm="1">
        <f t="array" ref="Y109">K108*4.95/12/100/(1-(1+4.95/12/100)^-(360-$A109+3))+AY109</f>
        <v>6.41813115270601</v>
      </c>
      <c r="Z109" s="791" cm="1">
        <f t="array" ref="Z109">IF(Z$3*12&lt;=$A109,0,$K108*'depto - Departamento'!$D$8/12/(1-(1+'depto - Departamento'!$D$8/12)^-(12*Z$3-$A109+3))+$AY110)</f>
        <v>7.33327605669232</v>
      </c>
      <c r="AA109" s="791" cm="1">
        <f t="array" ref="AA109">IF(AA$3*12&lt;=$A109,0,$K108*'depto - Departamento'!$D$8/12/(1-(1+'depto - Departamento'!$D$8/12)^-(12*AA$3-$A109+3))+$AY110)</f>
        <v>9.091698089445</v>
      </c>
      <c r="AB109" s="791" cm="1">
        <f t="array" ref="AB109">IF(AB$3*12&lt;$A109,0,$K108*'depto - Departamento'!$D$8/12/(1-(1+'depto - Departamento'!$D$8/12)^-(12*AB$3-$A109+3))+$AY109)</f>
        <v>13.5931203533289</v>
      </c>
      <c r="AC109" s="791" cm="1">
        <f t="array" ref="AC109">IF(AC$3*12&lt;$A109,0,$K108*'depto - Departamento'!$D$8/12/(1-(1+'depto - Departamento'!$D$8/12)^-(12*AC$3-$A109+3))+$AY109)</f>
        <v>22.2791295587024</v>
      </c>
      <c r="AD109" s="791" cm="1">
        <f t="array" ref="AD109">IF(AD$3*12&lt;$A109,0,$K108*'depto - Departamento'!$D$8/12/(1-(1+'depto - Departamento'!$D$8/12)^-(12*AD$3-$A109+3))+$AY109)</f>
        <v>45.5282424061389</v>
      </c>
      <c r="AE109" s="791" cm="1">
        <f t="array" ref="AE109">IF(AE$3*12&lt;$A109,0,$K108*'depto - Departamento'!$D$8/12/(1-(1+'depto - Departamento'!$D$8/12)^-(12*AE$3-$A109+3))+$AY109)</f>
        <v>0</v>
      </c>
      <c r="AF109" s="791" cm="1">
        <f t="array" ref="AF109">AF108-(AF107-AF108)</f>
        <v>79.5513</v>
      </c>
      <c r="AG109" s="791"/>
      <c r="AH109" s="791"/>
      <c r="AI109" s="804" cm="1">
        <f t="array" ref="AI109">$F109*Y109</f>
        <v>331240.451770684</v>
      </c>
      <c r="AJ109" s="405" cm="1">
        <f t="array" ref="AJ109">$F109*Z109</f>
        <v>378471.18050147</v>
      </c>
      <c r="AK109" s="405" cm="1">
        <f t="array" ref="AK109">$F109*AA109</f>
        <v>469223.534212246</v>
      </c>
      <c r="AL109" s="405" cm="1">
        <f t="array" ref="AL109">$F109*AB109</f>
        <v>701542.4302932119</v>
      </c>
      <c r="AM109" s="405" cm="1">
        <f t="array" ref="AM109">$F109*AC109</f>
        <v>1149828.31676332</v>
      </c>
      <c r="AN109" s="405" cm="1">
        <f t="array" ref="AN109">$F109*AD109</f>
        <v>2349717.57730072</v>
      </c>
      <c r="AO109" s="405"/>
      <c r="AP109" s="405" cm="1">
        <f t="array" ref="AP109">$F109*AF109</f>
        <v>4105651.30627399</v>
      </c>
      <c r="AQ109" s="791"/>
      <c r="AR109" s="805" cm="1">
        <f t="array" ref="AR109">K108-K109</f>
        <v>12.0451</v>
      </c>
      <c r="AS109" s="805" cm="1">
        <f t="array" ref="AS109">D109-AR109</f>
        <v>4.4245</v>
      </c>
      <c r="AT109" s="791"/>
      <c r="AU109" s="806" cm="1">
        <f t="array" ref="AU109">ROUND(AV109*F109,0)</f>
        <v>53375</v>
      </c>
      <c r="AV109" s="807" cm="1">
        <f t="array" ref="AV109">IF(K108=0,0,AV108)</f>
        <v>1.0342</v>
      </c>
      <c r="AW109" s="806" cm="1">
        <f t="array" ref="AW109">ROUND(F109*AX109,0)</f>
        <v>1899</v>
      </c>
      <c r="AX109" s="807" cm="1">
        <f t="array" ref="AX109">AX$11/K$10*K108</f>
        <v>0.0368014971336554</v>
      </c>
      <c r="AY109" s="808" cm="1">
        <f t="array" ref="AY109">SUM(AV109,AX109)</f>
        <v>1.07100149713366</v>
      </c>
      <c r="AZ109" s="806" cm="1">
        <f t="array" ref="AZ109">AU109+AW109</f>
        <v>55274</v>
      </c>
      <c r="BA109" s="809" cm="1">
        <f t="array" ref="BA109">AI109-AZ109-BG109</f>
        <v>102888.963816145</v>
      </c>
      <c r="BB109" s="810" cm="1">
        <f t="array" ref="BB109">ROUND(BA109/$F109,4)</f>
        <v>1.9936</v>
      </c>
      <c r="BC109" s="809" cm="1">
        <f t="array" ref="BC109">J109-SUM(AZ109,BA109,BG109)</f>
        <v>518757.548229316</v>
      </c>
      <c r="BD109" s="810" cm="1">
        <f t="array" ref="BD109">ROUND(BC109/$F109,4)</f>
        <v>10.0515</v>
      </c>
      <c r="BE109" s="811" cm="1">
        <f t="array" ref="BE109">BC109+BA109</f>
        <v>621646.512045461</v>
      </c>
      <c r="BF109" s="810" cm="1">
        <f t="array" ref="BF109">ROUND((BA109+BC109)/F109,4)</f>
        <v>12.0451</v>
      </c>
      <c r="BG109" s="812" cm="1">
        <f t="array" ref="BG109">BO109*F109</f>
        <v>173077.487954539</v>
      </c>
      <c r="BH109" s="813" cm="1">
        <f t="array" ref="BH109">ROUND(BG109/$F109,4)</f>
        <v>3.3536</v>
      </c>
      <c r="BI109" s="798" cm="1">
        <f t="array" ref="BI109">M108-M109</f>
        <v>560191</v>
      </c>
      <c r="BJ109" s="798" cm="1">
        <f t="array" ref="BJ109">BE109-BI109</f>
        <v>61455.512045461</v>
      </c>
      <c r="BK109" s="798" cm="1">
        <f t="array" ref="BK109">-BJ109</f>
        <v>-61455.512045461</v>
      </c>
      <c r="BL109" s="798" cm="1">
        <f t="array" ref="BL109">BG109+BJ109</f>
        <v>234533</v>
      </c>
      <c r="BM109" s="798" cm="1">
        <f t="array" ref="BM109">AVERAGE(BL107:BL109)</f>
        <v>355229.333333333</v>
      </c>
      <c r="BN109" s="814" cm="1">
        <f t="array" ref="BN109">BH108-BH109</f>
        <v>0.0495</v>
      </c>
      <c r="BO109" s="801" cm="1">
        <f t="array" ref="BO109">K108*0.0495/12-0.16</f>
        <v>3.35355785</v>
      </c>
      <c r="BP109" s="815" cm="1">
        <f t="array" ref="BP109">(BA109+BC109)/BG109</f>
        <v>3.59172368048665</v>
      </c>
      <c r="BQ109" s="815" cm="1">
        <f t="array" ref="BQ109">Y109-BB109</f>
        <v>4.42453115270601</v>
      </c>
      <c r="BR109" s="815" cm="1">
        <f t="array" ref="BR109">(BR$4*(1+BR$4)^BR$3*K108)/((1+BR$4)^BR$3-1)</f>
        <v>4.54650125012072</v>
      </c>
      <c r="BS109" s="815"/>
      <c r="BT109" s="405"/>
      <c r="BU109" s="405"/>
      <c r="BV109" s="405" cm="1">
        <f t="array" ref="BV109">BA109+BC109+BV108</f>
        <v>128710023.404787</v>
      </c>
      <c r="BW109" s="405" cm="1">
        <f t="array" ref="BW109">BG109+BW108</f>
        <v>28264013.5952139</v>
      </c>
      <c r="BX109" s="801" cm="1">
        <f t="array" ref="BX109">BF109+BX108</f>
        <v>3075.7827</v>
      </c>
      <c r="BY109" s="801" cm="1">
        <f t="array" ref="BY109">BH109+BY108</f>
        <v>657.7256</v>
      </c>
      <c r="BZ109" s="405" cm="1">
        <f t="array" ref="BZ109">SUM(BJ$6:BJ109)</f>
        <v>25415868.4047858</v>
      </c>
      <c r="CA109" s="801"/>
      <c r="CB109" s="801"/>
      <c r="CC109" s="405" cm="1">
        <f t="array" ref="CC109">SUM(BE$6:BE109)</f>
        <v>128710023.404786</v>
      </c>
      <c r="CD109" s="801"/>
      <c r="CE109" s="801"/>
      <c r="CF109" s="801"/>
      <c r="CG109" s="801"/>
      <c r="CH109" s="801"/>
      <c r="CI109" s="801"/>
      <c r="CJ109" s="801"/>
      <c r="CK109" s="801"/>
      <c r="CL109" s="801"/>
      <c r="CM109" s="801"/>
    </row>
    <row r="110" ht="19.35" customHeight="1" hidden="1">
      <c r="A110" s="762">
        <v>104</v>
      </c>
      <c r="B110" s="790">
        <v>48498</v>
      </c>
      <c r="C110" s="405"/>
      <c r="D110" s="791" cm="1">
        <f t="array" ref="D110">ROUND(850000/F110,4)</f>
        <v>16.3828</v>
      </c>
      <c r="E110" s="792" cm="1">
        <f t="array" ref="E110">D110/K109</f>
        <v>0.0195096855940595</v>
      </c>
      <c r="F110" s="793" cm="1">
        <f t="array" ref="F110">F109*(1+G110)</f>
        <v>51883.643110763</v>
      </c>
      <c r="G110" s="792" cm="1">
        <f t="array" ref="G110">H110-SUM(G99:G109)</f>
        <v>0.0053</v>
      </c>
      <c r="H110" s="794" cm="1">
        <f t="array" ref="H110">'depto - Table 5'!$L$2</f>
        <v>0.03</v>
      </c>
      <c r="I110" s="795" cm="1">
        <f t="array" ref="I110">H110+4.95/100</f>
        <v>0.0795</v>
      </c>
      <c r="J110" s="405" cm="1">
        <f t="array" ref="J110">IF(K109=0,0,ROUND(D110*F110,0))</f>
        <v>849999</v>
      </c>
      <c r="K110" s="796" cm="1">
        <f t="array" ref="K110">IF(K109-BF110&lt;0,0,K109-BF110)</f>
        <v>827.7181</v>
      </c>
      <c r="L110" s="797" cm="1">
        <f t="array" ref="L110">K110/K$5</f>
        <v>0.209548886075949</v>
      </c>
      <c r="M110" s="798" cm="1">
        <f t="array" ref="M110">ROUND(K110*F110,0)</f>
        <v>42945030</v>
      </c>
      <c r="N110" s="799" cm="1">
        <f t="array" ref="N110">M110/M$5</f>
        <v>0.29287518543293</v>
      </c>
      <c r="O110" s="798" cm="1">
        <f t="array" ref="O110">M110-M109</f>
        <v>-393347</v>
      </c>
      <c r="P110" s="800" cm="1">
        <f t="array" ref="P110">T110-K110</f>
        <v>4572.2819</v>
      </c>
      <c r="Q110" s="798" cm="1">
        <f t="array" ref="Q110">ROUND(P110*F110,0)</f>
        <v>237226642</v>
      </c>
      <c r="R110" s="801" cm="1">
        <f t="array" ref="R110">$K$5-K110</f>
        <v>3122.2819</v>
      </c>
      <c r="S110" s="798" cm="1">
        <f t="array" ref="S110">Q110-Q109</f>
        <v>1870427</v>
      </c>
      <c r="T110" s="801">
        <v>5400</v>
      </c>
      <c r="U110" s="798" cm="1">
        <f t="array" ref="U110">T110*F110</f>
        <v>280171672.79812</v>
      </c>
      <c r="V110" s="802" cm="1">
        <f t="array" ref="V110">-S110</f>
        <v>-1870427</v>
      </c>
      <c r="W110" s="802"/>
      <c r="X110" s="802" cm="1">
        <f t="array" ref="X110">$K109*4.95/12/100/(1-(1+4.95/12/100)^-(360-$A110+3))+$AY110</f>
        <v>6.35336797362756</v>
      </c>
      <c r="Y110" s="803" cm="1">
        <f t="array" ref="Y110">K109*4.95/12/100/(1-(1+4.95/12/100)^-(360-$A110+3))+AY110</f>
        <v>6.35336797362756</v>
      </c>
      <c r="Z110" s="791" cm="1">
        <f t="array" ref="Z110">IF(Z$3*12&lt;=$A110,0,$K109*'depto - Departamento'!$D$8/12/(1-(1+'depto - Departamento'!$D$8/12)^-(12*Z$3-$A110+3))+$AY111)</f>
        <v>7.26418649370795</v>
      </c>
      <c r="AA110" s="791" cm="1">
        <f t="array" ref="AA110">IF(AA$3*12&lt;=$A110,0,$K109*'depto - Departamento'!$D$8/12/(1-(1+'depto - Departamento'!$D$8/12)^-(12*AA$3-$A110+3))+$AY111)</f>
        <v>9.01982079818033</v>
      </c>
      <c r="AB110" s="791" cm="1">
        <f t="array" ref="AB110">IF(AB$3*12&lt;$A110,0,$K109*'depto - Departamento'!$D$8/12/(1-(1+'depto - Departamento'!$D$8/12)^-(12*AB$3-$A110+3))+$AY110)</f>
        <v>13.5474817931365</v>
      </c>
      <c r="AC110" s="791" cm="1">
        <f t="array" ref="AC110">IF(AC$3*12&lt;$A110,0,$K109*'depto - Departamento'!$D$8/12/(1-(1+'depto - Departamento'!$D$8/12)^-(12*AC$3-$A110+3))+$AY110)</f>
        <v>22.4222585675736</v>
      </c>
      <c r="AD110" s="791" cm="1">
        <f t="array" ref="AD110">IF(AD$3*12&lt;$A110,0,$K109*'depto - Departamento'!$D$8/12/(1-(1+'depto - Departamento'!$D$8/12)^-(12*AD$3-$A110+3))+$AY110)</f>
        <v>47.1122151237609</v>
      </c>
      <c r="AE110" s="791" cm="1">
        <f t="array" ref="AE110">IF(AE$3*12&lt;$A110,0,$K109*'depto - Departamento'!$D$8/12/(1-(1+'depto - Departamento'!$D$8/12)^-(12*AE$3-$A110+3))+$AY110)</f>
        <v>0</v>
      </c>
      <c r="AF110" s="791" cm="1">
        <f t="array" ref="AF110">AF109-(AF108-AF109)</f>
        <v>79.5485</v>
      </c>
      <c r="AG110" s="791"/>
      <c r="AH110" s="791"/>
      <c r="AI110" s="804" cm="1">
        <f t="array" ref="AI110">$F110*Y110</f>
        <v>329635.876495044</v>
      </c>
      <c r="AJ110" s="405" cm="1">
        <f t="array" ref="AJ110">$F110*Z110</f>
        <v>376892.459529568</v>
      </c>
      <c r="AK110" s="405" cm="1">
        <f t="array" ref="AK110">$F110*AA110</f>
        <v>467981.163215826</v>
      </c>
      <c r="AL110" s="405" cm="1">
        <f t="array" ref="AL110">$F110*AB110</f>
        <v>702892.710404654</v>
      </c>
      <c r="AM110" s="405" cm="1">
        <f t="array" ref="AM110">$F110*AC110</f>
        <v>1163348.46125724</v>
      </c>
      <c r="AN110" s="405" cm="1">
        <f t="array" ref="AN110">$F110*AD110</f>
        <v>2444353.3556387</v>
      </c>
      <c r="AO110" s="405"/>
      <c r="AP110" s="405" cm="1">
        <f t="array" ref="AP110">$F110*AF110</f>
        <v>4127265.98399653</v>
      </c>
      <c r="AQ110" s="791"/>
      <c r="AR110" s="805" cm="1">
        <f t="array" ref="AR110">K109-K110</f>
        <v>12.0084</v>
      </c>
      <c r="AS110" s="805" cm="1">
        <f t="array" ref="AS110">D110-AR110</f>
        <v>4.3744</v>
      </c>
      <c r="AT110" s="791"/>
      <c r="AU110" s="806" cm="1">
        <f t="array" ref="AU110">ROUND(AV110*F110,0)</f>
        <v>53658</v>
      </c>
      <c r="AV110" s="807" cm="1">
        <f t="array" ref="AV110">IF(K109=0,0,AV109)</f>
        <v>1.0342</v>
      </c>
      <c r="AW110" s="806" cm="1">
        <f t="array" ref="AW110">ROUND(F110*AX110,0)</f>
        <v>1882</v>
      </c>
      <c r="AX110" s="807" cm="1">
        <f t="array" ref="AX110">AX$11/K$10*K109</f>
        <v>0.0362810786163855</v>
      </c>
      <c r="AY110" s="808" cm="1">
        <f t="array" ref="AY110">SUM(AV110,AX110)</f>
        <v>1.07048107861639</v>
      </c>
      <c r="AZ110" s="806" cm="1">
        <f t="array" ref="AZ110">AU110+AW110</f>
        <v>55540</v>
      </c>
      <c r="BA110" s="809" cm="1">
        <f t="array" ref="BA110">AI110-AZ110-BG110</f>
        <v>102678.970491584</v>
      </c>
      <c r="BB110" s="810" cm="1">
        <f t="array" ref="BB110">ROUND(BA110/$F110,4)</f>
        <v>1.979</v>
      </c>
      <c r="BC110" s="809" cm="1">
        <f t="array" ref="BC110">J110-SUM(AZ110,BA110,BG110)</f>
        <v>520363.123504956</v>
      </c>
      <c r="BD110" s="810" cm="1">
        <f t="array" ref="BD110">ROUND(BC110/$F110,4)</f>
        <v>10.0294</v>
      </c>
      <c r="BE110" s="811" cm="1">
        <f t="array" ref="BE110">BC110+BA110</f>
        <v>623042.0939965399</v>
      </c>
      <c r="BF110" s="810" cm="1">
        <f t="array" ref="BF110">ROUND((BA110+BC110)/F110,4)</f>
        <v>12.0084</v>
      </c>
      <c r="BG110" s="812" cm="1">
        <f t="array" ref="BG110">BO110*F110</f>
        <v>171416.90600346</v>
      </c>
      <c r="BH110" s="813" cm="1">
        <f t="array" ref="BH110">ROUND(BG110/$F110,4)</f>
        <v>3.3039</v>
      </c>
      <c r="BI110" s="798" cm="1">
        <f t="array" ref="BI110">M109-M110</f>
        <v>393347</v>
      </c>
      <c r="BJ110" s="798" cm="1">
        <f t="array" ref="BJ110">BE110-BI110</f>
        <v>229695.09399654</v>
      </c>
      <c r="BK110" s="798" cm="1">
        <f t="array" ref="BK110">-BJ110</f>
        <v>-229695.09399654</v>
      </c>
      <c r="BL110" s="798" cm="1">
        <f t="array" ref="BL110">BG110+BJ110</f>
        <v>401112</v>
      </c>
      <c r="BM110" s="798" cm="1">
        <f t="array" ref="BM110">AVERAGE(BL108:BL110)</f>
        <v>270346</v>
      </c>
      <c r="BN110" s="814" cm="1">
        <f t="array" ref="BN110">BH109-BH110</f>
        <v>0.0497</v>
      </c>
      <c r="BO110" s="801" cm="1">
        <f t="array" ref="BO110">K109*0.0495/12-0.16</f>
        <v>3.3038718125</v>
      </c>
      <c r="BP110" s="815" cm="1">
        <f t="array" ref="BP110">(BA110+BC110)/BG110</f>
        <v>3.63465954743089</v>
      </c>
      <c r="BQ110" s="815" cm="1">
        <f t="array" ref="BQ110">Y110-BB110</f>
        <v>4.37436797362756</v>
      </c>
      <c r="BR110" s="815" cm="1">
        <f t="array" ref="BR110">(BR$4*(1+BR$4)^BR$3*K109)/((1+BR$4)^BR$3-1)</f>
        <v>4.48220812012222</v>
      </c>
      <c r="BS110" s="815"/>
      <c r="BT110" s="405"/>
      <c r="BU110" s="405"/>
      <c r="BV110" s="405" cm="1">
        <f t="array" ref="BV110">BA110+BC110+BV109</f>
        <v>129333065.498784</v>
      </c>
      <c r="BW110" s="405" cm="1">
        <f t="array" ref="BW110">BG110+BW109</f>
        <v>28435430.5012174</v>
      </c>
      <c r="BX110" s="801" cm="1">
        <f t="array" ref="BX110">BF110+BX109</f>
        <v>3087.7911</v>
      </c>
      <c r="BY110" s="801" cm="1">
        <f t="array" ref="BY110">BH110+BY109</f>
        <v>661.0295</v>
      </c>
      <c r="BZ110" s="405" cm="1">
        <f t="array" ref="BZ110">SUM(BJ$6:BJ110)</f>
        <v>25645563.4987823</v>
      </c>
      <c r="CA110" s="801"/>
      <c r="CB110" s="801"/>
      <c r="CC110" s="405" cm="1">
        <f t="array" ref="CC110">SUM(BE$6:BE110)</f>
        <v>129333065.498782</v>
      </c>
      <c r="CD110" s="801"/>
      <c r="CE110" s="801"/>
      <c r="CF110" s="801"/>
      <c r="CG110" s="801"/>
      <c r="CH110" s="801"/>
      <c r="CI110" s="801"/>
      <c r="CJ110" s="801"/>
      <c r="CK110" s="801"/>
      <c r="CL110" s="801"/>
      <c r="CM110" s="801"/>
    </row>
    <row r="111" ht="19.35" customHeight="1" hidden="1">
      <c r="A111" s="762">
        <v>105</v>
      </c>
      <c r="B111" s="790">
        <v>48529</v>
      </c>
      <c r="C111" s="405"/>
      <c r="D111" s="791" cm="1">
        <f t="array" ref="D111">ROUND(850000/F111,4)</f>
        <v>16.3224</v>
      </c>
      <c r="E111" s="792" cm="1">
        <f t="array" ref="E111">D111/K110</f>
        <v>0.0197197572458546</v>
      </c>
      <c r="F111" s="793" cm="1">
        <f t="array" ref="F111">F110*(1+G111)</f>
        <v>52075.6125902728</v>
      </c>
      <c r="G111" s="792" cm="1">
        <f t="array" ref="G111">H111-SUM(G100:G110)</f>
        <v>0.0037</v>
      </c>
      <c r="H111" s="794" cm="1">
        <f t="array" ref="H111">'depto - Table 5'!$L$2</f>
        <v>0.03</v>
      </c>
      <c r="I111" s="795" cm="1">
        <f t="array" ref="I111">H111+4.95/100</f>
        <v>0.0795</v>
      </c>
      <c r="J111" s="405" cm="1">
        <f t="array" ref="J111">IF(K110=0,0,ROUND(D111*F111,0))</f>
        <v>849999</v>
      </c>
      <c r="K111" s="796" cm="1">
        <f t="array" ref="K111">IF(K110-BF111&lt;0,0,K110-BF111)</f>
        <v>815.72</v>
      </c>
      <c r="L111" s="797" cm="1">
        <f t="array" ref="L111">K111/K$5</f>
        <v>0.206511392405063</v>
      </c>
      <c r="M111" s="798" cm="1">
        <f t="array" ref="M111">ROUND(K111*F111,0)</f>
        <v>42479119</v>
      </c>
      <c r="N111" s="799" cm="1">
        <f t="array" ref="N111">M111/M$5</f>
        <v>0.289697780026059</v>
      </c>
      <c r="O111" s="798" cm="1">
        <f t="array" ref="O111">M111-M110</f>
        <v>-465911</v>
      </c>
      <c r="P111" s="800" cm="1">
        <f t="array" ref="P111">T111-K111</f>
        <v>4584.28</v>
      </c>
      <c r="Q111" s="798" cm="1">
        <f t="array" ref="Q111">ROUND(P111*F111,0)</f>
        <v>238729189</v>
      </c>
      <c r="R111" s="801" cm="1">
        <f t="array" ref="R111">$K$5-K111</f>
        <v>3134.28</v>
      </c>
      <c r="S111" s="798" cm="1">
        <f t="array" ref="S111">Q111-Q110</f>
        <v>1502547</v>
      </c>
      <c r="T111" s="801">
        <v>5400</v>
      </c>
      <c r="U111" s="798" cm="1">
        <f t="array" ref="U111">T111*F111</f>
        <v>281208307.987473</v>
      </c>
      <c r="V111" s="802" cm="1">
        <f t="array" ref="V111">-S111</f>
        <v>-1502547</v>
      </c>
      <c r="W111" s="802"/>
      <c r="X111" s="802" cm="1">
        <f t="array" ref="X111">$K110*4.95/12/100/(1-(1+4.95/12/100)^-(360-$A111+3))+$AY111</f>
        <v>6.28860652565717</v>
      </c>
      <c r="Y111" s="803" cm="1">
        <f t="array" ref="Y111">K110*4.95/12/100/(1-(1+4.95/12/100)^-(360-$A111+3))+AY111</f>
        <v>6.28860652565717</v>
      </c>
      <c r="Z111" s="791" cm="1">
        <f t="array" ref="Z111">IF(Z$3*12&lt;=$A111,0,$K110*'depto - Departamento'!$D$8/12/(1-(1+'depto - Departamento'!$D$8/12)^-(12*Z$3-$A111+3))+$AY112)</f>
        <v>7.19500553511656</v>
      </c>
      <c r="AA111" s="791" cm="1">
        <f t="array" ref="AA111">IF(AA$3*12&lt;=$A111,0,$K110*'depto - Departamento'!$D$8/12/(1-(1+'depto - Departamento'!$D$8/12)^-(12*AA$3-$A111+3))+$AY112)</f>
        <v>8.94770372655538</v>
      </c>
      <c r="AB111" s="791" cm="1">
        <f t="array" ref="AB111">IF(AB$3*12&lt;$A111,0,$K110*'depto - Departamento'!$D$8/12/(1-(1+'depto - Departamento'!$D$8/12)^-(12*AB$3-$A111+3))+$AY111)</f>
        <v>13.5019751209895</v>
      </c>
      <c r="AC111" s="791" cm="1">
        <f t="array" ref="AC111">IF(AC$3*12&lt;$A111,0,$K110*'depto - Departamento'!$D$8/12/(1-(1+'depto - Departamento'!$D$8/12)^-(12*AC$3-$A111+3))+$AY111)</f>
        <v>22.5744922311442</v>
      </c>
      <c r="AD111" s="791" cm="1">
        <f t="array" ref="AD111">IF(AD$3*12&lt;$A111,0,$K110*'depto - Departamento'!$D$8/12/(1-(1+'depto - Departamento'!$D$8/12)^-(12*AD$3-$A111+3))+$AY111)</f>
        <v>48.8773281735041</v>
      </c>
      <c r="AE111" s="791" cm="1">
        <f t="array" ref="AE111">IF(AE$3*12&lt;$A111,0,$K110*'depto - Departamento'!$D$8/12/(1-(1+'depto - Departamento'!$D$8/12)^-(12*AE$3-$A111+3))+$AY111)</f>
        <v>0</v>
      </c>
      <c r="AF111" s="791" cm="1">
        <f t="array" ref="AF111">AF110-(AF109-AF110)</f>
        <v>79.5457</v>
      </c>
      <c r="AG111" s="791"/>
      <c r="AH111" s="791"/>
      <c r="AI111" s="804" cm="1">
        <f t="array" ref="AI111">$F111*Y111</f>
        <v>327483.037162784</v>
      </c>
      <c r="AJ111" s="405" cm="1">
        <f t="array" ref="AJ111">$F111*Z111</f>
        <v>374684.320831598</v>
      </c>
      <c r="AK111" s="405" cm="1">
        <f t="array" ref="AK111">$F111*AA111</f>
        <v>465957.152836638</v>
      </c>
      <c r="AL111" s="405" cm="1">
        <f t="array" ref="AL111">$F111*AB111</f>
        <v>703123.625604151</v>
      </c>
      <c r="AM111" s="405" cm="1">
        <f t="array" ref="AM111">$F111*AC111</f>
        <v>1175580.51185119</v>
      </c>
      <c r="AN111" s="405" cm="1">
        <f t="array" ref="AN111">$F111*AD111</f>
        <v>2545316.80641103</v>
      </c>
      <c r="AO111" s="405"/>
      <c r="AP111" s="405" cm="1">
        <f t="array" ref="AP111">$F111*AF111</f>
        <v>4142391.05642206</v>
      </c>
      <c r="AQ111" s="791"/>
      <c r="AR111" s="805" cm="1">
        <f t="array" ref="AR111">K110-K111</f>
        <v>11.9981</v>
      </c>
      <c r="AS111" s="805" cm="1">
        <f t="array" ref="AS111">D111-AR111</f>
        <v>4.3243</v>
      </c>
      <c r="AT111" s="791"/>
      <c r="AU111" s="806" cm="1">
        <f t="array" ref="AU111">ROUND(AV111*F111,0)</f>
        <v>53857</v>
      </c>
      <c r="AV111" s="807" cm="1">
        <f t="array" ref="AV111">IF(K110=0,0,AV110)</f>
        <v>1.0342</v>
      </c>
      <c r="AW111" s="806" cm="1">
        <f t="array" ref="AW111">ROUND(F111*AX111,0)</f>
        <v>1862</v>
      </c>
      <c r="AX111" s="807" cm="1">
        <f t="array" ref="AX111">AX$11/K$10*K110</f>
        <v>0.0357622457529984</v>
      </c>
      <c r="AY111" s="808" cm="1">
        <f t="array" ref="AY111">SUM(AV111,AX111)</f>
        <v>1.069962245753</v>
      </c>
      <c r="AZ111" s="806" cm="1">
        <f t="array" ref="AZ111">AU111+AW111</f>
        <v>55719</v>
      </c>
      <c r="BA111" s="809" cm="1">
        <f t="array" ref="BA111">AI111-AZ111-BG111</f>
        <v>102292.435850306</v>
      </c>
      <c r="BB111" s="810" cm="1">
        <f t="array" ref="BB111">ROUND(BA111/$F111,4)</f>
        <v>1.9643</v>
      </c>
      <c r="BC111" s="809" cm="1">
        <f t="array" ref="BC111">J111-SUM(AZ111,BA111,BG111)</f>
        <v>522515.962837216</v>
      </c>
      <c r="BD111" s="810" cm="1">
        <f t="array" ref="BD111">ROUND(BC111/$F111,4)</f>
        <v>10.0338</v>
      </c>
      <c r="BE111" s="811" cm="1">
        <f t="array" ref="BE111">BC111+BA111</f>
        <v>624808.398687522</v>
      </c>
      <c r="BF111" s="810" cm="1">
        <f t="array" ref="BF111">ROUND((BA111+BC111)/F111,4)</f>
        <v>11.9981</v>
      </c>
      <c r="BG111" s="812" cm="1">
        <f t="array" ref="BG111">BO111*F111</f>
        <v>169471.601312478</v>
      </c>
      <c r="BH111" s="813" cm="1">
        <f t="array" ref="BH111">ROUND(BG111/$F111,4)</f>
        <v>3.2543</v>
      </c>
      <c r="BI111" s="798" cm="1">
        <f t="array" ref="BI111">M110-M111</f>
        <v>465911</v>
      </c>
      <c r="BJ111" s="798" cm="1">
        <f t="array" ref="BJ111">BE111-BI111</f>
        <v>158897.398687522</v>
      </c>
      <c r="BK111" s="798" cm="1">
        <f t="array" ref="BK111">-BJ111</f>
        <v>-158897.398687522</v>
      </c>
      <c r="BL111" s="798" cm="1">
        <f t="array" ref="BL111">BG111+BJ111</f>
        <v>328369</v>
      </c>
      <c r="BM111" s="798" cm="1">
        <f t="array" ref="BM111">AVERAGE(BL109:BL111)</f>
        <v>321338</v>
      </c>
      <c r="BN111" s="814" cm="1">
        <f t="array" ref="BN111">BH110-BH111</f>
        <v>0.0496</v>
      </c>
      <c r="BO111" s="801" cm="1">
        <f t="array" ref="BO111">K110*0.0495/12-0.16</f>
        <v>3.2543371625</v>
      </c>
      <c r="BP111" s="815" cm="1">
        <f t="array" ref="BP111">(BA111+BC111)/BG111</f>
        <v>3.68680294426131</v>
      </c>
      <c r="BQ111" s="815" cm="1">
        <f t="array" ref="BQ111">Y111-BB111</f>
        <v>4.32430652565717</v>
      </c>
      <c r="BR111" s="815" cm="1">
        <f t="array" ref="BR111">(BR$4*(1+BR$4)^BR$3*K110)/((1+BR$4)^BR$3-1)</f>
        <v>4.41811088371289</v>
      </c>
      <c r="BS111" s="815"/>
      <c r="BT111" s="405"/>
      <c r="BU111" s="405"/>
      <c r="BV111" s="405" cm="1">
        <f t="array" ref="BV111">BA111+BC111+BV110</f>
        <v>129957873.897472</v>
      </c>
      <c r="BW111" s="405" cm="1">
        <f t="array" ref="BW111">BG111+BW110</f>
        <v>28604902.1025299</v>
      </c>
      <c r="BX111" s="801" cm="1">
        <f t="array" ref="BX111">BF111+BX110</f>
        <v>3099.7892</v>
      </c>
      <c r="BY111" s="801" cm="1">
        <f t="array" ref="BY111">BH111+BY110</f>
        <v>664.2838</v>
      </c>
      <c r="BZ111" s="405" cm="1">
        <f t="array" ref="BZ111">SUM(BJ$6:BJ111)</f>
        <v>25804460.8974699</v>
      </c>
      <c r="CA111" s="801"/>
      <c r="CB111" s="801"/>
      <c r="CC111" s="405" cm="1">
        <f t="array" ref="CC111">SUM(BE$6:BE111)</f>
        <v>129957873.89747</v>
      </c>
      <c r="CD111" s="801"/>
      <c r="CE111" s="801"/>
      <c r="CF111" s="801"/>
      <c r="CG111" s="801"/>
      <c r="CH111" s="801"/>
      <c r="CI111" s="801"/>
      <c r="CJ111" s="801"/>
      <c r="CK111" s="801"/>
      <c r="CL111" s="801"/>
      <c r="CM111" s="801"/>
    </row>
    <row r="112" ht="19.35" customHeight="1" hidden="1">
      <c r="A112" s="762">
        <v>106</v>
      </c>
      <c r="B112" s="790">
        <v>48559</v>
      </c>
      <c r="C112" s="405"/>
      <c r="D112" s="791" cm="1">
        <f t="array" ref="D112">ROUND(850000/F112,4)</f>
        <v>16.3192</v>
      </c>
      <c r="E112" s="792" cm="1">
        <f t="array" ref="E112">D112/K111</f>
        <v>0.0200058843720885</v>
      </c>
      <c r="F112" s="793" cm="1">
        <f t="array" ref="F112">F111*(1+G112)</f>
        <v>52086.0277127909</v>
      </c>
      <c r="G112" s="792" cm="1">
        <f t="array" ref="G112">H112-SUM(G101:G111)</f>
        <v>0.0002</v>
      </c>
      <c r="H112" s="794" cm="1">
        <f t="array" ref="H112">'depto - Table 5'!$L$2</f>
        <v>0.03</v>
      </c>
      <c r="I112" s="795" cm="1">
        <f t="array" ref="I112">H112+4.95/100</f>
        <v>0.0795</v>
      </c>
      <c r="J112" s="405" cm="1">
        <f t="array" ref="J112">IF(K111=0,0,ROUND(D112*F112,0))</f>
        <v>850002</v>
      </c>
      <c r="K112" s="796" cm="1">
        <f t="array" ref="K112">IF(K111-BF112&lt;0,0,K111-BF112)</f>
        <v>803.6751</v>
      </c>
      <c r="L112" s="797" cm="1">
        <f t="array" ref="L112">K112/K$5</f>
        <v>0.203462050632911</v>
      </c>
      <c r="M112" s="798" cm="1">
        <f t="array" ref="M112">ROUND(K112*F112,0)</f>
        <v>41860244</v>
      </c>
      <c r="N112" s="799" cm="1">
        <f t="array" ref="N112">M112/M$5</f>
        <v>0.285477195469829</v>
      </c>
      <c r="O112" s="798" cm="1">
        <f t="array" ref="O112">M112-M111</f>
        <v>-618875</v>
      </c>
      <c r="P112" s="800" cm="1">
        <f t="array" ref="P112">T112-K112</f>
        <v>4596.3249</v>
      </c>
      <c r="Q112" s="798" cm="1">
        <f t="array" ref="Q112">ROUND(P112*F112,0)</f>
        <v>239404306</v>
      </c>
      <c r="R112" s="801" cm="1">
        <f t="array" ref="R112">$K$5-K112</f>
        <v>3146.3249</v>
      </c>
      <c r="S112" s="798" cm="1">
        <f t="array" ref="S112">Q112-Q111</f>
        <v>675117</v>
      </c>
      <c r="T112" s="801">
        <v>5400</v>
      </c>
      <c r="U112" s="798" cm="1">
        <f t="array" ref="U112">T112*F112</f>
        <v>281264549.649071</v>
      </c>
      <c r="V112" s="802" cm="1">
        <f t="array" ref="V112">-S112</f>
        <v>-675117</v>
      </c>
      <c r="W112" s="802"/>
      <c r="X112" s="802" cm="1">
        <f t="array" ref="X112">$K111*4.95/12/100/(1-(1+4.95/12/100)^-(360-$A112+3))+$AY112</f>
        <v>6.22367732475351</v>
      </c>
      <c r="Y112" s="803" cm="1">
        <f t="array" ref="Y112">K111*4.95/12/100/(1-(1+4.95/12/100)^-(360-$A112+3))+AY112</f>
        <v>6.22367732475351</v>
      </c>
      <c r="Z112" s="791" cm="1">
        <f t="array" ref="Z112">IF(Z$3*12&lt;=$A112,0,$K111*'depto - Departamento'!$D$8/12/(1-(1+'depto - Departamento'!$D$8/12)^-(12*Z$3-$A112+3))+$AY161)</f>
        <v>6.05660791419707</v>
      </c>
      <c r="AA112" s="791" cm="1">
        <f t="array" ref="AA112">IF(AA$3*12&lt;=$A112,0,$K111*'depto - Departamento'!$D$8/12/(1-(1+'depto - Departamento'!$D$8/12)^-(12*AA$3-$A112+3))+$AY161)</f>
        <v>7.8061603782884</v>
      </c>
      <c r="AB112" s="791" cm="1">
        <f t="array" ref="AB112">IF(AB$3*12&lt;$A112,0,$K111*'depto - Departamento'!$D$8/12/(1-(1+'depto - Departamento'!$D$8/12)^-(12*AB$3-$A112+3))+$AY112)</f>
        <v>13.4561988194897</v>
      </c>
      <c r="AC112" s="791" cm="1">
        <f t="array" ref="AC112">IF(AC$3*12&lt;$A112,0,$K111*'depto - Departamento'!$D$8/12/(1-(1+'depto - Departamento'!$D$8/12)^-(12*AC$3-$A112+3))+$AY112)</f>
        <v>22.7357859444183</v>
      </c>
      <c r="AD112" s="791" cm="1">
        <f t="array" ref="AD112">IF(AD$3*12&lt;$A112,0,$K111*'depto - Departamento'!$D$8/12/(1-(1+'depto - Departamento'!$D$8/12)^-(12*AD$3-$A112+3))+$AY112)</f>
        <v>50.8539151670097</v>
      </c>
      <c r="AE112" s="791" cm="1">
        <f t="array" ref="AE112">IF(AE$3*12&lt;$A112,0,$K111*'depto - Departamento'!$D$8/12/(1-(1+'depto - Departamento'!$D$8/12)^-(12*AE$3-$A112+3))+$AY112)</f>
        <v>0</v>
      </c>
      <c r="AF112" s="791" cm="1">
        <f t="array" ref="AF112">AF111-(AF110-AF111)</f>
        <v>79.5429</v>
      </c>
      <c r="AG112" s="791"/>
      <c r="AH112" s="791"/>
      <c r="AI112" s="804" cm="1">
        <f t="array" ref="AI112">$F112*Y112</f>
        <v>324166.62961258</v>
      </c>
      <c r="AJ112" s="405" cm="1">
        <f t="array" ref="AJ112">$F112*Z112</f>
        <v>315464.647664377</v>
      </c>
      <c r="AK112" s="405" cm="1">
        <f t="array" ref="AK112">$F112*AA112</f>
        <v>406591.88579402</v>
      </c>
      <c r="AL112" s="405" cm="1">
        <f t="array" ref="AL112">$F112*AB112</f>
        <v>700879.944620765</v>
      </c>
      <c r="AM112" s="405" cm="1">
        <f t="array" ref="AM112">$F112*AC112</f>
        <v>1184216.77677305</v>
      </c>
      <c r="AN112" s="405" cm="1">
        <f t="array" ref="AN112">$F112*AD112</f>
        <v>2648778.43469278</v>
      </c>
      <c r="AO112" s="405"/>
      <c r="AP112" s="405" cm="1">
        <f t="array" ref="AP112">$F112*AF112</f>
        <v>4143073.69375576</v>
      </c>
      <c r="AQ112" s="791"/>
      <c r="AR112" s="805" cm="1">
        <f t="array" ref="AR112">K111-K112</f>
        <v>12.0449</v>
      </c>
      <c r="AS112" s="805" cm="1">
        <f t="array" ref="AS112">D112-AR112</f>
        <v>4.2743</v>
      </c>
      <c r="AT112" s="791"/>
      <c r="AU112" s="806" cm="1">
        <f t="array" ref="AU112">ROUND(AV112*F112,0)</f>
        <v>53867</v>
      </c>
      <c r="AV112" s="807" cm="1">
        <f t="array" ref="AV112">IF(K111=0,0,AV111)</f>
        <v>1.0342</v>
      </c>
      <c r="AW112" s="806" cm="1">
        <f t="array" ref="AW112">ROUND(F112*AX112,0)</f>
        <v>1836</v>
      </c>
      <c r="AX112" s="807" cm="1">
        <f t="array" ref="AX112">AX$11/K$10*K111</f>
        <v>0.0352438579096384</v>
      </c>
      <c r="AY112" s="808" cm="1">
        <f t="array" ref="AY112">SUM(AV112,AX112)</f>
        <v>1.06944385790964</v>
      </c>
      <c r="AZ112" s="806" cm="1">
        <f t="array" ref="AZ112">AU112+AW112</f>
        <v>55703</v>
      </c>
      <c r="BA112" s="809" cm="1">
        <f t="array" ref="BA112">AI112-AZ112-BG112</f>
        <v>101535.984127381</v>
      </c>
      <c r="BB112" s="810" cm="1">
        <f t="array" ref="BB112">ROUND(BA112/$F112,4)</f>
        <v>1.9494</v>
      </c>
      <c r="BC112" s="809" cm="1">
        <f t="array" ref="BC112">J112-SUM(AZ112,BA112,BG112)</f>
        <v>525835.3703874199</v>
      </c>
      <c r="BD112" s="810" cm="1">
        <f t="array" ref="BD112">ROUND(BC112/$F112,4)</f>
        <v>10.0955</v>
      </c>
      <c r="BE112" s="811" cm="1">
        <f t="array" ref="BE112">BC112+BA112</f>
        <v>627371.3545148009</v>
      </c>
      <c r="BF112" s="810" cm="1">
        <f t="array" ref="BF112">ROUND((BA112+BC112)/F112,4)</f>
        <v>12.0449</v>
      </c>
      <c r="BG112" s="812" cm="1">
        <f t="array" ref="BG112">BO112*F112</f>
        <v>166927.645485199</v>
      </c>
      <c r="BH112" s="813" cm="1">
        <f t="array" ref="BH112">ROUND(BG112/$F112,4)</f>
        <v>3.2048</v>
      </c>
      <c r="BI112" s="798" cm="1">
        <f t="array" ref="BI112">M111-M112</f>
        <v>618875</v>
      </c>
      <c r="BJ112" s="798" cm="1">
        <f t="array" ref="BJ112">BE112-BI112</f>
        <v>8496.354514801</v>
      </c>
      <c r="BK112" s="798" cm="1">
        <f t="array" ref="BK112">-BJ112</f>
        <v>-8496.354514801</v>
      </c>
      <c r="BL112" s="798" cm="1">
        <f t="array" ref="BL112">BG112+BJ112</f>
        <v>175424</v>
      </c>
      <c r="BM112" s="798" cm="1">
        <f t="array" ref="BM112">AVERAGE(BL110:BL112)</f>
        <v>301635</v>
      </c>
      <c r="BN112" s="814" cm="1">
        <f t="array" ref="BN112">BH111-BH112</f>
        <v>0.0495</v>
      </c>
      <c r="BO112" s="801" cm="1">
        <f t="array" ref="BO112">K111*0.0495/12-0.16</f>
        <v>3.204845</v>
      </c>
      <c r="BP112" s="815" cm="1">
        <f t="array" ref="BP112">(BA112+BC112)/BG112</f>
        <v>3.75834303953223</v>
      </c>
      <c r="BQ112" s="815" cm="1">
        <f t="array" ref="BQ112">Y112-BB112</f>
        <v>4.27427732475351</v>
      </c>
      <c r="BR112" s="815" cm="1">
        <f t="array" ref="BR112">(BR$4*(1+BR$4)^BR$3*K111)/((1+BR$4)^BR$3-1)</f>
        <v>4.35406862561334</v>
      </c>
      <c r="BS112" s="815"/>
      <c r="BT112" s="405"/>
      <c r="BU112" s="405"/>
      <c r="BV112" s="405" cm="1">
        <f t="array" ref="BV112">BA112+BC112+BV111</f>
        <v>130585245.251987</v>
      </c>
      <c r="BW112" s="405" cm="1">
        <f t="array" ref="BW112">BG112+BW111</f>
        <v>28771829.7480151</v>
      </c>
      <c r="BX112" s="801" cm="1">
        <f t="array" ref="BX112">BF112+BX111</f>
        <v>3111.8341</v>
      </c>
      <c r="BY112" s="801" cm="1">
        <f t="array" ref="BY112">BH112+BY111</f>
        <v>667.4886</v>
      </c>
      <c r="BZ112" s="405" cm="1">
        <f t="array" ref="BZ112">SUM(BJ$6:BJ112)</f>
        <v>25812957.2519847</v>
      </c>
      <c r="CA112" s="801"/>
      <c r="CB112" s="801"/>
      <c r="CC112" s="405" cm="1">
        <f t="array" ref="CC112">SUM(BE$6:BE112)</f>
        <v>130585245.251985</v>
      </c>
      <c r="CD112" s="801"/>
      <c r="CE112" s="801"/>
      <c r="CF112" s="801"/>
      <c r="CG112" s="801"/>
      <c r="CH112" s="801"/>
      <c r="CI112" s="801"/>
      <c r="CJ112" s="801"/>
      <c r="CK112" s="801"/>
      <c r="CL112" s="801"/>
      <c r="CM112" s="801"/>
    </row>
    <row r="113" ht="19.35" customHeight="1" hidden="1">
      <c r="A113" s="762">
        <v>107</v>
      </c>
      <c r="B113" s="763">
        <v>48590</v>
      </c>
      <c r="C113" s="764"/>
      <c r="D113" s="765" cm="1">
        <f t="array" ref="D113">ROUND(850000/F113,4)</f>
        <v>16.6386</v>
      </c>
      <c r="E113" s="766" cm="1">
        <f t="array" ref="E113">D113/K112</f>
        <v>0.020703142351928</v>
      </c>
      <c r="F113" s="767" cm="1">
        <f t="array" ref="F113">F112*(1+G113)</f>
        <v>51085.9759807053</v>
      </c>
      <c r="G113" s="766" cm="1">
        <f t="array" ref="G113">H113-SUM(G102:G112)</f>
        <v>-0.0192</v>
      </c>
      <c r="H113" s="768" cm="1">
        <f t="array" ref="H113">'depto - Table 5'!$L$2</f>
        <v>0.03</v>
      </c>
      <c r="I113" s="769" cm="1">
        <f t="array" ref="I113">H113+4.95/100</f>
        <v>0.0795</v>
      </c>
      <c r="J113" s="764" cm="1">
        <f t="array" ref="J113">IF(K112=0,0,ROUND(D113*F113,0))</f>
        <v>849999</v>
      </c>
      <c r="K113" s="770" cm="1">
        <f t="array" ref="K113">IF(K112-BF113&lt;0,0,K112-BF113)</f>
        <v>791.2606</v>
      </c>
      <c r="L113" s="771" cm="1">
        <f t="array" ref="L113">K113/K$5</f>
        <v>0.200319139240506</v>
      </c>
      <c r="M113" s="772" cm="1">
        <f t="array" ref="M113">ROUND(K113*F113,0)</f>
        <v>40422320</v>
      </c>
      <c r="N113" s="773" cm="1">
        <f t="array" ref="N113">M113/M$5</f>
        <v>0.275670885912275</v>
      </c>
      <c r="O113" s="772" cm="1">
        <f t="array" ref="O113">M113-M112</f>
        <v>-1437924</v>
      </c>
      <c r="P113" s="774" cm="1">
        <f t="array" ref="P113">T113-K113</f>
        <v>4608.7394</v>
      </c>
      <c r="Q113" s="772" cm="1">
        <f t="array" ref="Q113">ROUND(P113*F113,0)</f>
        <v>235441950</v>
      </c>
      <c r="R113" s="775" cm="1">
        <f t="array" ref="R113">$K$5-K113</f>
        <v>3158.7394</v>
      </c>
      <c r="S113" s="772" cm="1">
        <f t="array" ref="S113">Q113-Q112</f>
        <v>-3962356</v>
      </c>
      <c r="T113" s="775">
        <v>5400</v>
      </c>
      <c r="U113" s="772" cm="1">
        <f t="array" ref="U113">T113*F113</f>
        <v>275864270.295809</v>
      </c>
      <c r="V113" s="776" cm="1">
        <f t="array" ref="V113">-S113</f>
        <v>3962356</v>
      </c>
      <c r="W113" s="776"/>
      <c r="X113" s="776" cm="1">
        <f t="array" ref="X113">$K112*4.95/12/100/(1-(1+4.95/12/100)^-(360-$A113+3))+$AY113</f>
        <v>6.15821366294069</v>
      </c>
      <c r="Y113" s="777" cm="1">
        <f t="array" ref="Y113">K112*4.95/12/100/(1-(1+4.95/12/100)^-(360-$A113+3))+AY113</f>
        <v>6.15821366294069</v>
      </c>
      <c r="Z113" s="791" cm="1">
        <f t="array" ref="Z113">IF(Z$3*12&lt;=$A113,0,$K112*'depto - Departamento'!$D$8/12/(1-(1+'depto - Departamento'!$D$8/12)^-(12*Z$3-$A113+3))+$AY114)</f>
        <v>7.05531931723369</v>
      </c>
      <c r="AA113" s="791" cm="1">
        <f t="array" ref="AA113">IF(AA$3*12&lt;=$A113,0,$K112*'depto - Departamento'!$D$8/12/(1-(1+'depto - Departamento'!$D$8/12)^-(12*AA$3-$A113+3))+$AY114)</f>
        <v>8.80138541073781</v>
      </c>
      <c r="AB113" s="765" cm="1">
        <f t="array" ref="AB113">IF(AB$3*12&lt;$A113,0,$K112*'depto - Departamento'!$D$8/12/(1-(1+'depto - Departamento'!$D$8/12)^-(12*AB$3-$A113+3))+$AY113)</f>
        <v>13.4092607506162</v>
      </c>
      <c r="AC113" s="765" cm="1">
        <f t="array" ref="AC113">IF(AC$3*12&lt;$A113,0,$K112*'depto - Departamento'!$D$8/12/(1-(1+'depto - Departamento'!$D$8/12)^-(12*AC$3-$A113+3))+$AY113)</f>
        <v>22.9052610541827</v>
      </c>
      <c r="AD113" s="765" cm="1">
        <f t="array" ref="AD113">IF(AD$3*12&lt;$A113,0,$K112*'depto - Departamento'!$D$8/12/(1-(1+'depto - Departamento'!$D$8/12)^-(12*AD$3-$A113+3))+$AY113)</f>
        <v>53.0779193176547</v>
      </c>
      <c r="AE113" s="765" cm="1">
        <f t="array" ref="AE113">IF(AE$3*12&lt;$A113,0,$K112*'depto - Departamento'!$D$8/12/(1-(1+'depto - Departamento'!$D$8/12)^-(12*AE$3-$A113+3))+$AY113)</f>
        <v>0</v>
      </c>
      <c r="AF113" s="765" cm="1">
        <f t="array" ref="AF113">AF112-(AF111-AF112)</f>
        <v>79.5401</v>
      </c>
      <c r="AG113" s="765"/>
      <c r="AH113" s="765"/>
      <c r="AI113" s="778" cm="1">
        <f t="array" ref="AI113">$F113*Y113</f>
        <v>314598.355269039</v>
      </c>
      <c r="AJ113" s="405" cm="1">
        <f t="array" ref="AJ113">$F113*Z113</f>
        <v>360427.873176406</v>
      </c>
      <c r="AK113" s="405" cm="1">
        <f t="array" ref="AK113">$F113*AA113</f>
        <v>449627.363689882</v>
      </c>
      <c r="AL113" s="764" cm="1">
        <f t="array" ref="AL113">$F113*AB113</f>
        <v>685025.172624994</v>
      </c>
      <c r="AM113" s="764" cm="1">
        <f t="array" ref="AM113">$F113*AC113</f>
        <v>1170137.61604576</v>
      </c>
      <c r="AN113" s="764" cm="1">
        <f t="array" ref="AN113">$F113*AD113</f>
        <v>2711537.31136752</v>
      </c>
      <c r="AO113" s="764"/>
      <c r="AP113" s="764" cm="1">
        <f t="array" ref="AP113">$F113*AF113</f>
        <v>4063383.6381029</v>
      </c>
      <c r="AQ113" s="765"/>
      <c r="AR113" s="779" cm="1">
        <f t="array" ref="AR113">K112-K113</f>
        <v>12.4145</v>
      </c>
      <c r="AS113" s="779" cm="1">
        <f t="array" ref="AS113">D113-AR113</f>
        <v>4.2241</v>
      </c>
      <c r="AT113" s="765"/>
      <c r="AU113" s="780" cm="1">
        <f t="array" ref="AU113">ROUND(AV113*F113,0)</f>
        <v>52833</v>
      </c>
      <c r="AV113" s="781" cm="1">
        <f t="array" ref="AV113">IF(K112=0,0,AV112)</f>
        <v>1.0342</v>
      </c>
      <c r="AW113" s="780" cm="1">
        <f t="array" ref="AW113">ROUND(F113*AX113,0)</f>
        <v>1774</v>
      </c>
      <c r="AX113" s="781" cm="1">
        <f t="array" ref="AX113">AX$11/K$10*K112</f>
        <v>0.0347234480335341</v>
      </c>
      <c r="AY113" s="782" cm="1">
        <f t="array" ref="AY113">SUM(AV113,AX113)</f>
        <v>1.06892344803353</v>
      </c>
      <c r="AZ113" s="780" cm="1">
        <f t="array" ref="AZ113">AU113+AW113</f>
        <v>54607</v>
      </c>
      <c r="BA113" s="783" cm="1">
        <f t="array" ref="BA113">AI113-AZ113-BG113</f>
        <v>98806.938149527006</v>
      </c>
      <c r="BB113" s="784" cm="1">
        <f t="array" ref="BB113">ROUND(BA113/$F113,4)</f>
        <v>1.9341</v>
      </c>
      <c r="BC113" s="783" cm="1">
        <f t="array" ref="BC113">J113-SUM(AZ113,BA113,BG113)</f>
        <v>535400.644730961</v>
      </c>
      <c r="BD113" s="784" cm="1">
        <f t="array" ref="BD113">ROUND(BC113/$F113,4)</f>
        <v>10.4804</v>
      </c>
      <c r="BE113" s="785" cm="1">
        <f t="array" ref="BE113">BC113+BA113</f>
        <v>634207.582880488</v>
      </c>
      <c r="BF113" s="784" cm="1">
        <f t="array" ref="BF113">ROUND((BA113+BC113)/F113,4)</f>
        <v>12.4145</v>
      </c>
      <c r="BG113" s="786" cm="1">
        <f t="array" ref="BG113">BO113*F113</f>
        <v>161184.417119512</v>
      </c>
      <c r="BH113" s="787" cm="1">
        <f t="array" ref="BH113">ROUND(BG113/$F113,4)</f>
        <v>3.1552</v>
      </c>
      <c r="BI113" s="772" cm="1">
        <f t="array" ref="BI113">M112-M113</f>
        <v>1437924</v>
      </c>
      <c r="BJ113" s="772" cm="1">
        <f t="array" ref="BJ113">BE113-BI113</f>
        <v>-803716.417119512</v>
      </c>
      <c r="BK113" s="772" cm="1">
        <f t="array" ref="BK113">-BJ113</f>
        <v>803716.417119512</v>
      </c>
      <c r="BL113" s="772" cm="1">
        <f t="array" ref="BL113">BG113+BJ113</f>
        <v>-642532</v>
      </c>
      <c r="BM113" s="772" cm="1">
        <f t="array" ref="BM113">AVERAGE(BL111:BL113)</f>
        <v>-46246.3333333333</v>
      </c>
      <c r="BN113" s="788" cm="1">
        <f t="array" ref="BN113">BH112-BH113</f>
        <v>0.0496</v>
      </c>
      <c r="BO113" s="775" cm="1">
        <f t="array" ref="BO113">K112*0.0495/12-0.16</f>
        <v>3.1551597875</v>
      </c>
      <c r="BP113" s="789" cm="1">
        <f t="array" ref="BP113">(BA113+BC113)/BG113</f>
        <v>3.93467057308802</v>
      </c>
      <c r="BQ113" s="789" cm="1">
        <f t="array" ref="BQ113">Y113-BB113</f>
        <v>4.22411366294069</v>
      </c>
      <c r="BR113" s="789" cm="1">
        <f t="array" ref="BR113">(BR$4*(1+BR$4)^BR$3*K112)/((1+BR$4)^BR$3-1)</f>
        <v>4.28977656315483</v>
      </c>
      <c r="BS113" s="789"/>
      <c r="BT113" s="764"/>
      <c r="BU113" s="764"/>
      <c r="BV113" s="764" cm="1">
        <f t="array" ref="BV113">BA113+BC113+BV112</f>
        <v>131219452.834867</v>
      </c>
      <c r="BW113" s="764" cm="1">
        <f t="array" ref="BW113">BG113+BW112</f>
        <v>28933014.1651346</v>
      </c>
      <c r="BX113" s="775" cm="1">
        <f t="array" ref="BX113">BF113+BX112</f>
        <v>3124.2486</v>
      </c>
      <c r="BY113" s="775" cm="1">
        <f t="array" ref="BY113">BH113+BY112</f>
        <v>670.6438000000001</v>
      </c>
      <c r="BZ113" s="764" cm="1">
        <f t="array" ref="BZ113">SUM(BJ$6:BJ113)</f>
        <v>25009240.8348652</v>
      </c>
      <c r="CA113" s="775"/>
      <c r="CB113" s="775"/>
      <c r="CC113" s="764" cm="1">
        <f t="array" ref="CC113">SUM(BE$6:BE113)</f>
        <v>131219452.834865</v>
      </c>
      <c r="CD113" s="775"/>
      <c r="CE113" s="775"/>
      <c r="CF113" s="775"/>
      <c r="CG113" s="775"/>
      <c r="CH113" s="775"/>
      <c r="CI113" s="775"/>
      <c r="CJ113" s="775"/>
      <c r="CK113" s="775"/>
      <c r="CL113" s="775"/>
      <c r="CM113" s="775"/>
    </row>
    <row r="114" ht="19.35" customHeight="1" hidden="1">
      <c r="A114" s="762">
        <v>108</v>
      </c>
      <c r="B114" s="763">
        <v>48621</v>
      </c>
      <c r="C114" s="764"/>
      <c r="D114" s="765" cm="1">
        <f t="array" ref="D114">ROUND(850000/F114,4)</f>
        <v>16.6336</v>
      </c>
      <c r="E114" s="766" cm="1">
        <f t="array" ref="E114">D114/K113</f>
        <v>0.0210216457131822</v>
      </c>
      <c r="F114" s="767" cm="1">
        <f t="array" ref="F114">F113*(1+G114)</f>
        <v>51101.3017734995</v>
      </c>
      <c r="G114" s="766" cm="1">
        <f t="array" ref="G114">H114-SUM(G103:G113)</f>
        <v>0.0003</v>
      </c>
      <c r="H114" s="768" cm="1">
        <f t="array" ref="H114">'depto - Table 5'!$L$2</f>
        <v>0.03</v>
      </c>
      <c r="I114" s="769" cm="1">
        <f t="array" ref="I114">H114+4.95/100</f>
        <v>0.0795</v>
      </c>
      <c r="J114" s="764" cm="1">
        <f t="array" ref="J114">IF(K113=0,0,ROUND(D114*F114,0))</f>
        <v>849999</v>
      </c>
      <c r="K114" s="770" cm="1">
        <f t="array" ref="K114">IF(K113-BF114&lt;0,0,K113-BF114)</f>
        <v>778.7993</v>
      </c>
      <c r="L114" s="771" cm="1">
        <f t="array" ref="L114">K114/K$5</f>
        <v>0.197164379746835</v>
      </c>
      <c r="M114" s="772" cm="1">
        <f t="array" ref="M114">ROUND(K114*F114,0)</f>
        <v>39797658</v>
      </c>
      <c r="N114" s="773" cm="1">
        <f t="array" ref="N114">M114/M$5</f>
        <v>0.27141083535269</v>
      </c>
      <c r="O114" s="772" cm="1">
        <f t="array" ref="O114">M114-M113</f>
        <v>-624662</v>
      </c>
      <c r="P114" s="774" cm="1">
        <f t="array" ref="P114">T114-K114</f>
        <v>4621.2007</v>
      </c>
      <c r="Q114" s="772" cm="1">
        <f t="array" ref="Q114">ROUND(P114*F114,0)</f>
        <v>236149372</v>
      </c>
      <c r="R114" s="775" cm="1">
        <f t="array" ref="R114">$K$5-K114</f>
        <v>3171.2007</v>
      </c>
      <c r="S114" s="772" cm="1">
        <f t="array" ref="S114">Q114-Q113</f>
        <v>707422</v>
      </c>
      <c r="T114" s="775">
        <v>5400</v>
      </c>
      <c r="U114" s="772" cm="1">
        <f t="array" ref="U114">T114*F114</f>
        <v>275947029.576897</v>
      </c>
      <c r="V114" s="776" cm="1">
        <f t="array" ref="V114">-S114</f>
        <v>-707422</v>
      </c>
      <c r="W114" s="776"/>
      <c r="X114" s="776" cm="1">
        <f t="array" ref="X114">$K113*4.95/12/100/(1-(1+4.95/12/100)^-(360-$A114+3))+$AY114</f>
        <v>6.09014783753381</v>
      </c>
      <c r="Y114" s="777" cm="1">
        <f t="array" ref="Y114">K113*4.95/12/100/(1-(1+4.95/12/100)^-(360-$A114+3))+AY114</f>
        <v>6.09014783753381</v>
      </c>
      <c r="Z114" s="791" cm="1">
        <f t="array" ref="Z114">IF(Z$3*12&lt;=$A114,0,$K113*'depto - Departamento'!$D$8/12/(1-(1+'depto - Departamento'!$D$8/12)^-(12*Z$3-$A114+3))+$AY115)</f>
        <v>6.98196093220848</v>
      </c>
      <c r="AA114" s="791" cm="1">
        <f t="array" ref="AA114">IF(AA$3*12&lt;=$A114,0,$K113*'depto - Departamento'!$D$8/12/(1-(1+'depto - Departamento'!$D$8/12)^-(12*AA$3-$A114+3))+$AY115)</f>
        <v>8.72347746615182</v>
      </c>
      <c r="AB114" s="765" cm="1">
        <f t="array" ref="AB114">IF(AB$3*12&lt;$A114,0,$K113*'depto - Departamento'!$D$8/12/(1-(1+'depto - Departamento'!$D$8/12)^-(12*AB$3-$A114+3))+$AY114)</f>
        <v>13.356090650390</v>
      </c>
      <c r="AC114" s="765" cm="1">
        <f t="array" ref="AC114">IF(AC$3*12&lt;$A114,0,$K113*'depto - Departamento'!$D$8/12/(1-(1+'depto - Departamento'!$D$8/12)^-(12*AC$3-$A114+3))+$AY114)</f>
        <v>23.0745607734675</v>
      </c>
      <c r="AD114" s="765" cm="1">
        <f t="array" ref="AD114">IF(AD$3*12&lt;$A114,0,$K113*'depto - Departamento'!$D$8/12/(1-(1+'depto - Departamento'!$D$8/12)^-(12*AD$3-$A114+3))+$AY114)</f>
        <v>55.5765864696731</v>
      </c>
      <c r="AE114" s="765" cm="1">
        <f t="array" ref="AE114">IF(AE$3*12&lt;$A114,0,$K113*'depto - Departamento'!$D$8/12/(1-(1+'depto - Departamento'!$D$8/12)^-(12*AE$3-$A114+3))+$AY114)</f>
        <v>0</v>
      </c>
      <c r="AF114" s="765" cm="1">
        <f t="array" ref="AF114">AF113-(AF112-AF113)</f>
        <v>79.5373</v>
      </c>
      <c r="AG114" s="765"/>
      <c r="AH114" s="765"/>
      <c r="AI114" s="778" cm="1">
        <f t="array" ref="AI114">$F114*Y114</f>
        <v>311214.482491041</v>
      </c>
      <c r="AJ114" s="405" cm="1">
        <f t="array" ref="AJ114">$F114*Z114</f>
        <v>356787.292567569</v>
      </c>
      <c r="AK114" s="405" cm="1">
        <f t="array" ref="AK114">$F114*AA114</f>
        <v>445781.054512147</v>
      </c>
      <c r="AL114" s="764" cm="1">
        <f t="array" ref="AL114">$F114*AB114</f>
        <v>682513.618839795</v>
      </c>
      <c r="AM114" s="764" cm="1">
        <f t="array" ref="AM114">$F114*AC114</f>
        <v>1179140.09337592</v>
      </c>
      <c r="AN114" s="764" cm="1">
        <f t="array" ref="AN114">$F114*AD114</f>
        <v>2840035.91672775</v>
      </c>
      <c r="AO114" s="764"/>
      <c r="AP114" s="764" cm="1">
        <f t="array" ref="AP114">$F114*AF114</f>
        <v>4064459.56954936</v>
      </c>
      <c r="AQ114" s="765"/>
      <c r="AR114" s="779" cm="1">
        <f t="array" ref="AR114">K113-K114</f>
        <v>12.4613</v>
      </c>
      <c r="AS114" s="779" cm="1">
        <f t="array" ref="AS114">D114-AR114</f>
        <v>4.1723</v>
      </c>
      <c r="AT114" s="765"/>
      <c r="AU114" s="780" cm="1">
        <f t="array" ref="AU114">ROUND(AV114*F114,0)</f>
        <v>52849</v>
      </c>
      <c r="AV114" s="781" cm="1">
        <f t="array" ref="AV114">IF(K113=0,0,AV113)</f>
        <v>1.0342</v>
      </c>
      <c r="AW114" s="780" cm="1">
        <f t="array" ref="AW114">ROUND(F114*AX114,0)</f>
        <v>1747</v>
      </c>
      <c r="AX114" s="781" cm="1">
        <f t="array" ref="AX114">AX$11/K$10*K113</f>
        <v>0.0341870692834492</v>
      </c>
      <c r="AY114" s="782" cm="1">
        <f t="array" ref="AY114">SUM(AV114,AX114)</f>
        <v>1.06838706928345</v>
      </c>
      <c r="AZ114" s="780" cm="1">
        <f t="array" ref="AZ114">AU114+AW114</f>
        <v>54596</v>
      </c>
      <c r="BA114" s="783" cm="1">
        <f t="array" ref="BA114">AI114-AZ114-BG114</f>
        <v>98002.59812872</v>
      </c>
      <c r="BB114" s="784" cm="1">
        <f t="array" ref="BB114">ROUND(BA114/$F114,4)</f>
        <v>1.9178</v>
      </c>
      <c r="BC114" s="783" cm="1">
        <f t="array" ref="BC114">J114-SUM(AZ114,BA114,BG114)</f>
        <v>538784.517508959</v>
      </c>
      <c r="BD114" s="784" cm="1">
        <f t="array" ref="BD114">ROUND(BC114/$F114,4)</f>
        <v>10.5435</v>
      </c>
      <c r="BE114" s="785" cm="1">
        <f t="array" ref="BE114">BC114+BA114</f>
        <v>636787.115637679</v>
      </c>
      <c r="BF114" s="784" cm="1">
        <f t="array" ref="BF114">ROUND((BA114+BC114)/F114,4)</f>
        <v>12.4613</v>
      </c>
      <c r="BG114" s="786" cm="1">
        <f t="array" ref="BG114">BO114*F114</f>
        <v>158615.884362321</v>
      </c>
      <c r="BH114" s="787" cm="1">
        <f t="array" ref="BH114">ROUND(BG114/$F114,4)</f>
        <v>3.1039</v>
      </c>
      <c r="BI114" s="772" cm="1">
        <f t="array" ref="BI114">M113-M114</f>
        <v>624662</v>
      </c>
      <c r="BJ114" s="772" cm="1">
        <f t="array" ref="BJ114">BE114-BI114</f>
        <v>12125.115637679</v>
      </c>
      <c r="BK114" s="772" cm="1">
        <f t="array" ref="BK114">-BJ114</f>
        <v>-12125.115637679</v>
      </c>
      <c r="BL114" s="772" cm="1">
        <f t="array" ref="BL114">BG114+BJ114</f>
        <v>170741</v>
      </c>
      <c r="BM114" s="772" cm="1">
        <f t="array" ref="BM114">AVERAGE(BL112:BL114)</f>
        <v>-98789</v>
      </c>
      <c r="BN114" s="788" cm="1">
        <f t="array" ref="BN114">BH113-BH114</f>
        <v>0.0513</v>
      </c>
      <c r="BO114" s="775" cm="1">
        <f t="array" ref="BO114">K113*0.0495/12-0.16</f>
        <v>3.103949975</v>
      </c>
      <c r="BP114" s="789" cm="1">
        <f t="array" ref="BP114">(BA114+BC114)/BG114</f>
        <v>4.01464908888373</v>
      </c>
      <c r="BQ114" s="789" cm="1">
        <f t="array" ref="BQ114">Y114-BB114</f>
        <v>4.17234783753381</v>
      </c>
      <c r="BR114" s="789" cm="1">
        <f t="array" ref="BR114">(BR$4*(1+BR$4)^BR$3*K113)/((1+BR$4)^BR$3-1)</f>
        <v>4.22351168678466</v>
      </c>
      <c r="BS114" s="789"/>
      <c r="BT114" s="764"/>
      <c r="BU114" s="764"/>
      <c r="BV114" s="764" cm="1">
        <f t="array" ref="BV114">BA114+BC114+BV113</f>
        <v>131856239.950505</v>
      </c>
      <c r="BW114" s="764" cm="1">
        <f t="array" ref="BW114">BG114+BW113</f>
        <v>29091630.0494969</v>
      </c>
      <c r="BX114" s="775" cm="1">
        <f t="array" ref="BX114">BF114+BX113</f>
        <v>3136.7099</v>
      </c>
      <c r="BY114" s="775" cm="1">
        <f t="array" ref="BY114">BH114+BY113</f>
        <v>673.7477</v>
      </c>
      <c r="BZ114" s="764" cm="1">
        <f t="array" ref="BZ114">SUM(BJ$6:BJ114)</f>
        <v>25021365.9505028</v>
      </c>
      <c r="CA114" s="775"/>
      <c r="CB114" s="775"/>
      <c r="CC114" s="764" cm="1">
        <f t="array" ref="CC114">SUM(BE$6:BE114)</f>
        <v>131856239.950503</v>
      </c>
      <c r="CD114" s="775"/>
      <c r="CE114" s="775"/>
      <c r="CF114" s="775"/>
      <c r="CG114" s="775"/>
      <c r="CH114" s="775"/>
      <c r="CI114" s="775"/>
      <c r="CJ114" s="775"/>
      <c r="CK114" s="775"/>
      <c r="CL114" s="775"/>
      <c r="CM114" s="775"/>
    </row>
    <row r="115" ht="19.35" customHeight="1" hidden="1">
      <c r="A115" s="762">
        <v>109</v>
      </c>
      <c r="B115" s="763">
        <v>48649</v>
      </c>
      <c r="C115" s="764"/>
      <c r="D115" s="765" cm="1">
        <f t="array" ref="D115">ROUND(850000/F115,4)</f>
        <v>16.5723</v>
      </c>
      <c r="E115" s="766" cm="1">
        <f t="array" ref="E115">D115/K114</f>
        <v>0.0212792949351649</v>
      </c>
      <c r="F115" s="767" cm="1">
        <f t="array" ref="F115">F114*(1+G115)</f>
        <v>51290.3765900614</v>
      </c>
      <c r="G115" s="766" cm="1">
        <f t="array" ref="G115">H115-SUM(G104:G114)</f>
        <v>0.0037</v>
      </c>
      <c r="H115" s="768" cm="1">
        <f t="array" ref="H115">'depto - Table 5'!$L$2</f>
        <v>0.03</v>
      </c>
      <c r="I115" s="769" cm="1">
        <f t="array" ref="I115">H115+4.95/100</f>
        <v>0.0795</v>
      </c>
      <c r="J115" s="764" cm="1">
        <f t="array" ref="J115">IF(K114=0,0,ROUND(D115*F115,0))</f>
        <v>850000</v>
      </c>
      <c r="K115" s="770" cm="1">
        <f t="array" ref="K115">IF(K114-BF115&lt;0,0,K114-BF115)</f>
        <v>766.3474</v>
      </c>
      <c r="L115" s="771" cm="1">
        <f t="array" ref="L115">K115/K$5</f>
        <v>0.194012</v>
      </c>
      <c r="M115" s="772" cm="1">
        <f t="array" ref="M115">ROUND(K115*F115,0)</f>
        <v>39306247</v>
      </c>
      <c r="N115" s="773" cm="1">
        <f t="array" ref="N115">M115/M$5</f>
        <v>0.268059525835645</v>
      </c>
      <c r="O115" s="772" cm="1">
        <f t="array" ref="O115">M115-M114</f>
        <v>-491411</v>
      </c>
      <c r="P115" s="774" cm="1">
        <f t="array" ref="P115">T115-K115</f>
        <v>4633.6526</v>
      </c>
      <c r="Q115" s="772" cm="1">
        <f t="array" ref="Q115">ROUND(P115*F115,0)</f>
        <v>237661787</v>
      </c>
      <c r="R115" s="775" cm="1">
        <f t="array" ref="R115">$K$5-K115</f>
        <v>3183.6526</v>
      </c>
      <c r="S115" s="772" cm="1">
        <f t="array" ref="S115">Q115-Q114</f>
        <v>1512415</v>
      </c>
      <c r="T115" s="775">
        <v>5400</v>
      </c>
      <c r="U115" s="772" cm="1">
        <f t="array" ref="U115">T115*F115</f>
        <v>276968033.586332</v>
      </c>
      <c r="V115" s="776" cm="1">
        <f t="array" ref="V115">-S115</f>
        <v>-1512415</v>
      </c>
      <c r="W115" s="776"/>
      <c r="X115" s="776" cm="1">
        <f t="array" ref="X115">$K114*4.95/12/100/(1-(1+4.95/12/100)^-(360-$A115+3))+$AY115</f>
        <v>6.02152815456089</v>
      </c>
      <c r="Y115" s="777" cm="1">
        <f t="array" ref="Y115">K114*4.95/12/100/(1-(1+4.95/12/100)^-(360-$A115+3))+AY115</f>
        <v>6.02152815456089</v>
      </c>
      <c r="Z115" s="791" cm="1">
        <f t="array" ref="Z115">IF(Z$3*12&lt;=$A115,0,$K114*'depto - Departamento'!$D$8/12/(1-(1+'depto - Departamento'!$D$8/12)^-(12*Z$3-$A115+3))+$AY116)</f>
        <v>6.90784520249053</v>
      </c>
      <c r="AA115" s="791" cm="1">
        <f t="array" ref="AA115">IF(AA$3*12&lt;=$A115,0,$K114*'depto - Departamento'!$D$8/12/(1-(1+'depto - Departamento'!$D$8/12)^-(12*AA$3-$A115+3))+$AY116)</f>
        <v>8.64442827019846</v>
      </c>
      <c r="AB115" s="765" cm="1">
        <f t="array" ref="AB115">IF(AB$3*12&lt;$A115,0,$K114*'depto - Departamento'!$D$8/12/(1-(1+'depto - Departamento'!$D$8/12)^-(12*AB$3-$A115+3))+$AY115)</f>
        <v>13.3015538329778</v>
      </c>
      <c r="AC115" s="765" cm="1">
        <f t="array" ref="AC115">IF(AC$3*12&lt;$A115,0,$K114*'depto - Departamento'!$D$8/12/(1-(1+'depto - Departamento'!$D$8/12)^-(12*AC$3-$A115+3))+$AY115)</f>
        <v>23.2529425160143</v>
      </c>
      <c r="AD115" s="765" cm="1">
        <f t="array" ref="AD115">IF(AD$3*12&lt;$A115,0,$K114*'depto - Departamento'!$D$8/12/(1-(1+'depto - Departamento'!$D$8/12)^-(12*AD$3-$A115+3))+$AY115)</f>
        <v>58.4327264908911</v>
      </c>
      <c r="AE115" s="765" cm="1">
        <f t="array" ref="AE115">IF(AE$3*12&lt;$A115,0,$K114*'depto - Departamento'!$D$8/12/(1-(1+'depto - Departamento'!$D$8/12)^-(12*AE$3-$A115+3))+$AY115)</f>
        <v>0</v>
      </c>
      <c r="AF115" s="765" cm="1">
        <f t="array" ref="AF115">AF114-(AF113-AF114)</f>
        <v>79.53449999999999</v>
      </c>
      <c r="AG115" s="765"/>
      <c r="AH115" s="765"/>
      <c r="AI115" s="778" cm="1">
        <f t="array" ref="AI115">$F115*Y115</f>
        <v>308846.446695085</v>
      </c>
      <c r="AJ115" s="405" cm="1">
        <f t="array" ref="AJ115">$F115*Z115</f>
        <v>354305.981861588</v>
      </c>
      <c r="AK115" s="405" cm="1">
        <f t="array" ref="AK115">$F115*AA115</f>
        <v>443375.981384252</v>
      </c>
      <c r="AL115" s="764" cm="1">
        <f t="array" ref="AL115">$F115*AB115</f>
        <v>682241.7053264061</v>
      </c>
      <c r="AM115" s="764" cm="1">
        <f t="array" ref="AM115">$F115*AC115</f>
        <v>1192652.17847342</v>
      </c>
      <c r="AN115" s="764" cm="1">
        <f t="array" ref="AN115">$F115*AD115</f>
        <v>2997036.54690186</v>
      </c>
      <c r="AO115" s="764"/>
      <c r="AP115" s="764" cm="1">
        <f t="array" ref="AP115">$F115*AF115</f>
        <v>4079354.45690224</v>
      </c>
      <c r="AQ115" s="765"/>
      <c r="AR115" s="779" cm="1">
        <f t="array" ref="AR115">K114-K115</f>
        <v>12.4519</v>
      </c>
      <c r="AS115" s="779" cm="1">
        <f t="array" ref="AS115">D115-AR115</f>
        <v>4.1204</v>
      </c>
      <c r="AT115" s="765"/>
      <c r="AU115" s="780" cm="1">
        <f t="array" ref="AU115">ROUND(AV115*F115,0)</f>
        <v>53045</v>
      </c>
      <c r="AV115" s="781" cm="1">
        <f t="array" ref="AV115">IF(K114=0,0,AV114)</f>
        <v>1.0342</v>
      </c>
      <c r="AW115" s="780" cm="1">
        <f t="array" ref="AW115">ROUND(F115*AX115,0)</f>
        <v>1726</v>
      </c>
      <c r="AX115" s="781" cm="1">
        <f t="array" ref="AX115">AX$11/K$10*K114</f>
        <v>0.0336486685006201</v>
      </c>
      <c r="AY115" s="782" cm="1">
        <f t="array" ref="AY115">SUM(AV115,AX115)</f>
        <v>1.06784866850062</v>
      </c>
      <c r="AZ115" s="780" cm="1">
        <f t="array" ref="AZ115">AU115+AW115</f>
        <v>54771</v>
      </c>
      <c r="BA115" s="783" cm="1">
        <f t="array" ref="BA115">AI115-AZ115-BG115</f>
        <v>97509.155736055007</v>
      </c>
      <c r="BB115" s="784" cm="1">
        <f t="array" ref="BB115">ROUND(BA115/$F115,4)</f>
        <v>1.9011</v>
      </c>
      <c r="BC115" s="783" cm="1">
        <f t="array" ref="BC115">J115-SUM(AZ115,BA115,BG115)</f>
        <v>541153.553304915</v>
      </c>
      <c r="BD115" s="784" cm="1">
        <f t="array" ref="BD115">ROUND(BC115/$F115,4)</f>
        <v>10.5508</v>
      </c>
      <c r="BE115" s="785" cm="1">
        <f t="array" ref="BE115">BC115+BA115</f>
        <v>638662.70904097</v>
      </c>
      <c r="BF115" s="784" cm="1">
        <f t="array" ref="BF115">ROUND((BA115+BC115)/F115,4)</f>
        <v>12.4519</v>
      </c>
      <c r="BG115" s="786" cm="1">
        <f t="array" ref="BG115">BO115*F115</f>
        <v>156566.29095903</v>
      </c>
      <c r="BH115" s="787" cm="1">
        <f t="array" ref="BH115">ROUND(BG115/$F115,4)</f>
        <v>3.0525</v>
      </c>
      <c r="BI115" s="772" cm="1">
        <f t="array" ref="BI115">M114-M115</f>
        <v>491411</v>
      </c>
      <c r="BJ115" s="772" cm="1">
        <f t="array" ref="BJ115">BE115-BI115</f>
        <v>147251.70904097</v>
      </c>
      <c r="BK115" s="772" cm="1">
        <f t="array" ref="BK115">-BJ115</f>
        <v>-147251.70904097</v>
      </c>
      <c r="BL115" s="772" cm="1">
        <f t="array" ref="BL115">BG115+BJ115</f>
        <v>303818</v>
      </c>
      <c r="BM115" s="772" cm="1">
        <f t="array" ref="BM115">AVERAGE(BL113:BL115)</f>
        <v>-55991</v>
      </c>
      <c r="BN115" s="788" cm="1">
        <f t="array" ref="BN115">BH114-BH115</f>
        <v>0.0514</v>
      </c>
      <c r="BO115" s="775" cm="1">
        <f t="array" ref="BO115">K114*0.0495/12-0.16</f>
        <v>3.0525471125</v>
      </c>
      <c r="BP115" s="789" cm="1">
        <f t="array" ref="BP115">(BA115+BC115)/BG115</f>
        <v>4.07918400013764</v>
      </c>
      <c r="BQ115" s="789" cm="1">
        <f t="array" ref="BQ115">Y115-BB115</f>
        <v>4.12042815456089</v>
      </c>
      <c r="BR115" s="789" cm="1">
        <f t="array" ref="BR115">(BR$4*(1+BR$4)^BR$3*K114)/((1+BR$4)^BR$3-1)</f>
        <v>4.15699700605554</v>
      </c>
      <c r="BS115" s="789"/>
      <c r="BT115" s="764"/>
      <c r="BU115" s="764"/>
      <c r="BV115" s="764" cm="1">
        <f t="array" ref="BV115">BA115+BC115+BV114</f>
        <v>132494902.659546</v>
      </c>
      <c r="BW115" s="764" cm="1">
        <f t="array" ref="BW115">BG115+BW114</f>
        <v>29248196.3404559</v>
      </c>
      <c r="BX115" s="775" cm="1">
        <f t="array" ref="BX115">BF115+BX114</f>
        <v>3149.1618</v>
      </c>
      <c r="BY115" s="775" cm="1">
        <f t="array" ref="BY115">BH115+BY114</f>
        <v>676.8002</v>
      </c>
      <c r="BZ115" s="764" cm="1">
        <f t="array" ref="BZ115">SUM(BJ$6:BJ115)</f>
        <v>25168617.6595438</v>
      </c>
      <c r="CA115" s="775"/>
      <c r="CB115" s="775"/>
      <c r="CC115" s="764" cm="1">
        <f t="array" ref="CC115">SUM(BE$6:BE115)</f>
        <v>132494902.659544</v>
      </c>
      <c r="CD115" s="775"/>
      <c r="CE115" s="775"/>
      <c r="CF115" s="775"/>
      <c r="CG115" s="775"/>
      <c r="CH115" s="775"/>
      <c r="CI115" s="775"/>
      <c r="CJ115" s="775"/>
      <c r="CK115" s="775"/>
      <c r="CL115" s="775"/>
      <c r="CM115" s="775"/>
    </row>
    <row r="116" ht="19.35" customHeight="1" hidden="1">
      <c r="A116" s="762">
        <v>110</v>
      </c>
      <c r="B116" s="763">
        <v>48680</v>
      </c>
      <c r="C116" s="764"/>
      <c r="D116" s="765" cm="1">
        <f t="array" ref="D116">ROUND(850000/F116,4)</f>
        <v>16.5607</v>
      </c>
      <c r="E116" s="766" cm="1">
        <f t="array" ref="E116">D116/K115</f>
        <v>0.0216099121625519</v>
      </c>
      <c r="F116" s="767" cm="1">
        <f t="array" ref="F116">F115*(1+G116)</f>
        <v>51326.2798536744</v>
      </c>
      <c r="G116" s="766" cm="1">
        <f t="array" ref="G116">H116-SUM(G105:G115)</f>
        <v>0.0007</v>
      </c>
      <c r="H116" s="768" cm="1">
        <f t="array" ref="H116">'depto - Table 5'!$L$2</f>
        <v>0.03</v>
      </c>
      <c r="I116" s="769" cm="1">
        <f t="array" ref="I116">H116+4.95/100</f>
        <v>0.0795</v>
      </c>
      <c r="J116" s="764" cm="1">
        <f t="array" ref="J116">IF(K115=0,0,ROUND(D116*F116,0))</f>
        <v>849999</v>
      </c>
      <c r="K116" s="770" cm="1">
        <f t="array" ref="K116">IF(K115-BF116&lt;0,0,K115-BF116)</f>
        <v>753.8552</v>
      </c>
      <c r="L116" s="771" cm="1">
        <f t="array" ref="L116">K116/K$5</f>
        <v>0.190849417721519</v>
      </c>
      <c r="M116" s="772" cm="1">
        <f t="array" ref="M116">ROUND(K116*F116,0)</f>
        <v>38692583</v>
      </c>
      <c r="N116" s="773" cm="1">
        <f t="array" ref="N116">M116/M$5</f>
        <v>0.263874479095812</v>
      </c>
      <c r="O116" s="772" cm="1">
        <f t="array" ref="O116">M116-M115</f>
        <v>-613664</v>
      </c>
      <c r="P116" s="774" cm="1">
        <f t="array" ref="P116">T116-K116</f>
        <v>4646.1448</v>
      </c>
      <c r="Q116" s="772" cm="1">
        <f t="array" ref="Q116">ROUND(P116*F116,0)</f>
        <v>238469328</v>
      </c>
      <c r="R116" s="775" cm="1">
        <f t="array" ref="R116">$K$5-K116</f>
        <v>3196.1448</v>
      </c>
      <c r="S116" s="772" cm="1">
        <f t="array" ref="S116">Q116-Q115</f>
        <v>807541</v>
      </c>
      <c r="T116" s="775">
        <v>5400</v>
      </c>
      <c r="U116" s="772" cm="1">
        <f t="array" ref="U116">T116*F116</f>
        <v>277161911.209842</v>
      </c>
      <c r="V116" s="776" cm="1">
        <f t="array" ref="V116">-S116</f>
        <v>-807541</v>
      </c>
      <c r="W116" s="776"/>
      <c r="X116" s="776" cm="1">
        <f t="array" ref="X116">$K115*4.95/12/100/(1-(1+4.95/12/100)^-(360-$A116+3))+$AY116</f>
        <v>5.95270993060501</v>
      </c>
      <c r="Y116" s="777" cm="1">
        <f t="array" ref="Y116">K115*4.95/12/100/(1-(1+4.95/12/100)^-(360-$A116+3))+AY116</f>
        <v>5.95270993060501</v>
      </c>
      <c r="Z116" s="791" cm="1">
        <f t="array" ref="Z116">IF(Z$3*12&lt;=$A116,0,$K115*'depto - Departamento'!$D$8/12/(1-(1+'depto - Departamento'!$D$8/12)^-(12*Z$3-$A116+3))+$AY117)</f>
        <v>6.8333824811905</v>
      </c>
      <c r="AA116" s="791" cm="1">
        <f t="array" ref="AA116">IF(AA$3*12&lt;=$A116,0,$K115*'depto - Departamento'!$D$8/12/(1-(1+'depto - Departamento'!$D$8/12)^-(12*AA$3-$A116+3))+$AY117)</f>
        <v>8.564761598993821</v>
      </c>
      <c r="AB116" s="765" cm="1">
        <f t="array" ref="AB116">IF(AB$3*12&lt;$A116,0,$K115*'depto - Departamento'!$D$8/12/(1-(1+'depto - Departamento'!$D$8/12)^-(12*AB$3-$A116+3))+$AY116)</f>
        <v>13.2464927449858</v>
      </c>
      <c r="AC116" s="765" cm="1">
        <f t="array" ref="AC116">IF(AC$3*12&lt;$A116,0,$K115*'depto - Departamento'!$D$8/12/(1-(1+'depto - Departamento'!$D$8/12)^-(12*AC$3-$A116+3))+$AY116)</f>
        <v>23.4427915525429</v>
      </c>
      <c r="AD116" s="765" cm="1">
        <f t="array" ref="AD116">IF(AD$3*12&lt;$A116,0,$K115*'depto - Departamento'!$D$8/12/(1-(1+'depto - Departamento'!$D$8/12)^-(12*AD$3-$A116+3))+$AY116)</f>
        <v>61.7332995395382</v>
      </c>
      <c r="AE116" s="765" cm="1">
        <f t="array" ref="AE116">IF(AE$3*12&lt;$A116,0,$K115*'depto - Departamento'!$D$8/12/(1-(1+'depto - Departamento'!$D$8/12)^-(12*AE$3-$A116+3))+$AY116)</f>
        <v>0</v>
      </c>
      <c r="AF116" s="765" cm="1">
        <f t="array" ref="AF116">AF115-(AF114-AF115)</f>
        <v>79.5317</v>
      </c>
      <c r="AG116" s="765"/>
      <c r="AH116" s="765"/>
      <c r="AI116" s="778" cm="1">
        <f t="array" ref="AI116">$F116*Y116</f>
        <v>305530.455785979</v>
      </c>
      <c r="AJ116" s="405" cm="1">
        <f t="array" ref="AJ116">$F116*Z116</f>
        <v>350732.10157678</v>
      </c>
      <c r="AK116" s="405" cm="1">
        <f t="array" ref="AK116">$F116*AA116</f>
        <v>439597.350709961</v>
      </c>
      <c r="AL116" s="764" cm="1">
        <f t="array" ref="AL116">$F116*AB116</f>
        <v>679893.193708809</v>
      </c>
      <c r="AM116" s="764" cm="1">
        <f t="array" ref="AM116">$F116*AC116</f>
        <v>1203231.27977717</v>
      </c>
      <c r="AN116" s="764" cm="1">
        <f t="array" ref="AN116">$F116*AD116</f>
        <v>3168540.60845705</v>
      </c>
      <c r="AO116" s="764"/>
      <c r="AP116" s="764" cm="1">
        <f t="array" ref="AP116">$F116*AF116</f>
        <v>4082066.29143848</v>
      </c>
      <c r="AQ116" s="765"/>
      <c r="AR116" s="779" cm="1">
        <f t="array" ref="AR116">K115-K116</f>
        <v>12.4922</v>
      </c>
      <c r="AS116" s="779" cm="1">
        <f t="array" ref="AS116">D116-AR116</f>
        <v>4.0685</v>
      </c>
      <c r="AT116" s="765"/>
      <c r="AU116" s="780" cm="1">
        <f t="array" ref="AU116">ROUND(AV116*F116,0)</f>
        <v>53082</v>
      </c>
      <c r="AV116" s="781" cm="1">
        <f t="array" ref="AV116">IF(K115=0,0,AV115)</f>
        <v>1.0342</v>
      </c>
      <c r="AW116" s="780" cm="1">
        <f t="array" ref="AW116">ROUND(F116*AX116,0)</f>
        <v>1699</v>
      </c>
      <c r="AX116" s="781" cm="1">
        <f t="array" ref="AX116">AX$11/K$10*K115</f>
        <v>0.033110673852573</v>
      </c>
      <c r="AY116" s="782" cm="1">
        <f t="array" ref="AY116">SUM(AV116,AX116)</f>
        <v>1.06731067385257</v>
      </c>
      <c r="AZ116" s="780" cm="1">
        <f t="array" ref="AZ116">AU116+AW116</f>
        <v>54781</v>
      </c>
      <c r="BA116" s="783" cm="1">
        <f t="array" ref="BA116">AI116-AZ116-BG116</f>
        <v>96709.895952732</v>
      </c>
      <c r="BB116" s="784" cm="1">
        <f t="array" ref="BB116">ROUND(BA116/$F116,4)</f>
        <v>1.8842</v>
      </c>
      <c r="BC116" s="783" cm="1">
        <f t="array" ref="BC116">J116-SUM(AZ116,BA116,BG116)</f>
        <v>544468.5442140209</v>
      </c>
      <c r="BD116" s="784" cm="1">
        <f t="array" ref="BD116">ROUND(BC116/$F116,4)</f>
        <v>10.608</v>
      </c>
      <c r="BE116" s="785" cm="1">
        <f t="array" ref="BE116">BC116+BA116</f>
        <v>641178.440166753</v>
      </c>
      <c r="BF116" s="784" cm="1">
        <f t="array" ref="BF116">ROUND((BA116+BC116)/F116,4)</f>
        <v>12.4922</v>
      </c>
      <c r="BG116" s="786" cm="1">
        <f t="array" ref="BG116">BO116*F116</f>
        <v>154039.559833247</v>
      </c>
      <c r="BH116" s="787" cm="1">
        <f t="array" ref="BH116">ROUND(BG116/$F116,4)</f>
        <v>3.0012</v>
      </c>
      <c r="BI116" s="772" cm="1">
        <f t="array" ref="BI116">M115-M116</f>
        <v>613664</v>
      </c>
      <c r="BJ116" s="772" cm="1">
        <f t="array" ref="BJ116">BE116-BI116</f>
        <v>27514.440166753</v>
      </c>
      <c r="BK116" s="772" cm="1">
        <f t="array" ref="BK116">-BJ116</f>
        <v>-27514.440166753</v>
      </c>
      <c r="BL116" s="772" cm="1">
        <f t="array" ref="BL116">BG116+BJ116</f>
        <v>181554</v>
      </c>
      <c r="BM116" s="772" cm="1">
        <f t="array" ref="BM116">AVERAGE(BL114:BL116)</f>
        <v>218704.333333333</v>
      </c>
      <c r="BN116" s="788" cm="1">
        <f t="array" ref="BN116">BH115-BH116</f>
        <v>0.0513</v>
      </c>
      <c r="BO116" s="775" cm="1">
        <f t="array" ref="BO116">K115*0.0495/12-0.16</f>
        <v>3.001183025</v>
      </c>
      <c r="BP116" s="789" cm="1">
        <f t="array" ref="BP116">(BA116+BC116)/BG116</f>
        <v>4.16242711197598</v>
      </c>
      <c r="BQ116" s="789" cm="1">
        <f t="array" ref="BQ116">Y116-BB116</f>
        <v>4.06850993060501</v>
      </c>
      <c r="BR116" s="789" cm="1">
        <f t="array" ref="BR116">(BR$4*(1+BR$4)^BR$3*K115)/((1+BR$4)^BR$3-1)</f>
        <v>4.09053249970621</v>
      </c>
      <c r="BS116" s="789"/>
      <c r="BT116" s="764"/>
      <c r="BU116" s="764"/>
      <c r="BV116" s="764" cm="1">
        <f t="array" ref="BV116">BA116+BC116+BV115</f>
        <v>133136081.099713</v>
      </c>
      <c r="BW116" s="764" cm="1">
        <f t="array" ref="BW116">BG116+BW115</f>
        <v>29402235.9002891</v>
      </c>
      <c r="BX116" s="775" cm="1">
        <f t="array" ref="BX116">BF116+BX115</f>
        <v>3161.654</v>
      </c>
      <c r="BY116" s="775" cm="1">
        <f t="array" ref="BY116">BH116+BY115</f>
        <v>679.8013999999999</v>
      </c>
      <c r="BZ116" s="764" cm="1">
        <f t="array" ref="BZ116">SUM(BJ$6:BJ116)</f>
        <v>25196132.0997106</v>
      </c>
      <c r="CA116" s="775"/>
      <c r="CB116" s="775"/>
      <c r="CC116" s="764" cm="1">
        <f t="array" ref="CC116">SUM(BE$6:BE116)</f>
        <v>133136081.099711</v>
      </c>
      <c r="CD116" s="775"/>
      <c r="CE116" s="775"/>
      <c r="CF116" s="775"/>
      <c r="CG116" s="775"/>
      <c r="CH116" s="775"/>
      <c r="CI116" s="775"/>
      <c r="CJ116" s="775"/>
      <c r="CK116" s="775"/>
      <c r="CL116" s="775"/>
      <c r="CM116" s="775"/>
    </row>
    <row r="117" ht="19.35" customHeight="1" hidden="1">
      <c r="A117" s="762">
        <v>111</v>
      </c>
      <c r="B117" s="763">
        <v>48710</v>
      </c>
      <c r="C117" s="764"/>
      <c r="D117" s="765" cm="1">
        <f t="array" ref="D117">ROUND(850000/F117,4)</f>
        <v>16.3935</v>
      </c>
      <c r="E117" s="766" cm="1">
        <f t="array" ref="E117">D117/K116</f>
        <v>0.0217462186372131</v>
      </c>
      <c r="F117" s="767" cm="1">
        <f t="array" ref="F117">F116*(1+G117)</f>
        <v>51849.8079081819</v>
      </c>
      <c r="G117" s="766" cm="1">
        <f t="array" ref="G117">H117-SUM(G106:G116)</f>
        <v>0.0102</v>
      </c>
      <c r="H117" s="768" cm="1">
        <f t="array" ref="H117">'depto - Table 5'!$L$2</f>
        <v>0.03</v>
      </c>
      <c r="I117" s="769" cm="1">
        <f t="array" ref="I117">H117+4.95/100</f>
        <v>0.0795</v>
      </c>
      <c r="J117" s="764" cm="1">
        <f t="array" ref="J117">IF(K116=0,0,ROUND(D117*F117,0))</f>
        <v>850000</v>
      </c>
      <c r="K117" s="770" cm="1">
        <f t="array" ref="K117">IF(K116-BF117&lt;0,0,K116-BF117)</f>
        <v>741.4781</v>
      </c>
      <c r="L117" s="771" cm="1">
        <f t="array" ref="L117">K117/K$5</f>
        <v>0.187715974683544</v>
      </c>
      <c r="M117" s="772" cm="1">
        <f t="array" ref="M117">ROUND(K117*F117,0)</f>
        <v>38445497</v>
      </c>
      <c r="N117" s="773" cm="1">
        <f t="array" ref="N117">M117/M$5</f>
        <v>0.262189409646149</v>
      </c>
      <c r="O117" s="772" cm="1">
        <f t="array" ref="O117">M117-M116</f>
        <v>-247086</v>
      </c>
      <c r="P117" s="774" cm="1">
        <f t="array" ref="P117">T117-K117</f>
        <v>4658.5219</v>
      </c>
      <c r="Q117" s="772" cm="1">
        <f t="array" ref="Q117">ROUND(P117*F117,0)</f>
        <v>241543466</v>
      </c>
      <c r="R117" s="775" cm="1">
        <f t="array" ref="R117">$K$5-K117</f>
        <v>3208.5219</v>
      </c>
      <c r="S117" s="772" cm="1">
        <f t="array" ref="S117">Q117-Q116</f>
        <v>3074138</v>
      </c>
      <c r="T117" s="775">
        <v>5400</v>
      </c>
      <c r="U117" s="772" cm="1">
        <f t="array" ref="U117">T117*F117</f>
        <v>279988962.704182</v>
      </c>
      <c r="V117" s="776" cm="1">
        <f t="array" ref="V117">-S117</f>
        <v>-3074138</v>
      </c>
      <c r="W117" s="776"/>
      <c r="X117" s="776" cm="1">
        <f t="array" ref="X117">$K116*4.95/12/100/(1-(1+4.95/12/100)^-(360-$A117+3))+$AY117</f>
        <v>5.88337042382282</v>
      </c>
      <c r="Y117" s="777" cm="1">
        <f t="array" ref="Y117">K116*4.95/12/100/(1-(1+4.95/12/100)^-(360-$A117+3))+AY117</f>
        <v>5.88337042382282</v>
      </c>
      <c r="Z117" s="791" cm="1">
        <f t="array" ref="Z117">IF(Z$3*12&lt;=$A117,0,$K116*'depto - Departamento'!$D$8/12/(1-(1+'depto - Departamento'!$D$8/12)^-(12*Z$3-$A117+3))+$AY118)</f>
        <v>6.75819793780945</v>
      </c>
      <c r="AA117" s="791" cm="1">
        <f t="array" ref="AA117">IF(AA$3*12&lt;=$A117,0,$K116*'depto - Departamento'!$D$8/12/(1-(1+'depto - Departamento'!$D$8/12)^-(12*AA$3-$A117+3))+$AY118)</f>
        <v>8.483979846933391</v>
      </c>
      <c r="AB117" s="765" cm="1">
        <f t="array" ref="AB117">IF(AB$3*12&lt;$A117,0,$K116*'depto - Departamento'!$D$8/12/(1-(1+'depto - Departamento'!$D$8/12)^-(12*AB$3-$A117+3))+$AY117)</f>
        <v>13.190081778057</v>
      </c>
      <c r="AC117" s="765" cm="1">
        <f t="array" ref="AC117">IF(AC$3*12&lt;$A117,0,$K116*'depto - Departamento'!$D$8/12/(1-(1+'depto - Departamento'!$D$8/12)^-(12*AC$3-$A117+3))+$AY117)</f>
        <v>23.6435682508907</v>
      </c>
      <c r="AD117" s="765" cm="1">
        <f t="array" ref="AD117">IF(AD$3*12&lt;$A117,0,$K116*'depto - Departamento'!$D$8/12/(1-(1+'depto - Departamento'!$D$8/12)^-(12*AD$3-$A117+3))+$AY117)</f>
        <v>65.58514433482679</v>
      </c>
      <c r="AE117" s="765" cm="1">
        <f t="array" ref="AE117">IF(AE$3*12&lt;$A117,0,$K116*'depto - Departamento'!$D$8/12/(1-(1+'depto - Departamento'!$D$8/12)^-(12*AE$3-$A117+3))+$AY117)</f>
        <v>0</v>
      </c>
      <c r="AF117" s="765" cm="1">
        <f t="array" ref="AF117">AF116-(AF115-AF116)</f>
        <v>79.52889999999999</v>
      </c>
      <c r="AG117" s="765"/>
      <c r="AH117" s="765"/>
      <c r="AI117" s="778" cm="1">
        <f t="array" ref="AI117">$F117*Y117</f>
        <v>305051.626327892</v>
      </c>
      <c r="AJ117" s="405" cm="1">
        <f t="array" ref="AJ117">$F117*Z117</f>
        <v>350411.264880891</v>
      </c>
      <c r="AK117" s="405" cm="1">
        <f t="array" ref="AK117">$F117*AA117</f>
        <v>439892.725360383</v>
      </c>
      <c r="AL117" s="764" cm="1">
        <f t="array" ref="AL117">$F117*AB117</f>
        <v>683903.206485466</v>
      </c>
      <c r="AM117" s="764" cm="1">
        <f t="array" ref="AM117">$F117*AC117</f>
        <v>1225914.47207267</v>
      </c>
      <c r="AN117" s="764" cm="1">
        <f t="array" ref="AN117">$F117*AD117</f>
        <v>3400577.13539115</v>
      </c>
      <c r="AO117" s="764"/>
      <c r="AP117" s="764" cm="1">
        <f t="array" ref="AP117">$F117*AF117</f>
        <v>4123558.18814901</v>
      </c>
      <c r="AQ117" s="765"/>
      <c r="AR117" s="779" cm="1">
        <f t="array" ref="AR117">K116-K117</f>
        <v>12.3771</v>
      </c>
      <c r="AS117" s="779" cm="1">
        <f t="array" ref="AS117">D117-AR117</f>
        <v>4.0164</v>
      </c>
      <c r="AT117" s="765"/>
      <c r="AU117" s="780" cm="1">
        <f t="array" ref="AU117">ROUND(AV117*F117,0)</f>
        <v>53623</v>
      </c>
      <c r="AV117" s="781" cm="1">
        <f t="array" ref="AV117">IF(K116=0,0,AV116)</f>
        <v>1.0342</v>
      </c>
      <c r="AW117" s="780" cm="1">
        <f t="array" ref="AW117">ROUND(F117*AX117,0)</f>
        <v>1689</v>
      </c>
      <c r="AX117" s="781" cm="1">
        <f t="array" ref="AX117">AX$11/K$10*K116</f>
        <v>0.0325709380096627</v>
      </c>
      <c r="AY117" s="782" cm="1">
        <f t="array" ref="AY117">SUM(AV117,AX117)</f>
        <v>1.06677093800966</v>
      </c>
      <c r="AZ117" s="780" cm="1">
        <f t="array" ref="AZ117">AU117+AW117</f>
        <v>55312</v>
      </c>
      <c r="BA117" s="783" cm="1">
        <f t="array" ref="BA117">AI117-AZ117-BG117</f>
        <v>96800.700437042</v>
      </c>
      <c r="BB117" s="784" cm="1">
        <f t="array" ref="BB117">ROUND(BA117/$F117,4)</f>
        <v>1.8669</v>
      </c>
      <c r="BC117" s="783" cm="1">
        <f t="array" ref="BC117">J117-SUM(AZ117,BA117,BG117)</f>
        <v>544948.373672108</v>
      </c>
      <c r="BD117" s="784" cm="1">
        <f t="array" ref="BD117">ROUND(BC117/$F117,4)</f>
        <v>10.5101</v>
      </c>
      <c r="BE117" s="785" cm="1">
        <f t="array" ref="BE117">BC117+BA117</f>
        <v>641749.07410915</v>
      </c>
      <c r="BF117" s="784" cm="1">
        <f t="array" ref="BF117">ROUND((BA117+BC117)/F117,4)</f>
        <v>12.3771</v>
      </c>
      <c r="BG117" s="786" cm="1">
        <f t="array" ref="BG117">BO117*F117</f>
        <v>152938.92589085</v>
      </c>
      <c r="BH117" s="787" cm="1">
        <f t="array" ref="BH117">ROUND(BG117/$F117,4)</f>
        <v>2.9497</v>
      </c>
      <c r="BI117" s="772" cm="1">
        <f t="array" ref="BI117">M116-M117</f>
        <v>247086</v>
      </c>
      <c r="BJ117" s="772" cm="1">
        <f t="array" ref="BJ117">BE117-BI117</f>
        <v>394663.07410915</v>
      </c>
      <c r="BK117" s="772" cm="1">
        <f t="array" ref="BK117">-BJ117</f>
        <v>-394663.07410915</v>
      </c>
      <c r="BL117" s="772" cm="1">
        <f t="array" ref="BL117">BG117+BJ117</f>
        <v>547602</v>
      </c>
      <c r="BM117" s="772" cm="1">
        <f t="array" ref="BM117">AVERAGE(BL115:BL117)</f>
        <v>344324.666666667</v>
      </c>
      <c r="BN117" s="788" cm="1">
        <f t="array" ref="BN117">BH116-BH117</f>
        <v>0.0515</v>
      </c>
      <c r="BO117" s="775" cm="1">
        <f t="array" ref="BO117">K116*0.0495/12-0.16</f>
        <v>2.9496527</v>
      </c>
      <c r="BP117" s="789" cm="1">
        <f t="array" ref="BP117">(BA117+BC117)/BG117</f>
        <v>4.19611338559521</v>
      </c>
      <c r="BQ117" s="789" cm="1">
        <f t="array" ref="BQ117">Y117-BB117</f>
        <v>4.01647042382282</v>
      </c>
      <c r="BR117" s="789" cm="1">
        <f t="array" ref="BR117">(BR$4*(1+BR$4)^BR$3*K116)/((1+BR$4)^BR$3-1)</f>
        <v>4.02385288404779</v>
      </c>
      <c r="BS117" s="789"/>
      <c r="BT117" s="764"/>
      <c r="BU117" s="764"/>
      <c r="BV117" s="764" cm="1">
        <f t="array" ref="BV117">BA117+BC117+BV116</f>
        <v>133777830.173822</v>
      </c>
      <c r="BW117" s="764" cm="1">
        <f t="array" ref="BW117">BG117+BW116</f>
        <v>29555174.82618</v>
      </c>
      <c r="BX117" s="775" cm="1">
        <f t="array" ref="BX117">BF117+BX116</f>
        <v>3174.0311</v>
      </c>
      <c r="BY117" s="775" cm="1">
        <f t="array" ref="BY117">BH117+BY116</f>
        <v>682.7511</v>
      </c>
      <c r="BZ117" s="764" cm="1">
        <f t="array" ref="BZ117">SUM(BJ$6:BJ117)</f>
        <v>25590795.1738197</v>
      </c>
      <c r="CA117" s="775"/>
      <c r="CB117" s="775"/>
      <c r="CC117" s="764" cm="1">
        <f t="array" ref="CC117">SUM(BE$6:BE117)</f>
        <v>133777830.17382</v>
      </c>
      <c r="CD117" s="775"/>
      <c r="CE117" s="775"/>
      <c r="CF117" s="775"/>
      <c r="CG117" s="775"/>
      <c r="CH117" s="775"/>
      <c r="CI117" s="775"/>
      <c r="CJ117" s="775"/>
      <c r="CK117" s="775"/>
      <c r="CL117" s="775"/>
      <c r="CM117" s="775"/>
    </row>
    <row r="118" ht="19.35" customHeight="1" hidden="1">
      <c r="A118" s="762">
        <v>112</v>
      </c>
      <c r="B118" s="763">
        <v>48741</v>
      </c>
      <c r="C118" s="764"/>
      <c r="D118" s="765" cm="1">
        <f t="array" ref="D118">ROUND(850000/F118,4)</f>
        <v>16.1831</v>
      </c>
      <c r="E118" s="766" cm="1">
        <f t="array" ref="E118">D118/K117</f>
        <v>0.0218254591740471</v>
      </c>
      <c r="F118" s="767" cm="1">
        <f t="array" ref="F118">F117*(1+G118)</f>
        <v>52523.8554109883</v>
      </c>
      <c r="G118" s="766" cm="1">
        <f t="array" ref="G118">H118-SUM(G107:G117)</f>
        <v>0.013</v>
      </c>
      <c r="H118" s="768" cm="1">
        <f t="array" ref="H118">'depto - Table 5'!$L$2</f>
        <v>0.03</v>
      </c>
      <c r="I118" s="769" cm="1">
        <f t="array" ref="I118">H118+4.95/100</f>
        <v>0.0795</v>
      </c>
      <c r="J118" s="764" cm="1">
        <f t="array" ref="J118">IF(K117=0,0,ROUND(D118*F118,0))</f>
        <v>849999</v>
      </c>
      <c r="K118" s="770" cm="1">
        <f t="array" ref="K118">IF(K117-BF118&lt;0,0,K117-BF118)</f>
        <v>729.2598</v>
      </c>
      <c r="L118" s="771" cm="1">
        <f t="array" ref="L118">K118/K$5</f>
        <v>0.184622734177215</v>
      </c>
      <c r="M118" s="772" cm="1">
        <f t="array" ref="M118">ROUND(K118*F118,0)</f>
        <v>38303536</v>
      </c>
      <c r="N118" s="773" cm="1">
        <f t="array" ref="N118">M118/M$5</f>
        <v>0.261221268415388</v>
      </c>
      <c r="O118" s="772" cm="1">
        <f t="array" ref="O118">M118-M117</f>
        <v>-141961</v>
      </c>
      <c r="P118" s="774" cm="1">
        <f t="array" ref="P118">T118-K118</f>
        <v>4670.7402</v>
      </c>
      <c r="Q118" s="772" cm="1">
        <f t="array" ref="Q118">ROUND(P118*F118,0)</f>
        <v>245325283</v>
      </c>
      <c r="R118" s="775" cm="1">
        <f t="array" ref="R118">$K$5-K118</f>
        <v>3220.7402</v>
      </c>
      <c r="S118" s="772" cm="1">
        <f t="array" ref="S118">Q118-Q117</f>
        <v>3781817</v>
      </c>
      <c r="T118" s="775">
        <v>5400</v>
      </c>
      <c r="U118" s="772" cm="1">
        <f t="array" ref="U118">T118*F118</f>
        <v>283628819.219337</v>
      </c>
      <c r="V118" s="776" cm="1">
        <f t="array" ref="V118">-S118</f>
        <v>-3781817</v>
      </c>
      <c r="W118" s="776"/>
      <c r="X118" s="776" cm="1">
        <f t="array" ref="X118">$K117*4.95/12/100/(1-(1+4.95/12/100)^-(360-$A118+3))+$AY118</f>
        <v>5.81450624018779</v>
      </c>
      <c r="Y118" s="777" cm="1">
        <f t="array" ref="Y118">K117*4.95/12/100/(1-(1+4.95/12/100)^-(360-$A118+3))+AY118</f>
        <v>5.81450624018779</v>
      </c>
      <c r="Z118" s="791" cm="1">
        <f t="array" ref="Z118">IF(Z$3*12&lt;=$A118,0,$K117*'depto - Departamento'!$D$8/12/(1-(1+'depto - Departamento'!$D$8/12)^-(12*Z$3-$A118+3))+$AY119)</f>
        <v>6.6834605495019</v>
      </c>
      <c r="AA118" s="791" cm="1">
        <f t="array" ref="AA118">IF(AA$3*12&lt;=$A118,0,$K117*'depto - Departamento'!$D$8/12/(1-(1+'depto - Departamento'!$D$8/12)^-(12*AA$3-$A118+3))+$AY119)</f>
        <v>8.403598604481839</v>
      </c>
      <c r="AB118" s="765" cm="1">
        <f t="array" ref="AB118">IF(AB$3*12&lt;$A118,0,$K117*'depto - Departamento'!$D$8/12/(1-(1+'depto - Departamento'!$D$8/12)^-(12*AB$3-$A118+3))+$AY118)</f>
        <v>13.1348024166977</v>
      </c>
      <c r="AC118" s="765" cm="1">
        <f t="array" ref="AC118">IF(AC$3*12&lt;$A118,0,$K117*'depto - Departamento'!$D$8/12/(1-(1+'depto - Departamento'!$D$8/12)^-(12*AC$3-$A118+3))+$AY118)</f>
        <v>23.860997953814</v>
      </c>
      <c r="AD118" s="765" cm="1">
        <f t="array" ref="AD118">IF(AD$3*12&lt;$A118,0,$K117*'depto - Departamento'!$D$8/12/(1-(1+'depto - Departamento'!$D$8/12)^-(12*AD$3-$A118+3))+$AY118)</f>
        <v>70.1531076536627</v>
      </c>
      <c r="AE118" s="765" cm="1">
        <f t="array" ref="AE118">IF(AE$3*12&lt;$A118,0,$K117*'depto - Departamento'!$D$8/12/(1-(1+'depto - Departamento'!$D$8/12)^-(12*AE$3-$A118+3))+$AY118)</f>
        <v>0</v>
      </c>
      <c r="AF118" s="765" cm="1">
        <f t="array" ref="AF118">AF117-(AF116-AF117)</f>
        <v>79.5261</v>
      </c>
      <c r="AG118" s="765"/>
      <c r="AH118" s="765"/>
      <c r="AI118" s="778" cm="1">
        <f t="array" ref="AI118">$F118*Y118</f>
        <v>305400.285045913</v>
      </c>
      <c r="AJ118" s="405" cm="1">
        <f t="array" ref="AJ118">$F118*Z118</f>
        <v>351041.115547082</v>
      </c>
      <c r="AK118" s="405" cm="1">
        <f t="array" ref="AK118">$F118*AA118</f>
        <v>441389.398033787</v>
      </c>
      <c r="AL118" s="764" cm="1">
        <f t="array" ref="AL118">$F118*AB118</f>
        <v>689890.46298653</v>
      </c>
      <c r="AM118" s="764" cm="1">
        <f t="array" ref="AM118">$F118*AC118</f>
        <v>1253271.60648801</v>
      </c>
      <c r="AN118" s="764" cm="1">
        <f t="array" ref="AN118">$F118*AD118</f>
        <v>3684711.68303248</v>
      </c>
      <c r="AO118" s="764"/>
      <c r="AP118" s="764" cm="1">
        <f t="array" ref="AP118">$F118*AF118</f>
        <v>4177017.3777998</v>
      </c>
      <c r="AQ118" s="765"/>
      <c r="AR118" s="779" cm="1">
        <f t="array" ref="AR118">K117-K118</f>
        <v>12.2183</v>
      </c>
      <c r="AS118" s="779" cm="1">
        <f t="array" ref="AS118">D118-AR118</f>
        <v>3.9648</v>
      </c>
      <c r="AT118" s="765"/>
      <c r="AU118" s="780" cm="1">
        <f t="array" ref="AU118">ROUND(AV118*F118,0)</f>
        <v>54320</v>
      </c>
      <c r="AV118" s="781" cm="1">
        <f t="array" ref="AV118">IF(K117=0,0,AV117)</f>
        <v>1.0342</v>
      </c>
      <c r="AW118" s="780" cm="1">
        <f t="array" ref="AW118">ROUND(F118*AX118,0)</f>
        <v>1683</v>
      </c>
      <c r="AX118" s="781" cm="1">
        <f t="array" ref="AX118">AX$11/K$10*K117</f>
        <v>0.0320361751575401</v>
      </c>
      <c r="AY118" s="782" cm="1">
        <f t="array" ref="AY118">SUM(AV118,AX118)</f>
        <v>1.06623617515754</v>
      </c>
      <c r="AZ118" s="780" cm="1">
        <f t="array" ref="AZ118">AU118+AW118</f>
        <v>56003</v>
      </c>
      <c r="BA118" s="783" cm="1">
        <f t="array" ref="BA118">AI118-AZ118-BG118</f>
        <v>97151.786788062</v>
      </c>
      <c r="BB118" s="784" cm="1">
        <f t="array" ref="BB118">ROUND(BA118/$F118,4)</f>
        <v>1.8497</v>
      </c>
      <c r="BC118" s="783" cm="1">
        <f t="array" ref="BC118">J118-SUM(AZ118,BA118,BG118)</f>
        <v>544598.714954087</v>
      </c>
      <c r="BD118" s="784" cm="1">
        <f t="array" ref="BD118">ROUND(BC118/$F118,4)</f>
        <v>10.3686</v>
      </c>
      <c r="BE118" s="785" cm="1">
        <f t="array" ref="BE118">BC118+BA118</f>
        <v>641750.501742149</v>
      </c>
      <c r="BF118" s="784" cm="1">
        <f t="array" ref="BF118">ROUND((BA118+BC118)/F118,4)</f>
        <v>12.2183</v>
      </c>
      <c r="BG118" s="786" cm="1">
        <f t="array" ref="BG118">BO118*F118</f>
        <v>152245.498257851</v>
      </c>
      <c r="BH118" s="787" cm="1">
        <f t="array" ref="BH118">ROUND(BG118/$F118,4)</f>
        <v>2.8986</v>
      </c>
      <c r="BI118" s="772" cm="1">
        <f t="array" ref="BI118">M117-M118</f>
        <v>141961</v>
      </c>
      <c r="BJ118" s="772" cm="1">
        <f t="array" ref="BJ118">BE118-BI118</f>
        <v>499789.501742149</v>
      </c>
      <c r="BK118" s="772" cm="1">
        <f t="array" ref="BK118">-BJ118</f>
        <v>-499789.501742149</v>
      </c>
      <c r="BL118" s="772" cm="1">
        <f t="array" ref="BL118">BG118+BJ118</f>
        <v>652035</v>
      </c>
      <c r="BM118" s="772" cm="1">
        <f t="array" ref="BM118">AVERAGE(BL116:BL118)</f>
        <v>460397</v>
      </c>
      <c r="BN118" s="788" cm="1">
        <f t="array" ref="BN118">BH117-BH118</f>
        <v>0.0511</v>
      </c>
      <c r="BO118" s="775" cm="1">
        <f t="array" ref="BO118">K117*0.0495/12-0.16</f>
        <v>2.8985971625</v>
      </c>
      <c r="BP118" s="789" cm="1">
        <f t="array" ref="BP118">(BA118+BC118)/BG118</f>
        <v>4.21523466431334</v>
      </c>
      <c r="BQ118" s="789" cm="1">
        <f t="array" ref="BQ118">Y118-BB118</f>
        <v>3.96480624018779</v>
      </c>
      <c r="BR118" s="789" cm="1">
        <f t="array" ref="BR118">(BR$4*(1+BR$4)^BR$3*K117)/((1+BR$4)^BR$3-1)</f>
        <v>3.95778763765678</v>
      </c>
      <c r="BS118" s="789"/>
      <c r="BT118" s="764"/>
      <c r="BU118" s="764"/>
      <c r="BV118" s="764" cm="1">
        <f t="array" ref="BV118">BA118+BC118+BV117</f>
        <v>134419580.675564</v>
      </c>
      <c r="BW118" s="764" cm="1">
        <f t="array" ref="BW118">BG118+BW117</f>
        <v>29707420.3244379</v>
      </c>
      <c r="BX118" s="775" cm="1">
        <f t="array" ref="BX118">BF118+BX117</f>
        <v>3186.2494</v>
      </c>
      <c r="BY118" s="775" cm="1">
        <f t="array" ref="BY118">BH118+BY117</f>
        <v>685.6497000000001</v>
      </c>
      <c r="BZ118" s="764" cm="1">
        <f t="array" ref="BZ118">SUM(BJ$6:BJ118)</f>
        <v>26090584.6755619</v>
      </c>
      <c r="CA118" s="775"/>
      <c r="CB118" s="775"/>
      <c r="CC118" s="764" cm="1">
        <f t="array" ref="CC118">SUM(BE$6:BE118)</f>
        <v>134419580.675562</v>
      </c>
      <c r="CD118" s="775"/>
      <c r="CE118" s="775"/>
      <c r="CF118" s="775"/>
      <c r="CG118" s="775"/>
      <c r="CH118" s="775"/>
      <c r="CI118" s="775"/>
      <c r="CJ118" s="775"/>
      <c r="CK118" s="775"/>
      <c r="CL118" s="775"/>
      <c r="CM118" s="775"/>
    </row>
    <row r="119" ht="19.35" customHeight="1" hidden="1">
      <c r="A119" s="762">
        <v>113</v>
      </c>
      <c r="B119" s="763">
        <v>48771</v>
      </c>
      <c r="C119" s="764"/>
      <c r="D119" s="765" cm="1">
        <f t="array" ref="D119">ROUND(850000/F119,4)</f>
        <v>16.0118</v>
      </c>
      <c r="E119" s="766" cm="1">
        <f t="array" ref="E119">D119/K118</f>
        <v>0.0219562356241219</v>
      </c>
      <c r="F119" s="767" cm="1">
        <f t="array" ref="F119">F118*(1+G119)</f>
        <v>53085.8606638859</v>
      </c>
      <c r="G119" s="766" cm="1">
        <f t="array" ref="G119">H119-SUM(G108:G118)</f>
        <v>0.0107</v>
      </c>
      <c r="H119" s="768" cm="1">
        <f t="array" ref="H119">'depto - Table 5'!$L$2</f>
        <v>0.03</v>
      </c>
      <c r="I119" s="769" cm="1">
        <f t="array" ref="I119">H119+4.95/100</f>
        <v>0.0795</v>
      </c>
      <c r="J119" s="764" cm="1">
        <f t="array" ref="J119">IF(K118=0,0,ROUND(D119*F119,0))</f>
        <v>850000</v>
      </c>
      <c r="K119" s="770" cm="1">
        <f t="array" ref="K119">IF(K118-BF119&lt;0,0,K118-BF119)</f>
        <v>717.1618999999999</v>
      </c>
      <c r="L119" s="771" cm="1">
        <f t="array" ref="L119">K119/K$5</f>
        <v>0.181559974683544</v>
      </c>
      <c r="M119" s="772" cm="1">
        <f t="array" ref="M119">ROUND(K119*F119,0)</f>
        <v>38071157</v>
      </c>
      <c r="N119" s="773" cm="1">
        <f t="array" ref="N119">M119/M$5</f>
        <v>0.259636497308796</v>
      </c>
      <c r="O119" s="772" cm="1">
        <f t="array" ref="O119">M119-M118</f>
        <v>-232379</v>
      </c>
      <c r="P119" s="774" cm="1">
        <f t="array" ref="P119">T119-K119</f>
        <v>4682.8381</v>
      </c>
      <c r="Q119" s="772" cm="1">
        <f t="array" ref="Q119">ROUND(P119*F119,0)</f>
        <v>248592491</v>
      </c>
      <c r="R119" s="775" cm="1">
        <f t="array" ref="R119">$K$5-K119</f>
        <v>3232.8381</v>
      </c>
      <c r="S119" s="772" cm="1">
        <f t="array" ref="S119">Q119-Q118</f>
        <v>3267208</v>
      </c>
      <c r="T119" s="775">
        <v>5400</v>
      </c>
      <c r="U119" s="772" cm="1">
        <f t="array" ref="U119">T119*F119</f>
        <v>286663647.584984</v>
      </c>
      <c r="V119" s="776" cm="1">
        <f t="array" ref="V119">-S119</f>
        <v>-3267208</v>
      </c>
      <c r="W119" s="776"/>
      <c r="X119" s="776" cm="1">
        <f t="array" ref="X119">$K118*4.95/12/100/(1-(1+4.95/12/100)^-(360-$A119+3))+$AY119</f>
        <v>5.74640122712605</v>
      </c>
      <c r="Y119" s="777" cm="1">
        <f t="array" ref="Y119">K118*4.95/12/100/(1-(1+4.95/12/100)^-(360-$A119+3))+AY119</f>
        <v>5.74640122712605</v>
      </c>
      <c r="Z119" s="791" cm="1">
        <f t="array" ref="Z119">IF(Z$3*12&lt;=$A119,0,$K118*'depto - Departamento'!$D$8/12/(1-(1+'depto - Departamento'!$D$8/12)^-(12*Z$3-$A119+3))+$AY120)</f>
        <v>6.60950261903794</v>
      </c>
      <c r="AA119" s="791" cm="1">
        <f t="array" ref="AA119">IF(AA$3*12&lt;=$A119,0,$K118*'depto - Departamento'!$D$8/12/(1-(1+'depto - Departamento'!$D$8/12)^-(12*AA$3-$A119+3))+$AY120)</f>
        <v>8.324053040136</v>
      </c>
      <c r="AB119" s="765" cm="1">
        <f t="array" ref="AB119">IF(AB$3*12&lt;$A119,0,$K118*'depto - Departamento'!$D$8/12/(1-(1+'depto - Departamento'!$D$8/12)^-(12*AB$3-$A119+3))+$AY119)</f>
        <v>13.0814122092417</v>
      </c>
      <c r="AC119" s="765" cm="1">
        <f t="array" ref="AC119">IF(AC$3*12&lt;$A119,0,$K118*'depto - Departamento'!$D$8/12/(1-(1+'depto - Departamento'!$D$8/12)^-(12*AC$3-$A119+3))+$AY119)</f>
        <v>24.097906626823</v>
      </c>
      <c r="AD119" s="765" cm="1">
        <f t="array" ref="AD119">IF(AD$3*12&lt;$A119,0,$K118*'depto - Departamento'!$D$8/12/(1-(1+'depto - Departamento'!$D$8/12)^-(12*AD$3-$A119+3))+$AY119)</f>
        <v>75.65641236606071</v>
      </c>
      <c r="AE119" s="765" cm="1">
        <f t="array" ref="AE119">IF(AE$3*12&lt;$A119,0,$K118*'depto - Departamento'!$D$8/12/(1-(1+'depto - Departamento'!$D$8/12)^-(12*AE$3-$A119+3))+$AY119)</f>
        <v>0</v>
      </c>
      <c r="AF119" s="765" cm="1">
        <f t="array" ref="AF119">AF118-(AF117-AF118)</f>
        <v>79.52330000000001</v>
      </c>
      <c r="AG119" s="765"/>
      <c r="AH119" s="765"/>
      <c r="AI119" s="778" cm="1">
        <f t="array" ref="AI119">$F119*Y119</f>
        <v>305052.654861996</v>
      </c>
      <c r="AJ119" s="405" cm="1">
        <f t="array" ref="AJ119">$F119*Z119</f>
        <v>350871.135091837</v>
      </c>
      <c r="AK119" s="405" cm="1">
        <f t="array" ref="AK119">$F119*AA119</f>
        <v>441889.519847456</v>
      </c>
      <c r="AL119" s="764" cm="1">
        <f t="array" ref="AL119">$F119*AB119</f>
        <v>694438.025826661</v>
      </c>
      <c r="AM119" s="764" cm="1">
        <f t="array" ref="AM119">$F119*AC119</f>
        <v>1279258.11348286</v>
      </c>
      <c r="AN119" s="764" cm="1">
        <f t="array" ref="AN119">$F119*AD119</f>
        <v>4016285.76519419</v>
      </c>
      <c r="AO119" s="764"/>
      <c r="AP119" s="764" cm="1">
        <f t="array" ref="AP119">$F119*AF119</f>
        <v>4221562.8233324</v>
      </c>
      <c r="AQ119" s="765"/>
      <c r="AR119" s="779" cm="1">
        <f t="array" ref="AR119">K118-K119</f>
        <v>12.0979</v>
      </c>
      <c r="AS119" s="779" cm="1">
        <f t="array" ref="AS119">D119-AR119</f>
        <v>3.9139</v>
      </c>
      <c r="AT119" s="765"/>
      <c r="AU119" s="780" cm="1">
        <f t="array" ref="AU119">ROUND(AV119*F119,0)</f>
        <v>54901</v>
      </c>
      <c r="AV119" s="781" cm="1">
        <f t="array" ref="AV119">IF(K118=0,0,AV118)</f>
        <v>1.0342</v>
      </c>
      <c r="AW119" s="780" cm="1">
        <f t="array" ref="AW119">ROUND(F119*AX119,0)</f>
        <v>1673</v>
      </c>
      <c r="AX119" s="781" cm="1">
        <f t="array" ref="AX119">AX$11/K$10*K118</f>
        <v>0.0315082733908833</v>
      </c>
      <c r="AY119" s="782" cm="1">
        <f t="array" ref="AY119">SUM(AV119,AX119)</f>
        <v>1.06570827339088</v>
      </c>
      <c r="AZ119" s="780" cm="1">
        <f t="array" ref="AZ119">AU119+AW119</f>
        <v>56574</v>
      </c>
      <c r="BA119" s="783" cm="1">
        <f t="array" ref="BA119">AI119-AZ119-BG119</f>
        <v>97279.683029602995</v>
      </c>
      <c r="BB119" s="784" cm="1">
        <f t="array" ref="BB119">ROUND(BA119/$F119,4)</f>
        <v>1.8325</v>
      </c>
      <c r="BC119" s="783" cm="1">
        <f t="array" ref="BC119">J119-SUM(AZ119,BA119,BG119)</f>
        <v>544947.345138004</v>
      </c>
      <c r="BD119" s="784" cm="1">
        <f t="array" ref="BD119">ROUND(BC119/$F119,4)</f>
        <v>10.2654</v>
      </c>
      <c r="BE119" s="785" cm="1">
        <f t="array" ref="BE119">BC119+BA119</f>
        <v>642227.028167607</v>
      </c>
      <c r="BF119" s="784" cm="1">
        <f t="array" ref="BF119">ROUND((BA119+BC119)/F119,4)</f>
        <v>12.0979</v>
      </c>
      <c r="BG119" s="786" cm="1">
        <f t="array" ref="BG119">BO119*F119</f>
        <v>151198.971832393</v>
      </c>
      <c r="BH119" s="787" cm="1">
        <f t="array" ref="BH119">ROUND(BG119/$F119,4)</f>
        <v>2.8482</v>
      </c>
      <c r="BI119" s="772" cm="1">
        <f t="array" ref="BI119">M118-M119</f>
        <v>232379</v>
      </c>
      <c r="BJ119" s="772" cm="1">
        <f t="array" ref="BJ119">BE119-BI119</f>
        <v>409848.028167607</v>
      </c>
      <c r="BK119" s="772" cm="1">
        <f t="array" ref="BK119">-BJ119</f>
        <v>-409848.028167607</v>
      </c>
      <c r="BL119" s="772" cm="1">
        <f t="array" ref="BL119">BG119+BJ119</f>
        <v>561047</v>
      </c>
      <c r="BM119" s="772" cm="1">
        <f t="array" ref="BM119">AVERAGE(BL117:BL119)</f>
        <v>586894.666666667</v>
      </c>
      <c r="BN119" s="788" cm="1">
        <f t="array" ref="BN119">BH118-BH119</f>
        <v>0.0504</v>
      </c>
      <c r="BO119" s="775" cm="1">
        <f t="array" ref="BO119">K118*0.0495/12-0.16</f>
        <v>2.848196675</v>
      </c>
      <c r="BP119" s="789" cm="1">
        <f t="array" ref="BP119">(BA119+BC119)/BG119</f>
        <v>4.24756213871301</v>
      </c>
      <c r="BQ119" s="789" cm="1">
        <f t="array" ref="BQ119">Y119-BB119</f>
        <v>3.91390122712605</v>
      </c>
      <c r="BR119" s="789" cm="1">
        <f t="array" ref="BR119">(BR$4*(1+BR$4)^BR$3*K118)/((1+BR$4)^BR$3-1)</f>
        <v>3.89257001802218</v>
      </c>
      <c r="BS119" s="789"/>
      <c r="BT119" s="764"/>
      <c r="BU119" s="764"/>
      <c r="BV119" s="764" cm="1">
        <f t="array" ref="BV119">BA119+BC119+BV118</f>
        <v>135061807.703732</v>
      </c>
      <c r="BW119" s="764" cm="1">
        <f t="array" ref="BW119">BG119+BW118</f>
        <v>29858619.2962703</v>
      </c>
      <c r="BX119" s="775" cm="1">
        <f t="array" ref="BX119">BF119+BX118</f>
        <v>3198.3473</v>
      </c>
      <c r="BY119" s="775" cm="1">
        <f t="array" ref="BY119">BH119+BY118</f>
        <v>688.4979</v>
      </c>
      <c r="BZ119" s="764" cm="1">
        <f t="array" ref="BZ119">SUM(BJ$6:BJ119)</f>
        <v>26500432.7037295</v>
      </c>
      <c r="CA119" s="775"/>
      <c r="CB119" s="775"/>
      <c r="CC119" s="764" cm="1">
        <f t="array" ref="CC119">SUM(BE$6:BE119)</f>
        <v>135061807.703729</v>
      </c>
      <c r="CD119" s="775"/>
      <c r="CE119" s="775"/>
      <c r="CF119" s="775"/>
      <c r="CG119" s="775"/>
      <c r="CH119" s="775"/>
      <c r="CI119" s="775"/>
      <c r="CJ119" s="775"/>
      <c r="CK119" s="775"/>
      <c r="CL119" s="775"/>
      <c r="CM119" s="775"/>
    </row>
    <row r="120" ht="19.35" customHeight="1" hidden="1">
      <c r="A120" s="762">
        <v>114</v>
      </c>
      <c r="B120" s="763">
        <v>48802</v>
      </c>
      <c r="C120" s="764"/>
      <c r="D120" s="765" cm="1">
        <f t="array" ref="D120">ROUND(850000/F120,4)</f>
        <v>16.0118</v>
      </c>
      <c r="E120" s="766" cm="1">
        <f t="array" ref="E120">D120/K119</f>
        <v>0.0223266182991595</v>
      </c>
      <c r="F120" s="767" cm="1">
        <f t="array" ref="F120">F119*(1+G120)</f>
        <v>53085.8606638859</v>
      </c>
      <c r="G120" s="766" cm="1">
        <f t="array" ref="G120">H120-SUM(G109:G119)</f>
        <v>0</v>
      </c>
      <c r="H120" s="768" cm="1">
        <f t="array" ref="H120">'depto - Table 5'!$L$2</f>
        <v>0.03</v>
      </c>
      <c r="I120" s="769" cm="1">
        <f t="array" ref="I120">H120+4.95/100</f>
        <v>0.0795</v>
      </c>
      <c r="J120" s="764" cm="1">
        <f t="array" ref="J120">IF(K119=0,0,ROUND(D120*F120,0))</f>
        <v>850000</v>
      </c>
      <c r="K120" s="770" cm="1">
        <f t="array" ref="K120">IF(K119-BF120&lt;0,0,K119-BF120)</f>
        <v>705.0136</v>
      </c>
      <c r="L120" s="771" cm="1">
        <f t="array" ref="L120">K120/K$5</f>
        <v>0.178484455696203</v>
      </c>
      <c r="M120" s="772" cm="1">
        <f t="array" ref="M120">ROUND(K120*F120,0)</f>
        <v>37426254</v>
      </c>
      <c r="N120" s="773" cm="1">
        <f t="array" ref="N120">M120/M$5</f>
        <v>0.255238407804347</v>
      </c>
      <c r="O120" s="772" cm="1">
        <f t="array" ref="O120">M120-M119</f>
        <v>-644903</v>
      </c>
      <c r="P120" s="774" cm="1">
        <f t="array" ref="P120">T120-K120</f>
        <v>4694.9864</v>
      </c>
      <c r="Q120" s="772" cm="1">
        <f t="array" ref="Q120">ROUND(P120*F120,0)</f>
        <v>249237394</v>
      </c>
      <c r="R120" s="775" cm="1">
        <f t="array" ref="R120">$K$5-K120</f>
        <v>3244.9864</v>
      </c>
      <c r="S120" s="772" cm="1">
        <f t="array" ref="S120">Q120-Q119</f>
        <v>644903</v>
      </c>
      <c r="T120" s="775">
        <v>5400</v>
      </c>
      <c r="U120" s="772" cm="1">
        <f t="array" ref="U120">T120*F120</f>
        <v>286663647.584984</v>
      </c>
      <c r="V120" s="776" cm="1">
        <f t="array" ref="V120">-S120</f>
        <v>-644903</v>
      </c>
      <c r="W120" s="776"/>
      <c r="X120" s="776" cm="1">
        <f t="array" ref="X120">$K119*4.95/12/100/(1-(1+4.95/12/100)^-(360-$A120+3))+$AY120</f>
        <v>5.67881013089106</v>
      </c>
      <c r="Y120" s="777" cm="1">
        <f t="array" ref="Y120">K119*4.95/12/100/(1-(1+4.95/12/100)^-(360-$A120+3))+AY120</f>
        <v>5.67881013089106</v>
      </c>
      <c r="Z120" s="791" cm="1">
        <f t="array" ref="Z120">IF(Z$3*12&lt;=$A120,0,$K119*'depto - Departamento'!$D$8/12/(1-(1+'depto - Departamento'!$D$8/12)^-(12*Z$3-$A120+3))+$AY121)</f>
        <v>6.53602905530658</v>
      </c>
      <c r="AA120" s="791" cm="1">
        <f t="array" ref="AA120">IF(AA$3*12&lt;=$A120,0,$K119*'depto - Departamento'!$D$8/12/(1-(1+'depto - Departamento'!$D$8/12)^-(12*AA$3-$A120+3))+$AY121)</f>
        <v>8.24496088064396</v>
      </c>
      <c r="AB120" s="765" cm="1">
        <f t="array" ref="AB120">IF(AB$3*12&lt;$A120,0,$K119*'depto - Departamento'!$D$8/12/(1-(1+'depto - Departamento'!$D$8/12)^-(12*AB$3-$A120+3))+$AY120)</f>
        <v>13.0293336247016</v>
      </c>
      <c r="AC120" s="765" cm="1">
        <f t="array" ref="AC120">IF(AC$3*12&lt;$A120,0,$K119*'depto - Departamento'!$D$8/12/(1-(1+'depto - Departamento'!$D$8/12)^-(12*AC$3-$A120+3))+$AY120)</f>
        <v>24.3547814617636</v>
      </c>
      <c r="AD120" s="765" cm="1">
        <f t="array" ref="AD120">IF(AD$3*12&lt;$A120,0,$K119*'depto - Departamento'!$D$8/12/(1-(1+'depto - Departamento'!$D$8/12)^-(12*AD$3-$A120+3))+$AY120)</f>
        <v>82.4023575769106</v>
      </c>
      <c r="AE120" s="765" cm="1">
        <f t="array" ref="AE120">IF(AE$3*12&lt;$A120,0,$K119*'depto - Departamento'!$D$8/12/(1-(1+'depto - Departamento'!$D$8/12)^-(12*AE$3-$A120+3))+$AY120)</f>
        <v>0</v>
      </c>
      <c r="AF120" s="765" cm="1">
        <f t="array" ref="AF120">AF119-(AF118-AF119)</f>
        <v>79.5205</v>
      </c>
      <c r="AG120" s="765"/>
      <c r="AH120" s="765"/>
      <c r="AI120" s="778" cm="1">
        <f t="array" ref="AI120">$F120*Y120</f>
        <v>301464.523345146</v>
      </c>
      <c r="AJ120" s="405" cm="1">
        <f t="array" ref="AJ120">$F120*Z120</f>
        <v>346970.727725115</v>
      </c>
      <c r="AK120" s="405" cm="1">
        <f t="array" ref="AK120">$F120*AA120</f>
        <v>437690.844489055</v>
      </c>
      <c r="AL120" s="764" cm="1">
        <f t="array" ref="AL120">$F120*AB120</f>
        <v>691673.389344193</v>
      </c>
      <c r="AM120" s="764" cm="1">
        <f t="array" ref="AM120">$F120*AC120</f>
        <v>1292894.53517857</v>
      </c>
      <c r="AN120" s="764" cm="1">
        <f t="array" ref="AN120">$F120*AD120</f>
        <v>4374400.07270358</v>
      </c>
      <c r="AO120" s="764"/>
      <c r="AP120" s="764" cm="1">
        <f t="array" ref="AP120">$F120*AF120</f>
        <v>4221414.18292254</v>
      </c>
      <c r="AQ120" s="765"/>
      <c r="AR120" s="779" cm="1">
        <f t="array" ref="AR120">K119-K120</f>
        <v>12.1483</v>
      </c>
      <c r="AS120" s="779" cm="1">
        <f t="array" ref="AS120">D120-AR120</f>
        <v>3.8635</v>
      </c>
      <c r="AT120" s="765"/>
      <c r="AU120" s="780" cm="1">
        <f t="array" ref="AU120">ROUND(AV120*F120,0)</f>
        <v>54901</v>
      </c>
      <c r="AV120" s="781" cm="1">
        <f t="array" ref="AV120">IF(K119=0,0,AV119)</f>
        <v>1.0342</v>
      </c>
      <c r="AW120" s="780" cm="1">
        <f t="array" ref="AW120">ROUND(F120*AX120,0)</f>
        <v>1645</v>
      </c>
      <c r="AX120" s="781" cm="1">
        <f t="array" ref="AX120">AX$11/K$10*K119</f>
        <v>0.0309855736059019</v>
      </c>
      <c r="AY120" s="782" cm="1">
        <f t="array" ref="AY120">SUM(AV120,AX120)</f>
        <v>1.0651855736059</v>
      </c>
      <c r="AZ120" s="780" cm="1">
        <f t="array" ref="AZ120">AU120+AW120</f>
        <v>56546</v>
      </c>
      <c r="BA120" s="783" cm="1">
        <f t="array" ref="BA120">AI120-AZ120-BG120</f>
        <v>96368.739676871</v>
      </c>
      <c r="BB120" s="784" cm="1">
        <f t="array" ref="BB120">ROUND(BA120/$F120,4)</f>
        <v>1.8153</v>
      </c>
      <c r="BC120" s="783" cm="1">
        <f t="array" ref="BC120">J120-SUM(AZ120,BA120,BG120)</f>
        <v>548535.476654854</v>
      </c>
      <c r="BD120" s="784" cm="1">
        <f t="array" ref="BD120">ROUND(BC120/$F120,4)</f>
        <v>10.333</v>
      </c>
      <c r="BE120" s="785" cm="1">
        <f t="array" ref="BE120">BC120+BA120</f>
        <v>644904.216331725</v>
      </c>
      <c r="BF120" s="784" cm="1">
        <f t="array" ref="BF120">ROUND((BA120+BC120)/F120,4)</f>
        <v>12.1483</v>
      </c>
      <c r="BG120" s="786" cm="1">
        <f t="array" ref="BG120">BO120*F120</f>
        <v>148549.783668275</v>
      </c>
      <c r="BH120" s="787" cm="1">
        <f t="array" ref="BH120">ROUND(BG120/$F120,4)</f>
        <v>2.7983</v>
      </c>
      <c r="BI120" s="772" cm="1">
        <f t="array" ref="BI120">M119-M120</f>
        <v>644903</v>
      </c>
      <c r="BJ120" s="772" cm="1">
        <f t="array" ref="BJ120">BE120-BI120</f>
        <v>1.216331725</v>
      </c>
      <c r="BK120" s="772" cm="1">
        <f t="array" ref="BK120">-BJ120</f>
        <v>-1.216331725</v>
      </c>
      <c r="BL120" s="772" cm="1">
        <f t="array" ref="BL120">BG120+BJ120</f>
        <v>148551</v>
      </c>
      <c r="BM120" s="772" cm="1">
        <f t="array" ref="BM120">AVERAGE(BL118:BL120)</f>
        <v>453877.666666667</v>
      </c>
      <c r="BN120" s="788" cm="1">
        <f t="array" ref="BN120">BH119-BH120</f>
        <v>0.0499</v>
      </c>
      <c r="BO120" s="775" cm="1">
        <f t="array" ref="BO120">K119*0.0495/12-0.16</f>
        <v>2.7982928375</v>
      </c>
      <c r="BP120" s="789" cm="1">
        <f t="array" ref="BP120">(BA120+BC120)/BG120</f>
        <v>4.34133393133614</v>
      </c>
      <c r="BQ120" s="789" cm="1">
        <f t="array" ref="BQ120">Y120-BB120</f>
        <v>3.86351013089106</v>
      </c>
      <c r="BR120" s="789" cm="1">
        <f t="array" ref="BR120">(BR$4*(1+BR$4)^BR$3*K119)/((1+BR$4)^BR$3-1)</f>
        <v>3.82799505746488</v>
      </c>
      <c r="BS120" s="789"/>
      <c r="BT120" s="764"/>
      <c r="BU120" s="764"/>
      <c r="BV120" s="764" cm="1">
        <f t="array" ref="BV120">BA120+BC120+BV119</f>
        <v>135706711.920064</v>
      </c>
      <c r="BW120" s="764" cm="1">
        <f t="array" ref="BW120">BG120+BW119</f>
        <v>30007169.0799386</v>
      </c>
      <c r="BX120" s="775" cm="1">
        <f t="array" ref="BX120">BF120+BX119</f>
        <v>3210.4956</v>
      </c>
      <c r="BY120" s="775" cm="1">
        <f t="array" ref="BY120">BH120+BY119</f>
        <v>691.2962</v>
      </c>
      <c r="BZ120" s="764" cm="1">
        <f t="array" ref="BZ120">SUM(BJ$6:BJ120)</f>
        <v>26500433.9200612</v>
      </c>
      <c r="CA120" s="775"/>
      <c r="CB120" s="775"/>
      <c r="CC120" s="764" cm="1">
        <f t="array" ref="CC120">SUM(BE$6:BE120)</f>
        <v>135706711.920061</v>
      </c>
      <c r="CD120" s="775"/>
      <c r="CE120" s="775"/>
      <c r="CF120" s="775"/>
      <c r="CG120" s="775"/>
      <c r="CH120" s="775"/>
      <c r="CI120" s="775"/>
      <c r="CJ120" s="775"/>
      <c r="CK120" s="775"/>
      <c r="CL120" s="775"/>
      <c r="CM120" s="775"/>
    </row>
    <row r="121" ht="19.35" customHeight="1" hidden="1">
      <c r="A121" s="762">
        <v>115</v>
      </c>
      <c r="B121" s="763">
        <v>48833</v>
      </c>
      <c r="C121" s="764"/>
      <c r="D121" s="765" cm="1">
        <f t="array" ref="D121">ROUND(850000/F121,4)</f>
        <v>15.9894</v>
      </c>
      <c r="E121" s="766" cm="1">
        <f t="array" ref="E121">D121/K120</f>
        <v>0.0226795624935462</v>
      </c>
      <c r="F121" s="767" cm="1">
        <f t="array" ref="F121">F120*(1+G121)</f>
        <v>53160.1808688153</v>
      </c>
      <c r="G121" s="766" cm="1">
        <f t="array" ref="G121">H121-SUM(G110:G120)</f>
        <v>0.0014</v>
      </c>
      <c r="H121" s="768" cm="1">
        <f t="array" ref="H121">'depto - Table 5'!$L$2</f>
        <v>0.03</v>
      </c>
      <c r="I121" s="769" cm="1">
        <f t="array" ref="I121">H121+4.95/100</f>
        <v>0.0795</v>
      </c>
      <c r="J121" s="764" cm="1">
        <f t="array" ref="J121">IF(K120=0,0,ROUND(D121*F121,0))</f>
        <v>849999</v>
      </c>
      <c r="K121" s="770" cm="1">
        <f t="array" ref="K121">IF(K120-BF121&lt;0,0,K120-BF121)</f>
        <v>692.837</v>
      </c>
      <c r="L121" s="771" cm="1">
        <f t="array" ref="L121">K121/K$5</f>
        <v>0.175401772151899</v>
      </c>
      <c r="M121" s="772" cm="1">
        <f t="array" ref="M121">ROUND(K121*F121,0)</f>
        <v>36831340</v>
      </c>
      <c r="N121" s="773" cm="1">
        <f t="array" ref="N121">M121/M$5</f>
        <v>0.25118123173376</v>
      </c>
      <c r="O121" s="772" cm="1">
        <f t="array" ref="O121">M121-M120</f>
        <v>-594914</v>
      </c>
      <c r="P121" s="774" cm="1">
        <f t="array" ref="P121">T121-K121</f>
        <v>4707.163</v>
      </c>
      <c r="Q121" s="772" cm="1">
        <f t="array" ref="Q121">ROUND(P121*F121,0)</f>
        <v>250233636</v>
      </c>
      <c r="R121" s="775" cm="1">
        <f t="array" ref="R121">$K$5-K121</f>
        <v>3257.163</v>
      </c>
      <c r="S121" s="772" cm="1">
        <f t="array" ref="S121">Q121-Q120</f>
        <v>996242</v>
      </c>
      <c r="T121" s="775">
        <v>5400</v>
      </c>
      <c r="U121" s="772" cm="1">
        <f t="array" ref="U121">T121*F121</f>
        <v>287064976.691603</v>
      </c>
      <c r="V121" s="776" cm="1">
        <f t="array" ref="V121">-S121</f>
        <v>-996242</v>
      </c>
      <c r="W121" s="776"/>
      <c r="X121" s="776" cm="1">
        <f t="array" ref="X121">$K120*4.95/12/100/(1-(1+4.95/12/100)^-(360-$A121+3))+$AY121</f>
        <v>5.61062603378156</v>
      </c>
      <c r="Y121" s="777" cm="1">
        <f t="array" ref="Y121">K120*4.95/12/100/(1-(1+4.95/12/100)^-(360-$A121+3))+AY121</f>
        <v>5.61062603378156</v>
      </c>
      <c r="Z121" s="791" cm="1">
        <f t="array" ref="Z121">IF(Z$3*12&lt;=$A121,0,$K120*'depto - Departamento'!$D$8/12/(1-(1+'depto - Departamento'!$D$8/12)^-(12*Z$3-$A121+3))+$AY122)</f>
        <v>6.46173544796895</v>
      </c>
      <c r="AA121" s="791" cm="1">
        <f t="array" ref="AA121">IF(AA$3*12&lt;=$A121,0,$K120*'depto - Departamento'!$D$8/12/(1-(1+'depto - Departamento'!$D$8/12)^-(12*AA$3-$A121+3))+$AY122)</f>
        <v>8.16460594620114</v>
      </c>
      <c r="AB121" s="765" cm="1">
        <f t="array" ref="AB121">IF(AB$3*12&lt;$A121,0,$K120*'depto - Departamento'!$D$8/12/(1-(1+'depto - Departamento'!$D$8/12)^-(12*AB$3-$A121+3))+$AY121)</f>
        <v>12.9757178008718</v>
      </c>
      <c r="AC121" s="765" cm="1">
        <f t="array" ref="AC121">IF(AC$3*12&lt;$A121,0,$K120*'depto - Departamento'!$D$8/12/(1-(1+'depto - Departamento'!$D$8/12)^-(12*AC$3-$A121+3))+$AY121)</f>
        <v>24.6277503647235</v>
      </c>
      <c r="AD121" s="765" cm="1">
        <f t="array" ref="AD121">IF(AD$3*12&lt;$A121,0,$K120*'depto - Departamento'!$D$8/12/(1-(1+'depto - Departamento'!$D$8/12)^-(12*AD$3-$A121+3))+$AY121)</f>
        <v>90.8350687653017</v>
      </c>
      <c r="AE121" s="765" cm="1">
        <f t="array" ref="AE121">IF(AE$3*12&lt;$A121,0,$K120*'depto - Departamento'!$D$8/12/(1-(1+'depto - Departamento'!$D$8/12)^-(12*AE$3-$A121+3))+$AY121)</f>
        <v>0</v>
      </c>
      <c r="AF121" s="765" cm="1">
        <f t="array" ref="AF121">AF120-(AF119-AF120)</f>
        <v>79.5177</v>
      </c>
      <c r="AG121" s="765"/>
      <c r="AH121" s="765"/>
      <c r="AI121" s="778" cm="1">
        <f t="array" ref="AI121">$F121*Y121</f>
        <v>298261.894743112</v>
      </c>
      <c r="AJ121" s="405" cm="1">
        <f t="array" ref="AJ121">$F121*Z121</f>
        <v>343507.025140465</v>
      </c>
      <c r="AK121" s="405" cm="1">
        <f t="array" ref="AK121">$F121*AA121</f>
        <v>434031.928822657</v>
      </c>
      <c r="AL121" s="764" cm="1">
        <f t="array" ref="AL121">$F121*AB121</f>
        <v>689791.505197051</v>
      </c>
      <c r="AM121" s="764" cm="1">
        <f t="array" ref="AM121">$F121*AC121</f>
        <v>1309215.66378073</v>
      </c>
      <c r="AN121" s="764" cm="1">
        <f t="array" ref="AN121">$F121*AD121</f>
        <v>4828808.68479471</v>
      </c>
      <c r="AO121" s="764"/>
      <c r="AP121" s="764" cm="1">
        <f t="array" ref="AP121">$F121*AF121</f>
        <v>4227175.31427219</v>
      </c>
      <c r="AQ121" s="765"/>
      <c r="AR121" s="779" cm="1">
        <f t="array" ref="AR121">K120-K121</f>
        <v>12.1766</v>
      </c>
      <c r="AS121" s="779" cm="1">
        <f t="array" ref="AS121">D121-AR121</f>
        <v>3.8128</v>
      </c>
      <c r="AT121" s="765"/>
      <c r="AU121" s="780" cm="1">
        <f t="array" ref="AU121">ROUND(AV121*F121,0)</f>
        <v>54978</v>
      </c>
      <c r="AV121" s="781" cm="1">
        <f t="array" ref="AV121">IF(K120=0,0,AV120)</f>
        <v>1.0342</v>
      </c>
      <c r="AW121" s="780" cm="1">
        <f t="array" ref="AW121">ROUND(F121*AX121,0)</f>
        <v>1619</v>
      </c>
      <c r="AX121" s="781" cm="1">
        <f t="array" ref="AX121">AX$11/K$10*K120</f>
        <v>0.0304606962471959</v>
      </c>
      <c r="AY121" s="782" cm="1">
        <f t="array" ref="AY121">SUM(AV121,AX121)</f>
        <v>1.0646606962472</v>
      </c>
      <c r="AZ121" s="780" cm="1">
        <f t="array" ref="AZ121">AU121+AW121</f>
        <v>56597</v>
      </c>
      <c r="BA121" s="783" cm="1">
        <f t="array" ref="BA121">AI121-AZ121-BG121</f>
        <v>95571.090406852</v>
      </c>
      <c r="BB121" s="784" cm="1">
        <f t="array" ref="BB121">ROUND(BA121/$F121,4)</f>
        <v>1.7978</v>
      </c>
      <c r="BC121" s="783" cm="1">
        <f t="array" ref="BC121">J121-SUM(AZ121,BA121,BG121)</f>
        <v>551737.105256888</v>
      </c>
      <c r="BD121" s="784" cm="1">
        <f t="array" ref="BD121">ROUND(BC121/$F121,4)</f>
        <v>10.3788</v>
      </c>
      <c r="BE121" s="785" cm="1">
        <f t="array" ref="BE121">BC121+BA121</f>
        <v>647308.19566374</v>
      </c>
      <c r="BF121" s="784" cm="1">
        <f t="array" ref="BF121">ROUND((BA121+BC121)/F121,4)</f>
        <v>12.1766</v>
      </c>
      <c r="BG121" s="786" cm="1">
        <f t="array" ref="BG121">BO121*F121</f>
        <v>146093.80433626</v>
      </c>
      <c r="BH121" s="787" cm="1">
        <f t="array" ref="BH121">ROUND(BG121/$F121,4)</f>
        <v>2.7482</v>
      </c>
      <c r="BI121" s="772" cm="1">
        <f t="array" ref="BI121">M120-M121</f>
        <v>594914</v>
      </c>
      <c r="BJ121" s="772" cm="1">
        <f t="array" ref="BJ121">BE121-BI121</f>
        <v>52394.19566374</v>
      </c>
      <c r="BK121" s="772" cm="1">
        <f t="array" ref="BK121">-BJ121</f>
        <v>-52394.19566374</v>
      </c>
      <c r="BL121" s="772" cm="1">
        <f t="array" ref="BL121">BG121+BJ121</f>
        <v>198488</v>
      </c>
      <c r="BM121" s="772" cm="1">
        <f t="array" ref="BM121">AVERAGE(BL119:BL121)</f>
        <v>302695.333333333</v>
      </c>
      <c r="BN121" s="788" cm="1">
        <f t="array" ref="BN121">BH120-BH121</f>
        <v>0.0501</v>
      </c>
      <c r="BO121" s="775" cm="1">
        <f t="array" ref="BO121">K120*0.0495/12-0.16</f>
        <v>2.7481811</v>
      </c>
      <c r="BP121" s="789" cm="1">
        <f t="array" ref="BP121">(BA121+BC121)/BG121</f>
        <v>4.43077102827611</v>
      </c>
      <c r="BQ121" s="789" cm="1">
        <f t="array" ref="BQ121">Y121-BB121</f>
        <v>3.81282603378156</v>
      </c>
      <c r="BR121" s="789" cm="1">
        <f t="array" ref="BR121">(BR$4*(1+BR$4)^BR$3*K120)/((1+BR$4)^BR$3-1)</f>
        <v>3.7631510768287</v>
      </c>
      <c r="BS121" s="789"/>
      <c r="BT121" s="764"/>
      <c r="BU121" s="764"/>
      <c r="BV121" s="764" cm="1">
        <f t="array" ref="BV121">BA121+BC121+BV120</f>
        <v>136354020.115728</v>
      </c>
      <c r="BW121" s="764" cm="1">
        <f t="array" ref="BW121">BG121+BW120</f>
        <v>30153262.8842749</v>
      </c>
      <c r="BX121" s="775" cm="1">
        <f t="array" ref="BX121">BF121+BX120</f>
        <v>3222.6722</v>
      </c>
      <c r="BY121" s="775" cm="1">
        <f t="array" ref="BY121">BH121+BY120</f>
        <v>694.0444</v>
      </c>
      <c r="BZ121" s="764" cm="1">
        <f t="array" ref="BZ121">SUM(BJ$6:BJ121)</f>
        <v>26552828.1157249</v>
      </c>
      <c r="CA121" s="775"/>
      <c r="CB121" s="775"/>
      <c r="CC121" s="764" cm="1">
        <f t="array" ref="CC121">SUM(BE$6:BE121)</f>
        <v>136354020.115725</v>
      </c>
      <c r="CD121" s="775"/>
      <c r="CE121" s="775"/>
      <c r="CF121" s="775"/>
      <c r="CG121" s="775"/>
      <c r="CH121" s="775"/>
      <c r="CI121" s="775"/>
      <c r="CJ121" s="775"/>
      <c r="CK121" s="775"/>
      <c r="CL121" s="775"/>
      <c r="CM121" s="775"/>
    </row>
    <row r="122" ht="19.35" customHeight="1" hidden="1">
      <c r="A122" s="762">
        <v>116</v>
      </c>
      <c r="B122" s="763">
        <v>48863</v>
      </c>
      <c r="C122" s="764"/>
      <c r="D122" s="765" cm="1">
        <f t="array" ref="D122">ROUND(850000/F122,4)</f>
        <v>15.9051</v>
      </c>
      <c r="E122" s="766" cm="1">
        <f t="array" ref="E122">D122/K121</f>
        <v>0.022956481827616</v>
      </c>
      <c r="F122" s="767" cm="1">
        <f t="array" ref="F122">F121*(1+G122)</f>
        <v>53441.92982742</v>
      </c>
      <c r="G122" s="766" cm="1">
        <f t="array" ref="G122">H122-SUM(G111:G121)</f>
        <v>0.0053</v>
      </c>
      <c r="H122" s="768" cm="1">
        <f t="array" ref="H122">'depto - Table 5'!$L$2</f>
        <v>0.03</v>
      </c>
      <c r="I122" s="769" cm="1">
        <f t="array" ref="I122">H122+4.95/100</f>
        <v>0.0795</v>
      </c>
      <c r="J122" s="764" cm="1">
        <f t="array" ref="J122">IF(K121=0,0,ROUND(D122*F122,0))</f>
        <v>849999</v>
      </c>
      <c r="K122" s="770" cm="1">
        <f t="array" ref="K122">IF(K121-BF122&lt;0,0,K121-BF122)</f>
        <v>680.694</v>
      </c>
      <c r="L122" s="771" cm="1">
        <f t="array" ref="L122">K122/K$5</f>
        <v>0.172327594936709</v>
      </c>
      <c r="M122" s="772" cm="1">
        <f t="array" ref="M122">ROUND(K122*F122,0)</f>
        <v>36377601</v>
      </c>
      <c r="N122" s="773" cm="1">
        <f t="array" ref="N122">M122/M$5</f>
        <v>0.248086836555479</v>
      </c>
      <c r="O122" s="772" cm="1">
        <f t="array" ref="O122">M122-M121</f>
        <v>-453739</v>
      </c>
      <c r="P122" s="774" cm="1">
        <f t="array" ref="P122">T122-K122</f>
        <v>4719.306</v>
      </c>
      <c r="Q122" s="772" cm="1">
        <f t="array" ref="Q122">ROUND(P122*F122,0)</f>
        <v>252208820</v>
      </c>
      <c r="R122" s="775" cm="1">
        <f t="array" ref="R122">$K$5-K122</f>
        <v>3269.306</v>
      </c>
      <c r="S122" s="772" cm="1">
        <f t="array" ref="S122">Q122-Q121</f>
        <v>1975184</v>
      </c>
      <c r="T122" s="775">
        <v>5400</v>
      </c>
      <c r="U122" s="772" cm="1">
        <f t="array" ref="U122">T122*F122</f>
        <v>288586421.068068</v>
      </c>
      <c r="V122" s="776" cm="1">
        <f t="array" ref="V122">-S122</f>
        <v>-1975184</v>
      </c>
      <c r="W122" s="776"/>
      <c r="X122" s="776" cm="1">
        <f t="array" ref="X122">$K121*4.95/12/100/(1-(1+4.95/12/100)^-(360-$A122+3))+$AY122</f>
        <v>5.5419868566185</v>
      </c>
      <c r="Y122" s="777" cm="1">
        <f t="array" ref="Y122">K121*4.95/12/100/(1-(1+4.95/12/100)^-(360-$A122+3))+AY122</f>
        <v>5.5419868566185</v>
      </c>
      <c r="Z122" s="791" cm="1">
        <f t="array" ref="Z122">IF(Z$3*12&lt;=$A122,0,$K121*'depto - Departamento'!$D$8/12/(1-(1+'depto - Departamento'!$D$8/12)^-(12*Z$3-$A122+3))+$AY123)</f>
        <v>6.38678271039176</v>
      </c>
      <c r="AA122" s="791" cm="1">
        <f t="array" ref="AA122">IF(AA$3*12&lt;=$A122,0,$K121*'depto - Departamento'!$D$8/12/(1-(1+'depto - Departamento'!$D$8/12)^-(12*AA$3-$A122+3))+$AY123)</f>
        <v>8.08318712147093</v>
      </c>
      <c r="AB122" s="765" cm="1">
        <f t="array" ref="AB122">IF(AB$3*12&lt;$A122,0,$K121*'depto - Departamento'!$D$8/12/(1-(1+'depto - Departamento'!$D$8/12)^-(12*AB$3-$A122+3))+$AY122)</f>
        <v>12.9208787334157</v>
      </c>
      <c r="AC122" s="765" cm="1">
        <f t="array" ref="AC122">IF(AC$3*12&lt;$A122,0,$K121*'depto - Departamento'!$D$8/12/(1-(1+'depto - Departamento'!$D$8/12)^-(12*AC$3-$A122+3))+$AY122)</f>
        <v>24.9191401086808</v>
      </c>
      <c r="AD122" s="765" cm="1">
        <f t="array" ref="AD122">IF(AD$3*12&lt;$A122,0,$K121*'depto - Departamento'!$D$8/12/(1-(1+'depto - Departamento'!$D$8/12)^-(12*AD$3-$A122+3))+$AY122)</f>
        <v>101.680687319125</v>
      </c>
      <c r="AE122" s="765" cm="1">
        <f t="array" ref="AE122">IF(AE$3*12&lt;$A122,0,$K121*'depto - Departamento'!$D$8/12/(1-(1+'depto - Departamento'!$D$8/12)^-(12*AE$3-$A122+3))+$AY122)</f>
        <v>0</v>
      </c>
      <c r="AF122" s="765" cm="1">
        <f t="array" ref="AF122">AF121-(AF120-AF121)</f>
        <v>79.5149</v>
      </c>
      <c r="AG122" s="765"/>
      <c r="AH122" s="765"/>
      <c r="AI122" s="778" cm="1">
        <f t="array" ref="AI122">$F122*Y122</f>
        <v>296174.47269589</v>
      </c>
      <c r="AJ122" s="405" cm="1">
        <f t="array" ref="AJ122">$F122*Z122</f>
        <v>341321.993431736</v>
      </c>
      <c r="AK122" s="405" cm="1">
        <f t="array" ref="AK122">$F122*AA122</f>
        <v>431981.118927555</v>
      </c>
      <c r="AL122" s="764" cm="1">
        <f t="array" ref="AL122">$F122*AB122</f>
        <v>690516.694579805</v>
      </c>
      <c r="AM122" s="764" cm="1">
        <f t="array" ref="AM122">$F122*AC122</f>
        <v>1331726.93704777</v>
      </c>
      <c r="AN122" s="764" cm="1">
        <f t="array" ref="AN122">$F122*AD122</f>
        <v>5434012.15651251</v>
      </c>
      <c r="AO122" s="764"/>
      <c r="AP122" s="764" cm="1">
        <f t="array" ref="AP122">$F122*AF122</f>
        <v>4249429.70603432</v>
      </c>
      <c r="AQ122" s="765"/>
      <c r="AR122" s="779" cm="1">
        <f t="array" ref="AR122">K121-K122</f>
        <v>12.143</v>
      </c>
      <c r="AS122" s="779" cm="1">
        <f t="array" ref="AS122">D122-AR122</f>
        <v>3.7621</v>
      </c>
      <c r="AT122" s="765"/>
      <c r="AU122" s="780" cm="1">
        <f t="array" ref="AU122">ROUND(AV122*F122,0)</f>
        <v>55270</v>
      </c>
      <c r="AV122" s="781" cm="1">
        <f t="array" ref="AV122">IF(K121=0,0,AV121)</f>
        <v>1.0342</v>
      </c>
      <c r="AW122" s="780" cm="1">
        <f t="array" ref="AW122">ROUND(F122*AX122,0)</f>
        <v>1600</v>
      </c>
      <c r="AX122" s="781" cm="1">
        <f t="array" ref="AX122">AX$11/K$10*K121</f>
        <v>0.0299345961635612</v>
      </c>
      <c r="AY122" s="782" cm="1">
        <f t="array" ref="AY122">SUM(AV122,AX122)</f>
        <v>1.06413459616356</v>
      </c>
      <c r="AZ122" s="780" cm="1">
        <f t="array" ref="AZ122">AU122+AW122</f>
        <v>56870</v>
      </c>
      <c r="BA122" s="783" cm="1">
        <f t="array" ref="BA122">AI122-AZ122-BG122</f>
        <v>95120.677832935995</v>
      </c>
      <c r="BB122" s="784" cm="1">
        <f t="array" ref="BB122">ROUND(BA122/$F122,4)</f>
        <v>1.7799</v>
      </c>
      <c r="BC122" s="783" cm="1">
        <f t="array" ref="BC122">J122-SUM(AZ122,BA122,BG122)</f>
        <v>553824.52730411</v>
      </c>
      <c r="BD122" s="784" cm="1">
        <f t="array" ref="BD122">ROUND(BC122/$F122,4)</f>
        <v>10.3631</v>
      </c>
      <c r="BE122" s="785" cm="1">
        <f t="array" ref="BE122">BC122+BA122</f>
        <v>648945.2051370461</v>
      </c>
      <c r="BF122" s="784" cm="1">
        <f t="array" ref="BF122">ROUND((BA122+BC122)/F122,4)</f>
        <v>12.143</v>
      </c>
      <c r="BG122" s="786" cm="1">
        <f t="array" ref="BG122">BO122*F122</f>
        <v>144183.794862954</v>
      </c>
      <c r="BH122" s="787" cm="1">
        <f t="array" ref="BH122">ROUND(BG122/$F122,4)</f>
        <v>2.698</v>
      </c>
      <c r="BI122" s="772" cm="1">
        <f t="array" ref="BI122">M121-M122</f>
        <v>453739</v>
      </c>
      <c r="BJ122" s="772" cm="1">
        <f t="array" ref="BJ122">BE122-BI122</f>
        <v>195206.205137046</v>
      </c>
      <c r="BK122" s="772" cm="1">
        <f t="array" ref="BK122">-BJ122</f>
        <v>-195206.205137046</v>
      </c>
      <c r="BL122" s="772" cm="1">
        <f t="array" ref="BL122">BG122+BJ122</f>
        <v>339390</v>
      </c>
      <c r="BM122" s="772" cm="1">
        <f t="array" ref="BM122">AVERAGE(BL120:BL122)</f>
        <v>228809.666666667</v>
      </c>
      <c r="BN122" s="788" cm="1">
        <f t="array" ref="BN122">BH121-BH122</f>
        <v>0.0502</v>
      </c>
      <c r="BO122" s="775" cm="1">
        <f t="array" ref="BO122">K121*0.0495/12-0.16</f>
        <v>2.697952625</v>
      </c>
      <c r="BP122" s="789" cm="1">
        <f t="array" ref="BP122">(BA122+BC122)/BG122</f>
        <v>4.50081928939286</v>
      </c>
      <c r="BQ122" s="789" cm="1">
        <f t="array" ref="BQ122">Y122-BB122</f>
        <v>3.7620868566185</v>
      </c>
      <c r="BR122" s="789" cm="1">
        <f t="array" ref="BR122">(BR$4*(1+BR$4)^BR$3*K121)/((1+BR$4)^BR$3-1)</f>
        <v>3.69815603928317</v>
      </c>
      <c r="BS122" s="789"/>
      <c r="BT122" s="764"/>
      <c r="BU122" s="764"/>
      <c r="BV122" s="764" cm="1">
        <f t="array" ref="BV122">BA122+BC122+BV121</f>
        <v>137002965.320865</v>
      </c>
      <c r="BW122" s="764" cm="1">
        <f t="array" ref="BW122">BG122+BW121</f>
        <v>30297446.6791379</v>
      </c>
      <c r="BX122" s="775" cm="1">
        <f t="array" ref="BX122">BF122+BX121</f>
        <v>3234.8152</v>
      </c>
      <c r="BY122" s="775" cm="1">
        <f t="array" ref="BY122">BH122+BY121</f>
        <v>696.7424</v>
      </c>
      <c r="BZ122" s="764" cm="1">
        <f t="array" ref="BZ122">SUM(BJ$6:BJ122)</f>
        <v>26748034.320862</v>
      </c>
      <c r="CA122" s="775"/>
      <c r="CB122" s="775"/>
      <c r="CC122" s="764" cm="1">
        <f t="array" ref="CC122">SUM(BE$6:BE122)</f>
        <v>137002965.320862</v>
      </c>
      <c r="CD122" s="775"/>
      <c r="CE122" s="775"/>
      <c r="CF122" s="775"/>
      <c r="CG122" s="775"/>
      <c r="CH122" s="775"/>
      <c r="CI122" s="775"/>
      <c r="CJ122" s="775"/>
      <c r="CK122" s="775"/>
      <c r="CL122" s="775"/>
      <c r="CM122" s="775"/>
    </row>
    <row r="123" ht="19.35" customHeight="1" hidden="1">
      <c r="A123" s="762">
        <v>117</v>
      </c>
      <c r="B123" s="763">
        <v>48894</v>
      </c>
      <c r="C123" s="764"/>
      <c r="D123" s="765" cm="1">
        <f t="array" ref="D123">ROUND(850000/F123,4)</f>
        <v>15.8465</v>
      </c>
      <c r="E123" s="766" cm="1">
        <f t="array" ref="E123">D123/K122</f>
        <v>0.0232799172609131</v>
      </c>
      <c r="F123" s="767" cm="1">
        <f t="array" ref="F123">F122*(1+G123)</f>
        <v>53639.6649677815</v>
      </c>
      <c r="G123" s="766" cm="1">
        <f t="array" ref="G123">H123-SUM(G112:G122)</f>
        <v>0.0037</v>
      </c>
      <c r="H123" s="768" cm="1">
        <f t="array" ref="H123">'depto - Table 5'!$L$2</f>
        <v>0.03</v>
      </c>
      <c r="I123" s="769" cm="1">
        <f t="array" ref="I123">H123+4.95/100</f>
        <v>0.0795</v>
      </c>
      <c r="J123" s="764" cm="1">
        <f t="array" ref="J123">IF(K122=0,0,ROUND(D123*F123,0))</f>
        <v>850001</v>
      </c>
      <c r="K123" s="770" cm="1">
        <f t="array" ref="K123">IF(K122-BF123&lt;0,0,K122-BF123)</f>
        <v>668.559</v>
      </c>
      <c r="L123" s="771" cm="1">
        <f t="array" ref="L123">K123/K$5</f>
        <v>0.169255443037975</v>
      </c>
      <c r="M123" s="772" cm="1">
        <f t="array" ref="M123">ROUND(K123*F123,0)</f>
        <v>35861281</v>
      </c>
      <c r="N123" s="773" cm="1">
        <f t="array" ref="N123">M123/M$5</f>
        <v>0.244565653411754</v>
      </c>
      <c r="O123" s="772" cm="1">
        <f t="array" ref="O123">M123-M122</f>
        <v>-516320</v>
      </c>
      <c r="P123" s="774" cm="1">
        <f t="array" ref="P123">T123-K123</f>
        <v>4731.441</v>
      </c>
      <c r="Q123" s="772" cm="1">
        <f t="array" ref="Q123">ROUND(P123*F123,0)</f>
        <v>253792910</v>
      </c>
      <c r="R123" s="775" cm="1">
        <f t="array" ref="R123">$K$5-K123</f>
        <v>3281.441</v>
      </c>
      <c r="S123" s="772" cm="1">
        <f t="array" ref="S123">Q123-Q122</f>
        <v>1584090</v>
      </c>
      <c r="T123" s="775">
        <v>5400</v>
      </c>
      <c r="U123" s="772" cm="1">
        <f t="array" ref="U123">T123*F123</f>
        <v>289654190.82602</v>
      </c>
      <c r="V123" s="776" cm="1">
        <f t="array" ref="V123">-S123</f>
        <v>-1584090</v>
      </c>
      <c r="W123" s="776"/>
      <c r="X123" s="776" cm="1">
        <f t="array" ref="X123">$K122*4.95/12/100/(1-(1+4.95/12/100)^-(360-$A123+3))+$AY123</f>
        <v>5.47329131269627</v>
      </c>
      <c r="Y123" s="777" cm="1">
        <f t="array" ref="Y123">K122*4.95/12/100/(1-(1+4.95/12/100)^-(360-$A123+3))+AY123</f>
        <v>5.47329131269627</v>
      </c>
      <c r="Z123" s="791" cm="1">
        <f t="array" ref="Z123">IF(Z$3*12&lt;=$A123,0,$K122*'depto - Departamento'!$D$8/12/(1-(1+'depto - Departamento'!$D$8/12)^-(12*Z$3-$A123+3))+$AY124)</f>
        <v>6.31163702877206</v>
      </c>
      <c r="AA123" s="791" cm="1">
        <f t="array" ref="AA123">IF(AA$3*12&lt;=$A123,0,$K122*'depto - Departamento'!$D$8/12/(1-(1+'depto - Departamento'!$D$8/12)^-(12*AA$3-$A123+3))+$AY124)</f>
        <v>8.00130971258424</v>
      </c>
      <c r="AB123" s="765" cm="1">
        <f t="array" ref="AB123">IF(AB$3*12&lt;$A123,0,$K122*'depto - Departamento'!$D$8/12/(1-(1+'depto - Departamento'!$D$8/12)^-(12*AB$3-$A123+3))+$AY123)</f>
        <v>12.8658381555624</v>
      </c>
      <c r="AC123" s="765" cm="1">
        <f t="array" ref="AC123">IF(AC$3*12&lt;$A123,0,$K122*'depto - Departamento'!$D$8/12/(1-(1+'depto - Departamento'!$D$8/12)^-(12*AC$3-$A123+3))+$AY123)</f>
        <v>25.2329961120555</v>
      </c>
      <c r="AD123" s="765" cm="1">
        <f t="array" ref="AD123">IF(AD$3*12&lt;$A123,0,$K122*'depto - Departamento'!$D$8/12/(1-(1+'depto - Departamento'!$D$8/12)^-(12*AD$3-$A123+3))+$AY123)</f>
        <v>116.156148595608</v>
      </c>
      <c r="AE123" s="765" cm="1">
        <f t="array" ref="AE123">IF(AE$3*12&lt;$A123,0,$K122*'depto - Departamento'!$D$8/12/(1-(1+'depto - Departamento'!$D$8/12)^-(12*AE$3-$A123+3))+$AY123)</f>
        <v>0</v>
      </c>
      <c r="AF123" s="765" cm="1">
        <f t="array" ref="AF123">AF122-(AF121-AF122)</f>
        <v>79.5121</v>
      </c>
      <c r="AG123" s="765"/>
      <c r="AH123" s="765"/>
      <c r="AI123" s="778" cm="1">
        <f t="array" ref="AI123">$F123*Y123</f>
        <v>293585.512284097</v>
      </c>
      <c r="AJ123" s="405" cm="1">
        <f t="array" ref="AJ123">$F123*Z123</f>
        <v>338554.095621577</v>
      </c>
      <c r="AK123" s="405" cm="1">
        <f t="array" ref="AK123">$F123*AA123</f>
        <v>429187.572286475</v>
      </c>
      <c r="AL123" s="764" cm="1">
        <f t="array" ref="AL123">$F123*AB123</f>
        <v>690119.248194067</v>
      </c>
      <c r="AM123" s="764" cm="1">
        <f t="array" ref="AM123">$F123*AC123</f>
        <v>1353489.45758399</v>
      </c>
      <c r="AN123" s="764" cm="1">
        <f t="array" ref="AN123">$F123*AD123</f>
        <v>6230576.89461626</v>
      </c>
      <c r="AO123" s="764"/>
      <c r="AP123" s="764" cm="1">
        <f t="array" ref="AP123">$F123*AF123</f>
        <v>4265002.40488474</v>
      </c>
      <c r="AQ123" s="765"/>
      <c r="AR123" s="779" cm="1">
        <f t="array" ref="AR123">K122-K123</f>
        <v>12.135</v>
      </c>
      <c r="AS123" s="779" cm="1">
        <f t="array" ref="AS123">D123-AR123</f>
        <v>3.7115</v>
      </c>
      <c r="AT123" s="765"/>
      <c r="AU123" s="780" cm="1">
        <f t="array" ref="AU123">ROUND(AV123*F123,0)</f>
        <v>55474</v>
      </c>
      <c r="AV123" s="781" cm="1">
        <f t="array" ref="AV123">IF(K122=0,0,AV122)</f>
        <v>1.0342</v>
      </c>
      <c r="AW123" s="780" cm="1">
        <f t="array" ref="AW123">ROUND(F123*AX123,0)</f>
        <v>1578</v>
      </c>
      <c r="AX123" s="781" cm="1">
        <f t="array" ref="AX123">AX$11/K$10*K122</f>
        <v>0.0294099477957429</v>
      </c>
      <c r="AY123" s="782" cm="1">
        <f t="array" ref="AY123">SUM(AV123,AX123)</f>
        <v>1.06360994779574</v>
      </c>
      <c r="AZ123" s="780" cm="1">
        <f t="array" ref="AZ123">AU123+AW123</f>
        <v>57052</v>
      </c>
      <c r="BA123" s="783" cm="1">
        <f t="array" ref="BA123">AI123-AZ123-BG123</f>
        <v>94503.041493428</v>
      </c>
      <c r="BB123" s="784" cm="1">
        <f t="array" ref="BB123">ROUND(BA123/$F123,4)</f>
        <v>1.7618</v>
      </c>
      <c r="BC123" s="783" cm="1">
        <f t="array" ref="BC123">J123-SUM(AZ123,BA123,BG123)</f>
        <v>556415.487715903</v>
      </c>
      <c r="BD123" s="784" cm="1">
        <f t="array" ref="BD123">ROUND(BC123/$F123,4)</f>
        <v>10.3732</v>
      </c>
      <c r="BE123" s="785" cm="1">
        <f t="array" ref="BE123">BC123+BA123</f>
        <v>650918.529209331</v>
      </c>
      <c r="BF123" s="784" cm="1">
        <f t="array" ref="BF123">ROUND((BA123+BC123)/F123,4)</f>
        <v>12.135</v>
      </c>
      <c r="BG123" s="786" cm="1">
        <f t="array" ref="BG123">BO123*F123</f>
        <v>142030.470790669</v>
      </c>
      <c r="BH123" s="787" cm="1">
        <f t="array" ref="BH123">ROUND(BG123/$F123,4)</f>
        <v>2.6479</v>
      </c>
      <c r="BI123" s="772" cm="1">
        <f t="array" ref="BI123">M122-M123</f>
        <v>516320</v>
      </c>
      <c r="BJ123" s="772" cm="1">
        <f t="array" ref="BJ123">BE123-BI123</f>
        <v>134598.529209331</v>
      </c>
      <c r="BK123" s="772" cm="1">
        <f t="array" ref="BK123">-BJ123</f>
        <v>-134598.529209331</v>
      </c>
      <c r="BL123" s="772" cm="1">
        <f t="array" ref="BL123">BG123+BJ123</f>
        <v>276629</v>
      </c>
      <c r="BM123" s="772" cm="1">
        <f t="array" ref="BM123">AVERAGE(BL121:BL123)</f>
        <v>271502.333333333</v>
      </c>
      <c r="BN123" s="788" cm="1">
        <f t="array" ref="BN123">BH122-BH123</f>
        <v>0.0501</v>
      </c>
      <c r="BO123" s="775" cm="1">
        <f t="array" ref="BO123">K122*0.0495/12-0.16</f>
        <v>2.64786275</v>
      </c>
      <c r="BP123" s="789" cm="1">
        <f t="array" ref="BP123">(BA123+BC123)/BG123</f>
        <v>4.58294988100606</v>
      </c>
      <c r="BQ123" s="789" cm="1">
        <f t="array" ref="BQ123">Y123-BB123</f>
        <v>3.71149131269627</v>
      </c>
      <c r="BR123" s="789" cm="1">
        <f t="array" ref="BR123">(BR$4*(1+BR$4)^BR$3*K122)/((1+BR$4)^BR$3-1)</f>
        <v>3.63334034845688</v>
      </c>
      <c r="BS123" s="789"/>
      <c r="BT123" s="764"/>
      <c r="BU123" s="764"/>
      <c r="BV123" s="764" cm="1">
        <f t="array" ref="BV123">BA123+BC123+BV122</f>
        <v>137653883.850074</v>
      </c>
      <c r="BW123" s="764" cm="1">
        <f t="array" ref="BW123">BG123+BW122</f>
        <v>30439477.1499286</v>
      </c>
      <c r="BX123" s="775" cm="1">
        <f t="array" ref="BX123">BF123+BX122</f>
        <v>3246.9502</v>
      </c>
      <c r="BY123" s="775" cm="1">
        <f t="array" ref="BY123">BH123+BY122</f>
        <v>699.3903</v>
      </c>
      <c r="BZ123" s="764" cm="1">
        <f t="array" ref="BZ123">SUM(BJ$6:BJ123)</f>
        <v>26882632.8500713</v>
      </c>
      <c r="CA123" s="775"/>
      <c r="CB123" s="775"/>
      <c r="CC123" s="764" cm="1">
        <f t="array" ref="CC123">SUM(BE$6:BE123)</f>
        <v>137653883.850071</v>
      </c>
      <c r="CD123" s="775"/>
      <c r="CE123" s="775"/>
      <c r="CF123" s="775"/>
      <c r="CG123" s="775"/>
      <c r="CH123" s="775"/>
      <c r="CI123" s="775"/>
      <c r="CJ123" s="775"/>
      <c r="CK123" s="775"/>
      <c r="CL123" s="775"/>
      <c r="CM123" s="775"/>
    </row>
    <row r="124" ht="19.35" customHeight="1" hidden="1">
      <c r="A124" s="762">
        <v>118</v>
      </c>
      <c r="B124" s="763">
        <v>48924</v>
      </c>
      <c r="C124" s="764"/>
      <c r="D124" s="765" cm="1">
        <f t="array" ref="D124">ROUND(850000/F124,4)</f>
        <v>15.8433</v>
      </c>
      <c r="E124" s="766" cm="1">
        <f t="array" ref="E124">D124/K123</f>
        <v>0.0236976841236151</v>
      </c>
      <c r="F124" s="767" cm="1">
        <f t="array" ref="F124">F123*(1+G124)</f>
        <v>53650.3929007751</v>
      </c>
      <c r="G124" s="766" cm="1">
        <f t="array" ref="G124">H124-SUM(G113:G123)</f>
        <v>0.0002</v>
      </c>
      <c r="H124" s="768" cm="1">
        <f t="array" ref="H124">'depto - Table 5'!$L$2</f>
        <v>0.03</v>
      </c>
      <c r="I124" s="769" cm="1">
        <f t="array" ref="I124">H124+4.95/100</f>
        <v>0.0795</v>
      </c>
      <c r="J124" s="764" cm="1">
        <f t="array" ref="J124">IF(K123=0,0,ROUND(D124*F124,0))</f>
        <v>849999</v>
      </c>
      <c r="K124" s="770" cm="1">
        <f t="array" ref="K124">IF(K123-BF124&lt;0,0,K123-BF124)</f>
        <v>656.3766000000001</v>
      </c>
      <c r="L124" s="771" cm="1">
        <f t="array" ref="L124">K124/K$5</f>
        <v>0.166171291139241</v>
      </c>
      <c r="M124" s="772" cm="1">
        <f t="array" ref="M124">ROUND(K124*F124,0)</f>
        <v>35214862</v>
      </c>
      <c r="N124" s="773" cm="1">
        <f t="array" ref="N124">M124/M$5</f>
        <v>0.240157225137461</v>
      </c>
      <c r="O124" s="772" cm="1">
        <f t="array" ref="O124">M124-M123</f>
        <v>-646419</v>
      </c>
      <c r="P124" s="774" cm="1">
        <f t="array" ref="P124">T124-K124</f>
        <v>4743.6234</v>
      </c>
      <c r="Q124" s="772" cm="1">
        <f t="array" ref="Q124">ROUND(P124*F124,0)</f>
        <v>254497259</v>
      </c>
      <c r="R124" s="775" cm="1">
        <f t="array" ref="R124">$K$5-K124</f>
        <v>3293.6234</v>
      </c>
      <c r="S124" s="772" cm="1">
        <f t="array" ref="S124">Q124-Q123</f>
        <v>704349</v>
      </c>
      <c r="T124" s="775">
        <v>5400</v>
      </c>
      <c r="U124" s="772" cm="1">
        <f t="array" ref="U124">T124*F124</f>
        <v>289712121.664186</v>
      </c>
      <c r="V124" s="776" cm="1">
        <f t="array" ref="V124">-S124</f>
        <v>-704349</v>
      </c>
      <c r="W124" s="776"/>
      <c r="X124" s="776" cm="1">
        <f t="array" ref="X124">$K123*4.95/12/100/(1-(1+4.95/12/100)^-(360-$A124+3))+$AY124</f>
        <v>5.40436985427193</v>
      </c>
      <c r="Y124" s="777" cm="1">
        <f t="array" ref="Y124">K123*4.95/12/100/(1-(1+4.95/12/100)^-(360-$A124+3))+AY124</f>
        <v>5.40436985427193</v>
      </c>
      <c r="Z124" s="791" cm="1">
        <f t="array" ref="Z124">IF(Z$3*12&lt;=$A124,0,$K123*'depto - Departamento'!$D$8/12/(1-(1+'depto - Departamento'!$D$8/12)^-(12*Z$3-$A124+3))+$AY125)</f>
        <v>6.23609284849774</v>
      </c>
      <c r="AA124" s="791" cm="1">
        <f t="array" ref="AA124">IF(AA$3*12&lt;=$A124,0,$K123*'depto - Departamento'!$D$8/12/(1-(1+'depto - Departamento'!$D$8/12)^-(12*AA$3-$A124+3))+$AY125)</f>
        <v>7.91869503557179</v>
      </c>
      <c r="AB124" s="765" cm="1">
        <f t="array" ref="AB124">IF(AB$3*12&lt;$A124,0,$K123*'depto - Departamento'!$D$8/12/(1-(1+'depto - Departamento'!$D$8/12)^-(12*AB$3-$A124+3))+$AY124)</f>
        <v>12.8101307268151</v>
      </c>
      <c r="AC124" s="765" cm="1">
        <f t="array" ref="AC124">IF(AC$3*12&lt;$A124,0,$K123*'depto - Departamento'!$D$8/12/(1-(1+'depto - Departamento'!$D$8/12)^-(12*AC$3-$A124+3))+$AY124)</f>
        <v>25.5706917746355</v>
      </c>
      <c r="AD124" s="765" cm="1">
        <f t="array" ref="AD124">IF(AD$3*12&lt;$A124,0,$K123*'depto - Departamento'!$D$8/12/(1-(1+'depto - Departamento'!$D$8/12)^-(12*AD$3-$A124+3))+$AY124)</f>
        <v>136.434110156997</v>
      </c>
      <c r="AE124" s="765" cm="1">
        <f t="array" ref="AE124">IF(AE$3*12&lt;$A124,0,$K123*'depto - Departamento'!$D$8/12/(1-(1+'depto - Departamento'!$D$8/12)^-(12*AE$3-$A124+3))+$AY124)</f>
        <v>0</v>
      </c>
      <c r="AF124" s="765" cm="1">
        <f t="array" ref="AF124">AF123-(AF122-AF123)</f>
        <v>79.5093</v>
      </c>
      <c r="AG124" s="765"/>
      <c r="AH124" s="765"/>
      <c r="AI124" s="778" cm="1">
        <f t="array" ref="AI124">$F124*Y124</f>
        <v>289946.566062794</v>
      </c>
      <c r="AJ124" s="405" cm="1">
        <f t="array" ref="AJ124">$F124*Z124</f>
        <v>334568.831487618</v>
      </c>
      <c r="AK124" s="405" cm="1">
        <f t="array" ref="AK124">$F124*AA124</f>
        <v>424841.099919844</v>
      </c>
      <c r="AL124" s="764" cm="1">
        <f t="array" ref="AL124">$F124*AB124</f>
        <v>687268.546603922</v>
      </c>
      <c r="AM124" s="764" cm="1">
        <f t="array" ref="AM124">$F124*AC124</f>
        <v>1371877.66045381</v>
      </c>
      <c r="AN124" s="764" cm="1">
        <f t="array" ref="AN124">$F124*AD124</f>
        <v>7319743.61499052</v>
      </c>
      <c r="AO124" s="764"/>
      <c r="AP124" s="764" cm="1">
        <f t="array" ref="AP124">$F124*AF124</f>
        <v>4265705.1842656</v>
      </c>
      <c r="AQ124" s="765"/>
      <c r="AR124" s="779" cm="1">
        <f t="array" ref="AR124">K123-K124</f>
        <v>12.1824</v>
      </c>
      <c r="AS124" s="779" cm="1">
        <f t="array" ref="AS124">D124-AR124</f>
        <v>3.6609</v>
      </c>
      <c r="AT124" s="765"/>
      <c r="AU124" s="780" cm="1">
        <f t="array" ref="AU124">ROUND(AV124*F124,0)</f>
        <v>55485</v>
      </c>
      <c r="AV124" s="781" cm="1">
        <f t="array" ref="AV124">IF(K123=0,0,AV123)</f>
        <v>1.0342</v>
      </c>
      <c r="AW124" s="780" cm="1">
        <f t="array" ref="AW124">ROUND(F124*AX124,0)</f>
        <v>1550</v>
      </c>
      <c r="AX124" s="781" cm="1">
        <f t="array" ref="AX124">AX$11/K$10*K123</f>
        <v>0.0288856450745476</v>
      </c>
      <c r="AY124" s="782" cm="1">
        <f t="array" ref="AY124">SUM(AV124,AX124)</f>
        <v>1.06308564507455</v>
      </c>
      <c r="AZ124" s="780" cm="1">
        <f t="array" ref="AZ124">AU124+AW124</f>
        <v>57035</v>
      </c>
      <c r="BA124" s="783" cm="1">
        <f t="array" ref="BA124">AI124-AZ124-BG124</f>
        <v>93538.260189102</v>
      </c>
      <c r="BB124" s="784" cm="1">
        <f t="array" ref="BB124">ROUND(BA124/$F124,4)</f>
        <v>1.7435</v>
      </c>
      <c r="BC124" s="783" cm="1">
        <f t="array" ref="BC124">J124-SUM(AZ124,BA124,BG124)</f>
        <v>560052.433937206</v>
      </c>
      <c r="BD124" s="784" cm="1">
        <f t="array" ref="BD124">ROUND(BC124/$F124,4)</f>
        <v>10.4389</v>
      </c>
      <c r="BE124" s="785" cm="1">
        <f t="array" ref="BE124">BC124+BA124</f>
        <v>653590.694126308</v>
      </c>
      <c r="BF124" s="784" cm="1">
        <f t="array" ref="BF124">ROUND((BA124+BC124)/F124,4)</f>
        <v>12.1824</v>
      </c>
      <c r="BG124" s="786" cm="1">
        <f t="array" ref="BG124">BO124*F124</f>
        <v>139373.305873692</v>
      </c>
      <c r="BH124" s="787" cm="1">
        <f t="array" ref="BH124">ROUND(BG124/$F124,4)</f>
        <v>2.5978</v>
      </c>
      <c r="BI124" s="772" cm="1">
        <f t="array" ref="BI124">M123-M124</f>
        <v>646419</v>
      </c>
      <c r="BJ124" s="772" cm="1">
        <f t="array" ref="BJ124">BE124-BI124</f>
        <v>7171.694126308</v>
      </c>
      <c r="BK124" s="772" cm="1">
        <f t="array" ref="BK124">-BJ124</f>
        <v>-7171.694126308</v>
      </c>
      <c r="BL124" s="772" cm="1">
        <f t="array" ref="BL124">BG124+BJ124</f>
        <v>146545</v>
      </c>
      <c r="BM124" s="772" cm="1">
        <f t="array" ref="BM124">AVERAGE(BL122:BL124)</f>
        <v>254188</v>
      </c>
      <c r="BN124" s="788" cm="1">
        <f t="array" ref="BN124">BH123-BH124</f>
        <v>0.0501</v>
      </c>
      <c r="BO124" s="775" cm="1">
        <f t="array" ref="BO124">K123*0.0495/12-0.16</f>
        <v>2.597805875</v>
      </c>
      <c r="BP124" s="789" cm="1">
        <f t="array" ref="BP124">(BA124+BC124)/BG124</f>
        <v>4.68949695947249</v>
      </c>
      <c r="BQ124" s="789" cm="1">
        <f t="array" ref="BQ124">Y124-BB124</f>
        <v>3.66086985427193</v>
      </c>
      <c r="BR124" s="789" cm="1">
        <f t="array" ref="BR124">(BR$4*(1+BR$4)^BR$3*K123)/((1+BR$4)^BR$3-1)</f>
        <v>3.56856735923041</v>
      </c>
      <c r="BS124" s="789"/>
      <c r="BT124" s="764"/>
      <c r="BU124" s="764"/>
      <c r="BV124" s="764" cm="1">
        <f t="array" ref="BV124">BA124+BC124+BV123</f>
        <v>138307474.5442</v>
      </c>
      <c r="BW124" s="764" cm="1">
        <f t="array" ref="BW124">BG124+BW123</f>
        <v>30578850.4558023</v>
      </c>
      <c r="BX124" s="775" cm="1">
        <f t="array" ref="BX124">BF124+BX123</f>
        <v>3259.1326</v>
      </c>
      <c r="BY124" s="775" cm="1">
        <f t="array" ref="BY124">BH124+BY123</f>
        <v>701.9881</v>
      </c>
      <c r="BZ124" s="764" cm="1">
        <f t="array" ref="BZ124">SUM(BJ$6:BJ124)</f>
        <v>26889804.5441976</v>
      </c>
      <c r="CA124" s="775"/>
      <c r="CB124" s="775"/>
      <c r="CC124" s="764" cm="1">
        <f t="array" ref="CC124">SUM(BE$6:BE124)</f>
        <v>138307474.544198</v>
      </c>
      <c r="CD124" s="775"/>
      <c r="CE124" s="775"/>
      <c r="CF124" s="775"/>
      <c r="CG124" s="775"/>
      <c r="CH124" s="775"/>
      <c r="CI124" s="775"/>
      <c r="CJ124" s="775"/>
      <c r="CK124" s="775"/>
      <c r="CL124" s="775"/>
      <c r="CM124" s="775"/>
    </row>
    <row r="125" ht="19.35" customHeight="1" hidden="1">
      <c r="A125" s="762">
        <v>119</v>
      </c>
      <c r="B125" s="790">
        <v>48955</v>
      </c>
      <c r="C125" s="405"/>
      <c r="D125" s="791" cm="1">
        <f t="array" ref="D125">ROUND(850000/F125,4)</f>
        <v>16.1535</v>
      </c>
      <c r="E125" s="792" cm="1">
        <f t="array" ref="E125">D125/K124</f>
        <v>0.0246101095011614</v>
      </c>
      <c r="F125" s="793" cm="1">
        <f t="array" ref="F125">F124*(1+G125)</f>
        <v>52620.3053570802</v>
      </c>
      <c r="G125" s="792" cm="1">
        <f t="array" ref="G125">H125-SUM(G114:G124)</f>
        <v>-0.0192</v>
      </c>
      <c r="H125" s="794" cm="1">
        <f t="array" ref="H125">'depto - Table 5'!$L$2</f>
        <v>0.03</v>
      </c>
      <c r="I125" s="795" cm="1">
        <f t="array" ref="I125">H125+4.95/100</f>
        <v>0.0795</v>
      </c>
      <c r="J125" s="405" cm="1">
        <f t="array" ref="J125">IF(K124=0,0,ROUND(D125*F125,0))</f>
        <v>850002</v>
      </c>
      <c r="K125" s="796" cm="1">
        <f t="array" ref="K125">IF(K124-BF125&lt;0,0,K124-BF125)</f>
        <v>643.8332</v>
      </c>
      <c r="L125" s="797" cm="1">
        <f t="array" ref="L125">K125/K$5</f>
        <v>0.162995746835443</v>
      </c>
      <c r="M125" s="798" cm="1">
        <f t="array" ref="M125">ROUND(K125*F125,0)</f>
        <v>33878700</v>
      </c>
      <c r="N125" s="799" cm="1">
        <f t="array" ref="N125">M125/M$5</f>
        <v>0.231044908915574</v>
      </c>
      <c r="O125" s="798" cm="1">
        <f t="array" ref="O125">M125-M124</f>
        <v>-1336162</v>
      </c>
      <c r="P125" s="800" cm="1">
        <f t="array" ref="P125">T125-K125</f>
        <v>4756.1668</v>
      </c>
      <c r="Q125" s="798" cm="1">
        <f t="array" ref="Q125">ROUND(P125*F125,0)</f>
        <v>250270949</v>
      </c>
      <c r="R125" s="801" cm="1">
        <f t="array" ref="R125">$K$5-K125</f>
        <v>3306.1668</v>
      </c>
      <c r="S125" s="798" cm="1">
        <f t="array" ref="S125">Q125-Q124</f>
        <v>-4226310</v>
      </c>
      <c r="T125" s="801">
        <v>5400</v>
      </c>
      <c r="U125" s="798" cm="1">
        <f t="array" ref="U125">T125*F125</f>
        <v>284149648.928233</v>
      </c>
      <c r="V125" s="802" cm="1">
        <f t="array" ref="V125">-S125</f>
        <v>4226310</v>
      </c>
      <c r="W125" s="802"/>
      <c r="X125" s="802" cm="1">
        <f t="array" ref="X125">$K124*4.95/12/100/(1-(1+4.95/12/100)^-(360-$A125+3))+$AY125</f>
        <v>5.33485606737292</v>
      </c>
      <c r="Y125" s="803" cm="1">
        <f t="array" ref="Y125">K124*4.95/12/100/(1-(1+4.95/12/100)^-(360-$A125+3))+AY125</f>
        <v>5.33485606737292</v>
      </c>
      <c r="Z125" s="791" cm="1">
        <f t="array" ref="Z125">IF(Z$3*12&lt;=$A125,0,$K124*'depto - Departamento'!$D$8/12/(1-(1+'depto - Departamento'!$D$8/12)^-(12*Z$3-$A125+3))+$AY126)</f>
        <v>6.1596990394175</v>
      </c>
      <c r="AA125" s="791" cm="1">
        <f t="array" ref="AA125">IF(AA$3*12&lt;=$A125,0,$K124*'depto - Departamento'!$D$8/12/(1-(1+'depto - Departamento'!$D$8/12)^-(12*AA$3-$A125+3))+$AY126)</f>
        <v>7.83473884703428</v>
      </c>
      <c r="AB125" s="791" cm="1">
        <f t="array" ref="AB125">IF(AB$3*12&lt;$A125,0,$K124*'depto - Departamento'!$D$8/12/(1-(1+'depto - Departamento'!$D$8/12)^-(12*AB$3-$A125+3))+$AY125)</f>
        <v>12.7527336612847</v>
      </c>
      <c r="AC125" s="791" cm="1">
        <f t="array" ref="AC125">IF(AC$3*12&lt;$A125,0,$K124*'depto - Departamento'!$D$8/12/(1-(1+'depto - Departamento'!$D$8/12)^-(12*AC$3-$A125+3))+$AY125)</f>
        <v>25.9326743017151</v>
      </c>
      <c r="AD125" s="791" cm="1">
        <f t="array" ref="AD125">IF(AD$3*12&lt;$A125,0,$K124*'depto - Departamento'!$D$8/12/(1-(1+'depto - Departamento'!$D$8/12)^-(12*AD$3-$A125+3))+$AY125)</f>
        <v>166.852413226389</v>
      </c>
      <c r="AE125" s="791" cm="1">
        <f t="array" ref="AE125">IF(AE$3*12&lt;$A125,0,$K124*'depto - Departamento'!$D$8/12/(1-(1+'depto - Departamento'!$D$8/12)^-(12*AE$3-$A125+3))+$AY125)</f>
        <v>0</v>
      </c>
      <c r="AF125" s="791" cm="1">
        <f t="array" ref="AF125">AF124-(AF123-AF124)</f>
        <v>79.5065</v>
      </c>
      <c r="AG125" s="791"/>
      <c r="AH125" s="791"/>
      <c r="AI125" s="804" cm="1">
        <f t="array" ref="AI125">$F125*Y125</f>
        <v>280721.755301235</v>
      </c>
      <c r="AJ125" s="405" cm="1">
        <f t="array" ref="AJ125">$F125*Z125</f>
        <v>324125.244361862</v>
      </c>
      <c r="AK125" s="405" cm="1">
        <f t="array" ref="AK125">$F125*AA125</f>
        <v>412266.350523922</v>
      </c>
      <c r="AL125" s="405" cm="1">
        <f t="array" ref="AL125">$F125*AB125</f>
        <v>671052.739394316</v>
      </c>
      <c r="AM125" s="405" cm="1">
        <f t="array" ref="AM125">$F125*AC125</f>
        <v>1364585.24048196</v>
      </c>
      <c r="AN125" s="405" cm="1">
        <f t="array" ref="AN125">$F125*AD125</f>
        <v>8779824.93353832</v>
      </c>
      <c r="AO125" s="405"/>
      <c r="AP125" s="405" cm="1">
        <f t="array" ref="AP125">$F125*AF125</f>
        <v>4183656.3078727</v>
      </c>
      <c r="AQ125" s="791"/>
      <c r="AR125" s="805" cm="1">
        <f t="array" ref="AR125">K124-K125</f>
        <v>12.5434</v>
      </c>
      <c r="AS125" s="805" cm="1">
        <f t="array" ref="AS125">D125-AR125</f>
        <v>3.6101</v>
      </c>
      <c r="AT125" s="791"/>
      <c r="AU125" s="806" cm="1">
        <f t="array" ref="AU125">ROUND(AV125*F125,0)</f>
        <v>54420</v>
      </c>
      <c r="AV125" s="807" cm="1">
        <f t="array" ref="AV125">IF(K124=0,0,AV124)</f>
        <v>1.0342</v>
      </c>
      <c r="AW125" s="806" cm="1">
        <f t="array" ref="AW125">ROUND(F125*AX125,0)</f>
        <v>1492</v>
      </c>
      <c r="AX125" s="807" cm="1">
        <f t="array" ref="AX125">AX$11/K$10*K124</f>
        <v>0.0283592943971112</v>
      </c>
      <c r="AY125" s="808" cm="1">
        <f t="array" ref="AY125">SUM(AV125,AX125)</f>
        <v>1.06255929439711</v>
      </c>
      <c r="AZ125" s="806" cm="1">
        <f t="array" ref="AZ125">AU125+AW125</f>
        <v>55912</v>
      </c>
      <c r="BA125" s="809" cm="1">
        <f t="array" ref="BA125">AI125-AZ125-BG125</f>
        <v>90756.713533243994</v>
      </c>
      <c r="BB125" s="810" cm="1">
        <f t="array" ref="BB125">ROUND(BA125/$F125,4)</f>
        <v>1.7247</v>
      </c>
      <c r="BC125" s="809" cm="1">
        <f t="array" ref="BC125">J125-SUM(AZ125,BA125,BG125)</f>
        <v>569280.244698765</v>
      </c>
      <c r="BD125" s="810" cm="1">
        <f t="array" ref="BD125">ROUND(BC125/$F125,4)</f>
        <v>10.8186</v>
      </c>
      <c r="BE125" s="811" cm="1">
        <f t="array" ref="BE125">BC125+BA125</f>
        <v>660036.958232009</v>
      </c>
      <c r="BF125" s="810" cm="1">
        <f t="array" ref="BF125">ROUND((BA125+BC125)/F125,4)</f>
        <v>12.5434</v>
      </c>
      <c r="BG125" s="812" cm="1">
        <f t="array" ref="BG125">BO125*F125</f>
        <v>134053.041767991</v>
      </c>
      <c r="BH125" s="813" cm="1">
        <f t="array" ref="BH125">ROUND(BG125/$F125,4)</f>
        <v>2.5476</v>
      </c>
      <c r="BI125" s="798" cm="1">
        <f t="array" ref="BI125">M124-M125</f>
        <v>1336162</v>
      </c>
      <c r="BJ125" s="798" cm="1">
        <f t="array" ref="BJ125">BE125-BI125</f>
        <v>-676125.041767991</v>
      </c>
      <c r="BK125" s="798" cm="1">
        <f t="array" ref="BK125">-BJ125</f>
        <v>676125.041767991</v>
      </c>
      <c r="BL125" s="798" cm="1">
        <f t="array" ref="BL125">BG125+BJ125</f>
        <v>-542072</v>
      </c>
      <c r="BM125" s="798" cm="1">
        <f t="array" ref="BM125">AVERAGE(BL123:BL125)</f>
        <v>-39632.6666666667</v>
      </c>
      <c r="BN125" s="814" cm="1">
        <f t="array" ref="BN125">BH124-BH125</f>
        <v>0.0502</v>
      </c>
      <c r="BO125" s="801" cm="1">
        <f t="array" ref="BO125">K124*0.0495/12-0.16</f>
        <v>2.547553475</v>
      </c>
      <c r="BP125" s="815" cm="1">
        <f t="array" ref="BP125">(BA125+BC125)/BG125</f>
        <v>4.92369997373392</v>
      </c>
      <c r="BQ125" s="815" cm="1">
        <f t="array" ref="BQ125">Y125-BB125</f>
        <v>3.61015606737292</v>
      </c>
      <c r="BR125" s="815" cm="1">
        <f t="array" ref="BR125">(BR$4*(1+BR$4)^BR$3*K124)/((1+BR$4)^BR$3-1)</f>
        <v>3.503541363025</v>
      </c>
      <c r="BS125" s="815"/>
      <c r="BT125" s="405"/>
      <c r="BU125" s="405"/>
      <c r="BV125" s="405" cm="1">
        <f t="array" ref="BV125">BA125+BC125+BV124</f>
        <v>138967511.502432</v>
      </c>
      <c r="BW125" s="405" cm="1">
        <f t="array" ref="BW125">BG125+BW124</f>
        <v>30712903.4975703</v>
      </c>
      <c r="BX125" s="801" cm="1">
        <f t="array" ref="BX125">BF125+BX124</f>
        <v>3271.676</v>
      </c>
      <c r="BY125" s="801" cm="1">
        <f t="array" ref="BY125">BH125+BY124</f>
        <v>704.5357</v>
      </c>
      <c r="BZ125" s="405" cm="1">
        <f t="array" ref="BZ125">SUM(BJ$6:BJ125)</f>
        <v>26213679.5024296</v>
      </c>
      <c r="CA125" s="801"/>
      <c r="CB125" s="801"/>
      <c r="CC125" s="405" cm="1">
        <f t="array" ref="CC125">SUM(BE$6:BE125)</f>
        <v>138967511.50243</v>
      </c>
      <c r="CD125" s="801"/>
      <c r="CE125" s="801"/>
      <c r="CF125" s="801"/>
      <c r="CG125" s="801"/>
      <c r="CH125" s="801"/>
      <c r="CI125" s="801"/>
      <c r="CJ125" s="801"/>
      <c r="CK125" s="801"/>
      <c r="CL125" s="801"/>
      <c r="CM125" s="801"/>
    </row>
    <row r="126" ht="19.35" customHeight="1" hidden="1">
      <c r="A126" s="762">
        <v>120</v>
      </c>
      <c r="B126" s="790">
        <v>48986</v>
      </c>
      <c r="C126" s="405"/>
      <c r="D126" s="791" cm="1">
        <f t="array" ref="D126">ROUND(850000/F126,4)</f>
        <v>16.1486</v>
      </c>
      <c r="E126" s="792" cm="1">
        <f t="array" ref="E126">D126/K125</f>
        <v>0.0250819622225135</v>
      </c>
      <c r="F126" s="793" cm="1">
        <f t="array" ref="F126">F125*(1+G126)</f>
        <v>52636.0914486873</v>
      </c>
      <c r="G126" s="792" cm="1">
        <f t="array" ref="G126">H126-SUM(G115:G125)</f>
        <v>0.0003</v>
      </c>
      <c r="H126" s="794" cm="1">
        <f t="array" ref="H126">'depto - Table 5'!$L$2</f>
        <v>0.03</v>
      </c>
      <c r="I126" s="795" cm="1">
        <f t="array" ref="I126">H126+4.95/100</f>
        <v>0.0795</v>
      </c>
      <c r="J126" s="405" cm="1">
        <f t="array" ref="J126">IF(K125=0,0,ROUND(D126*F126,0))</f>
        <v>849999</v>
      </c>
      <c r="K126" s="796" cm="1">
        <f t="array" ref="K126">IF(K125-BF126&lt;0,0,K125-BF126)</f>
        <v>631.2424</v>
      </c>
      <c r="L126" s="797" cm="1">
        <f t="array" ref="L126">K126/K$5</f>
        <v>0.159808202531646</v>
      </c>
      <c r="M126" s="798" cm="1">
        <f t="array" ref="M126">ROUND(K126*F126,0)</f>
        <v>33226133</v>
      </c>
      <c r="N126" s="799" cm="1">
        <f t="array" ref="N126">M126/M$5</f>
        <v>0.226594552701306</v>
      </c>
      <c r="O126" s="798" cm="1">
        <f t="array" ref="O126">M126-M125</f>
        <v>-652567</v>
      </c>
      <c r="P126" s="800" cm="1">
        <f t="array" ref="P126">T126-K126</f>
        <v>4768.7576</v>
      </c>
      <c r="Q126" s="798" cm="1">
        <f t="array" ref="Q126">ROUND(P126*F126,0)</f>
        <v>251008761</v>
      </c>
      <c r="R126" s="801" cm="1">
        <f t="array" ref="R126">$K$5-K126</f>
        <v>3318.7576</v>
      </c>
      <c r="S126" s="798" cm="1">
        <f t="array" ref="S126">Q126-Q125</f>
        <v>737812</v>
      </c>
      <c r="T126" s="801">
        <v>5400</v>
      </c>
      <c r="U126" s="798" cm="1">
        <f t="array" ref="U126">T126*F126</f>
        <v>284234893.822911</v>
      </c>
      <c r="V126" s="802" cm="1">
        <f t="array" ref="V126">-S126</f>
        <v>-737812</v>
      </c>
      <c r="W126" s="802"/>
      <c r="X126" s="802" cm="1">
        <f t="array" ref="X126">$K125*4.95/12/100/(1-(1+4.95/12/100)^-(360-$A126+3))+$AY126</f>
        <v>5.26268426247989</v>
      </c>
      <c r="Y126" s="803" cm="1">
        <f t="array" ref="Y126">K125*4.95/12/100/(1-(1+4.95/12/100)^-(360-$A126+3))+AY126</f>
        <v>5.26268426247989</v>
      </c>
      <c r="Z126" s="791" cm="1">
        <f t="array" ref="Z126">IF(Z$3*12&lt;=$A126,0,$K125*'depto - Departamento'!$D$8/12/(1-(1+'depto - Departamento'!$D$8/12)^-(12*Z$3-$A126+3))+$AY127)</f>
        <v>6.0800125077848</v>
      </c>
      <c r="AA126" s="791" cm="1">
        <f t="array" ref="AA126">IF(AA$3*12&lt;=$A126,0,$K125*'depto - Departamento'!$D$8/12/(1-(1+'depto - Departamento'!$D$8/12)^-(12*AA$3-$A126+3))+$AY127)</f>
        <v>7.74616833313994</v>
      </c>
      <c r="AB126" s="791" cm="1">
        <f t="array" ref="AB126">IF(AB$3*12&lt;$A126,0,$K125*'depto - Departamento'!$D$8/12/(1-(1+'depto - Departamento'!$D$8/12)^-(12*AB$3-$A126+3))+$AY126)</f>
        <v>12.6878937278431</v>
      </c>
      <c r="AC126" s="791" cm="1">
        <f t="array" ref="AC126">IF(AC$3*12&lt;$A126,0,$K125*'depto - Departamento'!$D$8/12/(1-(1+'depto - Departamento'!$D$8/12)^-(12*AC$3-$A126+3))+$AY126)</f>
        <v>26.3093388472399</v>
      </c>
      <c r="AD126" s="791" cm="1">
        <f t="array" ref="AD126">IF(AD$3*12&lt;$A126,0,$K125*'depto - Departamento'!$D$8/12/(1-(1+'depto - Departamento'!$D$8/12)^-(12*AD$3-$A126+1))+$AY126)</f>
        <v>647.551029296432</v>
      </c>
      <c r="AE126" s="791" cm="1">
        <f t="array" ref="AE126">IF(AE$3*12&lt;$A126,0,$K125*'depto - Departamento'!$D$8/12/(1-(1+'depto - Departamento'!$D$8/12)^-(12*AE$3-$A126+3))+$AY126)</f>
        <v>0</v>
      </c>
      <c r="AF126" s="791" cm="1">
        <f t="array" ref="AF126">AF125-(AF124-AF125)</f>
        <v>79.50369999999999</v>
      </c>
      <c r="AG126" s="791"/>
      <c r="AH126" s="791"/>
      <c r="AI126" s="804" cm="1">
        <f t="array" ref="AI126">$F126*Y126</f>
        <v>277007.130105459</v>
      </c>
      <c r="AJ126" s="405" cm="1">
        <f t="array" ref="AJ126">$F126*Z126</f>
        <v>320028.094368923</v>
      </c>
      <c r="AK126" s="405" cm="1">
        <f t="array" ref="AK126">$F126*AA126</f>
        <v>407728.02476008</v>
      </c>
      <c r="AL126" s="405" cm="1">
        <f t="array" ref="AL126">$F126*AB126</f>
        <v>667841.134549975</v>
      </c>
      <c r="AM126" s="405" cm="1">
        <f t="array" ref="AM126">$F126*AC126</f>
        <v>1384820.76551782</v>
      </c>
      <c r="AN126" s="405" cm="1">
        <f t="array" ref="AN126">$F126*AD126</f>
        <v>34084555.1957386</v>
      </c>
      <c r="AO126" s="405"/>
      <c r="AP126" s="405" cm="1">
        <f t="array" ref="AP126">$F126*AF126</f>
        <v>4184764.023709</v>
      </c>
      <c r="AQ126" s="791"/>
      <c r="AR126" s="805" cm="1">
        <f t="array" ref="AR126">K125-K126</f>
        <v>12.5908</v>
      </c>
      <c r="AS126" s="805" cm="1">
        <f t="array" ref="AS126">D126-AR126</f>
        <v>3.5578</v>
      </c>
      <c r="AT126" s="791"/>
      <c r="AU126" s="806" cm="1">
        <f t="array" ref="AU126">ROUND(AV126*F126,0)</f>
        <v>54436</v>
      </c>
      <c r="AV126" s="807" cm="1">
        <f t="array" ref="AV126">IF(K125=0,0,AV125)</f>
        <v>1.0342</v>
      </c>
      <c r="AW126" s="806" cm="1">
        <f t="array" ref="AW126">ROUND(F126*AX126,0)</f>
        <v>1464</v>
      </c>
      <c r="AX126" s="807" cm="1">
        <f t="array" ref="AX126">AX$11/K$10*K125</f>
        <v>0.027817346415814</v>
      </c>
      <c r="AY126" s="808" cm="1">
        <f t="array" ref="AY126">SUM(AV126,AX126)</f>
        <v>1.06201734641581</v>
      </c>
      <c r="AZ126" s="806" cm="1">
        <f t="array" ref="AZ126">AU126+AW126</f>
        <v>55900</v>
      </c>
      <c r="BA126" s="809" cm="1">
        <f t="array" ref="BA126">AI126-AZ126-BG126</f>
        <v>89737.344066531994</v>
      </c>
      <c r="BB126" s="810" cm="1">
        <f t="array" ref="BB126">ROUND(BA126/$F126,4)</f>
        <v>1.7049</v>
      </c>
      <c r="BC126" s="809" cm="1">
        <f t="array" ref="BC126">J126-SUM(AZ126,BA126,BG126)</f>
        <v>572991.869894541</v>
      </c>
      <c r="BD126" s="810" cm="1">
        <f t="array" ref="BD126">ROUND(BC126/$F126,4)</f>
        <v>10.8859</v>
      </c>
      <c r="BE126" s="811" cm="1">
        <f t="array" ref="BE126">BC126+BA126</f>
        <v>662729.213961073</v>
      </c>
      <c r="BF126" s="810" cm="1">
        <f t="array" ref="BF126">ROUND((BA126+BC126)/F126,4)</f>
        <v>12.5908</v>
      </c>
      <c r="BG126" s="812" cm="1">
        <f t="array" ref="BG126">BO126*F126</f>
        <v>131369.786038927</v>
      </c>
      <c r="BH126" s="813" cm="1">
        <f t="array" ref="BH126">ROUND(BG126/$F126,4)</f>
        <v>2.4958</v>
      </c>
      <c r="BI126" s="798" cm="1">
        <f t="array" ref="BI126">M125-M126</f>
        <v>652567</v>
      </c>
      <c r="BJ126" s="798" cm="1">
        <f t="array" ref="BJ126">BE126-BI126</f>
        <v>10162.213961073</v>
      </c>
      <c r="BK126" s="798" cm="1">
        <f t="array" ref="BK126">-BJ126</f>
        <v>-10162.213961073</v>
      </c>
      <c r="BL126" s="798" cm="1">
        <f t="array" ref="BL126">BG126+BJ126</f>
        <v>141532</v>
      </c>
      <c r="BM126" s="798" cm="1">
        <f t="array" ref="BM126">AVERAGE(BL124:BL126)</f>
        <v>-84665</v>
      </c>
      <c r="BN126" s="814" cm="1">
        <f t="array" ref="BN126">BH125-BH126</f>
        <v>0.0518</v>
      </c>
      <c r="BO126" s="801" cm="1">
        <f t="array" ref="BO126">K125*0.0495/12-0.16</f>
        <v>2.49581195</v>
      </c>
      <c r="BP126" s="815" cm="1">
        <f t="array" ref="BP126">(BA126+BC126)/BG126</f>
        <v>5.04476131037235</v>
      </c>
      <c r="BQ126" s="815" cm="1">
        <f t="array" ref="BQ126">Y126-BB126</f>
        <v>3.55778426247989</v>
      </c>
      <c r="BR126" s="815" cm="1">
        <f t="array" ref="BR126">(BR$4*(1+BR$4)^BR$3*K125)/((1+BR$4)^BR$3-1)</f>
        <v>3.43658845712774</v>
      </c>
      <c r="BS126" s="815"/>
      <c r="BT126" s="405"/>
      <c r="BU126" s="405"/>
      <c r="BV126" s="405" cm="1">
        <f t="array" ref="BV126">BA126+BC126+BV125</f>
        <v>139630240.716393</v>
      </c>
      <c r="BW126" s="405" cm="1">
        <f t="array" ref="BW126">BG126+BW125</f>
        <v>30844273.2836092</v>
      </c>
      <c r="BX126" s="801" cm="1">
        <f t="array" ref="BX126">BF126+BX125</f>
        <v>3284.2668</v>
      </c>
      <c r="BY126" s="801" cm="1">
        <f t="array" ref="BY126">BH126+BY125</f>
        <v>707.0315000000001</v>
      </c>
      <c r="BZ126" s="405" cm="1">
        <f t="array" ref="BZ126">SUM(BJ$6:BJ126)</f>
        <v>26223841.7163907</v>
      </c>
      <c r="CA126" s="801"/>
      <c r="CB126" s="801"/>
      <c r="CC126" s="405" cm="1">
        <f t="array" ref="CC126">SUM(BE$6:BE126)</f>
        <v>139630240.716391</v>
      </c>
      <c r="CD126" s="801"/>
      <c r="CE126" s="801"/>
      <c r="CF126" s="801"/>
      <c r="CG126" s="801"/>
      <c r="CH126" s="801"/>
      <c r="CI126" s="801"/>
      <c r="CJ126" s="801"/>
      <c r="CK126" s="801"/>
      <c r="CL126" s="801"/>
      <c r="CM126" s="801"/>
    </row>
    <row r="127" ht="19.35" customHeight="1" hidden="1">
      <c r="A127" s="762">
        <v>121</v>
      </c>
      <c r="B127" s="790">
        <v>49014</v>
      </c>
      <c r="C127" s="405"/>
      <c r="D127" s="791" cm="1">
        <f t="array" ref="D127">ROUND(850000/F127,4)</f>
        <v>16.0891</v>
      </c>
      <c r="E127" s="792" cm="1">
        <f t="array" ref="E127">D127/K126</f>
        <v>0.0254879900336226</v>
      </c>
      <c r="F127" s="793" cm="1">
        <f t="array" ref="F127">F126*(1+G127)</f>
        <v>52830.8449870474</v>
      </c>
      <c r="G127" s="792" cm="1">
        <f t="array" ref="G127">H127-SUM(G116:G126)</f>
        <v>0.0037</v>
      </c>
      <c r="H127" s="794" cm="1">
        <f t="array" ref="H127">'depto - Table 5'!$L$2</f>
        <v>0.03</v>
      </c>
      <c r="I127" s="795" cm="1">
        <f t="array" ref="I127">H127+4.95/100</f>
        <v>0.0795</v>
      </c>
      <c r="J127" s="405" cm="1">
        <f t="array" ref="J127">IF(K126=0,0,ROUND(D127*F127,0))</f>
        <v>850001</v>
      </c>
      <c r="K127" s="796" cm="1">
        <f t="array" ref="K127">IF(K126-BF127&lt;0,0,K126-BF127)</f>
        <v>618.6587</v>
      </c>
      <c r="L127" s="797" cm="1">
        <f t="array" ref="L127">K127/K$5</f>
        <v>0.156622455696203</v>
      </c>
      <c r="M127" s="798" cm="1">
        <f t="array" ref="M127">ROUND(K127*F127,0)</f>
        <v>32684262</v>
      </c>
      <c r="N127" s="799" cm="1">
        <f t="array" ref="N127">M127/M$5</f>
        <v>0.222899117639188</v>
      </c>
      <c r="O127" s="798" cm="1">
        <f t="array" ref="O127">M127-M126</f>
        <v>-541871</v>
      </c>
      <c r="P127" s="800" cm="1">
        <f t="array" ref="P127">T127-K127</f>
        <v>4781.3413</v>
      </c>
      <c r="Q127" s="798" cm="1">
        <f t="array" ref="Q127">ROUND(P127*F127,0)</f>
        <v>252602301</v>
      </c>
      <c r="R127" s="801" cm="1">
        <f t="array" ref="R127">$K$5-K127</f>
        <v>3331.3413</v>
      </c>
      <c r="S127" s="798" cm="1">
        <f t="array" ref="S127">Q127-Q126</f>
        <v>1593540</v>
      </c>
      <c r="T127" s="801">
        <v>5400</v>
      </c>
      <c r="U127" s="798" cm="1">
        <f t="array" ref="U127">T127*F127</f>
        <v>285286562.930056</v>
      </c>
      <c r="V127" s="802" cm="1">
        <f t="array" ref="V127">-S127</f>
        <v>-1593540</v>
      </c>
      <c r="W127" s="802"/>
      <c r="X127" s="802" cm="1">
        <f t="array" ref="X127">$K126*4.95/12/100/(1-(1+4.95/12/100)^-(360-$A127+3))+$AY127</f>
        <v>5.18989804664303</v>
      </c>
      <c r="Y127" s="803" cm="1">
        <f t="array" ref="Y127">K126*4.95/12/100/(1-(1+4.95/12/100)^-(360-$A127+3))+AY127</f>
        <v>5.18989804664303</v>
      </c>
      <c r="Z127" s="791" cm="1">
        <f t="array" ref="Z127">IF(Z$3*12&lt;=$A127,0,$K126*'depto - Departamento'!$D$8/12/(1-(1+'depto - Departamento'!$D$8/12)^-(12*Z$3-$A127+3))+$AY128)</f>
        <v>5.99944957221925</v>
      </c>
      <c r="AA127" s="791" cm="1">
        <f t="array" ref="AA127">IF(AA$3*12&lt;=$A127,0,$K126*'depto - Departamento'!$D$8/12/(1-(1+'depto - Departamento'!$D$8/12)^-(12*AA$3-$A127+3))+$AY128)</f>
        <v>7.65616947481953</v>
      </c>
      <c r="AB127" s="791" cm="1">
        <f t="array" ref="AB127">IF(AB$3*12&lt;$A127,0,$K126*'depto - Departamento'!$D$8/12/(1-(1+'depto - Departamento'!$D$8/12)^-(12*AB$3-$A127+3))+$AY127)</f>
        <v>12.6210453242754</v>
      </c>
      <c r="AC127" s="791" cm="1">
        <f t="array" ref="AC127">IF(AC$3*12&lt;$A127,0,$K126*'depto - Departamento'!$D$8/12/(1-(1+'depto - Departamento'!$D$8/12)^-(12*AC$3-$A127+3))+$AY127)</f>
        <v>26.7152246404613</v>
      </c>
      <c r="AD127" s="791" cm="1">
        <f t="array" ref="AD127">IF(AD$3*12&lt;$A127,0,$K126*'depto - Departamento'!$D$8/12/(1-(1+'depto - Departamento'!$D$8/12)^-(12*AD$3-$A127+3))+$AY127)</f>
        <v>0</v>
      </c>
      <c r="AE127" s="791" cm="1">
        <f t="array" ref="AE127">IF(AE$3*12&lt;$A127,0,$K126*'depto - Departamento'!$D$8/12/(1-(1+'depto - Departamento'!$D$8/12)^-(12*AE$3-$A127+3))+$AY127)</f>
        <v>0</v>
      </c>
      <c r="AF127" s="791" cm="1">
        <f t="array" ref="AF127">AF126-(AF125-AF126)</f>
        <v>79.5009</v>
      </c>
      <c r="AG127" s="791"/>
      <c r="AH127" s="791"/>
      <c r="AI127" s="804" cm="1">
        <f t="array" ref="AI127">$F127*Y127</f>
        <v>274186.699200778</v>
      </c>
      <c r="AJ127" s="405" cm="1">
        <f t="array" ref="AJ127">$F127*Z127</f>
        <v>316955.990357523</v>
      </c>
      <c r="AK127" s="405" cm="1">
        <f t="array" ref="AK127">$F127*AA127</f>
        <v>404481.902718755</v>
      </c>
      <c r="AL127" s="405" cm="1">
        <f t="array" ref="AL127">$F127*AB127</f>
        <v>666780.489101293</v>
      </c>
      <c r="AM127" s="405" cm="1">
        <f t="array" ref="AM127">$F127*AC127</f>
        <v>1411387.89177436</v>
      </c>
      <c r="AN127" s="405" cm="1">
        <f t="array" ref="AN127">$F127*AD127</f>
        <v>0</v>
      </c>
      <c r="AO127" s="405"/>
      <c r="AP127" s="405" cm="1">
        <f t="array" ref="AP127">$F127*AF127</f>
        <v>4200099.72423076</v>
      </c>
      <c r="AQ127" s="791"/>
      <c r="AR127" s="805" cm="1">
        <f t="array" ref="AR127">K126-K127</f>
        <v>12.5837</v>
      </c>
      <c r="AS127" s="805" cm="1">
        <f t="array" ref="AS127">D127-AR127</f>
        <v>3.5054</v>
      </c>
      <c r="AT127" s="791"/>
      <c r="AU127" s="806" cm="1">
        <f t="array" ref="AU127">ROUND(AV127*F127,0)</f>
        <v>54638</v>
      </c>
      <c r="AV127" s="807" cm="1">
        <f t="array" ref="AV127">IF(K126=0,0,AV126)</f>
        <v>1.0342</v>
      </c>
      <c r="AW127" s="806" cm="1">
        <f t="array" ref="AW127">ROUND(F127*AX127,0)</f>
        <v>1441</v>
      </c>
      <c r="AX127" s="807" cm="1">
        <f t="array" ref="AX127">AX$11/K$10*K126</f>
        <v>0.0272733504782758</v>
      </c>
      <c r="AY127" s="808" cm="1">
        <f t="array" ref="AY127">SUM(AV127,AX127)</f>
        <v>1.06147335047828</v>
      </c>
      <c r="AZ127" s="806" cm="1">
        <f t="array" ref="AZ127">AU127+AW127</f>
        <v>56079</v>
      </c>
      <c r="BA127" s="809" cm="1">
        <f t="array" ref="BA127">AI127-AZ127-BG127</f>
        <v>88995.723191141995</v>
      </c>
      <c r="BB127" s="810" cm="1">
        <f t="array" ref="BB127">ROUND(BA127/$F127,4)</f>
        <v>1.6845</v>
      </c>
      <c r="BC127" s="809" cm="1">
        <f t="array" ref="BC127">J127-SUM(AZ127,BA127,BG127)</f>
        <v>575814.300799222</v>
      </c>
      <c r="BD127" s="810" cm="1">
        <f t="array" ref="BD127">ROUND(BC127/$F127,4)</f>
        <v>10.8992</v>
      </c>
      <c r="BE127" s="811" cm="1">
        <f t="array" ref="BE127">BC127+BA127</f>
        <v>664810.023990364</v>
      </c>
      <c r="BF127" s="810" cm="1">
        <f t="array" ref="BF127">ROUND((BA127+BC127)/F127,4)</f>
        <v>12.5837</v>
      </c>
      <c r="BG127" s="812" cm="1">
        <f t="array" ref="BG127">BO127*F127</f>
        <v>129111.976009636</v>
      </c>
      <c r="BH127" s="813" cm="1">
        <f t="array" ref="BH127">ROUND(BG127/$F127,4)</f>
        <v>2.4439</v>
      </c>
      <c r="BI127" s="798" cm="1">
        <f t="array" ref="BI127">M126-M127</f>
        <v>541871</v>
      </c>
      <c r="BJ127" s="798" cm="1">
        <f t="array" ref="BJ127">BE127-BI127</f>
        <v>122939.023990364</v>
      </c>
      <c r="BK127" s="798" cm="1">
        <f t="array" ref="BK127">-BJ127</f>
        <v>-122939.023990364</v>
      </c>
      <c r="BL127" s="798" cm="1">
        <f t="array" ref="BL127">BG127+BJ127</f>
        <v>252051</v>
      </c>
      <c r="BM127" s="798" cm="1">
        <f t="array" ref="BM127">AVERAGE(BL125:BL127)</f>
        <v>-49496.3333333333</v>
      </c>
      <c r="BN127" s="814" cm="1">
        <f t="array" ref="BN127">BH126-BH127</f>
        <v>0.0519</v>
      </c>
      <c r="BO127" s="801" cm="1">
        <f t="array" ref="BO127">K126*0.0495/12-0.16</f>
        <v>2.4438749</v>
      </c>
      <c r="BP127" s="815" cm="1">
        <f t="array" ref="BP127">(BA127+BC127)/BG127</f>
        <v>5.14909650163473</v>
      </c>
      <c r="BQ127" s="815" cm="1">
        <f t="array" ref="BQ127">Y127-BB127</f>
        <v>3.50539804664303</v>
      </c>
      <c r="BR127" s="815" cm="1">
        <f t="array" ref="BR127">(BR$4*(1+BR$4)^BR$3*K126)/((1+BR$4)^BR$3-1)</f>
        <v>3.36938254425154</v>
      </c>
      <c r="BS127" s="815"/>
      <c r="BT127" s="405"/>
      <c r="BU127" s="405"/>
      <c r="BV127" s="405" cm="1">
        <f t="array" ref="BV127">BA127+BC127+BV126</f>
        <v>140295050.740383</v>
      </c>
      <c r="BW127" s="405" cm="1">
        <f t="array" ref="BW127">BG127+BW126</f>
        <v>30973385.2596188</v>
      </c>
      <c r="BX127" s="801" cm="1">
        <f t="array" ref="BX127">BF127+BX126</f>
        <v>3296.8505</v>
      </c>
      <c r="BY127" s="801" cm="1">
        <f t="array" ref="BY127">BH127+BY126</f>
        <v>709.4754</v>
      </c>
      <c r="BZ127" s="405" cm="1">
        <f t="array" ref="BZ127">SUM(BJ$6:BJ127)</f>
        <v>26346780.7403811</v>
      </c>
      <c r="CA127" s="801"/>
      <c r="CB127" s="801"/>
      <c r="CC127" s="405" cm="1">
        <f t="array" ref="CC127">SUM(BE$6:BE127)</f>
        <v>140295050.740381</v>
      </c>
      <c r="CD127" s="801"/>
      <c r="CE127" s="801"/>
      <c r="CF127" s="801"/>
      <c r="CG127" s="801"/>
      <c r="CH127" s="801"/>
      <c r="CI127" s="801"/>
      <c r="CJ127" s="801"/>
      <c r="CK127" s="801"/>
      <c r="CL127" s="801"/>
      <c r="CM127" s="801"/>
    </row>
    <row r="128" ht="19.35" customHeight="1" hidden="1">
      <c r="A128" s="762">
        <v>122</v>
      </c>
      <c r="B128" s="790">
        <v>49045</v>
      </c>
      <c r="C128" s="405"/>
      <c r="D128" s="791" cm="1">
        <f t="array" ref="D128">ROUND(850000/F128,4)</f>
        <v>16.0778</v>
      </c>
      <c r="E128" s="792" cm="1">
        <f t="array" ref="E128">D128/K127</f>
        <v>0.0259881579294044</v>
      </c>
      <c r="F128" s="793" cm="1">
        <f t="array" ref="F128">F127*(1+G128)</f>
        <v>52867.8265785383</v>
      </c>
      <c r="G128" s="792" cm="1">
        <f t="array" ref="G128">H128-SUM(G117:G127)</f>
        <v>0.0007</v>
      </c>
      <c r="H128" s="794" cm="1">
        <f t="array" ref="H128">'depto - Table 5'!$L$2</f>
        <v>0.03</v>
      </c>
      <c r="I128" s="795" cm="1">
        <f t="array" ref="I128">H128+4.95/100</f>
        <v>0.0795</v>
      </c>
      <c r="J128" s="405" cm="1">
        <f t="array" ref="J128">IF(K127=0,0,ROUND(D128*F128,0))</f>
        <v>849998</v>
      </c>
      <c r="K128" s="796" cm="1">
        <f t="array" ref="K128">IF(K127-BF128&lt;0,0,K127-BF128)</f>
        <v>606.0338</v>
      </c>
      <c r="L128" s="797" cm="1">
        <f t="array" ref="L128">K128/K$5</f>
        <v>0.153426278481013</v>
      </c>
      <c r="M128" s="798" cm="1">
        <f t="array" ref="M128">ROUND(K128*F128,0)</f>
        <v>32039690</v>
      </c>
      <c r="N128" s="799" cm="1">
        <f t="array" ref="N128">M128/M$5</f>
        <v>0.218503285478287</v>
      </c>
      <c r="O128" s="798" cm="1">
        <f t="array" ref="O128">M128-M127</f>
        <v>-644572</v>
      </c>
      <c r="P128" s="800" cm="1">
        <f t="array" ref="P128">T128-K128</f>
        <v>4793.9662</v>
      </c>
      <c r="Q128" s="798" cm="1">
        <f t="array" ref="Q128">ROUND(P128*F128,0)</f>
        <v>253446574</v>
      </c>
      <c r="R128" s="801" cm="1">
        <f t="array" ref="R128">$K$5-K128</f>
        <v>3343.9662</v>
      </c>
      <c r="S128" s="798" cm="1">
        <f t="array" ref="S128">Q128-Q127</f>
        <v>844273</v>
      </c>
      <c r="T128" s="801">
        <v>5400</v>
      </c>
      <c r="U128" s="798" cm="1">
        <f t="array" ref="U128">T128*F128</f>
        <v>285486263.524107</v>
      </c>
      <c r="V128" s="802" cm="1">
        <f t="array" ref="V128">-S128</f>
        <v>-844273</v>
      </c>
      <c r="W128" s="802"/>
      <c r="X128" s="802" cm="1">
        <f t="array" ref="X128">$K127*4.95/12/100/(1-(1+4.95/12/100)^-(360-$A128+3))+$AY128</f>
        <v>5.11685066584477</v>
      </c>
      <c r="Y128" s="803" cm="1">
        <f t="array" ref="Y128">K127*4.95/12/100/(1-(1+4.95/12/100)^-(360-$A128+3))+AY128</f>
        <v>5.11685066584477</v>
      </c>
      <c r="Z128" s="791" cm="1">
        <f t="array" ref="Z128">IF(Z$3*12&lt;=$A128,0,$K127*'depto - Departamento'!$D$8/12/(1-(1+'depto - Departamento'!$D$8/12)^-(12*Z$3-$A128+3))+$AY129)</f>
        <v>5.91842304396801</v>
      </c>
      <c r="AA128" s="791" cm="1">
        <f t="array" ref="AA128">IF(AA$3*12&lt;=$A128,0,$K127*'depto - Departamento'!$D$8/12/(1-(1+'depto - Departamento'!$D$8/12)^-(12*AA$3-$A128+3))+$AY129)</f>
        <v>7.56527977768066</v>
      </c>
      <c r="AB128" s="791" cm="1">
        <f t="array" ref="AB128">IF(AB$3*12&lt;$A128,0,$K127*'depto - Departamento'!$D$8/12/(1-(1+'depto - Departamento'!$D$8/12)^-(12*AB$3-$A128+3))+$AY128)</f>
        <v>12.5531080032743</v>
      </c>
      <c r="AC128" s="791" cm="1">
        <f t="array" ref="AC128">IF(AC$3*12&lt;$A128,0,$K127*'depto - Departamento'!$D$8/12/(1-(1+'depto - Departamento'!$D$8/12)^-(12*AC$3-$A128+3))+$AY128)</f>
        <v>27.1561475521437</v>
      </c>
      <c r="AD128" s="791" cm="1">
        <f t="array" ref="AD128">IF(AD$3*12&lt;$A128,0,$K127*'depto - Departamento'!$D$8/12/(1-(1+'depto - Departamento'!$D$8/12)^-(12*AD$3-$A128+3))+$AY128)</f>
        <v>0</v>
      </c>
      <c r="AE128" s="791" cm="1">
        <f t="array" ref="AE128">IF(AE$3*12&lt;$A128,0,$K127*'depto - Departamento'!$D$8/12/(1-(1+'depto - Departamento'!$D$8/12)^-(12*AE$3-$A128+3))+$AY128)</f>
        <v>0</v>
      </c>
      <c r="AF128" s="791" cm="1">
        <f t="array" ref="AF128">AF127-(AF126-AF127)</f>
        <v>79.49809999999999</v>
      </c>
      <c r="AG128" s="791"/>
      <c r="AH128" s="791"/>
      <c r="AI128" s="804" cm="1">
        <f t="array" ref="AI128">$F128*Y128</f>
        <v>270516.77363016</v>
      </c>
      <c r="AJ128" s="405" cm="1">
        <f t="array" ref="AJ128">$F128*Z128</f>
        <v>312894.163106926</v>
      </c>
      <c r="AK128" s="405" cm="1">
        <f t="array" ref="AK128">$F128*AA128</f>
        <v>399959.899304544</v>
      </c>
      <c r="AL128" s="405" cm="1">
        <f t="array" ref="AL128">$F128*AB128</f>
        <v>663655.5369387669</v>
      </c>
      <c r="AM128" s="405" cm="1">
        <f t="array" ref="AM128">$F128*AC128</f>
        <v>1435686.49932793</v>
      </c>
      <c r="AN128" s="405" cm="1">
        <f t="array" ref="AN128">$F128*AD128</f>
        <v>0</v>
      </c>
      <c r="AO128" s="405"/>
      <c r="AP128" s="405" cm="1">
        <f t="array" ref="AP128">$F128*AF128</f>
        <v>4202891.7641233</v>
      </c>
      <c r="AQ128" s="791"/>
      <c r="AR128" s="805" cm="1">
        <f t="array" ref="AR128">K127-K128</f>
        <v>12.6249</v>
      </c>
      <c r="AS128" s="805" cm="1">
        <f t="array" ref="AS128">D128-AR128</f>
        <v>3.4529</v>
      </c>
      <c r="AT128" s="791"/>
      <c r="AU128" s="806" cm="1">
        <f t="array" ref="AU128">ROUND(AV128*F128,0)</f>
        <v>54676</v>
      </c>
      <c r="AV128" s="807" cm="1">
        <f t="array" ref="AV128">IF(K127=0,0,AV127)</f>
        <v>1.0342</v>
      </c>
      <c r="AW128" s="806" cm="1">
        <f t="array" ref="AW128">ROUND(F128*AX128,0)</f>
        <v>1413</v>
      </c>
      <c r="AX128" s="807" cm="1">
        <f t="array" ref="AX128">AX$11/K$10*K127</f>
        <v>0.0267296613021154</v>
      </c>
      <c r="AY128" s="808" cm="1">
        <f t="array" ref="AY128">SUM(AV128,AX128)</f>
        <v>1.06092966130212</v>
      </c>
      <c r="AZ128" s="806" cm="1">
        <f t="array" ref="AZ128">AU128+AW128</f>
        <v>56089</v>
      </c>
      <c r="BA128" s="809" cm="1">
        <f t="array" ref="BA128">AI128-AZ128-BG128</f>
        <v>87969.669823246993</v>
      </c>
      <c r="BB128" s="810" cm="1">
        <f t="array" ref="BB128">ROUND(BA128/$F128,4)</f>
        <v>1.664</v>
      </c>
      <c r="BC128" s="809" cm="1">
        <f t="array" ref="BC128">J128-SUM(AZ128,BA128,BG128)</f>
        <v>579481.22636984</v>
      </c>
      <c r="BD128" s="810" cm="1">
        <f t="array" ref="BD128">ROUND(BC128/$F128,4)</f>
        <v>10.9609</v>
      </c>
      <c r="BE128" s="811" cm="1">
        <f t="array" ref="BE128">BC128+BA128</f>
        <v>667450.896193087</v>
      </c>
      <c r="BF128" s="810" cm="1">
        <f t="array" ref="BF128">ROUND((BA128+BC128)/F128,4)</f>
        <v>12.6249</v>
      </c>
      <c r="BG128" s="812" cm="1">
        <f t="array" ref="BG128">BO128*F128</f>
        <v>126458.103806913</v>
      </c>
      <c r="BH128" s="813" cm="1">
        <f t="array" ref="BH128">ROUND(BG128/$F128,4)</f>
        <v>2.392</v>
      </c>
      <c r="BI128" s="798" cm="1">
        <f t="array" ref="BI128">M127-M128</f>
        <v>644572</v>
      </c>
      <c r="BJ128" s="798" cm="1">
        <f t="array" ref="BJ128">BE128-BI128</f>
        <v>22878.896193087</v>
      </c>
      <c r="BK128" s="798" cm="1">
        <f t="array" ref="BK128">-BJ128</f>
        <v>-22878.896193087</v>
      </c>
      <c r="BL128" s="798" cm="1">
        <f t="array" ref="BL128">BG128+BJ128</f>
        <v>149337</v>
      </c>
      <c r="BM128" s="798" cm="1">
        <f t="array" ref="BM128">AVERAGE(BL126:BL128)</f>
        <v>180973.333333333</v>
      </c>
      <c r="BN128" s="814" cm="1">
        <f t="array" ref="BN128">BH127-BH128</f>
        <v>0.0519</v>
      </c>
      <c r="BO128" s="801" cm="1">
        <f t="array" ref="BO128">K127*0.0495/12-0.16</f>
        <v>2.3919671375</v>
      </c>
      <c r="BP128" s="815" cm="1">
        <f t="array" ref="BP128">(BA128+BC128)/BG128</f>
        <v>5.27803973094684</v>
      </c>
      <c r="BQ128" s="815" cm="1">
        <f t="array" ref="BQ128">Y128-BB128</f>
        <v>3.45285066584477</v>
      </c>
      <c r="BR128" s="815" cm="1">
        <f t="array" ref="BR128">(BR$4*(1+BR$4)^BR$3*K127)/((1+BR$4)^BR$3-1)</f>
        <v>3.30221452904518</v>
      </c>
      <c r="BS128" s="815"/>
      <c r="BT128" s="405"/>
      <c r="BU128" s="405"/>
      <c r="BV128" s="405" cm="1">
        <f t="array" ref="BV128">BA128+BC128+BV127</f>
        <v>140962501.636576</v>
      </c>
      <c r="BW128" s="405" cm="1">
        <f t="array" ref="BW128">BG128+BW127</f>
        <v>31099843.3634257</v>
      </c>
      <c r="BX128" s="801" cm="1">
        <f t="array" ref="BX128">BF128+BX127</f>
        <v>3309.4754</v>
      </c>
      <c r="BY128" s="801" cm="1">
        <f t="array" ref="BY128">BH128+BY127</f>
        <v>711.8674</v>
      </c>
      <c r="BZ128" s="405" cm="1">
        <f t="array" ref="BZ128">SUM(BJ$6:BJ128)</f>
        <v>26369659.6365742</v>
      </c>
      <c r="CA128" s="801"/>
      <c r="CB128" s="801"/>
      <c r="CC128" s="405" cm="1">
        <f t="array" ref="CC128">SUM(BE$6:BE128)</f>
        <v>140962501.636574</v>
      </c>
      <c r="CD128" s="801"/>
      <c r="CE128" s="801"/>
      <c r="CF128" s="801"/>
      <c r="CG128" s="801"/>
      <c r="CH128" s="801"/>
      <c r="CI128" s="801"/>
      <c r="CJ128" s="801"/>
      <c r="CK128" s="801"/>
      <c r="CL128" s="801"/>
      <c r="CM128" s="801"/>
    </row>
    <row r="129" ht="19.35" customHeight="1" hidden="1">
      <c r="A129" s="762">
        <v>123</v>
      </c>
      <c r="B129" s="790">
        <v>49075</v>
      </c>
      <c r="C129" s="405"/>
      <c r="D129" s="791" cm="1">
        <f t="array" ref="D129">ROUND(850000/F129,4)</f>
        <v>15.9155</v>
      </c>
      <c r="E129" s="792" cm="1">
        <f t="array" ref="E129">D129/K128</f>
        <v>0.0262617365566079</v>
      </c>
      <c r="F129" s="793" cm="1">
        <f t="array" ref="F129">F128*(1+G129)</f>
        <v>53407.0784096394</v>
      </c>
      <c r="G129" s="792" cm="1">
        <f t="array" ref="G129">H129-SUM(G118:G128)</f>
        <v>0.0102</v>
      </c>
      <c r="H129" s="794" cm="1">
        <f t="array" ref="H129">'depto - Table 5'!$L$2</f>
        <v>0.03</v>
      </c>
      <c r="I129" s="795" cm="1">
        <f t="array" ref="I129">H129+4.95/100</f>
        <v>0.0795</v>
      </c>
      <c r="J129" s="405" cm="1">
        <f t="array" ref="J129">IF(K128=0,0,ROUND(D129*F129,0))</f>
        <v>850000</v>
      </c>
      <c r="K129" s="796" cm="1">
        <f t="array" ref="K129">IF(K128-BF129&lt;0,0,K128-BF129)</f>
        <v>593.5186</v>
      </c>
      <c r="L129" s="797" cm="1">
        <f t="array" ref="L129">K129/K$5</f>
        <v>0.150257873417722</v>
      </c>
      <c r="M129" s="798" cm="1">
        <f t="array" ref="M129">ROUND(K129*F129,0)</f>
        <v>31698094</v>
      </c>
      <c r="N129" s="799" cm="1">
        <f t="array" ref="N129">M129/M$5</f>
        <v>0.216173679657936</v>
      </c>
      <c r="O129" s="798" cm="1">
        <f t="array" ref="O129">M129-M128</f>
        <v>-341596</v>
      </c>
      <c r="P129" s="800" cm="1">
        <f t="array" ref="P129">T129-K129</f>
        <v>4806.4814</v>
      </c>
      <c r="Q129" s="798" cm="1">
        <f t="array" ref="Q129">ROUND(P129*F129,0)</f>
        <v>256700129</v>
      </c>
      <c r="R129" s="801" cm="1">
        <f t="array" ref="R129">$K$5-K129</f>
        <v>3356.4814</v>
      </c>
      <c r="S129" s="798" cm="1">
        <f t="array" ref="S129">Q129-Q128</f>
        <v>3253555</v>
      </c>
      <c r="T129" s="801">
        <v>5400</v>
      </c>
      <c r="U129" s="798" cm="1">
        <f t="array" ref="U129">T129*F129</f>
        <v>288398223.412053</v>
      </c>
      <c r="V129" s="802" cm="1">
        <f t="array" ref="V129">-S129</f>
        <v>-3253555</v>
      </c>
      <c r="W129" s="802"/>
      <c r="X129" s="802" cm="1">
        <f t="array" ref="X129">$K128*4.95/12/100/(1-(1+4.95/12/100)^-(360-$A129+3))+$AY129</f>
        <v>5.04321869876332</v>
      </c>
      <c r="Y129" s="803" cm="1">
        <f t="array" ref="Y129">K128*4.95/12/100/(1-(1+4.95/12/100)^-(360-$A129+3))+AY129</f>
        <v>5.04321869876332</v>
      </c>
      <c r="Z129" s="791" cm="1">
        <f t="array" ref="Z129">IF(Z$3*12&lt;=$A129,0,$K128*'depto - Departamento'!$D$8/12/(1-(1+'depto - Departamento'!$D$8/12)^-(12*Z$3-$A129+3))+$AY130)</f>
        <v>5.83655018986182</v>
      </c>
      <c r="AA129" s="791" cm="1">
        <f t="array" ref="AA129">IF(AA$3*12&lt;=$A129,0,$K128*'depto - Departamento'!$D$8/12/(1-(1+'depto - Departamento'!$D$8/12)^-(12*AA$3-$A129+3))+$AY130)</f>
        <v>7.47297112908114</v>
      </c>
      <c r="AB129" s="791" cm="1">
        <f t="array" ref="AB129">IF(AB$3*12&lt;$A129,0,$K128*'depto - Departamento'!$D$8/12/(1-(1+'depto - Departamento'!$D$8/12)^-(12*AB$3-$A129+3))+$AY129)</f>
        <v>12.483112285172</v>
      </c>
      <c r="AC129" s="791" cm="1">
        <f t="array" ref="AC129">IF(AC$3*12&lt;$A129,0,$K128*'depto - Departamento'!$D$8/12/(1-(1+'depto - Departamento'!$D$8/12)^-(12*AC$3-$A129+3))+$AY129)</f>
        <v>27.6343608552865</v>
      </c>
      <c r="AD129" s="791" cm="1">
        <f t="array" ref="AD129">IF(AD$3*12&lt;$A129,0,$K128*'depto - Departamento'!$D$8/12/(1-(1+'depto - Departamento'!$D$8/12)^-(12*AD$3-$A129+3))+$AY129)</f>
        <v>0</v>
      </c>
      <c r="AE129" s="791" cm="1">
        <f t="array" ref="AE129">IF(AE$3*12&lt;$A129,0,$K128*'depto - Departamento'!$D$8/12/(1-(1+'depto - Departamento'!$D$8/12)^-(12*AE$3-$A129+3))+$AY129)</f>
        <v>0</v>
      </c>
      <c r="AF129" s="791" cm="1">
        <f t="array" ref="AF129">AF128-(AF127-AF128)</f>
        <v>79.4953</v>
      </c>
      <c r="AG129" s="791"/>
      <c r="AH129" s="791"/>
      <c r="AI129" s="804" cm="1">
        <f t="array" ref="AI129">$F129*Y129</f>
        <v>269343.576481812</v>
      </c>
      <c r="AJ129" s="405" cm="1">
        <f t="array" ref="AJ129">$F129*Z129</f>
        <v>311713.093631746</v>
      </c>
      <c r="AK129" s="405" cm="1">
        <f t="array" ref="AK129">$F129*AA129</f>
        <v>399109.555043808</v>
      </c>
      <c r="AL129" s="405" cm="1">
        <f t="array" ref="AL129">$F129*AB129</f>
        <v>666686.5566105139</v>
      </c>
      <c r="AM129" s="405" cm="1">
        <f t="array" ref="AM129">$F129*AC129</f>
        <v>1475870.47699856</v>
      </c>
      <c r="AN129" s="405" cm="1">
        <f t="array" ref="AN129">$F129*AD129</f>
        <v>0</v>
      </c>
      <c r="AO129" s="405"/>
      <c r="AP129" s="405" cm="1">
        <f t="array" ref="AP129">$F129*AF129</f>
        <v>4245611.72029781</v>
      </c>
      <c r="AQ129" s="791"/>
      <c r="AR129" s="805" cm="1">
        <f t="array" ref="AR129">K128-K129</f>
        <v>12.5152</v>
      </c>
      <c r="AS129" s="805" cm="1">
        <f t="array" ref="AS129">D129-AR129</f>
        <v>3.4003</v>
      </c>
      <c r="AT129" s="791"/>
      <c r="AU129" s="806" cm="1">
        <f t="array" ref="AU129">ROUND(AV129*F129,0)</f>
        <v>55234</v>
      </c>
      <c r="AV129" s="807" cm="1">
        <f t="array" ref="AV129">IF(K128=0,0,AV128)</f>
        <v>1.0342</v>
      </c>
      <c r="AW129" s="806" cm="1">
        <f t="array" ref="AW129">ROUND(F129*AX129,0)</f>
        <v>1398</v>
      </c>
      <c r="AX129" s="807" cm="1">
        <f t="array" ref="AX129">AX$11/K$10*K128</f>
        <v>0.0261841920458469</v>
      </c>
      <c r="AY129" s="808" cm="1">
        <f t="array" ref="AY129">SUM(AV129,AX129)</f>
        <v>1.06038419204585</v>
      </c>
      <c r="AZ129" s="806" cm="1">
        <f t="array" ref="AZ129">AU129+AW129</f>
        <v>56632</v>
      </c>
      <c r="BA129" s="809" cm="1">
        <f t="array" ref="BA129">AI129-AZ129-BG129</f>
        <v>87744.918490950993</v>
      </c>
      <c r="BB129" s="810" cm="1">
        <f t="array" ref="BB129">ROUND(BA129/$F129,4)</f>
        <v>1.6429</v>
      </c>
      <c r="BC129" s="809" cm="1">
        <f t="array" ref="BC129">J129-SUM(AZ129,BA129,BG129)</f>
        <v>580656.4235181879</v>
      </c>
      <c r="BD129" s="810" cm="1">
        <f t="array" ref="BD129">ROUND(BC129/$F129,4)</f>
        <v>10.8723</v>
      </c>
      <c r="BE129" s="811" cm="1">
        <f t="array" ref="BE129">BC129+BA129</f>
        <v>668401.342009139</v>
      </c>
      <c r="BF129" s="810" cm="1">
        <f t="array" ref="BF129">ROUND((BA129+BC129)/F129,4)</f>
        <v>12.5152</v>
      </c>
      <c r="BG129" s="812" cm="1">
        <f t="array" ref="BG129">BO129*F129</f>
        <v>124966.657990861</v>
      </c>
      <c r="BH129" s="813" cm="1">
        <f t="array" ref="BH129">ROUND(BG129/$F129,4)</f>
        <v>2.3399</v>
      </c>
      <c r="BI129" s="798" cm="1">
        <f t="array" ref="BI129">M128-M129</f>
        <v>341596</v>
      </c>
      <c r="BJ129" s="798" cm="1">
        <f t="array" ref="BJ129">BE129-BI129</f>
        <v>326805.342009139</v>
      </c>
      <c r="BK129" s="798" cm="1">
        <f t="array" ref="BK129">-BJ129</f>
        <v>-326805.342009139</v>
      </c>
      <c r="BL129" s="798" cm="1">
        <f t="array" ref="BL129">BG129+BJ129</f>
        <v>451772</v>
      </c>
      <c r="BM129" s="798" cm="1">
        <f t="array" ref="BM129">AVERAGE(BL127:BL129)</f>
        <v>284386.666666667</v>
      </c>
      <c r="BN129" s="814" cm="1">
        <f t="array" ref="BN129">BH128-BH129</f>
        <v>0.0521</v>
      </c>
      <c r="BO129" s="801" cm="1">
        <f t="array" ref="BO129">K128*0.0495/12-0.16</f>
        <v>2.339889425</v>
      </c>
      <c r="BP129" s="815" cm="1">
        <f t="array" ref="BP129">(BA129+BC129)/BG129</f>
        <v>5.34863741061252</v>
      </c>
      <c r="BQ129" s="815" cm="1">
        <f t="array" ref="BQ129">Y129-BB129</f>
        <v>3.40031869876332</v>
      </c>
      <c r="BR129" s="815" cm="1">
        <f t="array" ref="BR129">(BR$4*(1+BR$4)^BR$3*K128)/((1+BR$4)^BR$3-1)</f>
        <v>3.23482660059975</v>
      </c>
      <c r="BS129" s="815"/>
      <c r="BT129" s="405"/>
      <c r="BU129" s="405"/>
      <c r="BV129" s="405" cm="1">
        <f t="array" ref="BV129">BA129+BC129+BV128</f>
        <v>141630902.978585</v>
      </c>
      <c r="BW129" s="405" cm="1">
        <f t="array" ref="BW129">BG129+BW128</f>
        <v>31224810.0214166</v>
      </c>
      <c r="BX129" s="801" cm="1">
        <f t="array" ref="BX129">BF129+BX128</f>
        <v>3321.9906</v>
      </c>
      <c r="BY129" s="801" cm="1">
        <f t="array" ref="BY129">BH129+BY128</f>
        <v>714.2073</v>
      </c>
      <c r="BZ129" s="405" cm="1">
        <f t="array" ref="BZ129">SUM(BJ$6:BJ129)</f>
        <v>26696464.9785833</v>
      </c>
      <c r="CA129" s="801"/>
      <c r="CB129" s="801"/>
      <c r="CC129" s="405" cm="1">
        <f t="array" ref="CC129">SUM(BE$6:BE129)</f>
        <v>141630902.978583</v>
      </c>
      <c r="CD129" s="801"/>
      <c r="CE129" s="801"/>
      <c r="CF129" s="801"/>
      <c r="CG129" s="801"/>
      <c r="CH129" s="801"/>
      <c r="CI129" s="801"/>
      <c r="CJ129" s="801"/>
      <c r="CK129" s="801"/>
      <c r="CL129" s="801"/>
      <c r="CM129" s="801"/>
    </row>
    <row r="130" ht="19.35" customHeight="1" hidden="1">
      <c r="A130" s="762">
        <v>124</v>
      </c>
      <c r="B130" s="790">
        <v>49106</v>
      </c>
      <c r="C130" s="405"/>
      <c r="D130" s="791" cm="1">
        <f t="array" ref="D130">ROUND(850000/F130,4)</f>
        <v>15.7112</v>
      </c>
      <c r="E130" s="792" cm="1">
        <f t="array" ref="E130">D130/K129</f>
        <v>0.0264712849774211</v>
      </c>
      <c r="F130" s="793" cm="1">
        <f t="array" ref="F130">F129*(1+G130)</f>
        <v>54101.3704289647</v>
      </c>
      <c r="G130" s="792" cm="1">
        <f t="array" ref="G130">H130-SUM(G119:G129)</f>
        <v>0.013</v>
      </c>
      <c r="H130" s="794" cm="1">
        <f t="array" ref="H130">'depto - Table 5'!$L$2</f>
        <v>0.03</v>
      </c>
      <c r="I130" s="795" cm="1">
        <f t="array" ref="I130">H130+4.95/100</f>
        <v>0.0795</v>
      </c>
      <c r="J130" s="405" cm="1">
        <f t="array" ref="J130">IF(K129=0,0,ROUND(D130*F130,0))</f>
        <v>849997</v>
      </c>
      <c r="K130" s="796" cm="1">
        <f t="array" ref="K130">IF(K129-BF130&lt;0,0,K129-BF130)</f>
        <v>581.1555</v>
      </c>
      <c r="L130" s="797" cm="1">
        <f t="array" ref="L130">K130/K$5</f>
        <v>0.147127974683544</v>
      </c>
      <c r="M130" s="798" cm="1">
        <f t="array" ref="M130">ROUND(K130*F130,0)</f>
        <v>31441309</v>
      </c>
      <c r="N130" s="799" cm="1">
        <f t="array" ref="N130">M130/M$5</f>
        <v>0.214422465268485</v>
      </c>
      <c r="O130" s="798" cm="1">
        <f t="array" ref="O130">M130-M129</f>
        <v>-256785</v>
      </c>
      <c r="P130" s="800" cm="1">
        <f t="array" ref="P130">T130-K130</f>
        <v>4818.8445</v>
      </c>
      <c r="Q130" s="798" cm="1">
        <f t="array" ref="Q130">ROUND(P130*F130,0)</f>
        <v>260706091</v>
      </c>
      <c r="R130" s="801" cm="1">
        <f t="array" ref="R130">$K$5-K130</f>
        <v>3368.8445</v>
      </c>
      <c r="S130" s="798" cm="1">
        <f t="array" ref="S130">Q130-Q129</f>
        <v>4005962</v>
      </c>
      <c r="T130" s="801">
        <v>5400</v>
      </c>
      <c r="U130" s="798" cm="1">
        <f t="array" ref="U130">T130*F130</f>
        <v>292147400.316409</v>
      </c>
      <c r="V130" s="802" cm="1">
        <f t="array" ref="V130">-S130</f>
        <v>-4005962</v>
      </c>
      <c r="W130" s="802"/>
      <c r="X130" s="802" cm="1">
        <f t="array" ref="X130">$K129*4.95/12/100/(1-(1+4.95/12/100)^-(360-$A130+3))+$AY130</f>
        <v>4.96999649794541</v>
      </c>
      <c r="Y130" s="803" cm="1">
        <f t="array" ref="Y130">K129*4.95/12/100/(1-(1+4.95/12/100)^-(360-$A130+3))+AY130</f>
        <v>4.96999649794541</v>
      </c>
      <c r="Z130" s="791" cm="1">
        <f t="array" ref="Z130">IF(Z$3*12&lt;=$A130,0,$K129*'depto - Departamento'!$D$8/12/(1-(1+'depto - Departamento'!$D$8/12)^-(12*Z$3-$A130+3))+$AY131)</f>
        <v>5.75501365359866</v>
      </c>
      <c r="AA130" s="791" cm="1">
        <f t="array" ref="AA130">IF(AA$3*12&lt;=$A130,0,$K129*'depto - Departamento'!$D$8/12/(1-(1+'depto - Departamento'!$D$8/12)^-(12*AA$3-$A130+3))+$AY131)</f>
        <v>7.38081831125491</v>
      </c>
      <c r="AB130" s="791" cm="1">
        <f t="array" ref="AB130">IF(AB$3*12&lt;$A130,0,$K129*'depto - Departamento'!$D$8/12/(1-(1+'depto - Departamento'!$D$8/12)^-(12*AB$3-$A130+3))+$AY130)</f>
        <v>12.4138497109739</v>
      </c>
      <c r="AC130" s="791" cm="1">
        <f t="array" ref="AC130">IF(AC$3*12&lt;$A130,0,$K129*'depto - Departamento'!$D$8/12/(1-(1+'depto - Departamento'!$D$8/12)^-(12*AC$3-$A130+3))+$AY130)</f>
        <v>28.1616326065158</v>
      </c>
      <c r="AD130" s="791" cm="1">
        <f t="array" ref="AD130">IF(AD$3*12&lt;$A130,0,$K129*'depto - Departamento'!$D$8/12/(1-(1+'depto - Departamento'!$D$8/12)^-(12*AD$3-$A130+3))+$AY130)</f>
        <v>0</v>
      </c>
      <c r="AE130" s="791" cm="1">
        <f t="array" ref="AE130">IF(AE$3*12&lt;$A130,0,$K129*'depto - Departamento'!$D$8/12/(1-(1+'depto - Departamento'!$D$8/12)^-(12*AE$3-$A130+3))+$AY130)</f>
        <v>0</v>
      </c>
      <c r="AF130" s="791" cm="1">
        <f t="array" ref="AF130">AF129-(AF128-AF129)</f>
        <v>79.49250000000001</v>
      </c>
      <c r="AG130" s="791"/>
      <c r="AH130" s="791"/>
      <c r="AI130" s="804" cm="1">
        <f t="array" ref="AI130">$F130*Y130</f>
        <v>268883.621566002</v>
      </c>
      <c r="AJ130" s="405" cm="1">
        <f t="array" ref="AJ130">$F130*Z130</f>
        <v>311354.125497091</v>
      </c>
      <c r="AK130" s="405" cm="1">
        <f t="array" ref="AK130">$F130*AA130</f>
        <v>399312.385526088</v>
      </c>
      <c r="AL130" s="405" cm="1">
        <f t="array" ref="AL130">$F130*AB130</f>
        <v>671606.281662895</v>
      </c>
      <c r="AM130" s="405" cm="1">
        <f t="array" ref="AM130">$F130*AC130</f>
        <v>1523582.91752952</v>
      </c>
      <c r="AN130" s="405" cm="1">
        <f t="array" ref="AN130">$F130*AD130</f>
        <v>0</v>
      </c>
      <c r="AO130" s="405"/>
      <c r="AP130" s="405" cm="1">
        <f t="array" ref="AP130">$F130*AF130</f>
        <v>4300653.18882448</v>
      </c>
      <c r="AQ130" s="791"/>
      <c r="AR130" s="805" cm="1">
        <f t="array" ref="AR130">K129-K130</f>
        <v>12.3631</v>
      </c>
      <c r="AS130" s="805" cm="1">
        <f t="array" ref="AS130">D130-AR130</f>
        <v>3.3481</v>
      </c>
      <c r="AT130" s="791"/>
      <c r="AU130" s="806" cm="1">
        <f t="array" ref="AU130">ROUND(AV130*F130,0)</f>
        <v>55952</v>
      </c>
      <c r="AV130" s="807" cm="1">
        <f t="array" ref="AV130">IF(K129=0,0,AV129)</f>
        <v>1.0342</v>
      </c>
      <c r="AW130" s="806" cm="1">
        <f t="array" ref="AW130">ROUND(F130*AX130,0)</f>
        <v>1387</v>
      </c>
      <c r="AX130" s="807" cm="1">
        <f t="array" ref="AX130">AX$11/K$10*K129</f>
        <v>0.0256434624688956</v>
      </c>
      <c r="AY130" s="808" cm="1">
        <f t="array" ref="AY130">SUM(AV130,AX130)</f>
        <v>1.0598434624689</v>
      </c>
      <c r="AZ130" s="806" cm="1">
        <f t="array" ref="AZ130">AU130+AW130</f>
        <v>57339</v>
      </c>
      <c r="BA130" s="809" cm="1">
        <f t="array" ref="BA130">AI130-AZ130-BG130</f>
        <v>87746.391089929006</v>
      </c>
      <c r="BB130" s="810" cm="1">
        <f t="array" ref="BB130">ROUND(BA130/$F130,4)</f>
        <v>1.6219</v>
      </c>
      <c r="BC130" s="809" cm="1">
        <f t="array" ref="BC130">J130-SUM(AZ130,BA130,BG130)</f>
        <v>581113.378433998</v>
      </c>
      <c r="BD130" s="810" cm="1">
        <f t="array" ref="BD130">ROUND(BC130/$F130,4)</f>
        <v>10.7412</v>
      </c>
      <c r="BE130" s="811" cm="1">
        <f t="array" ref="BE130">BC130+BA130</f>
        <v>668859.769523927</v>
      </c>
      <c r="BF130" s="810" cm="1">
        <f t="array" ref="BF130">ROUND((BA130+BC130)/F130,4)</f>
        <v>12.3631</v>
      </c>
      <c r="BG130" s="812" cm="1">
        <f t="array" ref="BG130">BO130*F130</f>
        <v>123798.230476073</v>
      </c>
      <c r="BH130" s="813" cm="1">
        <f t="array" ref="BH130">ROUND(BG130/$F130,4)</f>
        <v>2.2883</v>
      </c>
      <c r="BI130" s="798" cm="1">
        <f t="array" ref="BI130">M129-M130</f>
        <v>256785</v>
      </c>
      <c r="BJ130" s="798" cm="1">
        <f t="array" ref="BJ130">BE130-BI130</f>
        <v>412074.769523927</v>
      </c>
      <c r="BK130" s="798" cm="1">
        <f t="array" ref="BK130">-BJ130</f>
        <v>-412074.769523927</v>
      </c>
      <c r="BL130" s="798" cm="1">
        <f t="array" ref="BL130">BG130+BJ130</f>
        <v>535873</v>
      </c>
      <c r="BM130" s="798" cm="1">
        <f t="array" ref="BM130">AVERAGE(BL128:BL130)</f>
        <v>378994</v>
      </c>
      <c r="BN130" s="814" cm="1">
        <f t="array" ref="BN130">BH129-BH130</f>
        <v>0.0516</v>
      </c>
      <c r="BO130" s="801" cm="1">
        <f t="array" ref="BO130">K129*0.0495/12-0.16</f>
        <v>2.288264225</v>
      </c>
      <c r="BP130" s="815" cm="1">
        <f t="array" ref="BP130">(BA130+BC130)/BG130</f>
        <v>5.40282172816033</v>
      </c>
      <c r="BQ130" s="815" cm="1">
        <f t="array" ref="BQ130">Y130-BB130</f>
        <v>3.34809649794541</v>
      </c>
      <c r="BR130" s="815" cm="1">
        <f t="array" ref="BR130">(BR$4*(1+BR$4)^BR$3*K129)/((1+BR$4)^BR$3-1)</f>
        <v>3.16802421784185</v>
      </c>
      <c r="BS130" s="815"/>
      <c r="BT130" s="405"/>
      <c r="BU130" s="405"/>
      <c r="BV130" s="405" cm="1">
        <f t="array" ref="BV130">BA130+BC130+BV129</f>
        <v>142299762.748109</v>
      </c>
      <c r="BW130" s="405" cm="1">
        <f t="array" ref="BW130">BG130+BW129</f>
        <v>31348608.2518927</v>
      </c>
      <c r="BX130" s="801" cm="1">
        <f t="array" ref="BX130">BF130+BX129</f>
        <v>3334.3537</v>
      </c>
      <c r="BY130" s="801" cm="1">
        <f t="array" ref="BY130">BH130+BY129</f>
        <v>716.4956</v>
      </c>
      <c r="BZ130" s="405" cm="1">
        <f t="array" ref="BZ130">SUM(BJ$6:BJ130)</f>
        <v>27108539.7481072</v>
      </c>
      <c r="CA130" s="801"/>
      <c r="CB130" s="801"/>
      <c r="CC130" s="405" cm="1">
        <f t="array" ref="CC130">SUM(BE$6:BE130)</f>
        <v>142299762.748107</v>
      </c>
      <c r="CD130" s="801"/>
      <c r="CE130" s="801"/>
      <c r="CF130" s="801"/>
      <c r="CG130" s="801"/>
      <c r="CH130" s="801"/>
      <c r="CI130" s="801"/>
      <c r="CJ130" s="801"/>
      <c r="CK130" s="801"/>
      <c r="CL130" s="801"/>
      <c r="CM130" s="801"/>
    </row>
    <row r="131" ht="19.35" customHeight="1" hidden="1">
      <c r="A131" s="762">
        <v>125</v>
      </c>
      <c r="B131" s="790">
        <v>49136</v>
      </c>
      <c r="C131" s="405"/>
      <c r="D131" s="791" cm="1">
        <f t="array" ref="D131">ROUND(850000/F131,4)</f>
        <v>15.5449</v>
      </c>
      <c r="E131" s="792" cm="1">
        <f t="array" ref="E131">D131/K130</f>
        <v>0.0267482627283059</v>
      </c>
      <c r="F131" s="793" cm="1">
        <f t="array" ref="F131">F130*(1+G131)</f>
        <v>54680.2550925546</v>
      </c>
      <c r="G131" s="792" cm="1">
        <f t="array" ref="G131">H131-SUM(G120:G130)</f>
        <v>0.0107</v>
      </c>
      <c r="H131" s="794" cm="1">
        <f t="array" ref="H131">'depto - Table 5'!$L$2</f>
        <v>0.03</v>
      </c>
      <c r="I131" s="795" cm="1">
        <f t="array" ref="I131">H131+4.95/100</f>
        <v>0.0795</v>
      </c>
      <c r="J131" s="405" cm="1">
        <f t="array" ref="J131">IF(K130=0,0,ROUND(D131*F131,0))</f>
        <v>849999</v>
      </c>
      <c r="K131" s="796" cm="1">
        <f t="array" ref="K131">IF(K130-BF131&lt;0,0,K130-BF131)</f>
        <v>568.9072</v>
      </c>
      <c r="L131" s="797" cm="1">
        <f t="array" ref="L131">K131/K$5</f>
        <v>0.144027139240506</v>
      </c>
      <c r="M131" s="798" cm="1">
        <f t="array" ref="M131">ROUND(K131*F131,0)</f>
        <v>31107991</v>
      </c>
      <c r="N131" s="799" cm="1">
        <f t="array" ref="N131">M131/M$5</f>
        <v>0.212149313496135</v>
      </c>
      <c r="O131" s="798" cm="1">
        <f t="array" ref="O131">M131-M130</f>
        <v>-333318</v>
      </c>
      <c r="P131" s="800" cm="1">
        <f t="array" ref="P131">T131-K131</f>
        <v>4831.0928</v>
      </c>
      <c r="Q131" s="798" cm="1">
        <f t="array" ref="Q131">ROUND(P131*F131,0)</f>
        <v>264165387</v>
      </c>
      <c r="R131" s="801" cm="1">
        <f t="array" ref="R131">$K$5-K131</f>
        <v>3381.0928</v>
      </c>
      <c r="S131" s="798" cm="1">
        <f t="array" ref="S131">Q131-Q130</f>
        <v>3459296</v>
      </c>
      <c r="T131" s="801">
        <v>5400</v>
      </c>
      <c r="U131" s="798" cm="1">
        <f t="array" ref="U131">T131*F131</f>
        <v>295273377.499795</v>
      </c>
      <c r="V131" s="802" cm="1">
        <f t="array" ref="V131">-S131</f>
        <v>-3459296</v>
      </c>
      <c r="W131" s="802"/>
      <c r="X131" s="802" cm="1">
        <f t="array" ref="X131">$K130*4.95/12/100/(1-(1+4.95/12/100)^-(360-$A131+3))+$AY131</f>
        <v>4.89746686518759</v>
      </c>
      <c r="Y131" s="803" cm="1">
        <f t="array" ref="Y131">K130*4.95/12/100/(1-(1+4.95/12/100)^-(360-$A131+3))+AY131</f>
        <v>4.89746686518759</v>
      </c>
      <c r="Z131" s="791" cm="1">
        <f t="array" ref="Z131">IF(Z$3*12&lt;=$A131,0,$K130*'depto - Departamento'!$D$8/12/(1-(1+'depto - Departamento'!$D$8/12)^-(12*Z$3-$A131+3))+$AY132)</f>
        <v>5.67414881391328</v>
      </c>
      <c r="AA131" s="791" cm="1">
        <f t="array" ref="AA131">IF(AA$3*12&lt;=$A131,0,$K130*'depto - Departamento'!$D$8/12/(1-(1+'depto - Departamento'!$D$8/12)^-(12*AA$3-$A131+3))+$AY132)</f>
        <v>7.28927051076999</v>
      </c>
      <c r="AB131" s="791" cm="1">
        <f t="array" ref="AB131">IF(AB$3*12&lt;$A131,0,$K130*'depto - Departamento'!$D$8/12/(1-(1+'depto - Departamento'!$D$8/12)^-(12*AB$3-$A131+3))+$AY131)</f>
        <v>12.3461687847911</v>
      </c>
      <c r="AC131" s="791" cm="1">
        <f t="array" ref="AC131">IF(AC$3*12&lt;$A131,0,$K130*'depto - Departamento'!$D$8/12/(1-(1+'depto - Departamento'!$D$8/12)^-(12*AC$3-$A131+3))+$AY131)</f>
        <v>28.7466371276412</v>
      </c>
      <c r="AD131" s="791" cm="1">
        <f t="array" ref="AD131">IF(AD$3*12&lt;$A131,0,$K130*'depto - Departamento'!$D$8/12/(1-(1+'depto - Departamento'!$D$8/12)^-(12*AD$3-$A131+3))+$AY131)</f>
        <v>0</v>
      </c>
      <c r="AE131" s="791" cm="1">
        <f t="array" ref="AE131">IF(AE$3*12&lt;$A131,0,$K130*'depto - Departamento'!$D$8/12/(1-(1+'depto - Departamento'!$D$8/12)^-(12*AE$3-$A131+3))+$AY131)</f>
        <v>0</v>
      </c>
      <c r="AF131" s="791" cm="1">
        <f t="array" ref="AF131">AF130-(AF129-AF130)</f>
        <v>79.4897</v>
      </c>
      <c r="AG131" s="791"/>
      <c r="AH131" s="791"/>
      <c r="AI131" s="804" cm="1">
        <f t="array" ref="AI131">$F131*Y131</f>
        <v>267794.737495791</v>
      </c>
      <c r="AJ131" s="405" cm="1">
        <f t="array" ref="AJ131">$F131*Z131</f>
        <v>310263.904577894</v>
      </c>
      <c r="AK131" s="405" cm="1">
        <f t="array" ref="AK131">$F131*AA131</f>
        <v>398579.170967539</v>
      </c>
      <c r="AL131" s="405" cm="1">
        <f t="array" ref="AL131">$F131*AB131</f>
        <v>675091.6585681119</v>
      </c>
      <c r="AM131" s="405" cm="1">
        <f t="array" ref="AM131">$F131*AC131</f>
        <v>1571873.45119252</v>
      </c>
      <c r="AN131" s="405" cm="1">
        <f t="array" ref="AN131">$F131*AD131</f>
        <v>0</v>
      </c>
      <c r="AO131" s="405"/>
      <c r="AP131" s="405" cm="1">
        <f t="array" ref="AP131">$F131*AF131</f>
        <v>4346517.07323064</v>
      </c>
      <c r="AQ131" s="791"/>
      <c r="AR131" s="805" cm="1">
        <f t="array" ref="AR131">K130-K131</f>
        <v>12.2483</v>
      </c>
      <c r="AS131" s="805" cm="1">
        <f t="array" ref="AS131">D131-AR131</f>
        <v>3.2966</v>
      </c>
      <c r="AT131" s="791"/>
      <c r="AU131" s="806" cm="1">
        <f t="array" ref="AU131">ROUND(AV131*F131,0)</f>
        <v>56550</v>
      </c>
      <c r="AV131" s="807" cm="1">
        <f t="array" ref="AV131">IF(K130=0,0,AV130)</f>
        <v>1.0342</v>
      </c>
      <c r="AW131" s="806" cm="1">
        <f t="array" ref="AW131">ROUND(F131*AX131,0)</f>
        <v>1373</v>
      </c>
      <c r="AX131" s="807" cm="1">
        <f t="array" ref="AX131">AX$11/K$10*K130</f>
        <v>0.0251093044983632</v>
      </c>
      <c r="AY131" s="808" cm="1">
        <f t="array" ref="AY131">SUM(AV131,AX131)</f>
        <v>1.05930930449836</v>
      </c>
      <c r="AZ131" s="806" cm="1">
        <f t="array" ref="AZ131">AU131+AW131</f>
        <v>57923</v>
      </c>
      <c r="BA131" s="809" cm="1">
        <f t="array" ref="BA131">AI131-AZ131-BG131</f>
        <v>87537.43798328</v>
      </c>
      <c r="BB131" s="810" cm="1">
        <f t="array" ref="BB131">ROUND(BA131/$F131,4)</f>
        <v>1.6009</v>
      </c>
      <c r="BC131" s="809" cm="1">
        <f t="array" ref="BC131">J131-SUM(AZ131,BA131,BG131)</f>
        <v>582204.2625042089</v>
      </c>
      <c r="BD131" s="810" cm="1">
        <f t="array" ref="BD131">ROUND(BC131/$F131,4)</f>
        <v>10.6474</v>
      </c>
      <c r="BE131" s="811" cm="1">
        <f t="array" ref="BE131">BC131+BA131</f>
        <v>669741.700487489</v>
      </c>
      <c r="BF131" s="810" cm="1">
        <f t="array" ref="BF131">ROUND((BA131+BC131)/F131,4)</f>
        <v>12.2483</v>
      </c>
      <c r="BG131" s="812" cm="1">
        <f t="array" ref="BG131">BO131*F131</f>
        <v>122334.299512511</v>
      </c>
      <c r="BH131" s="813" cm="1">
        <f t="array" ref="BH131">ROUND(BG131/$F131,4)</f>
        <v>2.2373</v>
      </c>
      <c r="BI131" s="798" cm="1">
        <f t="array" ref="BI131">M130-M131</f>
        <v>333318</v>
      </c>
      <c r="BJ131" s="798" cm="1">
        <f t="array" ref="BJ131">BE131-BI131</f>
        <v>336423.700487489</v>
      </c>
      <c r="BK131" s="798" cm="1">
        <f t="array" ref="BK131">-BJ131</f>
        <v>-336423.700487489</v>
      </c>
      <c r="BL131" s="798" cm="1">
        <f t="array" ref="BL131">BG131+BJ131</f>
        <v>458758</v>
      </c>
      <c r="BM131" s="798" cm="1">
        <f t="array" ref="BM131">AVERAGE(BL129:BL131)</f>
        <v>482134.333333333</v>
      </c>
      <c r="BN131" s="814" cm="1">
        <f t="array" ref="BN131">BH130-BH131</f>
        <v>0.051</v>
      </c>
      <c r="BO131" s="801" cm="1">
        <f t="array" ref="BO131">K130*0.0495/12-0.16</f>
        <v>2.2372664375</v>
      </c>
      <c r="BP131" s="815" cm="1">
        <f t="array" ref="BP131">(BA131+BC131)/BG131</f>
        <v>5.47468455826647</v>
      </c>
      <c r="BQ131" s="815" cm="1">
        <f t="array" ref="BQ131">Y131-BB131</f>
        <v>3.29656686518759</v>
      </c>
      <c r="BR131" s="815" cm="1">
        <f t="array" ref="BR131">(BR$4*(1+BR$4)^BR$3*K130)/((1+BR$4)^BR$3-1)</f>
        <v>3.10203369925052</v>
      </c>
      <c r="BS131" s="815"/>
      <c r="BT131" s="405"/>
      <c r="BU131" s="405"/>
      <c r="BV131" s="405" cm="1">
        <f t="array" ref="BV131">BA131+BC131+BV130</f>
        <v>142969504.448596</v>
      </c>
      <c r="BW131" s="405" cm="1">
        <f t="array" ref="BW131">BG131+BW130</f>
        <v>31470942.5514052</v>
      </c>
      <c r="BX131" s="801" cm="1">
        <f t="array" ref="BX131">BF131+BX130</f>
        <v>3346.602</v>
      </c>
      <c r="BY131" s="801" cm="1">
        <f t="array" ref="BY131">BH131+BY130</f>
        <v>718.7329</v>
      </c>
      <c r="BZ131" s="405" cm="1">
        <f t="array" ref="BZ131">SUM(BJ$6:BJ131)</f>
        <v>27444963.4485947</v>
      </c>
      <c r="CA131" s="801"/>
      <c r="CB131" s="801"/>
      <c r="CC131" s="405" cm="1">
        <f t="array" ref="CC131">SUM(BE$6:BE131)</f>
        <v>142969504.448595</v>
      </c>
      <c r="CD131" s="801"/>
      <c r="CE131" s="801"/>
      <c r="CF131" s="801"/>
      <c r="CG131" s="801"/>
      <c r="CH131" s="801"/>
      <c r="CI131" s="801"/>
      <c r="CJ131" s="801"/>
      <c r="CK131" s="801"/>
      <c r="CL131" s="801"/>
      <c r="CM131" s="801"/>
    </row>
    <row r="132" ht="19.35" customHeight="1" hidden="1">
      <c r="A132" s="762">
        <v>126</v>
      </c>
      <c r="B132" s="790">
        <v>49167</v>
      </c>
      <c r="C132" s="405"/>
      <c r="D132" s="791" cm="1">
        <f t="array" ref="D132">ROUND(850000/F132,4)</f>
        <v>15.5449</v>
      </c>
      <c r="E132" s="792" cm="1">
        <f t="array" ref="E132">D132/K131</f>
        <v>0.0273241400354926</v>
      </c>
      <c r="F132" s="793" cm="1">
        <f t="array" ref="F132">F131*(1+G132)</f>
        <v>54680.2550925546</v>
      </c>
      <c r="G132" s="792" cm="1">
        <f t="array" ref="G132">H132-SUM(G121:G131)</f>
        <v>0</v>
      </c>
      <c r="H132" s="794" cm="1">
        <f t="array" ref="H132">'depto - Table 5'!$L$2</f>
        <v>0.03</v>
      </c>
      <c r="I132" s="795" cm="1">
        <f t="array" ref="I132">H132+4.95/100</f>
        <v>0.0795</v>
      </c>
      <c r="J132" s="405" cm="1">
        <f t="array" ref="J132">IF(K131=0,0,ROUND(D132*F132,0))</f>
        <v>849999</v>
      </c>
      <c r="K132" s="796" cm="1">
        <f t="array" ref="K132">IF(K131-BF132&lt;0,0,K131-BF132)</f>
        <v>556.6078</v>
      </c>
      <c r="L132" s="797" cm="1">
        <f t="array" ref="L132">K132/K$5</f>
        <v>0.140913367088608</v>
      </c>
      <c r="M132" s="798" cm="1">
        <f t="array" ref="M132">ROUND(K132*F132,0)</f>
        <v>30435456</v>
      </c>
      <c r="N132" s="799" cm="1">
        <f t="array" ref="N132">M132/M$5</f>
        <v>0.207562780133947</v>
      </c>
      <c r="O132" s="798" cm="1">
        <f t="array" ref="O132">M132-M131</f>
        <v>-672535</v>
      </c>
      <c r="P132" s="800" cm="1">
        <f t="array" ref="P132">T132-K132</f>
        <v>4843.3922</v>
      </c>
      <c r="Q132" s="798" cm="1">
        <f t="array" ref="Q132">ROUND(P132*F132,0)</f>
        <v>264837921</v>
      </c>
      <c r="R132" s="801" cm="1">
        <f t="array" ref="R132">$K$5-K132</f>
        <v>3393.3922</v>
      </c>
      <c r="S132" s="798" cm="1">
        <f t="array" ref="S132">Q132-Q131</f>
        <v>672534</v>
      </c>
      <c r="T132" s="801">
        <v>5400</v>
      </c>
      <c r="U132" s="798" cm="1">
        <f t="array" ref="U132">T132*F132</f>
        <v>295273377.499795</v>
      </c>
      <c r="V132" s="802" cm="1">
        <f t="array" ref="V132">-S132</f>
        <v>-672534</v>
      </c>
      <c r="W132" s="802"/>
      <c r="X132" s="802" cm="1">
        <f t="array" ref="X132">$K131*4.95/12/100/(1-(1+4.95/12/100)^-(360-$A132+3))+$AY132</f>
        <v>4.82538429002078</v>
      </c>
      <c r="Y132" s="803" cm="1">
        <f t="array" ref="Y132">K131*4.95/12/100/(1-(1+4.95/12/100)^-(360-$A132+3))+AY132</f>
        <v>4.82538429002078</v>
      </c>
      <c r="Z132" s="791" cm="1">
        <f t="array" ref="Z132">IF(Z$3*12&lt;=$A132,0,$K131*'depto - Departamento'!$D$8/12/(1-(1+'depto - Departamento'!$D$8/12)^-(12*Z$3-$A132+3))+$AY133)</f>
        <v>5.5936552897733</v>
      </c>
      <c r="AA132" s="791" cm="1">
        <f t="array" ref="AA132">IF(AA$3*12&lt;=$A132,0,$K131*'depto - Departamento'!$D$8/12/(1-(1+'depto - Departamento'!$D$8/12)^-(12*AA$3-$A132+3))+$AY133)</f>
        <v>7.19792319048136</v>
      </c>
      <c r="AB132" s="791" cm="1">
        <f t="array" ref="AB132">IF(AB$3*12&lt;$A132,0,$K131*'depto - Departamento'!$D$8/12/(1-(1+'depto - Departamento'!$D$8/12)^-(12*AB$3-$A132+3))+$AY132)</f>
        <v>12.2793954632689</v>
      </c>
      <c r="AC132" s="791" cm="1">
        <f t="array" ref="AC132">IF(AC$3*12&lt;$A132,0,$K131*'depto - Departamento'!$D$8/12/(1-(1+'depto - Departamento'!$D$8/12)^-(12*AC$3-$A132+3))+$AY132)</f>
        <v>29.395710329474</v>
      </c>
      <c r="AD132" s="791" cm="1">
        <f t="array" ref="AD132">IF(AD$3*12&lt;$A132,0,$K131*'depto - Departamento'!$D$8/12/(1-(1+'depto - Departamento'!$D$8/12)^-(12*AD$3-$A132+3))+$AY132)</f>
        <v>0</v>
      </c>
      <c r="AE132" s="791" cm="1">
        <f t="array" ref="AE132">IF(AE$3*12&lt;$A132,0,$K131*'depto - Departamento'!$D$8/12/(1-(1+'depto - Departamento'!$D$8/12)^-(12*AE$3-$A132+3))+$AY132)</f>
        <v>0</v>
      </c>
      <c r="AF132" s="791" cm="1">
        <f t="array" ref="AF132">AF131-(AF130-AF131)</f>
        <v>79.48690000000001</v>
      </c>
      <c r="AG132" s="791"/>
      <c r="AH132" s="791"/>
      <c r="AI132" s="804" cm="1">
        <f t="array" ref="AI132">$F132*Y132</f>
        <v>263853.243897942</v>
      </c>
      <c r="AJ132" s="405" cm="1">
        <f t="array" ref="AJ132">$F132*Z132</f>
        <v>305862.498144621</v>
      </c>
      <c r="AK132" s="405" cm="1">
        <f t="array" ref="AK132">$F132*AA132</f>
        <v>393584.276192135</v>
      </c>
      <c r="AL132" s="405" cm="1">
        <f t="array" ref="AL132">$F132*AB132</f>
        <v>671440.476313901</v>
      </c>
      <c r="AM132" s="405" cm="1">
        <f t="array" ref="AM132">$F132*AC132</f>
        <v>1607364.93944248</v>
      </c>
      <c r="AN132" s="405" cm="1">
        <f t="array" ref="AN132">$F132*AD132</f>
        <v>0</v>
      </c>
      <c r="AO132" s="405"/>
      <c r="AP132" s="405" cm="1">
        <f t="array" ref="AP132">$F132*AF132</f>
        <v>4346363.96851638</v>
      </c>
      <c r="AQ132" s="791"/>
      <c r="AR132" s="805" cm="1">
        <f t="array" ref="AR132">K131-K132</f>
        <v>12.2994</v>
      </c>
      <c r="AS132" s="805" cm="1">
        <f t="array" ref="AS132">D132-AR132</f>
        <v>3.2455</v>
      </c>
      <c r="AT132" s="791"/>
      <c r="AU132" s="806" cm="1">
        <f t="array" ref="AU132">ROUND(AV132*F132,0)</f>
        <v>56550</v>
      </c>
      <c r="AV132" s="807" cm="1">
        <f t="array" ref="AV132">IF(K131=0,0,AV131)</f>
        <v>1.0342</v>
      </c>
      <c r="AW132" s="806" cm="1">
        <f t="array" ref="AW132">ROUND(F132*AX132,0)</f>
        <v>1344</v>
      </c>
      <c r="AX132" s="807" cm="1">
        <f t="array" ref="AX132">AX$11/K$10*K131</f>
        <v>0.0245801065568703</v>
      </c>
      <c r="AY132" s="808" cm="1">
        <f t="array" ref="AY132">SUM(AV132,AX132)</f>
        <v>1.05878010655687</v>
      </c>
      <c r="AZ132" s="806" cm="1">
        <f t="array" ref="AZ132">AU132+AW132</f>
        <v>57894</v>
      </c>
      <c r="BA132" s="809" cm="1">
        <f t="array" ref="BA132">AI132-AZ132-BG132</f>
        <v>86387.622580288007</v>
      </c>
      <c r="BB132" s="810" cm="1">
        <f t="array" ref="BB132">ROUND(BA132/$F132,4)</f>
        <v>1.5799</v>
      </c>
      <c r="BC132" s="809" cm="1">
        <f t="array" ref="BC132">J132-SUM(AZ132,BA132,BG132)</f>
        <v>586145.756102058</v>
      </c>
      <c r="BD132" s="810" cm="1">
        <f t="array" ref="BD132">ROUND(BC132/$F132,4)</f>
        <v>10.7195</v>
      </c>
      <c r="BE132" s="811" cm="1">
        <f t="array" ref="BE132">BC132+BA132</f>
        <v>672533.378682346</v>
      </c>
      <c r="BF132" s="810" cm="1">
        <f t="array" ref="BF132">ROUND((BA132+BC132)/F132,4)</f>
        <v>12.2994</v>
      </c>
      <c r="BG132" s="812" cm="1">
        <f t="array" ref="BG132">BO132*F132</f>
        <v>119571.621317654</v>
      </c>
      <c r="BH132" s="813" cm="1">
        <f t="array" ref="BH132">ROUND(BG132/$F132,4)</f>
        <v>2.1867</v>
      </c>
      <c r="BI132" s="798" cm="1">
        <f t="array" ref="BI132">M131-M132</f>
        <v>672535</v>
      </c>
      <c r="BJ132" s="798" cm="1">
        <f t="array" ref="BJ132">BE132-BI132</f>
        <v>-1.621317654</v>
      </c>
      <c r="BK132" s="798" cm="1">
        <f t="array" ref="BK132">-BJ132</f>
        <v>1.621317654</v>
      </c>
      <c r="BL132" s="798" cm="1">
        <f t="array" ref="BL132">BG132+BJ132</f>
        <v>119570</v>
      </c>
      <c r="BM132" s="798" cm="1">
        <f t="array" ref="BM132">AVERAGE(BL130:BL132)</f>
        <v>371400.333333333</v>
      </c>
      <c r="BN132" s="814" cm="1">
        <f t="array" ref="BN132">BH131-BH132</f>
        <v>0.0506</v>
      </c>
      <c r="BO132" s="801" cm="1">
        <f t="array" ref="BO132">K131*0.0495/12-0.16</f>
        <v>2.1867422</v>
      </c>
      <c r="BP132" s="815" cm="1">
        <f t="array" ref="BP132">(BA132+BC132)/BG132</f>
        <v>5.62452337160917</v>
      </c>
      <c r="BQ132" s="815" cm="1">
        <f t="array" ref="BQ132">Y132-BB132</f>
        <v>3.24548429002078</v>
      </c>
      <c r="BR132" s="815" cm="1">
        <f t="array" ref="BR132">(BR$4*(1+BR$4)^BR$3*K131)/((1+BR$4)^BR$3-1)</f>
        <v>3.0366559486166</v>
      </c>
      <c r="BS132" s="815"/>
      <c r="BT132" s="405"/>
      <c r="BU132" s="405"/>
      <c r="BV132" s="405" cm="1">
        <f t="array" ref="BV132">BA132+BC132+BV131</f>
        <v>143642037.827278</v>
      </c>
      <c r="BW132" s="405" cm="1">
        <f t="array" ref="BW132">BG132+BW131</f>
        <v>31590514.1727229</v>
      </c>
      <c r="BX132" s="801" cm="1">
        <f t="array" ref="BX132">BF132+BX131</f>
        <v>3358.9014</v>
      </c>
      <c r="BY132" s="801" cm="1">
        <f t="array" ref="BY132">BH132+BY131</f>
        <v>720.9195999999999</v>
      </c>
      <c r="BZ132" s="405" cm="1">
        <f t="array" ref="BZ132">SUM(BJ$6:BJ132)</f>
        <v>27444961.8272771</v>
      </c>
      <c r="CA132" s="801"/>
      <c r="CB132" s="801"/>
      <c r="CC132" s="405" cm="1">
        <f t="array" ref="CC132">SUM(BE$6:BE132)</f>
        <v>143642037.827277</v>
      </c>
      <c r="CD132" s="801"/>
      <c r="CE132" s="801"/>
      <c r="CF132" s="801"/>
      <c r="CG132" s="801"/>
      <c r="CH132" s="801"/>
      <c r="CI132" s="801"/>
      <c r="CJ132" s="801"/>
      <c r="CK132" s="801"/>
      <c r="CL132" s="801"/>
      <c r="CM132" s="801"/>
    </row>
    <row r="133" ht="19.35" customHeight="1" hidden="1">
      <c r="A133" s="762">
        <v>127</v>
      </c>
      <c r="B133" s="790">
        <v>49198</v>
      </c>
      <c r="C133" s="405"/>
      <c r="D133" s="791" cm="1">
        <f t="array" ref="D133">ROUND(850000/F133,4)</f>
        <v>15.5232</v>
      </c>
      <c r="E133" s="792" cm="1">
        <f t="array" ref="E133">D133/K132</f>
        <v>0.027888937237315</v>
      </c>
      <c r="F133" s="793" cm="1">
        <f t="array" ref="F133">F132*(1+G133)</f>
        <v>54756.8074496842</v>
      </c>
      <c r="G133" s="792" cm="1">
        <f t="array" ref="G133">H133-SUM(G122:G132)</f>
        <v>0.0014</v>
      </c>
      <c r="H133" s="794" cm="1">
        <f t="array" ref="H133">'depto - Table 5'!$L$2</f>
        <v>0.03</v>
      </c>
      <c r="I133" s="795" cm="1">
        <f t="array" ref="I133">H133+4.95/100</f>
        <v>0.0795</v>
      </c>
      <c r="J133" s="405" cm="1">
        <f t="array" ref="J133">IF(K132=0,0,ROUND(D133*F133,0))</f>
        <v>850001</v>
      </c>
      <c r="K133" s="796" cm="1">
        <f t="array" ref="K133">IF(K132-BF133&lt;0,0,K132-BF133)</f>
        <v>544.2788</v>
      </c>
      <c r="L133" s="797" cm="1">
        <f t="array" ref="L133">K133/K$5</f>
        <v>0.137792101265823</v>
      </c>
      <c r="M133" s="798" cm="1">
        <f t="array" ref="M133">ROUND(K133*F133,0)</f>
        <v>29802969</v>
      </c>
      <c r="N133" s="799" cm="1">
        <f t="array" ref="N133">M133/M$5</f>
        <v>0.20324936488173</v>
      </c>
      <c r="O133" s="798" cm="1">
        <f t="array" ref="O133">M133-M132</f>
        <v>-632487</v>
      </c>
      <c r="P133" s="800" cm="1">
        <f t="array" ref="P133">T133-K133</f>
        <v>4855.7212</v>
      </c>
      <c r="Q133" s="798" cm="1">
        <f t="array" ref="Q133">ROUND(P133*F133,0)</f>
        <v>265883791</v>
      </c>
      <c r="R133" s="801" cm="1">
        <f t="array" ref="R133">$K$5-K133</f>
        <v>3405.7212</v>
      </c>
      <c r="S133" s="798" cm="1">
        <f t="array" ref="S133">Q133-Q132</f>
        <v>1045870</v>
      </c>
      <c r="T133" s="801">
        <v>5400</v>
      </c>
      <c r="U133" s="798" cm="1">
        <f t="array" ref="U133">T133*F133</f>
        <v>295686760.228295</v>
      </c>
      <c r="V133" s="802" cm="1">
        <f t="array" ref="V133">-S133</f>
        <v>-1045870</v>
      </c>
      <c r="W133" s="802"/>
      <c r="X133" s="802" cm="1">
        <f t="array" ref="X133">$K132*4.95/12/100/(1-(1+4.95/12/100)^-(360-$A133+3))+$AY133</f>
        <v>4.75264173405244</v>
      </c>
      <c r="Y133" s="803" cm="1">
        <f t="array" ref="Y133">K132*4.95/12/100/(1-(1+4.95/12/100)^-(360-$A133+3))+AY133</f>
        <v>4.75264173405244</v>
      </c>
      <c r="Z133" s="791" cm="1">
        <f t="array" ref="Z133">IF(Z$3*12&lt;=$A133,0,$K132*'depto - Departamento'!$D$8/12/(1-(1+'depto - Departamento'!$D$8/12)^-(12*Z$3-$A133+3))+$AY134)</f>
        <v>5.5122071346928</v>
      </c>
      <c r="AA133" s="791" cm="1">
        <f t="array" ref="AA133">IF(AA$3*12&lt;=$A133,0,$K132*'depto - Departamento'!$D$8/12/(1-(1+'depto - Departamento'!$D$8/12)^-(12*AA$3-$A133+3))+$AY134)</f>
        <v>7.10497212996736</v>
      </c>
      <c r="AB133" s="791" cm="1">
        <f t="array" ref="AB133">IF(AB$3*12&lt;$A133,0,$K132*'depto - Departamento'!$D$8/12/(1-(1+'depto - Departamento'!$D$8/12)^-(12*AB$3-$A133+3))+$AY133)</f>
        <v>12.2102315007308</v>
      </c>
      <c r="AC133" s="791" cm="1">
        <f t="array" ref="AC133">IF(AC$3*12&lt;$A133,0,$K132*'depto - Departamento'!$D$8/12/(1-(1+'depto - Departamento'!$D$8/12)^-(12*AC$3-$A133+3))+$AY133)</f>
        <v>30.109753888845</v>
      </c>
      <c r="AD133" s="791" cm="1">
        <f t="array" ref="AD133">IF(AD$3*12&lt;$A133,0,$K132*'depto - Departamento'!$D$8/12/(1-(1+'depto - Departamento'!$D$8/12)^-(12*AD$3-$A133+3))+$AY133)</f>
        <v>0</v>
      </c>
      <c r="AE133" s="791" cm="1">
        <f t="array" ref="AE133">IF(AE$3*12&lt;$A133,0,$K132*'depto - Departamento'!$D$8/12/(1-(1+'depto - Departamento'!$D$8/12)^-(12*AE$3-$A133+3))+$AY133)</f>
        <v>0</v>
      </c>
      <c r="AF133" s="791" cm="1">
        <f t="array" ref="AF133">AF132-(AF131-AF132)</f>
        <v>79.4841</v>
      </c>
      <c r="AG133" s="791"/>
      <c r="AH133" s="791"/>
      <c r="AI133" s="804" cm="1">
        <f t="array" ref="AI133">$F133*Y133</f>
        <v>260239.488308843</v>
      </c>
      <c r="AJ133" s="405" cm="1">
        <f t="array" ref="AJ133">$F133*Z133</f>
        <v>301830.864697149</v>
      </c>
      <c r="AK133" s="405" cm="1">
        <f t="array" ref="AK133">$F133*AA133</f>
        <v>389045.590855995</v>
      </c>
      <c r="AL133" s="405" cm="1">
        <f t="array" ref="AL133">$F133*AB133</f>
        <v>668593.295201585</v>
      </c>
      <c r="AM133" s="405" cm="1">
        <f t="array" ref="AM133">$F133*AC133</f>
        <v>1648713.99604887</v>
      </c>
      <c r="AN133" s="405" cm="1">
        <f t="array" ref="AN133">$F133*AD133</f>
        <v>0</v>
      </c>
      <c r="AO133" s="405"/>
      <c r="AP133" s="405" cm="1">
        <f t="array" ref="AP133">$F133*AF133</f>
        <v>4352295.55901144</v>
      </c>
      <c r="AQ133" s="791"/>
      <c r="AR133" s="805" cm="1">
        <f t="array" ref="AR133">K132-K133</f>
        <v>12.329</v>
      </c>
      <c r="AS133" s="805" cm="1">
        <f t="array" ref="AS133">D133-AR133</f>
        <v>3.1942</v>
      </c>
      <c r="AT133" s="791"/>
      <c r="AU133" s="806" cm="1">
        <f t="array" ref="AU133">ROUND(AV133*F133,0)</f>
        <v>56629</v>
      </c>
      <c r="AV133" s="807" cm="1">
        <f t="array" ref="AV133">IF(K132=0,0,AV132)</f>
        <v>1.0342</v>
      </c>
      <c r="AW133" s="806" cm="1">
        <f t="array" ref="AW133">ROUND(F133*AX133,0)</f>
        <v>1317</v>
      </c>
      <c r="AX133" s="807" cm="1">
        <f t="array" ref="AX133">AX$11/K$10*K132</f>
        <v>0.0240487007975732</v>
      </c>
      <c r="AY133" s="808" cm="1">
        <f t="array" ref="AY133">SUM(AV133,AX133)</f>
        <v>1.05824870079757</v>
      </c>
      <c r="AZ133" s="806" cm="1">
        <f t="array" ref="AZ133">AU133+AW133</f>
        <v>57946</v>
      </c>
      <c r="BA133" s="809" cm="1">
        <f t="array" ref="BA133">AI133-AZ133-BG133</f>
        <v>85332.554716224</v>
      </c>
      <c r="BB133" s="810" cm="1">
        <f t="array" ref="BB133">ROUND(BA133/$F133,4)</f>
        <v>1.5584</v>
      </c>
      <c r="BC133" s="809" cm="1">
        <f t="array" ref="BC133">J133-SUM(AZ133,BA133,BG133)</f>
        <v>589761.511691157</v>
      </c>
      <c r="BD133" s="810" cm="1">
        <f t="array" ref="BD133">ROUND(BC133/$F133,4)</f>
        <v>10.7706</v>
      </c>
      <c r="BE133" s="811" cm="1">
        <f t="array" ref="BE133">BC133+BA133</f>
        <v>675094.066407381</v>
      </c>
      <c r="BF133" s="810" cm="1">
        <f t="array" ref="BF133">ROUND((BA133+BC133)/F133,4)</f>
        <v>12.329</v>
      </c>
      <c r="BG133" s="812" cm="1">
        <f t="array" ref="BG133">BO133*F133</f>
        <v>116960.933592619</v>
      </c>
      <c r="BH133" s="813" cm="1">
        <f t="array" ref="BH133">ROUND(BG133/$F133,4)</f>
        <v>2.136</v>
      </c>
      <c r="BI133" s="798" cm="1">
        <f t="array" ref="BI133">M132-M133</f>
        <v>632487</v>
      </c>
      <c r="BJ133" s="798" cm="1">
        <f t="array" ref="BJ133">BE133-BI133</f>
        <v>42607.066407381</v>
      </c>
      <c r="BK133" s="798" cm="1">
        <f t="array" ref="BK133">-BJ133</f>
        <v>-42607.066407381</v>
      </c>
      <c r="BL133" s="798" cm="1">
        <f t="array" ref="BL133">BG133+BJ133</f>
        <v>159568</v>
      </c>
      <c r="BM133" s="798" cm="1">
        <f t="array" ref="BM133">AVERAGE(BL131:BL133)</f>
        <v>245965.333333333</v>
      </c>
      <c r="BN133" s="814" cm="1">
        <f t="array" ref="BN133">BH132-BH133</f>
        <v>0.0507</v>
      </c>
      <c r="BO133" s="801" cm="1">
        <f t="array" ref="BO133">K132*0.0495/12-0.16</f>
        <v>2.136007175</v>
      </c>
      <c r="BP133" s="815" cm="1">
        <f t="array" ref="BP133">(BA133+BC133)/BG133</f>
        <v>5.77196201903422</v>
      </c>
      <c r="BQ133" s="815" cm="1">
        <f t="array" ref="BQ133">Y133-BB133</f>
        <v>3.19424173405244</v>
      </c>
      <c r="BR133" s="815" cm="1">
        <f t="array" ref="BR133">(BR$4*(1+BR$4)^BR$3*K132)/((1+BR$4)^BR$3-1)</f>
        <v>2.97100544151383</v>
      </c>
      <c r="BS133" s="815"/>
      <c r="BT133" s="405"/>
      <c r="BU133" s="405"/>
      <c r="BV133" s="405" cm="1">
        <f t="array" ref="BV133">BA133+BC133+BV132</f>
        <v>144317131.893685</v>
      </c>
      <c r="BW133" s="405" cm="1">
        <f t="array" ref="BW133">BG133+BW132</f>
        <v>31707475.1063155</v>
      </c>
      <c r="BX133" s="801" cm="1">
        <f t="array" ref="BX133">BF133+BX132</f>
        <v>3371.2304</v>
      </c>
      <c r="BY133" s="801" cm="1">
        <f t="array" ref="BY133">BH133+BY132</f>
        <v>723.0556</v>
      </c>
      <c r="BZ133" s="405" cm="1">
        <f t="array" ref="BZ133">SUM(BJ$6:BJ133)</f>
        <v>27487568.8936844</v>
      </c>
      <c r="CA133" s="801"/>
      <c r="CB133" s="801"/>
      <c r="CC133" s="405" cm="1">
        <f t="array" ref="CC133">SUM(BE$6:BE133)</f>
        <v>144317131.893684</v>
      </c>
      <c r="CD133" s="801"/>
      <c r="CE133" s="801"/>
      <c r="CF133" s="801"/>
      <c r="CG133" s="801"/>
      <c r="CH133" s="801"/>
      <c r="CI133" s="801"/>
      <c r="CJ133" s="801"/>
      <c r="CK133" s="801"/>
      <c r="CL133" s="801"/>
      <c r="CM133" s="801"/>
    </row>
    <row r="134" ht="19.35" customHeight="1" hidden="1">
      <c r="A134" s="762">
        <v>128</v>
      </c>
      <c r="B134" s="790">
        <v>49228</v>
      </c>
      <c r="C134" s="405"/>
      <c r="D134" s="791" cm="1">
        <f t="array" ref="D134">ROUND(850000/F134,4)</f>
        <v>15.4413</v>
      </c>
      <c r="E134" s="792" cm="1">
        <f t="array" ref="E134">D134/K133</f>
        <v>0.0283702029180633</v>
      </c>
      <c r="F134" s="793" cm="1">
        <f t="array" ref="F134">F133*(1+G134)</f>
        <v>55047.0185291675</v>
      </c>
      <c r="G134" s="792" cm="1">
        <f t="array" ref="G134">H134-SUM(G123:G133)</f>
        <v>0.0053</v>
      </c>
      <c r="H134" s="794" cm="1">
        <f t="array" ref="H134">'depto - Table 5'!$L$2</f>
        <v>0.03</v>
      </c>
      <c r="I134" s="795" cm="1">
        <f t="array" ref="I134">H134+4.95/100</f>
        <v>0.0795</v>
      </c>
      <c r="J134" s="405" cm="1">
        <f t="array" ref="J134">IF(K133=0,0,ROUND(D134*F134,0))</f>
        <v>849998</v>
      </c>
      <c r="K134" s="796" cm="1">
        <f t="array" ref="K134">IF(K133-BF134&lt;0,0,K133-BF134)</f>
        <v>531.9804</v>
      </c>
      <c r="L134" s="797" cm="1">
        <f t="array" ref="L134">K134/K$5</f>
        <v>0.134678582278481</v>
      </c>
      <c r="M134" s="798" cm="1">
        <f t="array" ref="M134">ROUND(K134*F134,0)</f>
        <v>29283935</v>
      </c>
      <c r="N134" s="799" cm="1">
        <f t="array" ref="N134">M134/M$5</f>
        <v>0.199709672884868</v>
      </c>
      <c r="O134" s="798" cm="1">
        <f t="array" ref="O134">M134-M133</f>
        <v>-519034</v>
      </c>
      <c r="P134" s="800" cm="1">
        <f t="array" ref="P134">T134-K134</f>
        <v>4868.0196</v>
      </c>
      <c r="Q134" s="798" cm="1">
        <f t="array" ref="Q134">ROUND(P134*F134,0)</f>
        <v>267969965</v>
      </c>
      <c r="R134" s="801" cm="1">
        <f t="array" ref="R134">$K$5-K134</f>
        <v>3418.0196</v>
      </c>
      <c r="S134" s="798" cm="1">
        <f t="array" ref="S134">Q134-Q133</f>
        <v>2086174</v>
      </c>
      <c r="T134" s="801">
        <v>5400</v>
      </c>
      <c r="U134" s="798" cm="1">
        <f t="array" ref="U134">T134*F134</f>
        <v>297253900.057505</v>
      </c>
      <c r="V134" s="802" cm="1">
        <f t="array" ref="V134">-S134</f>
        <v>-2086174</v>
      </c>
      <c r="W134" s="802"/>
      <c r="X134" s="802" cm="1">
        <f t="array" ref="X134">$K133*4.95/12/100/(1-(1+4.95/12/100)^-(360-$A134+3))+$AY134</f>
        <v>4.67937616032151</v>
      </c>
      <c r="Y134" s="803" cm="1">
        <f t="array" ref="Y134">K133*4.95/12/100/(1-(1+4.95/12/100)^-(360-$A134+3))+AY134</f>
        <v>4.67937616032151</v>
      </c>
      <c r="Z134" s="791" cm="1">
        <f t="array" ref="Z134">IF(Z$3*12&lt;=$A134,0,$K133*'depto - Departamento'!$D$8/12/(1-(1+'depto - Departamento'!$D$8/12)^-(12*Z$3-$A134+3))+$AY135)</f>
        <v>5.4299650149384</v>
      </c>
      <c r="AA134" s="791" cm="1">
        <f t="array" ref="AA134">IF(AA$3*12&lt;=$A134,0,$K133*'depto - Departamento'!$D$8/12/(1-(1+'depto - Departamento'!$D$8/12)^-(12*AA$3-$A134+3))+$AY135)</f>
        <v>7.01061560164894</v>
      </c>
      <c r="AB134" s="791" cm="1">
        <f t="array" ref="AB134">IF(AB$3*12&lt;$A134,0,$K133*'depto - Departamento'!$D$8/12/(1-(1+'depto - Departamento'!$D$8/12)^-(12*AB$3-$A134+3))+$AY134)</f>
        <v>12.1389895890697</v>
      </c>
      <c r="AC134" s="791" cm="1">
        <f t="array" ref="AC134">IF(AC$3*12&lt;$A134,0,$K133*'depto - Departamento'!$D$8/12/(1-(1+'depto - Departamento'!$D$8/12)^-(12*AC$3-$A134+3))+$AY134)</f>
        <v>30.9002180165118</v>
      </c>
      <c r="AD134" s="791" cm="1">
        <f t="array" ref="AD134">IF(AD$3*12&lt;$A134,0,$K133*'depto - Departamento'!$D$8/12/(1-(1+'depto - Departamento'!$D$8/12)^-(12*AD$3-$A134+3))+$AY134)</f>
        <v>0</v>
      </c>
      <c r="AE134" s="791" cm="1">
        <f t="array" ref="AE134">IF(AE$3*12&lt;$A134,0,$K133*'depto - Departamento'!$D$8/12/(1-(1+'depto - Departamento'!$D$8/12)^-(12*AE$3-$A134+3))+$AY134)</f>
        <v>0</v>
      </c>
      <c r="AF134" s="791" cm="1">
        <f t="array" ref="AF134">AF133-(AF132-AF133)</f>
        <v>79.4813</v>
      </c>
      <c r="AG134" s="791"/>
      <c r="AH134" s="791"/>
      <c r="AI134" s="804" cm="1">
        <f t="array" ref="AI134">$F134*Y134</f>
        <v>257585.706202163</v>
      </c>
      <c r="AJ134" s="405" cm="1">
        <f t="array" ref="AJ134">$F134*Z134</f>
        <v>298903.384790045</v>
      </c>
      <c r="AK134" s="405" cm="1">
        <f t="array" ref="AK134">$F134*AA134</f>
        <v>385913.48692484</v>
      </c>
      <c r="AL134" s="405" cm="1">
        <f t="array" ref="AL134">$F134*AB134</f>
        <v>668215.184834891</v>
      </c>
      <c r="AM134" s="405" cm="1">
        <f t="array" ref="AM134">$F134*AC134</f>
        <v>1700964.87371024</v>
      </c>
      <c r="AN134" s="405" cm="1">
        <f t="array" ref="AN134">$F134*AD134</f>
        <v>0</v>
      </c>
      <c r="AO134" s="405"/>
      <c r="AP134" s="405" cm="1">
        <f t="array" ref="AP134">$F134*AF134</f>
        <v>4375208.59382232</v>
      </c>
      <c r="AQ134" s="791"/>
      <c r="AR134" s="805" cm="1">
        <f t="array" ref="AR134">K133-K134</f>
        <v>12.2984</v>
      </c>
      <c r="AS134" s="805" cm="1">
        <f t="array" ref="AS134">D134-AR134</f>
        <v>3.1429</v>
      </c>
      <c r="AT134" s="791"/>
      <c r="AU134" s="806" cm="1">
        <f t="array" ref="AU134">ROUND(AV134*F134,0)</f>
        <v>56930</v>
      </c>
      <c r="AV134" s="807" cm="1">
        <f t="array" ref="AV134">IF(K133=0,0,AV133)</f>
        <v>1.0342</v>
      </c>
      <c r="AW134" s="806" cm="1">
        <f t="array" ref="AW134">ROUND(F134*AX134,0)</f>
        <v>1294</v>
      </c>
      <c r="AX134" s="807" cm="1">
        <f t="array" ref="AX134">AX$11/K$10*K133</f>
        <v>0.0235160161457712</v>
      </c>
      <c r="AY134" s="808" cm="1">
        <f t="array" ref="AY134">SUM(AV134,AX134)</f>
        <v>1.05771601614577</v>
      </c>
      <c r="AZ134" s="806" cm="1">
        <f t="array" ref="AZ134">AU134+AW134</f>
        <v>58224</v>
      </c>
      <c r="BA134" s="809" cm="1">
        <f t="array" ref="BA134">AI134-AZ134-BG134</f>
        <v>84580.412763718006</v>
      </c>
      <c r="BB134" s="810" cm="1">
        <f t="array" ref="BB134">ROUND(BA134/$F134,4)</f>
        <v>1.5365</v>
      </c>
      <c r="BC134" s="809" cm="1">
        <f t="array" ref="BC134">J134-SUM(AZ134,BA134,BG134)</f>
        <v>592412.293797837</v>
      </c>
      <c r="BD134" s="810" cm="1">
        <f t="array" ref="BD134">ROUND(BC134/$F134,4)</f>
        <v>10.7619</v>
      </c>
      <c r="BE134" s="811" cm="1">
        <f t="array" ref="BE134">BC134+BA134</f>
        <v>676992.706561555</v>
      </c>
      <c r="BF134" s="810" cm="1">
        <f t="array" ref="BF134">ROUND((BA134+BC134)/F134,4)</f>
        <v>12.2984</v>
      </c>
      <c r="BG134" s="812" cm="1">
        <f t="array" ref="BG134">BO134*F134</f>
        <v>114781.293438445</v>
      </c>
      <c r="BH134" s="813" cm="1">
        <f t="array" ref="BH134">ROUND(BG134/$F134,4)</f>
        <v>2.0852</v>
      </c>
      <c r="BI134" s="798" cm="1">
        <f t="array" ref="BI134">M133-M134</f>
        <v>519034</v>
      </c>
      <c r="BJ134" s="798" cm="1">
        <f t="array" ref="BJ134">BE134-BI134</f>
        <v>157958.706561555</v>
      </c>
      <c r="BK134" s="798" cm="1">
        <f t="array" ref="BK134">-BJ134</f>
        <v>-157958.706561555</v>
      </c>
      <c r="BL134" s="798" cm="1">
        <f t="array" ref="BL134">BG134+BJ134</f>
        <v>272740</v>
      </c>
      <c r="BM134" s="798" cm="1">
        <f t="array" ref="BM134">AVERAGE(BL132:BL134)</f>
        <v>183959.333333333</v>
      </c>
      <c r="BN134" s="814" cm="1">
        <f t="array" ref="BN134">BH133-BH134</f>
        <v>0.0508</v>
      </c>
      <c r="BO134" s="801" cm="1">
        <f t="array" ref="BO134">K133*0.0495/12-0.16</f>
        <v>2.08515005</v>
      </c>
      <c r="BP134" s="815" cm="1">
        <f t="array" ref="BP134">(BA134+BC134)/BG134</f>
        <v>5.89811010384382</v>
      </c>
      <c r="BQ134" s="815" cm="1">
        <f t="array" ref="BQ134">Y134-BB134</f>
        <v>3.14287616032151</v>
      </c>
      <c r="BR134" s="815" cm="1">
        <f t="array" ref="BR134">(BR$4*(1+BR$4)^BR$3*K133)/((1+BR$4)^BR$3-1)</f>
        <v>2.90519693849173</v>
      </c>
      <c r="BS134" s="815"/>
      <c r="BT134" s="405"/>
      <c r="BU134" s="405"/>
      <c r="BV134" s="405" cm="1">
        <f t="array" ref="BV134">BA134+BC134+BV133</f>
        <v>144994124.600247</v>
      </c>
      <c r="BW134" s="405" cm="1">
        <f t="array" ref="BW134">BG134+BW133</f>
        <v>31822256.3997539</v>
      </c>
      <c r="BX134" s="801" cm="1">
        <f t="array" ref="BX134">BF134+BX133</f>
        <v>3383.5288</v>
      </c>
      <c r="BY134" s="801" cm="1">
        <f t="array" ref="BY134">BH134+BY133</f>
        <v>725.1408</v>
      </c>
      <c r="BZ134" s="405" cm="1">
        <f t="array" ref="BZ134">SUM(BJ$6:BJ134)</f>
        <v>27645527.600246</v>
      </c>
      <c r="CA134" s="801"/>
      <c r="CB134" s="801"/>
      <c r="CC134" s="405" cm="1">
        <f t="array" ref="CC134">SUM(BE$6:BE134)</f>
        <v>144994124.600246</v>
      </c>
      <c r="CD134" s="801"/>
      <c r="CE134" s="801"/>
      <c r="CF134" s="801"/>
      <c r="CG134" s="801"/>
      <c r="CH134" s="801"/>
      <c r="CI134" s="801"/>
      <c r="CJ134" s="801"/>
      <c r="CK134" s="801"/>
      <c r="CL134" s="801"/>
      <c r="CM134" s="801"/>
    </row>
    <row r="135" ht="19.35" customHeight="1" hidden="1">
      <c r="A135" s="762">
        <v>129</v>
      </c>
      <c r="B135" s="790">
        <v>49259</v>
      </c>
      <c r="C135" s="405"/>
      <c r="D135" s="791" cm="1">
        <f t="array" ref="D135">ROUND(850000/F135,4)</f>
        <v>15.3844</v>
      </c>
      <c r="E135" s="792" cm="1">
        <f t="array" ref="E135">D135/K134</f>
        <v>0.0289191105536971</v>
      </c>
      <c r="F135" s="793" cm="1">
        <f t="array" ref="F135">F134*(1+G135)</f>
        <v>55250.6924977254</v>
      </c>
      <c r="G135" s="792" cm="1">
        <f t="array" ref="G135">H135-SUM(G124:G134)</f>
        <v>0.0037</v>
      </c>
      <c r="H135" s="794" cm="1">
        <f t="array" ref="H135">'depto - Table 5'!$L$2</f>
        <v>0.03</v>
      </c>
      <c r="I135" s="795" cm="1">
        <f t="array" ref="I135">H135+4.95/100</f>
        <v>0.0795</v>
      </c>
      <c r="J135" s="405" cm="1">
        <f t="array" ref="J135">IF(K134=0,0,ROUND(D135*F135,0))</f>
        <v>849999</v>
      </c>
      <c r="K135" s="796" cm="1">
        <f t="array" ref="K135">IF(K134-BF135&lt;0,0,K134-BF135)</f>
        <v>519.6876</v>
      </c>
      <c r="L135" s="797" cm="1">
        <f t="array" ref="L135">K135/K$5</f>
        <v>0.131566481012658</v>
      </c>
      <c r="M135" s="798" cm="1">
        <f t="array" ref="M135">ROUND(K135*F135,0)</f>
        <v>28713100</v>
      </c>
      <c r="N135" s="799" cm="1">
        <f t="array" ref="N135">M135/M$5</f>
        <v>0.195816710032669</v>
      </c>
      <c r="O135" s="798" cm="1">
        <f t="array" ref="O135">M135-M134</f>
        <v>-570835</v>
      </c>
      <c r="P135" s="800" cm="1">
        <f t="array" ref="P135">T135-K135</f>
        <v>4880.3124</v>
      </c>
      <c r="Q135" s="798" cm="1">
        <f t="array" ref="Q135">ROUND(P135*F135,0)</f>
        <v>269640640</v>
      </c>
      <c r="R135" s="801" cm="1">
        <f t="array" ref="R135">$K$5-K135</f>
        <v>3430.3124</v>
      </c>
      <c r="S135" s="798" cm="1">
        <f t="array" ref="S135">Q135-Q134</f>
        <v>1670675</v>
      </c>
      <c r="T135" s="801">
        <v>5400</v>
      </c>
      <c r="U135" s="798" cm="1">
        <f t="array" ref="U135">T135*F135</f>
        <v>298353739.487717</v>
      </c>
      <c r="V135" s="802" cm="1">
        <f t="array" ref="V135">-S135</f>
        <v>-1670675</v>
      </c>
      <c r="W135" s="802"/>
      <c r="X135" s="802" cm="1">
        <f t="array" ref="X135">$K134*4.95/12/100/(1-(1+4.95/12/100)^-(360-$A135+3))+$AY135</f>
        <v>4.60598569566726</v>
      </c>
      <c r="Y135" s="803" cm="1">
        <f t="array" ref="Y135">K134*4.95/12/100/(1-(1+4.95/12/100)^-(360-$A135+3))+AY135</f>
        <v>4.60598569566726</v>
      </c>
      <c r="Z135" s="791" cm="1">
        <f t="array" ref="Z135">IF(Z$3*12&lt;=$A135,0,$K134*'depto - Departamento'!$D$8/12/(1-(1+'depto - Departamento'!$D$8/12)^-(12*Z$3-$A135+3))+$AY136)</f>
        <v>5.34740042389452</v>
      </c>
      <c r="AA135" s="791" cm="1">
        <f t="array" ref="AA135">IF(AA$3*12&lt;=$A135,0,$K134*'depto - Departamento'!$D$8/12/(1-(1+'depto - Departamento'!$D$8/12)^-(12*AA$3-$A135+3))+$AY136)</f>
        <v>6.9154794681925</v>
      </c>
      <c r="AB135" s="791" cm="1">
        <f t="array" ref="AB135">IF(AB$3*12&lt;$A135,0,$K134*'depto - Departamento'!$D$8/12/(1-(1+'depto - Departamento'!$D$8/12)^-(12*AB$3-$A135+3))+$AY135)</f>
        <v>12.0668045565472</v>
      </c>
      <c r="AC135" s="791" cm="1">
        <f t="array" ref="AC135">IF(AC$3*12&lt;$A135,0,$K134*'depto - Departamento'!$D$8/12/(1-(1+'depto - Departamento'!$D$8/12)^-(12*AC$3-$A135+3))+$AY135)</f>
        <v>31.7833239626051</v>
      </c>
      <c r="AD135" s="791" cm="1">
        <f t="array" ref="AD135">IF(AD$3*12&lt;$A135,0,$K134*'depto - Departamento'!$D$8/12/(1-(1+'depto - Departamento'!$D$8/12)^-(12*AD$3-$A135+3))+$AY135)</f>
        <v>0</v>
      </c>
      <c r="AE135" s="791" cm="1">
        <f t="array" ref="AE135">IF(AE$3*12&lt;$A135,0,$K134*'depto - Departamento'!$D$8/12/(1-(1+'depto - Departamento'!$D$8/12)^-(12*AE$3-$A135+3))+$AY135)</f>
        <v>0</v>
      </c>
      <c r="AF135" s="791" cm="1">
        <f t="array" ref="AF135">AF134-(AF133-AF134)</f>
        <v>79.4785</v>
      </c>
      <c r="AG135" s="791"/>
      <c r="AH135" s="791"/>
      <c r="AI135" s="804" cm="1">
        <f t="array" ref="AI135">$F135*Y135</f>
        <v>254483.899320234</v>
      </c>
      <c r="AJ135" s="405" cm="1">
        <f t="array" ref="AJ135">$F135*Z135</f>
        <v>295447.576482803</v>
      </c>
      <c r="AK135" s="405" cm="1">
        <f t="array" ref="AK135">$F135*AA135</f>
        <v>382085.029571437</v>
      </c>
      <c r="AL135" s="405" cm="1">
        <f t="array" ref="AL135">$F135*AB135</f>
        <v>666699.307983941</v>
      </c>
      <c r="AM135" s="405" cm="1">
        <f t="array" ref="AM135">$F135*AC135</f>
        <v>1756050.65881348</v>
      </c>
      <c r="AN135" s="405" cm="1">
        <f t="array" ref="AN135">$F135*AD135</f>
        <v>0</v>
      </c>
      <c r="AO135" s="405"/>
      <c r="AP135" s="405" cm="1">
        <f t="array" ref="AP135">$F135*AF135</f>
        <v>4391242.16368047</v>
      </c>
      <c r="AQ135" s="791"/>
      <c r="AR135" s="805" cm="1">
        <f t="array" ref="AR135">K134-K135</f>
        <v>12.2928</v>
      </c>
      <c r="AS135" s="805" cm="1">
        <f t="array" ref="AS135">D135-AR135</f>
        <v>3.0916</v>
      </c>
      <c r="AT135" s="791"/>
      <c r="AU135" s="806" cm="1">
        <f t="array" ref="AU135">ROUND(AV135*F135,0)</f>
        <v>57140</v>
      </c>
      <c r="AV135" s="807" cm="1">
        <f t="array" ref="AV135">IF(K134=0,0,AV134)</f>
        <v>1.0342</v>
      </c>
      <c r="AW135" s="806" cm="1">
        <f t="array" ref="AW135">ROUND(F135*AX135,0)</f>
        <v>1270</v>
      </c>
      <c r="AX135" s="807" cm="1">
        <f t="array" ref="AX135">AX$11/K$10*K134</f>
        <v>0.022984653592302</v>
      </c>
      <c r="AY135" s="808" cm="1">
        <f t="array" ref="AY135">SUM(AV135,AX135)</f>
        <v>1.0571846535923</v>
      </c>
      <c r="AZ135" s="806" cm="1">
        <f t="array" ref="AZ135">AU135+AW135</f>
        <v>58410</v>
      </c>
      <c r="BA135" s="809" cm="1">
        <f t="array" ref="BA135">AI135-AZ135-BG135</f>
        <v>83670.8324521</v>
      </c>
      <c r="BB135" s="810" cm="1">
        <f t="array" ref="BB135">ROUND(BA135/$F135,4)</f>
        <v>1.5144</v>
      </c>
      <c r="BC135" s="809" cm="1">
        <f t="array" ref="BC135">J135-SUM(AZ135,BA135,BG135)</f>
        <v>595515.100679766</v>
      </c>
      <c r="BD135" s="810" cm="1">
        <f t="array" ref="BD135">ROUND(BC135/$F135,4)</f>
        <v>10.7784</v>
      </c>
      <c r="BE135" s="811" cm="1">
        <f t="array" ref="BE135">BC135+BA135</f>
        <v>679185.933131866</v>
      </c>
      <c r="BF135" s="810" cm="1">
        <f t="array" ref="BF135">ROUND((BA135+BC135)/F135,4)</f>
        <v>12.2928</v>
      </c>
      <c r="BG135" s="812" cm="1">
        <f t="array" ref="BG135">BO135*F135</f>
        <v>112403.066868134</v>
      </c>
      <c r="BH135" s="813" cm="1">
        <f t="array" ref="BH135">ROUND(BG135/$F135,4)</f>
        <v>2.0344</v>
      </c>
      <c r="BI135" s="798" cm="1">
        <f t="array" ref="BI135">M134-M135</f>
        <v>570835</v>
      </c>
      <c r="BJ135" s="798" cm="1">
        <f t="array" ref="BJ135">BE135-BI135</f>
        <v>108350.933131866</v>
      </c>
      <c r="BK135" s="798" cm="1">
        <f t="array" ref="BK135">-BJ135</f>
        <v>-108350.933131866</v>
      </c>
      <c r="BL135" s="798" cm="1">
        <f t="array" ref="BL135">BG135+BJ135</f>
        <v>220754</v>
      </c>
      <c r="BM135" s="798" cm="1">
        <f t="array" ref="BM135">AVERAGE(BL133:BL135)</f>
        <v>217687.333333333</v>
      </c>
      <c r="BN135" s="814" cm="1">
        <f t="array" ref="BN135">BH134-BH135</f>
        <v>0.0508</v>
      </c>
      <c r="BO135" s="801" cm="1">
        <f t="array" ref="BO135">K134*0.0495/12-0.16</f>
        <v>2.03441915</v>
      </c>
      <c r="BP135" s="815" cm="1">
        <f t="array" ref="BP135">(BA135+BC135)/BG135</f>
        <v>6.04241460714462</v>
      </c>
      <c r="BQ135" s="815" cm="1">
        <f t="array" ref="BQ135">Y135-BB135</f>
        <v>3.09158569566726</v>
      </c>
      <c r="BR135" s="815" cm="1">
        <f t="array" ref="BR135">(BR$4*(1+BR$4)^BR$3*K134)/((1+BR$4)^BR$3-1)</f>
        <v>2.83955176908894</v>
      </c>
      <c r="BS135" s="815"/>
      <c r="BT135" s="405"/>
      <c r="BU135" s="405"/>
      <c r="BV135" s="405" cm="1">
        <f t="array" ref="BV135">BA135+BC135+BV134</f>
        <v>145673310.533379</v>
      </c>
      <c r="BW135" s="405" cm="1">
        <f t="array" ref="BW135">BG135+BW134</f>
        <v>31934659.466622</v>
      </c>
      <c r="BX135" s="801" cm="1">
        <f t="array" ref="BX135">BF135+BX134</f>
        <v>3395.8216</v>
      </c>
      <c r="BY135" s="801" cm="1">
        <f t="array" ref="BY135">BH135+BY134</f>
        <v>727.1752</v>
      </c>
      <c r="BZ135" s="405" cm="1">
        <f t="array" ref="BZ135">SUM(BJ$6:BJ135)</f>
        <v>27753878.5333779</v>
      </c>
      <c r="CA135" s="801"/>
      <c r="CB135" s="801"/>
      <c r="CC135" s="405" cm="1">
        <f t="array" ref="CC135">SUM(BE$6:BE135)</f>
        <v>145673310.533378</v>
      </c>
      <c r="CD135" s="801"/>
      <c r="CE135" s="801"/>
      <c r="CF135" s="801"/>
      <c r="CG135" s="801"/>
      <c r="CH135" s="801"/>
      <c r="CI135" s="801"/>
      <c r="CJ135" s="801"/>
      <c r="CK135" s="801"/>
      <c r="CL135" s="801"/>
      <c r="CM135" s="801"/>
    </row>
    <row r="136" ht="19.35" customHeight="1" hidden="1">
      <c r="A136" s="762">
        <v>130</v>
      </c>
      <c r="B136" s="790">
        <v>49289</v>
      </c>
      <c r="C136" s="405"/>
      <c r="D136" s="791" cm="1">
        <f t="array" ref="D136">ROUND(850000/F136,4)</f>
        <v>15.3813</v>
      </c>
      <c r="E136" s="792" cm="1">
        <f t="array" ref="E136">D136/K135</f>
        <v>0.0295972041665031</v>
      </c>
      <c r="F136" s="793" cm="1">
        <f t="array" ref="F136">F135*(1+G136)</f>
        <v>55261.7426362249</v>
      </c>
      <c r="G136" s="792" cm="1">
        <f t="array" ref="G136">H136-SUM(G125:G135)</f>
        <v>0.0002</v>
      </c>
      <c r="H136" s="794" cm="1">
        <f t="array" ref="H136">'depto - Table 5'!$L$2</f>
        <v>0.03</v>
      </c>
      <c r="I136" s="795" cm="1">
        <f t="array" ref="I136">H136+4.95/100</f>
        <v>0.0795</v>
      </c>
      <c r="J136" s="405" cm="1">
        <f t="array" ref="J136">IF(K135=0,0,ROUND(D136*F136,0))</f>
        <v>849997</v>
      </c>
      <c r="K136" s="796" cm="1">
        <f t="array" ref="K136">IF(K135-BF136&lt;0,0,K135-BF136)</f>
        <v>507.3467</v>
      </c>
      <c r="L136" s="797" cm="1">
        <f t="array" ref="L136">K136/K$5</f>
        <v>0.128442202531646</v>
      </c>
      <c r="M136" s="798" cm="1">
        <f t="array" ref="M136">ROUND(K136*F136,0)</f>
        <v>28036863</v>
      </c>
      <c r="N136" s="799" cm="1">
        <f t="array" ref="N136">M136/M$5</f>
        <v>0.191204929885545</v>
      </c>
      <c r="O136" s="798" cm="1">
        <f t="array" ref="O136">M136-M135</f>
        <v>-676237</v>
      </c>
      <c r="P136" s="800" cm="1">
        <f t="array" ref="P136">T136-K136</f>
        <v>4892.6533</v>
      </c>
      <c r="Q136" s="798" cm="1">
        <f t="array" ref="Q136">ROUND(P136*F136,0)</f>
        <v>270376547</v>
      </c>
      <c r="R136" s="801" cm="1">
        <f t="array" ref="R136">$K$5-K136</f>
        <v>3442.6533</v>
      </c>
      <c r="S136" s="798" cm="1">
        <f t="array" ref="S136">Q136-Q135</f>
        <v>735907</v>
      </c>
      <c r="T136" s="801">
        <v>5400</v>
      </c>
      <c r="U136" s="798" cm="1">
        <f t="array" ref="U136">T136*F136</f>
        <v>298413410.235614</v>
      </c>
      <c r="V136" s="802" cm="1">
        <f t="array" ref="V136">-S136</f>
        <v>-735907</v>
      </c>
      <c r="W136" s="802"/>
      <c r="X136" s="802" cm="1">
        <f t="array" ref="X136">$K135*4.95/12/100/(1-(1+4.95/12/100)^-(360-$A136+3))+$AY136</f>
        <v>4.53229896592673</v>
      </c>
      <c r="Y136" s="803" cm="1">
        <f t="array" ref="Y136">K135*4.95/12/100/(1-(1+4.95/12/100)^-(360-$A136+3))+AY136</f>
        <v>4.53229896592673</v>
      </c>
      <c r="Z136" s="791" cm="1">
        <f t="array" ref="Z136">IF(Z$3*12&lt;=$A136,0,$K135*'depto - Departamento'!$D$8/12/(1-(1+'depto - Departamento'!$D$8/12)^-(12*Z$3-$A136+3))+$AY161)</f>
        <v>4.2081807525072</v>
      </c>
      <c r="AA136" s="791" cm="1">
        <f t="array" ref="AA136">IF(AA$3*12&lt;=$A136,0,$K135*'depto - Departamento'!$D$8/12/(1-(1+'depto - Departamento'!$D$8/12)^-(12*AA$3-$A136+3))+$AY161)</f>
        <v>5.76314029517646</v>
      </c>
      <c r="AB136" s="791" cm="1">
        <f t="array" ref="AB136">IF(AB$3*12&lt;$A136,0,$K135*'depto - Departamento'!$D$8/12/(1-(1+'depto - Departamento'!$D$8/12)^-(12*AB$3-$A136+3))+$AY136)</f>
        <v>11.9930899636132</v>
      </c>
      <c r="AC136" s="791" cm="1">
        <f t="array" ref="AC136">IF(AC$3*12&lt;$A136,0,$K135*'depto - Departamento'!$D$8/12/(1-(1+'depto - Departamento'!$D$8/12)^-(12*AC$3-$A136+3))+$AY136)</f>
        <v>32.7738756335836</v>
      </c>
      <c r="AD136" s="791" cm="1">
        <f t="array" ref="AD136">IF(AD$3*12&lt;$A136,0,$K135*'depto - Departamento'!$D$8/12/(1-(1+'depto - Departamento'!$D$8/12)^-(12*AD$3-$A136+3))+$AY136)</f>
        <v>0</v>
      </c>
      <c r="AE136" s="791" cm="1">
        <f t="array" ref="AE136">IF(AE$3*12&lt;$A136,0,$K135*'depto - Departamento'!$D$8/12/(1-(1+'depto - Departamento'!$D$8/12)^-(12*AE$3-$A136+3))+$AY136)</f>
        <v>0</v>
      </c>
      <c r="AF136" s="791" cm="1">
        <f t="array" ref="AF136">AF135-(AF134-AF135)</f>
        <v>79.4757</v>
      </c>
      <c r="AG136" s="791"/>
      <c r="AH136" s="791"/>
      <c r="AI136" s="804" cm="1">
        <f t="array" ref="AI136">$F136*Y136</f>
        <v>250462.739005471</v>
      </c>
      <c r="AJ136" s="405" cm="1">
        <f t="array" ref="AJ136">$F136*Z136</f>
        <v>232551.401711768</v>
      </c>
      <c r="AK136" s="405" cm="1">
        <f t="array" ref="AK136">$F136*AA136</f>
        <v>318481.175768499</v>
      </c>
      <c r="AL136" s="405" cm="1">
        <f t="array" ref="AL136">$F136*AB136</f>
        <v>662759.0509822851</v>
      </c>
      <c r="AM136" s="405" cm="1">
        <f t="array" ref="AM136">$F136*AC136</f>
        <v>1811141.48045474</v>
      </c>
      <c r="AN136" s="405" cm="1">
        <f t="array" ref="AN136">$F136*AD136</f>
        <v>0</v>
      </c>
      <c r="AO136" s="405"/>
      <c r="AP136" s="405" cm="1">
        <f t="array" ref="AP136">$F136*AF136</f>
        <v>4391965.67923382</v>
      </c>
      <c r="AQ136" s="791"/>
      <c r="AR136" s="805" cm="1">
        <f t="array" ref="AR136">K135-K136</f>
        <v>12.3409</v>
      </c>
      <c r="AS136" s="805" cm="1">
        <f t="array" ref="AS136">D136-AR136</f>
        <v>3.0404</v>
      </c>
      <c r="AT136" s="791"/>
      <c r="AU136" s="806" cm="1">
        <f t="array" ref="AU136">ROUND(AV136*F136,0)</f>
        <v>57152</v>
      </c>
      <c r="AV136" s="807" cm="1">
        <f t="array" ref="AV136">IF(K135=0,0,AV135)</f>
        <v>1.0342</v>
      </c>
      <c r="AW136" s="806" cm="1">
        <f t="array" ref="AW136">ROUND(F136*AX136,0)</f>
        <v>1241</v>
      </c>
      <c r="AX136" s="807" cm="1">
        <f t="array" ref="AX136">AX$11/K$10*K135</f>
        <v>0.0224535329914689</v>
      </c>
      <c r="AY136" s="808" cm="1">
        <f t="array" ref="AY136">SUM(AV136,AX136)</f>
        <v>1.05665353299147</v>
      </c>
      <c r="AZ136" s="806" cm="1">
        <f t="array" ref="AZ136">AU136+AW136</f>
        <v>58393</v>
      </c>
      <c r="BA136" s="809" cm="1">
        <f t="array" ref="BA136">AI136-AZ136-BG136</f>
        <v>82446.392917213</v>
      </c>
      <c r="BB136" s="810" cm="1">
        <f t="array" ref="BB136">ROUND(BA136/$F136,4)</f>
        <v>1.4919</v>
      </c>
      <c r="BC136" s="809" cm="1">
        <f t="array" ref="BC136">J136-SUM(AZ136,BA136,BG136)</f>
        <v>599534.260994529</v>
      </c>
      <c r="BD136" s="810" cm="1">
        <f t="array" ref="BD136">ROUND(BC136/$F136,4)</f>
        <v>10.849</v>
      </c>
      <c r="BE136" s="811" cm="1">
        <f t="array" ref="BE136">BC136+BA136</f>
        <v>681980.653911742</v>
      </c>
      <c r="BF136" s="810" cm="1">
        <f t="array" ref="BF136">ROUND((BA136+BC136)/F136,4)</f>
        <v>12.3409</v>
      </c>
      <c r="BG136" s="812" cm="1">
        <f t="array" ref="BG136">BO136*F136</f>
        <v>109623.346088258</v>
      </c>
      <c r="BH136" s="813" cm="1">
        <f t="array" ref="BH136">ROUND(BG136/$F136,4)</f>
        <v>1.9837</v>
      </c>
      <c r="BI136" s="798" cm="1">
        <f t="array" ref="BI136">M135-M136</f>
        <v>676237</v>
      </c>
      <c r="BJ136" s="798" cm="1">
        <f t="array" ref="BJ136">BE136-BI136</f>
        <v>5743.653911742</v>
      </c>
      <c r="BK136" s="798" cm="1">
        <f t="array" ref="BK136">-BJ136</f>
        <v>-5743.653911742</v>
      </c>
      <c r="BL136" s="798" cm="1">
        <f t="array" ref="BL136">BG136+BJ136</f>
        <v>115367</v>
      </c>
      <c r="BM136" s="798" cm="1">
        <f t="array" ref="BM136">AVERAGE(BL134:BL136)</f>
        <v>202953.666666667</v>
      </c>
      <c r="BN136" s="814" cm="1">
        <f t="array" ref="BN136">BH135-BH136</f>
        <v>0.0507</v>
      </c>
      <c r="BO136" s="801" cm="1">
        <f t="array" ref="BO136">K135*0.0495/12-0.16</f>
        <v>1.98371135</v>
      </c>
      <c r="BP136" s="815" cm="1">
        <f t="array" ref="BP136">(BA136+BC136)/BG136</f>
        <v>6.22112604884983</v>
      </c>
      <c r="BQ136" s="815" cm="1">
        <f t="array" ref="BQ136">Y136-BB136</f>
        <v>3.04039896592673</v>
      </c>
      <c r="BR136" s="815" cm="1">
        <f t="array" ref="BR136">(BR$4*(1+BR$4)^BR$3*K135)/((1+BR$4)^BR$3-1)</f>
        <v>2.77393649080603</v>
      </c>
      <c r="BS136" s="815"/>
      <c r="BT136" s="405"/>
      <c r="BU136" s="405"/>
      <c r="BV136" s="405" cm="1">
        <f t="array" ref="BV136">BA136+BC136+BV135</f>
        <v>146355291.187291</v>
      </c>
      <c r="BW136" s="405" cm="1">
        <f t="array" ref="BW136">BG136+BW135</f>
        <v>32044282.8127103</v>
      </c>
      <c r="BX136" s="801" cm="1">
        <f t="array" ref="BX136">BF136+BX135</f>
        <v>3408.1625</v>
      </c>
      <c r="BY136" s="801" cm="1">
        <f t="array" ref="BY136">BH136+BY135</f>
        <v>729.1589</v>
      </c>
      <c r="BZ136" s="405" cm="1">
        <f t="array" ref="BZ136">SUM(BJ$6:BJ136)</f>
        <v>27759622.1872896</v>
      </c>
      <c r="CA136" s="801"/>
      <c r="CB136" s="801"/>
      <c r="CC136" s="405" cm="1">
        <f t="array" ref="CC136">SUM(BE$6:BE136)</f>
        <v>146355291.18729</v>
      </c>
      <c r="CD136" s="801"/>
      <c r="CE136" s="801"/>
      <c r="CF136" s="801"/>
      <c r="CG136" s="801"/>
      <c r="CH136" s="801"/>
      <c r="CI136" s="801"/>
      <c r="CJ136" s="801"/>
      <c r="CK136" s="801"/>
      <c r="CL136" s="801"/>
      <c r="CM136" s="801"/>
    </row>
    <row r="137" ht="19.35" customHeight="1" hidden="1">
      <c r="A137" s="762">
        <v>131</v>
      </c>
      <c r="B137" s="763">
        <v>49320</v>
      </c>
      <c r="C137" s="764"/>
      <c r="D137" s="765" cm="1">
        <f t="array" ref="D137">ROUND(850000/F137,4)</f>
        <v>15.6824</v>
      </c>
      <c r="E137" s="766" cm="1">
        <f t="array" ref="E137">D137/K136</f>
        <v>0.0309106179265579</v>
      </c>
      <c r="F137" s="767" cm="1">
        <f t="array" ref="F137">F136*(1+G137)</f>
        <v>54200.7171776094</v>
      </c>
      <c r="G137" s="766" cm="1">
        <f t="array" ref="G137">H137-SUM(G126:G136)</f>
        <v>-0.0192</v>
      </c>
      <c r="H137" s="768" cm="1">
        <f t="array" ref="H137">'depto - Table 5'!$L$2</f>
        <v>0.03</v>
      </c>
      <c r="I137" s="769" cm="1">
        <f t="array" ref="I137">H137+4.95/100</f>
        <v>0.0795</v>
      </c>
      <c r="J137" s="764" cm="1">
        <f t="array" ref="J137">IF(K136=0,0,ROUND(D137*F137,0))</f>
        <v>849997</v>
      </c>
      <c r="K137" s="770" cm="1">
        <f t="array" ref="K137">IF(K136-BF137&lt;0,0,K136-BF137)</f>
        <v>494.6532</v>
      </c>
      <c r="L137" s="771" cm="1">
        <f t="array" ref="L137">K137/K$5</f>
        <v>0.125228658227848</v>
      </c>
      <c r="M137" s="772" cm="1">
        <f t="array" ref="M137">ROUND(K137*F137,0)</f>
        <v>26810558</v>
      </c>
      <c r="N137" s="773" cm="1">
        <f t="array" ref="N137">M137/M$5</f>
        <v>0.182841813029594</v>
      </c>
      <c r="O137" s="772" cm="1">
        <f t="array" ref="O137">M137-M136</f>
        <v>-1226305</v>
      </c>
      <c r="P137" s="774" cm="1">
        <f t="array" ref="P137">T137-K137</f>
        <v>4905.3468</v>
      </c>
      <c r="Q137" s="772" cm="1">
        <f t="array" ref="Q137">ROUND(P137*F137,0)</f>
        <v>265873315</v>
      </c>
      <c r="R137" s="775" cm="1">
        <f t="array" ref="R137">$K$5-K137</f>
        <v>3455.3468</v>
      </c>
      <c r="S137" s="772" cm="1">
        <f t="array" ref="S137">Q137-Q136</f>
        <v>-4503232</v>
      </c>
      <c r="T137" s="775">
        <v>5400</v>
      </c>
      <c r="U137" s="772" cm="1">
        <f t="array" ref="U137">T137*F137</f>
        <v>292683872.759091</v>
      </c>
      <c r="V137" s="776" cm="1">
        <f t="array" ref="V137">-S137</f>
        <v>4503232</v>
      </c>
      <c r="W137" s="776"/>
      <c r="X137" s="776" cm="1">
        <f t="array" ref="X137">$K136*4.95/12/100/(1-(1+4.95/12/100)^-(360-$A137+3))+$AY137</f>
        <v>4.45794914925705</v>
      </c>
      <c r="Y137" s="777" cm="1">
        <f t="array" ref="Y137">K136*4.95/12/100/(1-(1+4.95/12/100)^-(360-$A137+3))+AY137</f>
        <v>4.45794914925705</v>
      </c>
      <c r="Z137" s="791" cm="1">
        <f t="array" ref="Z137">IF(Z$3*12&lt;=$A137,0,$K136*'depto - Departamento'!$D$8/12/(1-(1+'depto - Departamento'!$D$8/12)^-(12*Z$3-$A137+3))+$AY138)</f>
        <v>5.18020716475064</v>
      </c>
      <c r="AA137" s="791" cm="1">
        <f t="array" ref="AA137">IF(AA$3*12&lt;=$A137,0,$K136*'depto - Departamento'!$D$8/12/(1-(1+'depto - Departamento'!$D$8/12)^-(12*AA$3-$A137+3))+$AY138)</f>
        <v>6.72131603016378</v>
      </c>
      <c r="AB137" s="765" cm="1">
        <f t="array" ref="AB137">IF(AB$3*12&lt;$A137,0,$K136*'depto - Departamento'!$D$8/12/(1-(1+'depto - Departamento'!$D$8/12)^-(12*AB$3-$A137+3))+$AY137)</f>
        <v>11.9166029994575</v>
      </c>
      <c r="AC137" s="765" cm="1">
        <f t="array" ref="AC137">IF(AC$3*12&lt;$A137,0,$K136*'depto - Departamento'!$D$8/12/(1-(1+'depto - Departamento'!$D$8/12)^-(12*AC$3-$A137+3))+$AY137)</f>
        <v>33.8885328660281</v>
      </c>
      <c r="AD137" s="765" cm="1">
        <f t="array" ref="AD137">IF(AD$3*12&lt;$A137,0,$K136*'depto - Departamento'!$D$8/12/(1-(1+'depto - Departamento'!$D$8/12)^-(12*AD$3-$A137+3))+$AY137)</f>
        <v>0</v>
      </c>
      <c r="AE137" s="765" cm="1">
        <f t="array" ref="AE137">IF(AE$3*12&lt;$A137,0,$K136*'depto - Departamento'!$D$8/12/(1-(1+'depto - Departamento'!$D$8/12)^-(12*AE$3-$A137+3))+$AY137)</f>
        <v>0</v>
      </c>
      <c r="AF137" s="765" cm="1">
        <f t="array" ref="AF137">AF136-(AF135-AF136)</f>
        <v>79.4729</v>
      </c>
      <c r="AG137" s="765"/>
      <c r="AH137" s="765"/>
      <c r="AI137" s="778" cm="1">
        <f t="array" ref="AI137">$F137*Y137</f>
        <v>241624.041031046</v>
      </c>
      <c r="AJ137" s="405" cm="1">
        <f t="array" ref="AJ137">$F137*Z137</f>
        <v>280770.943458075</v>
      </c>
      <c r="AK137" s="405" cm="1">
        <f t="array" ref="AK137">$F137*AA137</f>
        <v>364300.149212239</v>
      </c>
      <c r="AL137" s="764" cm="1">
        <f t="array" ref="AL137">$F137*AB137</f>
        <v>645888.428891448</v>
      </c>
      <c r="AM137" s="764" cm="1">
        <f t="array" ref="AM137">$F137*AC137</f>
        <v>1836782.78543571</v>
      </c>
      <c r="AN137" s="764" cm="1">
        <f t="array" ref="AN137">$F137*AD137</f>
        <v>0</v>
      </c>
      <c r="AO137" s="764"/>
      <c r="AP137" s="764" cm="1">
        <f t="array" ref="AP137">$F137*AF137</f>
        <v>4307488.17618443</v>
      </c>
      <c r="AQ137" s="765"/>
      <c r="AR137" s="779" cm="1">
        <f t="array" ref="AR137">K136-K137</f>
        <v>12.6935</v>
      </c>
      <c r="AS137" s="779" cm="1">
        <f t="array" ref="AS137">D137-AR137</f>
        <v>2.9889</v>
      </c>
      <c r="AT137" s="765"/>
      <c r="AU137" s="780" cm="1">
        <f t="array" ref="AU137">ROUND(AV137*F137,0)</f>
        <v>56054</v>
      </c>
      <c r="AV137" s="781" cm="1">
        <f t="array" ref="AV137">IF(K136=0,0,AV136)</f>
        <v>1.0342</v>
      </c>
      <c r="AW137" s="780" cm="1">
        <f t="array" ref="AW137">ROUND(F137*AX137,0)</f>
        <v>1188</v>
      </c>
      <c r="AX137" s="781" cm="1">
        <f t="array" ref="AX137">AX$11/K$10*K136</f>
        <v>0.0219203341903152</v>
      </c>
      <c r="AY137" s="782" cm="1">
        <f t="array" ref="AY137">SUM(AV137,AX137)</f>
        <v>1.05612033419032</v>
      </c>
      <c r="AZ137" s="780" cm="1">
        <f t="array" ref="AZ137">AU137+AW137</f>
        <v>57242</v>
      </c>
      <c r="BA137" s="783" cm="1">
        <f t="array" ref="BA137">AI137-AZ137-BG137</f>
        <v>79622.616413978</v>
      </c>
      <c r="BB137" s="784" cm="1">
        <f t="array" ref="BB137">ROUND(BA137/$F137,4)</f>
        <v>1.469</v>
      </c>
      <c r="BC137" s="783" cm="1">
        <f t="array" ref="BC137">J137-SUM(AZ137,BA137,BG137)</f>
        <v>608372.958968954</v>
      </c>
      <c r="BD137" s="784" cm="1">
        <f t="array" ref="BD137">ROUND(BC137/$F137,4)</f>
        <v>11.2244</v>
      </c>
      <c r="BE137" s="785" cm="1">
        <f t="array" ref="BE137">BC137+BA137</f>
        <v>687995.575382932</v>
      </c>
      <c r="BF137" s="784" cm="1">
        <f t="array" ref="BF137">ROUND((BA137+BC137)/F137,4)</f>
        <v>12.6935</v>
      </c>
      <c r="BG137" s="786" cm="1">
        <f t="array" ref="BG137">BO137*F137</f>
        <v>104759.424617068</v>
      </c>
      <c r="BH137" s="787" cm="1">
        <f t="array" ref="BH137">ROUND(BG137/$F137,4)</f>
        <v>1.9328</v>
      </c>
      <c r="BI137" s="772" cm="1">
        <f t="array" ref="BI137">M136-M137</f>
        <v>1226305</v>
      </c>
      <c r="BJ137" s="772" cm="1">
        <f t="array" ref="BJ137">BE137-BI137</f>
        <v>-538309.424617068</v>
      </c>
      <c r="BK137" s="772" cm="1">
        <f t="array" ref="BK137">-BJ137</f>
        <v>538309.424617068</v>
      </c>
      <c r="BL137" s="772" cm="1">
        <f t="array" ref="BL137">BG137+BJ137</f>
        <v>-433550</v>
      </c>
      <c r="BM137" s="772" cm="1">
        <f t="array" ref="BM137">AVERAGE(BL135:BL137)</f>
        <v>-32476.3333333333</v>
      </c>
      <c r="BN137" s="788" cm="1">
        <f t="array" ref="BN137">BH136-BH137</f>
        <v>0.0509</v>
      </c>
      <c r="BO137" s="775" cm="1">
        <f t="array" ref="BO137">K136*0.0495/12-0.16</f>
        <v>1.9328051375</v>
      </c>
      <c r="BP137" s="789" cm="1">
        <f t="array" ref="BP137">(BA137+BC137)/BG137</f>
        <v>6.5673859693082</v>
      </c>
      <c r="BQ137" s="789" cm="1">
        <f t="array" ref="BQ137">Y137-BB137</f>
        <v>2.98894914925705</v>
      </c>
      <c r="BR137" s="789" cm="1">
        <f t="array" ref="BR137">(BR$4*(1+BR$4)^BR$3*K136)/((1+BR$4)^BR$3-1)</f>
        <v>2.7080644691542</v>
      </c>
      <c r="BS137" s="789"/>
      <c r="BT137" s="764"/>
      <c r="BU137" s="764"/>
      <c r="BV137" s="764" cm="1">
        <f t="array" ref="BV137">BA137+BC137+BV136</f>
        <v>147043286.762674</v>
      </c>
      <c r="BW137" s="764" cm="1">
        <f t="array" ref="BW137">BG137+BW136</f>
        <v>32149042.2373274</v>
      </c>
      <c r="BX137" s="775" cm="1">
        <f t="array" ref="BX137">BF137+BX136</f>
        <v>3420.856</v>
      </c>
      <c r="BY137" s="775" cm="1">
        <f t="array" ref="BY137">BH137+BY136</f>
        <v>731.0916999999999</v>
      </c>
      <c r="BZ137" s="764" cm="1">
        <f t="array" ref="BZ137">SUM(BJ$6:BJ137)</f>
        <v>27221312.7626725</v>
      </c>
      <c r="CA137" s="775"/>
      <c r="CB137" s="775"/>
      <c r="CC137" s="764" cm="1">
        <f t="array" ref="CC137">SUM(BE$6:BE137)</f>
        <v>147043286.762673</v>
      </c>
      <c r="CD137" s="775"/>
      <c r="CE137" s="775"/>
      <c r="CF137" s="775"/>
      <c r="CG137" s="775"/>
      <c r="CH137" s="775"/>
      <c r="CI137" s="775"/>
      <c r="CJ137" s="775"/>
      <c r="CK137" s="775"/>
      <c r="CL137" s="775"/>
      <c r="CM137" s="775"/>
    </row>
    <row r="138" ht="19.35" customHeight="1" hidden="1">
      <c r="A138" s="762">
        <v>132</v>
      </c>
      <c r="B138" s="763">
        <v>49351</v>
      </c>
      <c r="C138" s="764"/>
      <c r="D138" s="765" cm="1">
        <f t="array" ref="D138">ROUND(850000/F138,4)</f>
        <v>15.6777</v>
      </c>
      <c r="E138" s="766" cm="1">
        <f t="array" ref="E138">D138/K137</f>
        <v>0.0316943264493184</v>
      </c>
      <c r="F138" s="767" cm="1">
        <f t="array" ref="F138">F137*(1+G138)</f>
        <v>54216.9773927627</v>
      </c>
      <c r="G138" s="766" cm="1">
        <f t="array" ref="G138">H138-SUM(G127:G137)</f>
        <v>0.0003</v>
      </c>
      <c r="H138" s="768" cm="1">
        <f t="array" ref="H138">'depto - Table 5'!$L$2</f>
        <v>0.03</v>
      </c>
      <c r="I138" s="769" cm="1">
        <f t="array" ref="I138">H138+4.95/100</f>
        <v>0.0795</v>
      </c>
      <c r="J138" s="764" cm="1">
        <f t="array" ref="J138">IF(K137=0,0,ROUND(D138*F138,0))</f>
        <v>849998</v>
      </c>
      <c r="K138" s="770" cm="1">
        <f t="array" ref="K138">IF(K137-BF138&lt;0,0,K137-BF138)</f>
        <v>481.9115</v>
      </c>
      <c r="L138" s="771" cm="1">
        <f t="array" ref="L138">K138/K$5</f>
        <v>0.122002911392405</v>
      </c>
      <c r="M138" s="772" cm="1">
        <f t="array" ref="M138">ROUND(K138*F138,0)</f>
        <v>26127785</v>
      </c>
      <c r="N138" s="773" cm="1">
        <f t="array" ref="N138">M138/M$5</f>
        <v>0.178185458872114</v>
      </c>
      <c r="O138" s="772" cm="1">
        <f t="array" ref="O138">M138-M137</f>
        <v>-682773</v>
      </c>
      <c r="P138" s="774" cm="1">
        <f t="array" ref="P138">T138-K138</f>
        <v>4918.0885</v>
      </c>
      <c r="Q138" s="772" cm="1">
        <f t="array" ref="Q138">ROUND(P138*F138,0)</f>
        <v>266643893</v>
      </c>
      <c r="R138" s="775" cm="1">
        <f t="array" ref="R138">$K$5-K138</f>
        <v>3468.0885</v>
      </c>
      <c r="S138" s="772" cm="1">
        <f t="array" ref="S138">Q138-Q137</f>
        <v>770578</v>
      </c>
      <c r="T138" s="775">
        <v>5400</v>
      </c>
      <c r="U138" s="772" cm="1">
        <f t="array" ref="U138">T138*F138</f>
        <v>292771677.920919</v>
      </c>
      <c r="V138" s="776" cm="1">
        <f t="array" ref="V138">-S138</f>
        <v>-770578</v>
      </c>
      <c r="W138" s="776"/>
      <c r="X138" s="776" cm="1">
        <f t="array" ref="X138">$K137*4.95/12/100/(1-(1+4.95/12/100)^-(360-$A138+3))+$AY138</f>
        <v>4.38086878691802</v>
      </c>
      <c r="Y138" s="777" cm="1">
        <f t="array" ref="Y138">K137*4.95/12/100/(1-(1+4.95/12/100)^-(360-$A138+3))+AY138</f>
        <v>4.38086878691802</v>
      </c>
      <c r="Z138" s="791" cm="1">
        <f t="array" ref="Z138">IF(Z$3*12&lt;=$A138,0,$K137*'depto - Departamento'!$D$8/12/(1-(1+'depto - Departamento'!$D$8/12)^-(12*Z$3-$A138+3))+$AY139)</f>
        <v>5.09263071304149</v>
      </c>
      <c r="AA138" s="791" cm="1">
        <f t="array" ref="AA138">IF(AA$3*12&lt;=$A138,0,$K137*'depto - Departamento'!$D$8/12/(1-(1+'depto - Departamento'!$D$8/12)^-(12*AA$3-$A138+3))+$AY139)</f>
        <v>6.61819017413115</v>
      </c>
      <c r="AB138" s="765" cm="1">
        <f t="array" ref="AB138">IF(AB$3*12&lt;$A138,0,$K137*'depto - Departamento'!$D$8/12/(1-(1+'depto - Departamento'!$D$8/12)^-(12*AB$3-$A138+3))+$AY138)</f>
        <v>11.8305388807333</v>
      </c>
      <c r="AC138" s="765" cm="1">
        <f t="array" ref="AC138">IF(AC$3*12&lt;$A138,0,$K137*'depto - Departamento'!$D$8/12/(1-(1+'depto - Departamento'!$D$8/12)^-(12*AC$3-$A138+3))+$AY138)</f>
        <v>35.1311410114196</v>
      </c>
      <c r="AD138" s="765" cm="1">
        <f t="array" ref="AD138">IF(AD$3*12&lt;$A138,0,$K137*'depto - Departamento'!$D$8/12/(1-(1+'depto - Departamento'!$D$8/12)^-(12*AD$3-$A138+3))+$AY138)</f>
        <v>0</v>
      </c>
      <c r="AE138" s="765" cm="1">
        <f t="array" ref="AE138">IF(AE$3*12&lt;$A138,0,$K137*'depto - Departamento'!$D$8/12/(1-(1+'depto - Departamento'!$D$8/12)^-(12*AE$3-$A138+3))+$AY138)</f>
        <v>0</v>
      </c>
      <c r="AF138" s="765" cm="1">
        <f t="array" ref="AF138">AF137-(AF136-AF137)</f>
        <v>79.4701</v>
      </c>
      <c r="AG138" s="765"/>
      <c r="AH138" s="765"/>
      <c r="AI138" s="778" cm="1">
        <f t="array" ref="AI138">$F138*Y138</f>
        <v>237517.463980994</v>
      </c>
      <c r="AJ138" s="405" cm="1">
        <f t="array" ref="AJ138">$F138*Z138</f>
        <v>276107.044238659</v>
      </c>
      <c r="AK138" s="405" cm="1">
        <f t="array" ref="AK138">$F138*AA138</f>
        <v>358818.267051873</v>
      </c>
      <c r="AL138" s="764" cm="1">
        <f t="array" ref="AL138">$F138*AB138</f>
        <v>641416.059040917</v>
      </c>
      <c r="AM138" s="764" cm="1">
        <f t="array" ref="AM138">$F138*AC138</f>
        <v>1904704.27799809</v>
      </c>
      <c r="AN138" s="764" cm="1">
        <f t="array" ref="AN138">$F138*AD138</f>
        <v>0</v>
      </c>
      <c r="AO138" s="764"/>
      <c r="AP138" s="764" cm="1">
        <f t="array" ref="AP138">$F138*AF138</f>
        <v>4308628.61510059</v>
      </c>
      <c r="AQ138" s="765"/>
      <c r="AR138" s="779" cm="1">
        <f t="array" ref="AR138">K137-K138</f>
        <v>12.7417</v>
      </c>
      <c r="AS138" s="779" cm="1">
        <f t="array" ref="AS138">D138-AR138</f>
        <v>2.936</v>
      </c>
      <c r="AT138" s="765"/>
      <c r="AU138" s="780" cm="1">
        <f t="array" ref="AU138">ROUND(AV138*F138,0)</f>
        <v>56071</v>
      </c>
      <c r="AV138" s="781" cm="1">
        <f t="array" ref="AV138">IF(K137=0,0,AV137)</f>
        <v>1.0342</v>
      </c>
      <c r="AW138" s="780" cm="1">
        <f t="array" ref="AW138">ROUND(F138*AX138,0)</f>
        <v>1159</v>
      </c>
      <c r="AX138" s="781" cm="1">
        <f t="array" ref="AX138">AX$11/K$10*K137</f>
        <v>0.0213719010142548</v>
      </c>
      <c r="AY138" s="782" cm="1">
        <f t="array" ref="AY138">SUM(AV138,AX138)</f>
        <v>1.05557190101425</v>
      </c>
      <c r="AZ138" s="780" cm="1">
        <f t="array" ref="AZ138">AU138+AW138</f>
        <v>57230</v>
      </c>
      <c r="BA138" s="783" cm="1">
        <f t="array" ref="BA138">AI138-AZ138-BG138</f>
        <v>78335.449746998</v>
      </c>
      <c r="BB138" s="784" cm="1">
        <f t="array" ref="BB138">ROUND(BA138/$F138,4)</f>
        <v>1.4449</v>
      </c>
      <c r="BC138" s="783" cm="1">
        <f t="array" ref="BC138">J138-SUM(AZ138,BA138,BG138)</f>
        <v>612480.536019006</v>
      </c>
      <c r="BD138" s="784" cm="1">
        <f t="array" ref="BD138">ROUND(BC138/$F138,4)</f>
        <v>11.2968</v>
      </c>
      <c r="BE138" s="785" cm="1">
        <f t="array" ref="BE138">BC138+BA138</f>
        <v>690815.985766004</v>
      </c>
      <c r="BF138" s="784" cm="1">
        <f t="array" ref="BF138">ROUND((BA138+BC138)/F138,4)</f>
        <v>12.7417</v>
      </c>
      <c r="BG138" s="786" cm="1">
        <f t="array" ref="BG138">BO138*F138</f>
        <v>101952.014233996</v>
      </c>
      <c r="BH138" s="787" cm="1">
        <f t="array" ref="BH138">ROUND(BG138/$F138,4)</f>
        <v>1.8804</v>
      </c>
      <c r="BI138" s="772" cm="1">
        <f t="array" ref="BI138">M137-M138</f>
        <v>682773</v>
      </c>
      <c r="BJ138" s="772" cm="1">
        <f t="array" ref="BJ138">BE138-BI138</f>
        <v>8042.985766004</v>
      </c>
      <c r="BK138" s="772" cm="1">
        <f t="array" ref="BK138">-BJ138</f>
        <v>-8042.985766004</v>
      </c>
      <c r="BL138" s="772" cm="1">
        <f t="array" ref="BL138">BG138+BJ138</f>
        <v>109995</v>
      </c>
      <c r="BM138" s="772" cm="1">
        <f t="array" ref="BM138">AVERAGE(BL136:BL138)</f>
        <v>-69396</v>
      </c>
      <c r="BN138" s="788" cm="1">
        <f t="array" ref="BN138">BH137-BH138</f>
        <v>0.0524</v>
      </c>
      <c r="BO138" s="775" cm="1">
        <f t="array" ref="BO138">K137*0.0495/12-0.16</f>
        <v>1.88044445</v>
      </c>
      <c r="BP138" s="789" cm="1">
        <f t="array" ref="BP138">(BA138+BC138)/BG138</f>
        <v>6.77589345297752</v>
      </c>
      <c r="BQ138" s="789" cm="1">
        <f t="array" ref="BQ138">Y138-BB138</f>
        <v>2.93596878691802</v>
      </c>
      <c r="BR138" s="789" cm="1">
        <f t="array" ref="BR138">(BR$4*(1+BR$4)^BR$3*K137)/((1+BR$4)^BR$3-1)</f>
        <v>2.64031037449031</v>
      </c>
      <c r="BS138" s="789"/>
      <c r="BT138" s="764"/>
      <c r="BU138" s="764"/>
      <c r="BV138" s="764" cm="1">
        <f t="array" ref="BV138">BA138+BC138+BV137</f>
        <v>147734102.74844</v>
      </c>
      <c r="BW138" s="764" cm="1">
        <f t="array" ref="BW138">BG138+BW137</f>
        <v>32250994.2515614</v>
      </c>
      <c r="BX138" s="775" cm="1">
        <f t="array" ref="BX138">BF138+BX137</f>
        <v>3433.5977</v>
      </c>
      <c r="BY138" s="775" cm="1">
        <f t="array" ref="BY138">BH138+BY137</f>
        <v>732.9721</v>
      </c>
      <c r="BZ138" s="764" cm="1">
        <f t="array" ref="BZ138">SUM(BJ$6:BJ138)</f>
        <v>27229355.7484385</v>
      </c>
      <c r="CA138" s="775"/>
      <c r="CB138" s="775"/>
      <c r="CC138" s="764" cm="1">
        <f t="array" ref="CC138">SUM(BE$6:BE138)</f>
        <v>147734102.748439</v>
      </c>
      <c r="CD138" s="775"/>
      <c r="CE138" s="775"/>
      <c r="CF138" s="775"/>
      <c r="CG138" s="775"/>
      <c r="CH138" s="775"/>
      <c r="CI138" s="775"/>
      <c r="CJ138" s="775"/>
      <c r="CK138" s="775"/>
      <c r="CL138" s="775"/>
      <c r="CM138" s="775"/>
    </row>
    <row r="139" ht="19.35" customHeight="1" hidden="1">
      <c r="A139" s="762">
        <v>133</v>
      </c>
      <c r="B139" s="763">
        <v>49379</v>
      </c>
      <c r="C139" s="764"/>
      <c r="D139" s="765" cm="1">
        <f t="array" ref="D139">ROUND(850000/F139,4)</f>
        <v>15.62</v>
      </c>
      <c r="E139" s="766" cm="1">
        <f t="array" ref="E139">D139/K138</f>
        <v>0.0324125902785055</v>
      </c>
      <c r="F139" s="767" cm="1">
        <f t="array" ref="F139">F138*(1+G139)</f>
        <v>54417.5802091159</v>
      </c>
      <c r="G139" s="766" cm="1">
        <f t="array" ref="G139">H139-SUM(G128:G138)</f>
        <v>0.0037</v>
      </c>
      <c r="H139" s="768" cm="1">
        <f t="array" ref="H139">'depto - Table 5'!$L$2</f>
        <v>0.03</v>
      </c>
      <c r="I139" s="769" cm="1">
        <f t="array" ref="I139">H139+4.95/100</f>
        <v>0.0795</v>
      </c>
      <c r="J139" s="764" cm="1">
        <f t="array" ref="J139">IF(K138=0,0,ROUND(D139*F139,0))</f>
        <v>850003</v>
      </c>
      <c r="K139" s="770" cm="1">
        <f t="array" ref="K139">IF(K138-BF139&lt;0,0,K138-BF139)</f>
        <v>469.1744</v>
      </c>
      <c r="L139" s="771" cm="1">
        <f t="array" ref="L139">K139/K$5</f>
        <v>0.118778329113924</v>
      </c>
      <c r="M139" s="772" cm="1">
        <f t="array" ref="M139">ROUND(K139*F139,0)</f>
        <v>25531336</v>
      </c>
      <c r="N139" s="773" cm="1">
        <f t="array" ref="N139">M139/M$5</f>
        <v>0.174117814456072</v>
      </c>
      <c r="O139" s="772" cm="1">
        <f t="array" ref="O139">M139-M138</f>
        <v>-596449</v>
      </c>
      <c r="P139" s="774" cm="1">
        <f t="array" ref="P139">T139-K139</f>
        <v>4930.8256</v>
      </c>
      <c r="Q139" s="772" cm="1">
        <f t="array" ref="Q139">ROUND(P139*F139,0)</f>
        <v>268323598</v>
      </c>
      <c r="R139" s="775" cm="1">
        <f t="array" ref="R139">$K$5-K139</f>
        <v>3480.8256</v>
      </c>
      <c r="S139" s="772" cm="1">
        <f t="array" ref="S139">Q139-Q138</f>
        <v>1679705</v>
      </c>
      <c r="T139" s="775">
        <v>5400</v>
      </c>
      <c r="U139" s="772" cm="1">
        <f t="array" ref="U139">T139*F139</f>
        <v>293854933.129226</v>
      </c>
      <c r="V139" s="776" cm="1">
        <f t="array" ref="V139">-S139</f>
        <v>-1679705</v>
      </c>
      <c r="W139" s="776"/>
      <c r="X139" s="776" cm="1">
        <f t="array" ref="X139">$K138*4.95/12/100/(1-(1+4.95/12/100)^-(360-$A139+3))+$AY139</f>
        <v>4.30309925278329</v>
      </c>
      <c r="Y139" s="777" cm="1">
        <f t="array" ref="Y139">K138*4.95/12/100/(1-(1+4.95/12/100)^-(360-$A139+3))+AY139</f>
        <v>4.30309925278329</v>
      </c>
      <c r="Z139" s="791" cm="1">
        <f t="array" ref="Z139">IF(Z$3*12&lt;=$A139,0,$K138*'depto - Departamento'!$D$8/12/(1-(1+'depto - Departamento'!$D$8/12)^-(12*Z$3-$A139+3))+$AY140)</f>
        <v>5.00402253799366</v>
      </c>
      <c r="AA139" s="791" cm="1">
        <f t="array" ref="AA139">IF(AA$3*12&lt;=$A139,0,$K138*'depto - Departamento'!$D$8/12/(1-(1+'depto - Departamento'!$D$8/12)^-(12*AA$3-$A139+3))+$AY140)</f>
        <v>6.51321400660819</v>
      </c>
      <c r="AB139" s="765" cm="1">
        <f t="array" ref="AB139">IF(AB$3*12&lt;$A139,0,$K138*'depto - Departamento'!$D$8/12/(1-(1+'depto - Departamento'!$D$8/12)^-(12*AB$3-$A139+3))+$AY139)</f>
        <v>11.741131511151</v>
      </c>
      <c r="AC139" s="765" cm="1">
        <f t="array" ref="AC139">IF(AC$3*12&lt;$A139,0,$K138*'depto - Departamento'!$D$8/12/(1-(1+'depto - Departamento'!$D$8/12)^-(12*AC$3-$A139+3))+$AY139)</f>
        <v>36.5517075260277</v>
      </c>
      <c r="AD139" s="765" cm="1">
        <f t="array" ref="AD139">IF(AD$3*12&lt;$A139,0,$K138*'depto - Departamento'!$D$8/12/(1-(1+'depto - Departamento'!$D$8/12)^-(12*AD$3-$A139+3))+$AY139)</f>
        <v>0</v>
      </c>
      <c r="AE139" s="765" cm="1">
        <f t="array" ref="AE139">IF(AE$3*12&lt;$A139,0,$K138*'depto - Departamento'!$D$8/12/(1-(1+'depto - Departamento'!$D$8/12)^-(12*AE$3-$A139+3))+$AY139)</f>
        <v>0</v>
      </c>
      <c r="AF139" s="765" cm="1">
        <f t="array" ref="AF139">AF138-(AF137-AF138)</f>
        <v>79.46729999999999</v>
      </c>
      <c r="AG139" s="765"/>
      <c r="AH139" s="765"/>
      <c r="AI139" s="778" cm="1">
        <f t="array" ref="AI139">$F139*Y139</f>
        <v>234164.248736121</v>
      </c>
      <c r="AJ139" s="405" cm="1">
        <f t="array" ref="AJ139">$F139*Z139</f>
        <v>272306.797829494</v>
      </c>
      <c r="AK139" s="405" cm="1">
        <f t="array" ref="AK139">$F139*AA139</f>
        <v>354433.345623738</v>
      </c>
      <c r="AL139" s="764" cm="1">
        <f t="array" ref="AL139">$F139*AB139</f>
        <v>638923.965753838</v>
      </c>
      <c r="AM139" s="764" cm="1">
        <f t="array" ref="AM139">$F139*AC139</f>
        <v>1989055.47607776</v>
      </c>
      <c r="AN139" s="764" cm="1">
        <f t="array" ref="AN139">$F139*AD139</f>
        <v>0</v>
      </c>
      <c r="AO139" s="764"/>
      <c r="AP139" s="764" cm="1">
        <f t="array" ref="AP139">$F139*AF139</f>
        <v>4324418.17175188</v>
      </c>
      <c r="AQ139" s="765"/>
      <c r="AR139" s="779" cm="1">
        <f t="array" ref="AR139">K138-K139</f>
        <v>12.7371</v>
      </c>
      <c r="AS139" s="779" cm="1">
        <f t="array" ref="AS139">D139-AR139</f>
        <v>2.8829</v>
      </c>
      <c r="AT139" s="765"/>
      <c r="AU139" s="780" cm="1">
        <f t="array" ref="AU139">ROUND(AV139*F139,0)</f>
        <v>56279</v>
      </c>
      <c r="AV139" s="781" cm="1">
        <f t="array" ref="AV139">IF(K138=0,0,AV138)</f>
        <v>1.0342</v>
      </c>
      <c r="AW139" s="780" cm="1">
        <f t="array" ref="AW139">ROUND(F139*AX139,0)</f>
        <v>1133</v>
      </c>
      <c r="AX139" s="781" cm="1">
        <f t="array" ref="AX139">AX$11/K$10*K138</f>
        <v>0.0208213853172911</v>
      </c>
      <c r="AY139" s="782" cm="1">
        <f t="array" ref="AY139">SUM(AV139,AX139)</f>
        <v>1.05502138531729</v>
      </c>
      <c r="AZ139" s="780" cm="1">
        <f t="array" ref="AZ139">AU139+AW139</f>
        <v>57412</v>
      </c>
      <c r="BA139" s="783" cm="1">
        <f t="array" ref="BA139">AI139-AZ139-BG139</f>
        <v>77283.1735366799</v>
      </c>
      <c r="BB139" s="784" cm="1">
        <f t="array" ref="BB139">ROUND(BA139/$F139,4)</f>
        <v>1.4202</v>
      </c>
      <c r="BC139" s="783" cm="1">
        <f t="array" ref="BC139">J139-SUM(AZ139,BA139,BG139)</f>
        <v>615838.751263879</v>
      </c>
      <c r="BD139" s="784" cm="1">
        <f t="array" ref="BD139">ROUND(BC139/$F139,4)</f>
        <v>11.3169</v>
      </c>
      <c r="BE139" s="785" cm="1">
        <f t="array" ref="BE139">BC139+BA139</f>
        <v>693121.9248005589</v>
      </c>
      <c r="BF139" s="784" cm="1">
        <f t="array" ref="BF139">ROUND((BA139+BC139)/F139,4)</f>
        <v>12.7371</v>
      </c>
      <c r="BG139" s="786" cm="1">
        <f t="array" ref="BG139">BO139*F139</f>
        <v>99469.0751994411</v>
      </c>
      <c r="BH139" s="787" cm="1">
        <f t="array" ref="BH139">ROUND(BG139/$F139,4)</f>
        <v>1.8279</v>
      </c>
      <c r="BI139" s="772" cm="1">
        <f t="array" ref="BI139">M138-M139</f>
        <v>596449</v>
      </c>
      <c r="BJ139" s="772" cm="1">
        <f t="array" ref="BJ139">BE139-BI139</f>
        <v>96672.924800559005</v>
      </c>
      <c r="BK139" s="772" cm="1">
        <f t="array" ref="BK139">-BJ139</f>
        <v>-96672.924800559005</v>
      </c>
      <c r="BL139" s="772" cm="1">
        <f t="array" ref="BL139">BG139+BJ139</f>
        <v>196142</v>
      </c>
      <c r="BM139" s="772" cm="1">
        <f t="array" ref="BM139">AVERAGE(BL137:BL139)</f>
        <v>-42471</v>
      </c>
      <c r="BN139" s="788" cm="1">
        <f t="array" ref="BN139">BH138-BH139</f>
        <v>0.0525</v>
      </c>
      <c r="BO139" s="775" cm="1">
        <f t="array" ref="BO139">K138*0.0495/12-0.16</f>
        <v>1.8278849375</v>
      </c>
      <c r="BP139" s="789" cm="1">
        <f t="array" ref="BP139">(BA139+BC139)/BG139</f>
        <v>6.96821523082235</v>
      </c>
      <c r="BQ139" s="789" cm="1">
        <f t="array" ref="BQ139">Y139-BB139</f>
        <v>2.88289925278329</v>
      </c>
      <c r="BR139" s="789" cm="1">
        <f t="array" ref="BR139">(BR$4*(1+BR$4)^BR$3*K138)/((1+BR$4)^BR$3-1)</f>
        <v>2.57229900268752</v>
      </c>
      <c r="BS139" s="789"/>
      <c r="BT139" s="764"/>
      <c r="BU139" s="764"/>
      <c r="BV139" s="764" cm="1">
        <f t="array" ref="BV139">BA139+BC139+BV138</f>
        <v>148427224.673241</v>
      </c>
      <c r="BW139" s="764" cm="1">
        <f t="array" ref="BW139">BG139+BW138</f>
        <v>32350463.3267608</v>
      </c>
      <c r="BX139" s="775" cm="1">
        <f t="array" ref="BX139">BF139+BX138</f>
        <v>3446.3348</v>
      </c>
      <c r="BY139" s="775" cm="1">
        <f t="array" ref="BY139">BH139+BY138</f>
        <v>734.8</v>
      </c>
      <c r="BZ139" s="764" cm="1">
        <f t="array" ref="BZ139">SUM(BJ$6:BJ139)</f>
        <v>27326028.6732391</v>
      </c>
      <c r="CA139" s="775"/>
      <c r="CB139" s="775"/>
      <c r="CC139" s="764" cm="1">
        <f t="array" ref="CC139">SUM(BE$6:BE139)</f>
        <v>148427224.673239</v>
      </c>
      <c r="CD139" s="775"/>
      <c r="CE139" s="775"/>
      <c r="CF139" s="775"/>
      <c r="CG139" s="775"/>
      <c r="CH139" s="775"/>
      <c r="CI139" s="775"/>
      <c r="CJ139" s="775"/>
      <c r="CK139" s="775"/>
      <c r="CL139" s="775"/>
      <c r="CM139" s="775"/>
    </row>
    <row r="140" ht="19.35" customHeight="1" hidden="1">
      <c r="A140" s="762">
        <v>134</v>
      </c>
      <c r="B140" s="763">
        <v>49410</v>
      </c>
      <c r="C140" s="764"/>
      <c r="D140" s="765" cm="1">
        <f t="array" ref="D140">ROUND(850000/F140,4)</f>
        <v>15.609</v>
      </c>
      <c r="E140" s="766" cm="1">
        <f t="array" ref="E140">D140/K139</f>
        <v>0.0332690786198053</v>
      </c>
      <c r="F140" s="767" cm="1">
        <f t="array" ref="F140">F139*(1+G140)</f>
        <v>54455.6725152623</v>
      </c>
      <c r="G140" s="766" cm="1">
        <f t="array" ref="G140">H140-SUM(G129:G139)</f>
        <v>0.0007</v>
      </c>
      <c r="H140" s="768" cm="1">
        <f t="array" ref="H140">'depto - Table 5'!$L$2</f>
        <v>0.03</v>
      </c>
      <c r="I140" s="769" cm="1">
        <f t="array" ref="I140">H140+4.95/100</f>
        <v>0.0795</v>
      </c>
      <c r="J140" s="764" cm="1">
        <f t="array" ref="J140">IF(K139=0,0,ROUND(D140*F140,0))</f>
        <v>849999</v>
      </c>
      <c r="K140" s="770" cm="1">
        <f t="array" ref="K140">IF(K139-BF140&lt;0,0,K139-BF140)</f>
        <v>456.3952</v>
      </c>
      <c r="L140" s="771" cm="1">
        <f t="array" ref="L140">K140/K$5</f>
        <v>0.115543088607595</v>
      </c>
      <c r="M140" s="772" cm="1">
        <f t="array" ref="M140">ROUND(K140*F140,0)</f>
        <v>24853308</v>
      </c>
      <c r="N140" s="773" cm="1">
        <f t="array" ref="N140">M140/M$5</f>
        <v>0.169493820102622</v>
      </c>
      <c r="O140" s="772" cm="1">
        <f t="array" ref="O140">M140-M139</f>
        <v>-678028</v>
      </c>
      <c r="P140" s="774" cm="1">
        <f t="array" ref="P140">T140-K140</f>
        <v>4943.6048</v>
      </c>
      <c r="Q140" s="772" cm="1">
        <f t="array" ref="Q140">ROUND(P140*F140,0)</f>
        <v>269207324</v>
      </c>
      <c r="R140" s="775" cm="1">
        <f t="array" ref="R140">$K$5-K140</f>
        <v>3493.6048</v>
      </c>
      <c r="S140" s="772" cm="1">
        <f t="array" ref="S140">Q140-Q139</f>
        <v>883726</v>
      </c>
      <c r="T140" s="775">
        <v>5400</v>
      </c>
      <c r="U140" s="772" cm="1">
        <f t="array" ref="U140">T140*F140</f>
        <v>294060631.582416</v>
      </c>
      <c r="V140" s="776" cm="1">
        <f t="array" ref="V140">-S140</f>
        <v>-883726</v>
      </c>
      <c r="W140" s="776"/>
      <c r="X140" s="776" cm="1">
        <f t="array" ref="X140">$K139*4.95/12/100/(1-(1+4.95/12/100)^-(360-$A140+3))+$AY140</f>
        <v>4.22499190583487</v>
      </c>
      <c r="Y140" s="777" cm="1">
        <f t="array" ref="Y140">K139*4.95/12/100/(1-(1+4.95/12/100)^-(360-$A140+3))+AY140</f>
        <v>4.22499190583487</v>
      </c>
      <c r="Z140" s="791" cm="1">
        <f t="array" ref="Z140">IF(Z$3*12&lt;=$A140,0,$K139*'depto - Departamento'!$D$8/12/(1-(1+'depto - Departamento'!$D$8/12)^-(12*Z$3-$A140+3))+$AY141)</f>
        <v>4.91479836570844</v>
      </c>
      <c r="AA140" s="791" cm="1">
        <f t="array" ref="AA140">IF(AA$3*12&lt;=$A140,0,$K139*'depto - Departamento'!$D$8/12/(1-(1+'depto - Departamento'!$D$8/12)^-(12*AA$3-$A140+3))+$AY141)</f>
        <v>6.40693917776651</v>
      </c>
      <c r="AB140" s="765" cm="1">
        <f t="array" ref="AB140">IF(AB$3*12&lt;$A140,0,$K139*'depto - Departamento'!$D$8/12/(1-(1+'depto - Departamento'!$D$8/12)^-(12*AB$3-$A140+3))+$AY140)</f>
        <v>11.6493752553161</v>
      </c>
      <c r="AC140" s="765" cm="1">
        <f t="array" ref="AC140">IF(AC$3*12&lt;$A140,0,$K139*'depto - Departamento'!$D$8/12/(1-(1+'depto - Departamento'!$D$8/12)^-(12*AC$3-$A140+3))+$AY140)</f>
        <v>38.1954973528756</v>
      </c>
      <c r="AD140" s="765" cm="1">
        <f t="array" ref="AD140">IF(AD$3*12&lt;$A140,0,$K139*'depto - Departamento'!$D$8/12/(1-(1+'depto - Departamento'!$D$8/12)^-(12*AD$3-$A140+3))+$AY140)</f>
        <v>0</v>
      </c>
      <c r="AE140" s="765" cm="1">
        <f t="array" ref="AE140">IF(AE$3*12&lt;$A140,0,$K139*'depto - Departamento'!$D$8/12/(1-(1+'depto - Departamento'!$D$8/12)^-(12*AE$3-$A140+3))+$AY140)</f>
        <v>0</v>
      </c>
      <c r="AF140" s="765" cm="1">
        <f t="array" ref="AF140">AF139-(AF138-AF139)</f>
        <v>79.4645</v>
      </c>
      <c r="AG140" s="765"/>
      <c r="AH140" s="765"/>
      <c r="AI140" s="778" cm="1">
        <f t="array" ref="AI140">$F140*Y140</f>
        <v>230074.775603778</v>
      </c>
      <c r="AJ140" s="405" cm="1">
        <f t="array" ref="AJ140">$F140*Z140</f>
        <v>267638.650281565</v>
      </c>
      <c r="AK140" s="405" cm="1">
        <f t="array" ref="AK140">$F140*AA140</f>
        <v>348894.181689657</v>
      </c>
      <c r="AL140" s="764" cm="1">
        <f t="array" ref="AL140">$F140*AB140</f>
        <v>634374.563910894</v>
      </c>
      <c r="AM140" s="764" cm="1">
        <f t="array" ref="AM140">$F140*AC140</f>
        <v>2079961.49540576</v>
      </c>
      <c r="AN140" s="764" cm="1">
        <f t="array" ref="AN140">$F140*AD140</f>
        <v>0</v>
      </c>
      <c r="AO140" s="764"/>
      <c r="AP140" s="764" cm="1">
        <f t="array" ref="AP140">$F140*AF140</f>
        <v>4327292.78858906</v>
      </c>
      <c r="AQ140" s="765"/>
      <c r="AR140" s="779" cm="1">
        <f t="array" ref="AR140">K139-K140</f>
        <v>12.7792</v>
      </c>
      <c r="AS140" s="779" cm="1">
        <f t="array" ref="AS140">D140-AR140</f>
        <v>2.8298</v>
      </c>
      <c r="AT140" s="765"/>
      <c r="AU140" s="780" cm="1">
        <f t="array" ref="AU140">ROUND(AV140*F140,0)</f>
        <v>56318</v>
      </c>
      <c r="AV140" s="781" cm="1">
        <f t="array" ref="AV140">IF(K139=0,0,AV139)</f>
        <v>1.0342</v>
      </c>
      <c r="AW140" s="780" cm="1">
        <f t="array" ref="AW140">ROUND(F140*AX140,0)</f>
        <v>1104</v>
      </c>
      <c r="AX140" s="781" cm="1">
        <f t="array" ref="AX140">AX$11/K$10*K139</f>
        <v>0.0202710683671356</v>
      </c>
      <c r="AY140" s="782" cm="1">
        <f t="array" ref="AY140">SUM(AV140,AX140)</f>
        <v>1.05447106836714</v>
      </c>
      <c r="AZ140" s="780" cm="1">
        <f t="array" ref="AZ140">AU140+AW140</f>
        <v>57422</v>
      </c>
      <c r="BA140" s="783" cm="1">
        <f t="array" ref="BA140">AI140-AZ140-BG140</f>
        <v>75975.2023555732</v>
      </c>
      <c r="BB140" s="784" cm="1">
        <f t="array" ref="BB140">ROUND(BA140/$F140,4)</f>
        <v>1.3952</v>
      </c>
      <c r="BC140" s="783" cm="1">
        <f t="array" ref="BC140">J140-SUM(AZ140,BA140,BG140)</f>
        <v>619924.224396222</v>
      </c>
      <c r="BD140" s="784" cm="1">
        <f t="array" ref="BD140">ROUND(BC140/$F140,4)</f>
        <v>11.384</v>
      </c>
      <c r="BE140" s="785" cm="1">
        <f t="array" ref="BE140">BC140+BA140</f>
        <v>695899.426751795</v>
      </c>
      <c r="BF140" s="784" cm="1">
        <f t="array" ref="BF140">ROUND((BA140+BC140)/F140,4)</f>
        <v>12.7792</v>
      </c>
      <c r="BG140" s="786" cm="1">
        <f t="array" ref="BG140">BO140*F140</f>
        <v>96677.5732482048</v>
      </c>
      <c r="BH140" s="787" cm="1">
        <f t="array" ref="BH140">ROUND(BG140/$F140,4)</f>
        <v>1.7753</v>
      </c>
      <c r="BI140" s="772" cm="1">
        <f t="array" ref="BI140">M139-M140</f>
        <v>678028</v>
      </c>
      <c r="BJ140" s="772" cm="1">
        <f t="array" ref="BJ140">BE140-BI140</f>
        <v>17871.426751795</v>
      </c>
      <c r="BK140" s="772" cm="1">
        <f t="array" ref="BK140">-BJ140</f>
        <v>-17871.426751795</v>
      </c>
      <c r="BL140" s="772" cm="1">
        <f t="array" ref="BL140">BG140+BJ140</f>
        <v>114549</v>
      </c>
      <c r="BM140" s="772" cm="1">
        <f t="array" ref="BM140">AVERAGE(BL138:BL140)</f>
        <v>140228.666666667</v>
      </c>
      <c r="BN140" s="788" cm="1">
        <f t="array" ref="BN140">BH139-BH140</f>
        <v>0.0526</v>
      </c>
      <c r="BO140" s="775" cm="1">
        <f t="array" ref="BO140">K139*0.0495/12-0.16</f>
        <v>1.7753444</v>
      </c>
      <c r="BP140" s="789" cm="1">
        <f t="array" ref="BP140">(BA140+BC140)/BG140</f>
        <v>7.19814744382526</v>
      </c>
      <c r="BQ140" s="789" cm="1">
        <f t="array" ref="BQ140">Y140-BB140</f>
        <v>2.82979190583487</v>
      </c>
      <c r="BR140" s="789" cm="1">
        <f t="array" ref="BR140">(BR$4*(1+BR$4)^BR$3*K139)/((1+BR$4)^BR$3-1)</f>
        <v>2.50431218430462</v>
      </c>
      <c r="BS140" s="789"/>
      <c r="BT140" s="764"/>
      <c r="BU140" s="764"/>
      <c r="BV140" s="764" cm="1">
        <f t="array" ref="BV140">BA140+BC140+BV139</f>
        <v>149123124.099993</v>
      </c>
      <c r="BW140" s="764" cm="1">
        <f t="array" ref="BW140">BG140+BW139</f>
        <v>32447140.900009</v>
      </c>
      <c r="BX140" s="775" cm="1">
        <f t="array" ref="BX140">BF140+BX139</f>
        <v>3459.114</v>
      </c>
      <c r="BY140" s="775" cm="1">
        <f t="array" ref="BY140">BH140+BY139</f>
        <v>736.5753</v>
      </c>
      <c r="BZ140" s="764" cm="1">
        <f t="array" ref="BZ140">SUM(BJ$6:BJ140)</f>
        <v>27343900.0999909</v>
      </c>
      <c r="CA140" s="775"/>
      <c r="CB140" s="775"/>
      <c r="CC140" s="764" cm="1">
        <f t="array" ref="CC140">SUM(BE$6:BE140)</f>
        <v>149123124.099991</v>
      </c>
      <c r="CD140" s="775"/>
      <c r="CE140" s="775"/>
      <c r="CF140" s="775"/>
      <c r="CG140" s="775"/>
      <c r="CH140" s="775"/>
      <c r="CI140" s="775"/>
      <c r="CJ140" s="775"/>
      <c r="CK140" s="775"/>
      <c r="CL140" s="775"/>
      <c r="CM140" s="775"/>
    </row>
    <row r="141" ht="19.35" customHeight="1" hidden="1">
      <c r="A141" s="762">
        <v>135</v>
      </c>
      <c r="B141" s="763">
        <v>49440</v>
      </c>
      <c r="C141" s="764"/>
      <c r="D141" s="765" cm="1">
        <f t="array" ref="D141">ROUND(850000/F141,4)</f>
        <v>15.4514</v>
      </c>
      <c r="E141" s="766" cm="1">
        <f t="array" ref="E141">D141/K140</f>
        <v>0.0338553078559985</v>
      </c>
      <c r="F141" s="767" cm="1">
        <f t="array" ref="F141">F140*(1+G141)</f>
        <v>55011.120374918</v>
      </c>
      <c r="G141" s="766" cm="1">
        <f t="array" ref="G141">H141-SUM(G130:G140)</f>
        <v>0.0102</v>
      </c>
      <c r="H141" s="768" cm="1">
        <f t="array" ref="H141">'depto - Table 5'!$L$2</f>
        <v>0.03</v>
      </c>
      <c r="I141" s="769" cm="1">
        <f t="array" ref="I141">H141+4.95/100</f>
        <v>0.0795</v>
      </c>
      <c r="J141" s="764" cm="1">
        <f t="array" ref="J141">IF(K140=0,0,ROUND(D141*F141,0))</f>
        <v>849999</v>
      </c>
      <c r="K141" s="770" cm="1">
        <f t="array" ref="K141">IF(K140-BF141&lt;0,0,K140-BF141)</f>
        <v>443.7204</v>
      </c>
      <c r="L141" s="771" cm="1">
        <f t="array" ref="L141">K141/K$5</f>
        <v>0.112334278481013</v>
      </c>
      <c r="M141" s="772" cm="1">
        <f t="array" ref="M141">ROUND(K141*F141,0)</f>
        <v>24409556</v>
      </c>
      <c r="N141" s="773" cm="1">
        <f t="array" ref="N141">M141/M$5</f>
        <v>0.166467533957608</v>
      </c>
      <c r="O141" s="772" cm="1">
        <f t="array" ref="O141">M141-M140</f>
        <v>-443752</v>
      </c>
      <c r="P141" s="774" cm="1">
        <f t="array" ref="P141">T141-K141</f>
        <v>4956.2796</v>
      </c>
      <c r="Q141" s="772" cm="1">
        <f t="array" ref="Q141">ROUND(P141*F141,0)</f>
        <v>272650494</v>
      </c>
      <c r="R141" s="775" cm="1">
        <f t="array" ref="R141">$K$5-K141</f>
        <v>3506.2796</v>
      </c>
      <c r="S141" s="772" cm="1">
        <f t="array" ref="S141">Q141-Q140</f>
        <v>3443170</v>
      </c>
      <c r="T141" s="775">
        <v>5400</v>
      </c>
      <c r="U141" s="772" cm="1">
        <f t="array" ref="U141">T141*F141</f>
        <v>297060050.024557</v>
      </c>
      <c r="V141" s="776" cm="1">
        <f t="array" ref="V141">-S141</f>
        <v>-3443170</v>
      </c>
      <c r="W141" s="776"/>
      <c r="X141" s="776" cm="1">
        <f t="array" ref="X141">$K140*4.95/12/100/(1-(1+4.95/12/100)^-(360-$A141+3))+$AY141</f>
        <v>4.14622327211313</v>
      </c>
      <c r="Y141" s="777" cm="1">
        <f t="array" ref="Y141">K140*4.95/12/100/(1-(1+4.95/12/100)^-(360-$A141+3))+AY141</f>
        <v>4.14622327211313</v>
      </c>
      <c r="Z141" s="791" cm="1">
        <f t="array" ref="Z141">IF(Z$3*12&lt;=$A141,0,$K140*'depto - Departamento'!$D$8/12/(1-(1+'depto - Departamento'!$D$8/12)^-(12*Z$3-$A141+3))+$AY142)</f>
        <v>4.82456685896237</v>
      </c>
      <c r="AA141" s="791" cm="1">
        <f t="array" ref="AA141">IF(AA$3*12&lt;=$A141,0,$K140*'depto - Departamento'!$D$8/12/(1-(1+'depto - Departamento'!$D$8/12)^-(12*AA$3-$A141+3))+$AY142)</f>
        <v>6.29879798334731</v>
      </c>
      <c r="AB141" s="765" cm="1">
        <f t="array" ref="AB141">IF(AB$3*12&lt;$A141,0,$K140*'depto - Departamento'!$D$8/12/(1-(1+'depto - Departamento'!$D$8/12)^-(12*AB$3-$A141+3))+$AY141)</f>
        <v>11.5540439949715</v>
      </c>
      <c r="AC141" s="765" cm="1">
        <f t="array" ref="AC141">IF(AC$3*12&lt;$A141,0,$K140*'depto - Departamento'!$D$8/12/(1-(1+'depto - Departamento'!$D$8/12)^-(12*AC$3-$A141+3))+$AY141)</f>
        <v>40.1143060334692</v>
      </c>
      <c r="AD141" s="765" cm="1">
        <f t="array" ref="AD141">IF(AD$3*12&lt;$A141,0,$K140*'depto - Departamento'!$D$8/12/(1-(1+'depto - Departamento'!$D$8/12)^-(12*AD$3-$A141+3))+$AY141)</f>
        <v>0</v>
      </c>
      <c r="AE141" s="765" cm="1">
        <f t="array" ref="AE141">IF(AE$3*12&lt;$A141,0,$K140*'depto - Departamento'!$D$8/12/(1-(1+'depto - Departamento'!$D$8/12)^-(12*AE$3-$A141+3))+$AY141)</f>
        <v>0</v>
      </c>
      <c r="AF141" s="765" cm="1">
        <f t="array" ref="AF141">AF140-(AF139-AF140)</f>
        <v>79.46169999999999</v>
      </c>
      <c r="AG141" s="765"/>
      <c r="AH141" s="765"/>
      <c r="AI141" s="778" cm="1">
        <f t="array" ref="AI141">$F141*Y141</f>
        <v>228088.387523502</v>
      </c>
      <c r="AJ141" s="405" cm="1">
        <f t="array" ref="AJ141">$F141*Z141</f>
        <v>265404.828235219</v>
      </c>
      <c r="AK141" s="405" cm="1">
        <f t="array" ref="AK141">$F141*AA141</f>
        <v>346503.93407921</v>
      </c>
      <c r="AL141" s="764" cm="1">
        <f t="array" ref="AL141">$F141*AB141</f>
        <v>635600.905024476</v>
      </c>
      <c r="AM141" s="764" cm="1">
        <f t="array" ref="AM141">$F141*AC141</f>
        <v>2206732.91796347</v>
      </c>
      <c r="AN141" s="764" cm="1">
        <f t="array" ref="AN141">$F141*AD141</f>
        <v>0</v>
      </c>
      <c r="AO141" s="764"/>
      <c r="AP141" s="764" cm="1">
        <f t="array" ref="AP141">$F141*AF141</f>
        <v>4371277.14389562</v>
      </c>
      <c r="AQ141" s="765"/>
      <c r="AR141" s="779" cm="1">
        <f t="array" ref="AR141">K140-K141</f>
        <v>12.6748</v>
      </c>
      <c r="AS141" s="779" cm="1">
        <f t="array" ref="AS141">D141-AR141</f>
        <v>2.7766</v>
      </c>
      <c r="AT141" s="765"/>
      <c r="AU141" s="780" cm="1">
        <f t="array" ref="AU141">ROUND(AV141*F141,0)</f>
        <v>56893</v>
      </c>
      <c r="AV141" s="781" cm="1">
        <f t="array" ref="AV141">IF(K140=0,0,AV140)</f>
        <v>1.0342</v>
      </c>
      <c r="AW141" s="780" cm="1">
        <f t="array" ref="AW141">ROUND(F141*AX141,0)</f>
        <v>1085</v>
      </c>
      <c r="AX141" s="781" cm="1">
        <f t="array" ref="AX141">AX$11/K$10*K140</f>
        <v>0.0197189324516268</v>
      </c>
      <c r="AY141" s="782" cm="1">
        <f t="array" ref="AY141">SUM(AV141,AX141)</f>
        <v>1.05391893245163</v>
      </c>
      <c r="AZ141" s="780" cm="1">
        <f t="array" ref="AZ141">AU141+AW141</f>
        <v>57978</v>
      </c>
      <c r="BA141" s="783" cm="1">
        <f t="array" ref="BA141">AI141-AZ141-BG141</f>
        <v>75346.5702298329</v>
      </c>
      <c r="BB141" s="784" cm="1">
        <f t="array" ref="BB141">ROUND(BA141/$F141,4)</f>
        <v>1.3697</v>
      </c>
      <c r="BC141" s="783" cm="1">
        <f t="array" ref="BC141">J141-SUM(AZ141,BA141,BG141)</f>
        <v>621910.612476498</v>
      </c>
      <c r="BD141" s="784" cm="1">
        <f t="array" ref="BD141">ROUND(BC141/$F141,4)</f>
        <v>11.3052</v>
      </c>
      <c r="BE141" s="785" cm="1">
        <f t="array" ref="BE141">BC141+BA141</f>
        <v>697257.182706331</v>
      </c>
      <c r="BF141" s="784" cm="1">
        <f t="array" ref="BF141">ROUND((BA141+BC141)/F141,4)</f>
        <v>12.6748</v>
      </c>
      <c r="BG141" s="786" cm="1">
        <f t="array" ref="BG141">BO141*F141</f>
        <v>94763.8172936691</v>
      </c>
      <c r="BH141" s="787" cm="1">
        <f t="array" ref="BH141">ROUND(BG141/$F141,4)</f>
        <v>1.7226</v>
      </c>
      <c r="BI141" s="772" cm="1">
        <f t="array" ref="BI141">M140-M141</f>
        <v>443752</v>
      </c>
      <c r="BJ141" s="772" cm="1">
        <f t="array" ref="BJ141">BE141-BI141</f>
        <v>253505.182706331</v>
      </c>
      <c r="BK141" s="772" cm="1">
        <f t="array" ref="BK141">-BJ141</f>
        <v>-253505.182706331</v>
      </c>
      <c r="BL141" s="772" cm="1">
        <f t="array" ref="BL141">BG141+BJ141</f>
        <v>348269</v>
      </c>
      <c r="BM141" s="772" cm="1">
        <f t="array" ref="BM141">AVERAGE(BL139:BL141)</f>
        <v>219653.333333333</v>
      </c>
      <c r="BN141" s="788" cm="1">
        <f t="array" ref="BN141">BH140-BH141</f>
        <v>0.0527</v>
      </c>
      <c r="BO141" s="775" cm="1">
        <f t="array" ref="BO141">K140*0.0495/12-0.16</f>
        <v>1.7226302</v>
      </c>
      <c r="BP141" s="789" cm="1">
        <f t="array" ref="BP141">(BA141+BC141)/BG141</f>
        <v>7.35784187065365</v>
      </c>
      <c r="BQ141" s="789" cm="1">
        <f t="array" ref="BQ141">Y141-BB141</f>
        <v>2.77652327211313</v>
      </c>
      <c r="BR141" s="789" cm="1">
        <f t="array" ref="BR141">(BR$4*(1+BR$4)^BR$3*K140)/((1+BR$4)^BR$3-1)</f>
        <v>2.43610064875266</v>
      </c>
      <c r="BS141" s="789"/>
      <c r="BT141" s="764"/>
      <c r="BU141" s="764"/>
      <c r="BV141" s="764" cm="1">
        <f t="array" ref="BV141">BA141+BC141+BV140</f>
        <v>149820381.282699</v>
      </c>
      <c r="BW141" s="764" cm="1">
        <f t="array" ref="BW141">BG141+BW140</f>
        <v>32541904.7173027</v>
      </c>
      <c r="BX141" s="775" cm="1">
        <f t="array" ref="BX141">BF141+BX140</f>
        <v>3471.7888</v>
      </c>
      <c r="BY141" s="775" cm="1">
        <f t="array" ref="BY141">BH141+BY140</f>
        <v>738.2979</v>
      </c>
      <c r="BZ141" s="764" cm="1">
        <f t="array" ref="BZ141">SUM(BJ$6:BJ141)</f>
        <v>27597405.2826972</v>
      </c>
      <c r="CA141" s="775"/>
      <c r="CB141" s="775"/>
      <c r="CC141" s="764" cm="1">
        <f t="array" ref="CC141">SUM(BE$6:BE141)</f>
        <v>149820381.282697</v>
      </c>
      <c r="CD141" s="775"/>
      <c r="CE141" s="775"/>
      <c r="CF141" s="775"/>
      <c r="CG141" s="775"/>
      <c r="CH141" s="775"/>
      <c r="CI141" s="775"/>
      <c r="CJ141" s="775"/>
      <c r="CK141" s="775"/>
      <c r="CL141" s="775"/>
      <c r="CM141" s="775"/>
    </row>
    <row r="142" ht="19.35" customHeight="1" hidden="1">
      <c r="A142" s="762">
        <v>136</v>
      </c>
      <c r="B142" s="763">
        <v>49471</v>
      </c>
      <c r="C142" s="764"/>
      <c r="D142" s="765" cm="1">
        <f t="array" ref="D142">ROUND(850000/F142,4)</f>
        <v>15.2531</v>
      </c>
      <c r="E142" s="766" cm="1">
        <f t="array" ref="E142">D142/K141</f>
        <v>0.0343754760880951</v>
      </c>
      <c r="F142" s="767" cm="1">
        <f t="array" ref="F142">F141*(1+G142)</f>
        <v>55726.2649397919</v>
      </c>
      <c r="G142" s="766" cm="1">
        <f t="array" ref="G142">H142-SUM(G131:G141)</f>
        <v>0.013</v>
      </c>
      <c r="H142" s="768" cm="1">
        <f t="array" ref="H142">'depto - Table 5'!$L$2</f>
        <v>0.03</v>
      </c>
      <c r="I142" s="769" cm="1">
        <f t="array" ref="I142">H142+4.95/100</f>
        <v>0.0795</v>
      </c>
      <c r="J142" s="764" cm="1">
        <f t="array" ref="J142">IF(K141=0,0,ROUND(D142*F142,0))</f>
        <v>849998</v>
      </c>
      <c r="K142" s="770" cm="1">
        <f t="array" ref="K142">IF(K141-BF142&lt;0,0,K141-BF142)</f>
        <v>431.191</v>
      </c>
      <c r="L142" s="771" cm="1">
        <f t="array" ref="L142">K142/K$5</f>
        <v>0.109162278481013</v>
      </c>
      <c r="M142" s="772" cm="1">
        <f t="array" ref="M142">ROUND(K142*F142,0)</f>
        <v>24028664</v>
      </c>
      <c r="N142" s="773" cm="1">
        <f t="array" ref="N142">M142/M$5</f>
        <v>0.163869938493594</v>
      </c>
      <c r="O142" s="772" cm="1">
        <f t="array" ref="O142">M142-M141</f>
        <v>-380892</v>
      </c>
      <c r="P142" s="774" cm="1">
        <f t="array" ref="P142">T142-K142</f>
        <v>4968.809</v>
      </c>
      <c r="Q142" s="772" cm="1">
        <f t="array" ref="Q142">ROUND(P142*F142,0)</f>
        <v>276893167</v>
      </c>
      <c r="R142" s="775" cm="1">
        <f t="array" ref="R142">$K$5-K142</f>
        <v>3518.809</v>
      </c>
      <c r="S142" s="772" cm="1">
        <f t="array" ref="S142">Q142-Q141</f>
        <v>4242673</v>
      </c>
      <c r="T142" s="775">
        <v>5400</v>
      </c>
      <c r="U142" s="772" cm="1">
        <f t="array" ref="U142">T142*F142</f>
        <v>300921830.674876</v>
      </c>
      <c r="V142" s="776" cm="1">
        <f t="array" ref="V142">-S142</f>
        <v>-4242673</v>
      </c>
      <c r="W142" s="776"/>
      <c r="X142" s="776" cm="1">
        <f t="array" ref="X142">$K141*4.95/12/100/(1-(1+4.95/12/100)^-(360-$A142+3))+$AY142</f>
        <v>4.06778727733458</v>
      </c>
      <c r="Y142" s="777" cm="1">
        <f t="array" ref="Y142">K141*4.95/12/100/(1-(1+4.95/12/100)^-(360-$A142+3))+AY142</f>
        <v>4.06778727733458</v>
      </c>
      <c r="Z142" s="791" cm="1">
        <f t="array" ref="Z142">IF(Z$3*12&lt;=$A142,0,$K141*'depto - Departamento'!$D$8/12/(1-(1+'depto - Departamento'!$D$8/12)^-(12*Z$3-$A142+3))+$AY143)</f>
        <v>4.73452847220122</v>
      </c>
      <c r="AA142" s="791" cm="1">
        <f t="array" ref="AA142">IF(AA$3*12&lt;=$A142,0,$K141*'depto - Departamento'!$D$8/12/(1-(1+'depto - Departamento'!$D$8/12)^-(12*AA$3-$A142+3))+$AY143)</f>
        <v>6.1904377926059</v>
      </c>
      <c r="AB142" s="765" cm="1">
        <f t="array" ref="AB142">IF(AB$3*12&lt;$A142,0,$K141*'depto - Departamento'!$D$8/12/(1-(1+'depto - Departamento'!$D$8/12)^-(12*AB$3-$A142+3))+$AY142)</f>
        <v>11.4583549393615</v>
      </c>
      <c r="AC142" s="765" cm="1">
        <f t="array" ref="AC142">IF(AC$3*12&lt;$A142,0,$K141*'depto - Departamento'!$D$8/12/(1-(1+'depto - Departamento'!$D$8/12)^-(12*AC$3-$A142+3))+$AY142)</f>
        <v>42.3968098352012</v>
      </c>
      <c r="AD142" s="765" cm="1">
        <f t="array" ref="AD142">IF(AD$3*12&lt;$A142,0,$K141*'depto - Departamento'!$D$8/12/(1-(1+'depto - Departamento'!$D$8/12)^-(12*AD$3-$A142+3))+$AY142)</f>
        <v>0</v>
      </c>
      <c r="AE142" s="765" cm="1">
        <f t="array" ref="AE142">IF(AE$3*12&lt;$A142,0,$K141*'depto - Departamento'!$D$8/12/(1-(1+'depto - Departamento'!$D$8/12)^-(12*AE$3-$A142+3))+$AY142)</f>
        <v>0</v>
      </c>
      <c r="AF142" s="765" cm="1">
        <f t="array" ref="AF142">AF141-(AF140-AF141)</f>
        <v>79.4589</v>
      </c>
      <c r="AG142" s="765"/>
      <c r="AH142" s="765"/>
      <c r="AI142" s="778" cm="1">
        <f t="array" ref="AI142">$F142*Y142</f>
        <v>226682.591535462</v>
      </c>
      <c r="AJ142" s="405" cm="1">
        <f t="array" ref="AJ142">$F142*Z142</f>
        <v>263837.588006873</v>
      </c>
      <c r="AK142" s="405" cm="1">
        <f t="array" ref="AK142">$F142*AA142</f>
        <v>344969.976524057</v>
      </c>
      <c r="AL142" s="764" cm="1">
        <f t="array" ref="AL142">$F142*AB142</f>
        <v>638531.323125032</v>
      </c>
      <c r="AM142" s="764" cm="1">
        <f t="array" ref="AM142">$F142*AC142</f>
        <v>2362615.8574784</v>
      </c>
      <c r="AN142" s="764" cm="1">
        <f t="array" ref="AN142">$F142*AD142</f>
        <v>0</v>
      </c>
      <c r="AO142" s="764"/>
      <c r="AP142" s="764" cm="1">
        <f t="array" ref="AP142">$F142*AF142</f>
        <v>4427947.71322443</v>
      </c>
      <c r="AQ142" s="765"/>
      <c r="AR142" s="779" cm="1">
        <f t="array" ref="AR142">K141-K142</f>
        <v>12.5294</v>
      </c>
      <c r="AS142" s="779" cm="1">
        <f t="array" ref="AS142">D142-AR142</f>
        <v>2.7237</v>
      </c>
      <c r="AT142" s="765"/>
      <c r="AU142" s="780" cm="1">
        <f t="array" ref="AU142">ROUND(AV142*F142,0)</f>
        <v>57632</v>
      </c>
      <c r="AV142" s="781" cm="1">
        <f t="array" ref="AV142">IF(K141=0,0,AV141)</f>
        <v>1.0342</v>
      </c>
      <c r="AW142" s="780" cm="1">
        <f t="array" ref="AW142">ROUND(F142*AX142,0)</f>
        <v>1068</v>
      </c>
      <c r="AX142" s="781" cm="1">
        <f t="array" ref="AX142">AX$11/K$10*K141</f>
        <v>0.0191713072245475</v>
      </c>
      <c r="AY142" s="782" cm="1">
        <f t="array" ref="AY142">SUM(AV142,AX142)</f>
        <v>1.05337130722455</v>
      </c>
      <c r="AZ142" s="780" cm="1">
        <f t="array" ref="AZ142">AU142+AW142</f>
        <v>58700</v>
      </c>
      <c r="BA142" s="783" cm="1">
        <f t="array" ref="BA142">AI142-AZ142-BG142</f>
        <v>74900.4115762681</v>
      </c>
      <c r="BB142" s="784" cm="1">
        <f t="array" ref="BB142">ROUND(BA142/$F142,4)</f>
        <v>1.3441</v>
      </c>
      <c r="BC142" s="783" cm="1">
        <f t="array" ref="BC142">J142-SUM(AZ142,BA142,BG142)</f>
        <v>623315.408464538</v>
      </c>
      <c r="BD142" s="784" cm="1">
        <f t="array" ref="BD142">ROUND(BC142/$F142,4)</f>
        <v>11.1853</v>
      </c>
      <c r="BE142" s="785" cm="1">
        <f t="array" ref="BE142">BC142+BA142</f>
        <v>698215.820040806</v>
      </c>
      <c r="BF142" s="784" cm="1">
        <f t="array" ref="BF142">ROUND((BA142+BC142)/F142,4)</f>
        <v>12.5294</v>
      </c>
      <c r="BG142" s="786" cm="1">
        <f t="array" ref="BG142">BO142*F142</f>
        <v>93082.179959193905</v>
      </c>
      <c r="BH142" s="787" cm="1">
        <f t="array" ref="BH142">ROUND(BG142/$F142,4)</f>
        <v>1.6703</v>
      </c>
      <c r="BI142" s="772" cm="1">
        <f t="array" ref="BI142">M141-M142</f>
        <v>380892</v>
      </c>
      <c r="BJ142" s="772" cm="1">
        <f t="array" ref="BJ142">BE142-BI142</f>
        <v>317323.820040806</v>
      </c>
      <c r="BK142" s="772" cm="1">
        <f t="array" ref="BK142">-BJ142</f>
        <v>-317323.820040806</v>
      </c>
      <c r="BL142" s="772" cm="1">
        <f t="array" ref="BL142">BG142+BJ142</f>
        <v>410406</v>
      </c>
      <c r="BM142" s="772" cm="1">
        <f t="array" ref="BM142">AVERAGE(BL140:BL142)</f>
        <v>291074.666666667</v>
      </c>
      <c r="BN142" s="788" cm="1">
        <f t="array" ref="BN142">BH141-BH142</f>
        <v>0.0523</v>
      </c>
      <c r="BO142" s="775" cm="1">
        <f t="array" ref="BO142">K141*0.0495/12-0.16</f>
        <v>1.67034665</v>
      </c>
      <c r="BP142" s="789" cm="1">
        <f t="array" ref="BP142">(BA142+BC142)/BG142</f>
        <v>7.50106862932191</v>
      </c>
      <c r="BQ142" s="789" cm="1">
        <f t="array" ref="BQ142">Y142-BB142</f>
        <v>2.72368727733458</v>
      </c>
      <c r="BR142" s="789" cm="1">
        <f t="array" ref="BR142">(BR$4*(1+BR$4)^BR$3*K141)/((1+BR$4)^BR$3-1)</f>
        <v>2.36844636907836</v>
      </c>
      <c r="BS142" s="789"/>
      <c r="BT142" s="764"/>
      <c r="BU142" s="764"/>
      <c r="BV142" s="764" cm="1">
        <f t="array" ref="BV142">BA142+BC142+BV141</f>
        <v>150518597.10274</v>
      </c>
      <c r="BW142" s="764" cm="1">
        <f t="array" ref="BW142">BG142+BW141</f>
        <v>32634986.8972619</v>
      </c>
      <c r="BX142" s="775" cm="1">
        <f t="array" ref="BX142">BF142+BX141</f>
        <v>3484.3182</v>
      </c>
      <c r="BY142" s="775" cm="1">
        <f t="array" ref="BY142">BH142+BY141</f>
        <v>739.9682</v>
      </c>
      <c r="BZ142" s="764" cm="1">
        <f t="array" ref="BZ142">SUM(BJ$6:BJ142)</f>
        <v>27914729.102738</v>
      </c>
      <c r="CA142" s="775"/>
      <c r="CB142" s="775"/>
      <c r="CC142" s="764" cm="1">
        <f t="array" ref="CC142">SUM(BE$6:BE142)</f>
        <v>150518597.102738</v>
      </c>
      <c r="CD142" s="775"/>
      <c r="CE142" s="775"/>
      <c r="CF142" s="775"/>
      <c r="CG142" s="775"/>
      <c r="CH142" s="775"/>
      <c r="CI142" s="775"/>
      <c r="CJ142" s="775"/>
      <c r="CK142" s="775"/>
      <c r="CL142" s="775"/>
      <c r="CM142" s="775"/>
    </row>
    <row r="143" ht="19.35" customHeight="1" hidden="1">
      <c r="A143" s="762">
        <v>137</v>
      </c>
      <c r="B143" s="763">
        <v>49501</v>
      </c>
      <c r="C143" s="764"/>
      <c r="D143" s="765" cm="1">
        <f t="array" ref="D143">ROUND(850000/F143,4)</f>
        <v>15.0916</v>
      </c>
      <c r="E143" s="766" cm="1">
        <f t="array" ref="E143">D143/K142</f>
        <v>0.0349998028715813</v>
      </c>
      <c r="F143" s="767" cm="1">
        <f t="array" ref="F143">F142*(1+G143)</f>
        <v>56322.5359746477</v>
      </c>
      <c r="G143" s="766" cm="1">
        <f t="array" ref="G143">H143-SUM(G132:G142)</f>
        <v>0.0107</v>
      </c>
      <c r="H143" s="768" cm="1">
        <f t="array" ref="H143">'depto - Table 5'!$L$2</f>
        <v>0.03</v>
      </c>
      <c r="I143" s="769" cm="1">
        <f t="array" ref="I143">H143+4.95/100</f>
        <v>0.0795</v>
      </c>
      <c r="J143" s="764" cm="1">
        <f t="array" ref="J143">IF(K142=0,0,ROUND(D143*F143,0))</f>
        <v>849997</v>
      </c>
      <c r="K143" s="770" cm="1">
        <f t="array" ref="K143">IF(K142-BF143&lt;0,0,K142-BF143)</f>
        <v>418.7709</v>
      </c>
      <c r="L143" s="771" cm="1">
        <f t="array" ref="L143">K143/K$5</f>
        <v>0.106017949367089</v>
      </c>
      <c r="M143" s="772" cm="1">
        <f t="array" ref="M143">ROUND(K143*F143,0)</f>
        <v>23586239</v>
      </c>
      <c r="N143" s="773" cm="1">
        <f t="array" ref="N143">M143/M$5</f>
        <v>0.160852702182078</v>
      </c>
      <c r="O143" s="772" cm="1">
        <f t="array" ref="O143">M143-M142</f>
        <v>-442425</v>
      </c>
      <c r="P143" s="774" cm="1">
        <f t="array" ref="P143">T143-K143</f>
        <v>4981.2291</v>
      </c>
      <c r="Q143" s="772" cm="1">
        <f t="array" ref="Q143">ROUND(P143*F143,0)</f>
        <v>280555455</v>
      </c>
      <c r="R143" s="775" cm="1">
        <f t="array" ref="R143">$K$5-K143</f>
        <v>3531.2291</v>
      </c>
      <c r="S143" s="772" cm="1">
        <f t="array" ref="S143">Q143-Q142</f>
        <v>3662288</v>
      </c>
      <c r="T143" s="775">
        <v>5400</v>
      </c>
      <c r="U143" s="772" cm="1">
        <f t="array" ref="U143">T143*F143</f>
        <v>304141694.263098</v>
      </c>
      <c r="V143" s="776" cm="1">
        <f t="array" ref="V143">-S143</f>
        <v>-3662288</v>
      </c>
      <c r="W143" s="776"/>
      <c r="X143" s="776" cm="1">
        <f t="array" ref="X143">$K142*4.95/12/100/(1-(1+4.95/12/100)^-(360-$A143+3))+$AY143</f>
        <v>3.98996516965878</v>
      </c>
      <c r="Y143" s="777" cm="1">
        <f t="array" ref="Y143">K142*4.95/12/100/(1-(1+4.95/12/100)^-(360-$A143+3))+AY143</f>
        <v>3.98996516965878</v>
      </c>
      <c r="Z143" s="791" cm="1">
        <f t="array" ref="Z143">IF(Z$3*12&lt;=$A143,0,$K142*'depto - Departamento'!$D$8/12/(1-(1+'depto - Departamento'!$D$8/12)^-(12*Z$3-$A143+3))+$AY144)</f>
        <v>4.64502125245202</v>
      </c>
      <c r="AA143" s="791" cm="1">
        <f t="array" ref="AA143">IF(AA$3*12&lt;=$A143,0,$K142*'depto - Departamento'!$D$8/12/(1-(1+'depto - Departamento'!$D$8/12)^-(12*AA$3-$A143+3))+$AY144)</f>
        <v>6.0823209740654</v>
      </c>
      <c r="AB143" s="765" cm="1">
        <f t="array" ref="AB143">IF(AB$3*12&lt;$A143,0,$K142*'depto - Departamento'!$D$8/12/(1-(1+'depto - Departamento'!$D$8/12)^-(12*AB$3-$A143+3))+$AY143)</f>
        <v>11.3632493192608</v>
      </c>
      <c r="AC143" s="765" cm="1">
        <f t="array" ref="AC143">IF(AC$3*12&lt;$A143,0,$K142*'depto - Departamento'!$D$8/12/(1-(1+'depto - Departamento'!$D$8/12)^-(12*AC$3-$A143+3))+$AY143)</f>
        <v>45.1562349350589</v>
      </c>
      <c r="AD143" s="765" cm="1">
        <f t="array" ref="AD143">IF(AD$3*12&lt;$A143,0,$K142*'depto - Departamento'!$D$8/12/(1-(1+'depto - Departamento'!$D$8/12)^-(12*AD$3-$A143+3))+$AY143)</f>
        <v>0</v>
      </c>
      <c r="AE143" s="765" cm="1">
        <f t="array" ref="AE143">IF(AE$3*12&lt;$A143,0,$K142*'depto - Departamento'!$D$8/12/(1-(1+'depto - Departamento'!$D$8/12)^-(12*AE$3-$A143+3))+$AY143)</f>
        <v>0</v>
      </c>
      <c r="AF143" s="765" cm="1">
        <f t="array" ref="AF143">AF142-(AF141-AF142)</f>
        <v>79.45610000000001</v>
      </c>
      <c r="AG143" s="765"/>
      <c r="AH143" s="765"/>
      <c r="AI143" s="778" cm="1">
        <f t="array" ref="AI143">$F143*Y143</f>
        <v>224724.956805698</v>
      </c>
      <c r="AJ143" s="405" cm="1">
        <f t="array" ref="AJ143">$F143*Z143</f>
        <v>261619.376594232</v>
      </c>
      <c r="AK143" s="405" cm="1">
        <f t="array" ref="AK143">$F143*AA143</f>
        <v>342571.741871153</v>
      </c>
      <c r="AL143" s="764" cm="1">
        <f t="array" ref="AL143">$F143*AB143</f>
        <v>640007.018572957</v>
      </c>
      <c r="AM143" s="764" cm="1">
        <f t="array" ref="AM143">$F143*AC143</f>
        <v>2543313.6666095</v>
      </c>
      <c r="AN143" s="764" cm="1">
        <f t="array" ref="AN143">$F143*AD143</f>
        <v>0</v>
      </c>
      <c r="AO143" s="764"/>
      <c r="AP143" s="764" cm="1">
        <f t="array" ref="AP143">$F143*AF143</f>
        <v>4475169.05065521</v>
      </c>
      <c r="AQ143" s="765"/>
      <c r="AR143" s="779" cm="1">
        <f t="array" ref="AR143">K142-K143</f>
        <v>12.4201</v>
      </c>
      <c r="AS143" s="779" cm="1">
        <f t="array" ref="AS143">D143-AR143</f>
        <v>2.6715</v>
      </c>
      <c r="AT143" s="765"/>
      <c r="AU143" s="780" cm="1">
        <f t="array" ref="AU143">ROUND(AV143*F143,0)</f>
        <v>58249</v>
      </c>
      <c r="AV143" s="781" cm="1">
        <f t="array" ref="AV143">IF(K142=0,0,AV142)</f>
        <v>1.0342</v>
      </c>
      <c r="AW143" s="780" cm="1">
        <f t="array" ref="AW143">ROUND(F143*AX143,0)</f>
        <v>1049</v>
      </c>
      <c r="AX143" s="781" cm="1">
        <f t="array" ref="AX143">AX$11/K$10*K142</f>
        <v>0.0186299641248405</v>
      </c>
      <c r="AY143" s="782" cm="1">
        <f t="array" ref="AY143">SUM(AV143,AX143)</f>
        <v>1.05282996412484</v>
      </c>
      <c r="AZ143" s="780" cm="1">
        <f t="array" ref="AZ143">AU143+AW143</f>
        <v>59298</v>
      </c>
      <c r="BA143" s="783" cm="1">
        <f t="array" ref="BA143">AI143-AZ143-BG143</f>
        <v>74259.7587976838</v>
      </c>
      <c r="BB143" s="784" cm="1">
        <f t="array" ref="BB143">ROUND(BA143/$F143,4)</f>
        <v>1.3185</v>
      </c>
      <c r="BC143" s="783" cm="1">
        <f t="array" ref="BC143">J143-SUM(AZ143,BA143,BG143)</f>
        <v>625272.043194302</v>
      </c>
      <c r="BD143" s="784" cm="1">
        <f t="array" ref="BD143">ROUND(BC143/$F143,4)</f>
        <v>11.1016</v>
      </c>
      <c r="BE143" s="785" cm="1">
        <f t="array" ref="BE143">BC143+BA143</f>
        <v>699531.801991986</v>
      </c>
      <c r="BF143" s="784" cm="1">
        <f t="array" ref="BF143">ROUND((BA143+BC143)/F143,4)</f>
        <v>12.4201</v>
      </c>
      <c r="BG143" s="786" cm="1">
        <f t="array" ref="BG143">BO143*F143</f>
        <v>91167.198008014195</v>
      </c>
      <c r="BH143" s="787" cm="1">
        <f t="array" ref="BH143">ROUND(BG143/$F143,4)</f>
        <v>1.6187</v>
      </c>
      <c r="BI143" s="772" cm="1">
        <f t="array" ref="BI143">M142-M143</f>
        <v>442425</v>
      </c>
      <c r="BJ143" s="772" cm="1">
        <f t="array" ref="BJ143">BE143-BI143</f>
        <v>257106.801991986</v>
      </c>
      <c r="BK143" s="772" cm="1">
        <f t="array" ref="BK143">-BJ143</f>
        <v>-257106.801991986</v>
      </c>
      <c r="BL143" s="772" cm="1">
        <f t="array" ref="BL143">BG143+BJ143</f>
        <v>348274</v>
      </c>
      <c r="BM143" s="772" cm="1">
        <f t="array" ref="BM143">AVERAGE(BL141:BL143)</f>
        <v>368983</v>
      </c>
      <c r="BN143" s="788" cm="1">
        <f t="array" ref="BN143">BH142-BH143</f>
        <v>0.0516</v>
      </c>
      <c r="BO143" s="775" cm="1">
        <f t="array" ref="BO143">K142*0.0495/12-0.16</f>
        <v>1.618662875</v>
      </c>
      <c r="BP143" s="789" cm="1">
        <f t="array" ref="BP143">(BA143+BC143)/BG143</f>
        <v>7.67306462495965</v>
      </c>
      <c r="BQ143" s="789" cm="1">
        <f t="array" ref="BQ143">Y143-BB143</f>
        <v>2.67146516965878</v>
      </c>
      <c r="BR143" s="789" cm="1">
        <f t="array" ref="BR143">(BR$4*(1+BR$4)^BR$3*K142)/((1+BR$4)^BR$3-1)</f>
        <v>2.30156819098078</v>
      </c>
      <c r="BS143" s="789"/>
      <c r="BT143" s="764"/>
      <c r="BU143" s="764"/>
      <c r="BV143" s="764" cm="1">
        <f t="array" ref="BV143">BA143+BC143+BV142</f>
        <v>151218128.904732</v>
      </c>
      <c r="BW143" s="764" cm="1">
        <f t="array" ref="BW143">BG143+BW142</f>
        <v>32726154.0952699</v>
      </c>
      <c r="BX143" s="775" cm="1">
        <f t="array" ref="BX143">BF143+BX142</f>
        <v>3496.7383</v>
      </c>
      <c r="BY143" s="775" cm="1">
        <f t="array" ref="BY143">BH143+BY142</f>
        <v>741.5869</v>
      </c>
      <c r="BZ143" s="764" cm="1">
        <f t="array" ref="BZ143">SUM(BJ$6:BJ143)</f>
        <v>28171835.90473</v>
      </c>
      <c r="CA143" s="775"/>
      <c r="CB143" s="775"/>
      <c r="CC143" s="764" cm="1">
        <f t="array" ref="CC143">SUM(BE$6:BE143)</f>
        <v>151218128.90473</v>
      </c>
      <c r="CD143" s="775"/>
      <c r="CE143" s="775"/>
      <c r="CF143" s="775"/>
      <c r="CG143" s="775"/>
      <c r="CH143" s="775"/>
      <c r="CI143" s="775"/>
      <c r="CJ143" s="775"/>
      <c r="CK143" s="775"/>
      <c r="CL143" s="775"/>
      <c r="CM143" s="775"/>
    </row>
    <row r="144" ht="19.35" customHeight="1" hidden="1">
      <c r="A144" s="762">
        <v>138</v>
      </c>
      <c r="B144" s="763">
        <v>49532</v>
      </c>
      <c r="C144" s="764"/>
      <c r="D144" s="765" cm="1">
        <f t="array" ref="D144">ROUND(850000/F144,4)</f>
        <v>15.0916</v>
      </c>
      <c r="E144" s="766" cm="1">
        <f t="array" ref="E144">D144/K143</f>
        <v>0.036037843126158</v>
      </c>
      <c r="F144" s="767" cm="1">
        <f t="array" ref="F144">F143*(1+G144)</f>
        <v>56322.5359746477</v>
      </c>
      <c r="G144" s="766" cm="1">
        <f t="array" ref="G144">H144-SUM(G133:G143)</f>
        <v>0</v>
      </c>
      <c r="H144" s="768" cm="1">
        <f t="array" ref="H144">'depto - Table 5'!$L$2</f>
        <v>0.03</v>
      </c>
      <c r="I144" s="769" cm="1">
        <f t="array" ref="I144">H144+4.95/100</f>
        <v>0.0795</v>
      </c>
      <c r="J144" s="764" cm="1">
        <f t="array" ref="J144">IF(K143=0,0,ROUND(D144*F144,0))</f>
        <v>849997</v>
      </c>
      <c r="K144" s="770" cm="1">
        <f t="array" ref="K144">IF(K143-BF144&lt;0,0,K143-BF144)</f>
        <v>406.299</v>
      </c>
      <c r="L144" s="771" cm="1">
        <f t="array" ref="L144">K144/K$5</f>
        <v>0.102860506329114</v>
      </c>
      <c r="M144" s="772" cm="1">
        <f t="array" ref="M144">ROUND(K144*F144,0)</f>
        <v>22883790</v>
      </c>
      <c r="N144" s="773" cm="1">
        <f t="array" ref="N144">M144/M$5</f>
        <v>0.156062162249234</v>
      </c>
      <c r="O144" s="772" cm="1">
        <f t="array" ref="O144">M144-M143</f>
        <v>-702449</v>
      </c>
      <c r="P144" s="774" cm="1">
        <f t="array" ref="P144">T144-K144</f>
        <v>4993.701</v>
      </c>
      <c r="Q144" s="772" cm="1">
        <f t="array" ref="Q144">ROUND(P144*F144,0)</f>
        <v>281257904</v>
      </c>
      <c r="R144" s="775" cm="1">
        <f t="array" ref="R144">$K$5-K144</f>
        <v>3543.701</v>
      </c>
      <c r="S144" s="772" cm="1">
        <f t="array" ref="S144">Q144-Q143</f>
        <v>702449</v>
      </c>
      <c r="T144" s="775">
        <v>5400</v>
      </c>
      <c r="U144" s="772" cm="1">
        <f t="array" ref="U144">T144*F144</f>
        <v>304141694.263098</v>
      </c>
      <c r="V144" s="776" cm="1">
        <f t="array" ref="V144">-S144</f>
        <v>-702449</v>
      </c>
      <c r="W144" s="776"/>
      <c r="X144" s="776" cm="1">
        <f t="array" ref="X144">$K143*4.95/12/100/(1-(1+4.95/12/100)^-(360-$A144+3))+$AY144</f>
        <v>3.9125112904434</v>
      </c>
      <c r="Y144" s="777" cm="1">
        <f t="array" ref="Y144">K143*4.95/12/100/(1-(1+4.95/12/100)^-(360-$A144+3))+AY144</f>
        <v>3.9125112904434</v>
      </c>
      <c r="Z144" s="791" cm="1">
        <f t="array" ref="Z144">IF(Z$3*12&lt;=$A144,0,$K143*'depto - Departamento'!$D$8/12/(1-(1+'depto - Departamento'!$D$8/12)^-(12*Z$3-$A144+3))+$AY145)</f>
        <v>4.5557384609715</v>
      </c>
      <c r="AA144" s="791" cm="1">
        <f t="array" ref="AA144">IF(AA$3*12&lt;=$A144,0,$K143*'depto - Departamento'!$D$8/12/(1-(1+'depto - Departamento'!$D$8/12)^-(12*AA$3-$A144+3))+$AY145)</f>
        <v>5.97401226222133</v>
      </c>
      <c r="AB144" s="765" cm="1">
        <f t="array" ref="AB144">IF(AB$3*12&lt;$A144,0,$K143*'depto - Departamento'!$D$8/12/(1-(1+'depto - Departamento'!$D$8/12)^-(12*AB$3-$A144+3))+$AY144)</f>
        <v>11.2678598048824</v>
      </c>
      <c r="AC144" s="765" cm="1">
        <f t="array" ref="AC144">IF(AC$3*12&lt;$A144,0,$K143*'depto - Departamento'!$D$8/12/(1-(1+'depto - Departamento'!$D$8/12)^-(12*AC$3-$A144+3))+$AY144)</f>
        <v>48.5473439355949</v>
      </c>
      <c r="AD144" s="765" cm="1">
        <f t="array" ref="AD144">IF(AD$3*12&lt;$A144,0,$K143*'depto - Departamento'!$D$8/12/(1-(1+'depto - Departamento'!$D$8/12)^-(12*AD$3-$A144+3))+$AY144)</f>
        <v>0</v>
      </c>
      <c r="AE144" s="765" cm="1">
        <f t="array" ref="AE144">IF(AE$3*12&lt;$A144,0,$K143*'depto - Departamento'!$D$8/12/(1-(1+'depto - Departamento'!$D$8/12)^-(12*AE$3-$A144+3))+$AY144)</f>
        <v>0</v>
      </c>
      <c r="AF144" s="765" cm="1">
        <f t="array" ref="AF144">AF143-(AF142-AF143)</f>
        <v>79.4533</v>
      </c>
      <c r="AG144" s="765"/>
      <c r="AH144" s="765"/>
      <c r="AI144" s="778" cm="1">
        <f t="array" ref="AI144">$F144*Y144</f>
        <v>220362.557907214</v>
      </c>
      <c r="AJ144" s="405" cm="1">
        <f t="array" ref="AJ144">$F144*Z144</f>
        <v>256590.743359153</v>
      </c>
      <c r="AK144" s="405" cm="1">
        <f t="array" ref="AK144">$F144*AA144</f>
        <v>336471.520551947</v>
      </c>
      <c r="AL144" s="764" cm="1">
        <f t="array" ref="AL144">$F144*AB144</f>
        <v>634634.4392177759</v>
      </c>
      <c r="AM144" s="764" cm="1">
        <f t="array" ref="AM144">$F144*AC144</f>
        <v>2734309.52528614</v>
      </c>
      <c r="AN144" s="764" cm="1">
        <f t="array" ref="AN144">$F144*AD144</f>
        <v>0</v>
      </c>
      <c r="AO144" s="764"/>
      <c r="AP144" s="764" cm="1">
        <f t="array" ref="AP144">$F144*AF144</f>
        <v>4475011.34755448</v>
      </c>
      <c r="AQ144" s="765"/>
      <c r="AR144" s="779" cm="1">
        <f t="array" ref="AR144">K143-K144</f>
        <v>12.4719</v>
      </c>
      <c r="AS144" s="779" cm="1">
        <f t="array" ref="AS144">D144-AR144</f>
        <v>2.6197</v>
      </c>
      <c r="AT144" s="765"/>
      <c r="AU144" s="780" cm="1">
        <f t="array" ref="AU144">ROUND(AV144*F144,0)</f>
        <v>58249</v>
      </c>
      <c r="AV144" s="781" cm="1">
        <f t="array" ref="AV144">IF(K143=0,0,AV143)</f>
        <v>1.0342</v>
      </c>
      <c r="AW144" s="780" cm="1">
        <f t="array" ref="AW144">ROUND(F144*AX144,0)</f>
        <v>1019</v>
      </c>
      <c r="AX144" s="781" cm="1">
        <f t="array" ref="AX144">AX$11/K$10*K143</f>
        <v>0.0180933434221196</v>
      </c>
      <c r="AY144" s="782" cm="1">
        <f t="array" ref="AY144">SUM(AV144,AX144)</f>
        <v>1.05229334342212</v>
      </c>
      <c r="AZ144" s="780" cm="1">
        <f t="array" ref="AZ144">AU144+AW144</f>
        <v>59268</v>
      </c>
      <c r="BA144" s="783" cm="1">
        <f t="array" ref="BA144">AI144-AZ144-BG144</f>
        <v>72812.927456567093</v>
      </c>
      <c r="BB144" s="784" cm="1">
        <f t="array" ref="BB144">ROUND(BA144/$F144,4)</f>
        <v>1.2928</v>
      </c>
      <c r="BC144" s="783" cm="1">
        <f t="array" ref="BC144">J144-SUM(AZ144,BA144,BG144)</f>
        <v>629634.442092786</v>
      </c>
      <c r="BD144" s="784" cm="1">
        <f t="array" ref="BD144">ROUND(BC144/$F144,4)</f>
        <v>11.1791</v>
      </c>
      <c r="BE144" s="785" cm="1">
        <f t="array" ref="BE144">BC144+BA144</f>
        <v>702447.369549353</v>
      </c>
      <c r="BF144" s="784" cm="1">
        <f t="array" ref="BF144">ROUND((BA144+BC144)/F144,4)</f>
        <v>12.4719</v>
      </c>
      <c r="BG144" s="786" cm="1">
        <f t="array" ref="BG144">BO144*F144</f>
        <v>88281.6304506469</v>
      </c>
      <c r="BH144" s="787" cm="1">
        <f t="array" ref="BH144">ROUND(BG144/$F144,4)</f>
        <v>1.5674</v>
      </c>
      <c r="BI144" s="772" cm="1">
        <f t="array" ref="BI144">M143-M144</f>
        <v>702449</v>
      </c>
      <c r="BJ144" s="772" cm="1">
        <f t="array" ref="BJ144">BE144-BI144</f>
        <v>-1.630450647</v>
      </c>
      <c r="BK144" s="772" cm="1">
        <f t="array" ref="BK144">-BJ144</f>
        <v>1.630450647</v>
      </c>
      <c r="BL144" s="772" cm="1">
        <f t="array" ref="BL144">BG144+BJ144</f>
        <v>88279.9999999999</v>
      </c>
      <c r="BM144" s="772" cm="1">
        <f t="array" ref="BM144">AVERAGE(BL142:BL144)</f>
        <v>282320</v>
      </c>
      <c r="BN144" s="788" cm="1">
        <f t="array" ref="BN144">BH143-BH144</f>
        <v>0.0513</v>
      </c>
      <c r="BO144" s="775" cm="1">
        <f t="array" ref="BO144">K143*0.0495/12-0.16</f>
        <v>1.5674299625</v>
      </c>
      <c r="BP144" s="789" cm="1">
        <f t="array" ref="BP144">(BA144+BC144)/BG144</f>
        <v>7.9568916654983</v>
      </c>
      <c r="BQ144" s="789" cm="1">
        <f t="array" ref="BQ144">Y144-BB144</f>
        <v>2.6197112904434</v>
      </c>
      <c r="BR144" s="789" cm="1">
        <f t="array" ref="BR144">(BR$4*(1+BR$4)^BR$3*K143)/((1+BR$4)^BR$3-1)</f>
        <v>2.23527342349073</v>
      </c>
      <c r="BS144" s="789"/>
      <c r="BT144" s="764"/>
      <c r="BU144" s="764"/>
      <c r="BV144" s="764" cm="1">
        <f t="array" ref="BV144">BA144+BC144+BV143</f>
        <v>151920576.274281</v>
      </c>
      <c r="BW144" s="764" cm="1">
        <f t="array" ref="BW144">BG144+BW143</f>
        <v>32814435.7257205</v>
      </c>
      <c r="BX144" s="775" cm="1">
        <f t="array" ref="BX144">BF144+BX143</f>
        <v>3509.2102</v>
      </c>
      <c r="BY144" s="775" cm="1">
        <f t="array" ref="BY144">BH144+BY143</f>
        <v>743.1543</v>
      </c>
      <c r="BZ144" s="764" cm="1">
        <f t="array" ref="BZ144">SUM(BJ$6:BJ144)</f>
        <v>28171834.2742794</v>
      </c>
      <c r="CA144" s="775"/>
      <c r="CB144" s="775"/>
      <c r="CC144" s="764" cm="1">
        <f t="array" ref="CC144">SUM(BE$6:BE144)</f>
        <v>151920576.274279</v>
      </c>
      <c r="CD144" s="775"/>
      <c r="CE144" s="775"/>
      <c r="CF144" s="775"/>
      <c r="CG144" s="775"/>
      <c r="CH144" s="775"/>
      <c r="CI144" s="775"/>
      <c r="CJ144" s="775"/>
      <c r="CK144" s="775"/>
      <c r="CL144" s="775"/>
      <c r="CM144" s="775"/>
    </row>
    <row r="145" ht="19.35" customHeight="1" hidden="1">
      <c r="A145" s="762">
        <v>139</v>
      </c>
      <c r="B145" s="763">
        <v>49563</v>
      </c>
      <c r="C145" s="764"/>
      <c r="D145" s="765" cm="1">
        <f t="array" ref="D145">ROUND(850000/F145,4)</f>
        <v>15.0706</v>
      </c>
      <c r="E145" s="766" cm="1">
        <f t="array" ref="E145">D145/K144</f>
        <v>0.0370923876258617</v>
      </c>
      <c r="F145" s="767" cm="1">
        <f t="array" ref="F145">F144*(1+G145)</f>
        <v>56401.3875250122</v>
      </c>
      <c r="G145" s="766" cm="1">
        <f t="array" ref="G145">H145-SUM(G134:G144)</f>
        <v>0.0014</v>
      </c>
      <c r="H145" s="768" cm="1">
        <f t="array" ref="H145">'depto - Table 5'!$L$2</f>
        <v>0.03</v>
      </c>
      <c r="I145" s="769" cm="1">
        <f t="array" ref="I145">H145+4.95/100</f>
        <v>0.0795</v>
      </c>
      <c r="J145" s="764" cm="1">
        <f t="array" ref="J145">IF(K144=0,0,ROUND(D145*F145,0))</f>
        <v>850003</v>
      </c>
      <c r="K145" s="770" cm="1">
        <f t="array" ref="K145">IF(K144-BF145&lt;0,0,K144-BF145)</f>
        <v>393.7961</v>
      </c>
      <c r="L145" s="771" cm="1">
        <f t="array" ref="L145">K145/K$5</f>
        <v>0.0996952151898734</v>
      </c>
      <c r="M145" s="772" cm="1">
        <f t="array" ref="M145">ROUND(K145*F145,0)</f>
        <v>22210646</v>
      </c>
      <c r="N145" s="773" cm="1">
        <f t="array" ref="N145">M145/M$5</f>
        <v>0.15147147564771</v>
      </c>
      <c r="O145" s="772" cm="1">
        <f t="array" ref="O145">M145-M144</f>
        <v>-673144</v>
      </c>
      <c r="P145" s="774" cm="1">
        <f t="array" ref="P145">T145-K145</f>
        <v>5006.2039</v>
      </c>
      <c r="Q145" s="772" cm="1">
        <f t="array" ref="Q145">ROUND(P145*F145,0)</f>
        <v>282356846</v>
      </c>
      <c r="R145" s="775" cm="1">
        <f t="array" ref="R145">$K$5-K145</f>
        <v>3556.2039</v>
      </c>
      <c r="S145" s="772" cm="1">
        <f t="array" ref="S145">Q145-Q144</f>
        <v>1098942</v>
      </c>
      <c r="T145" s="775">
        <v>5400</v>
      </c>
      <c r="U145" s="772" cm="1">
        <f t="array" ref="U145">T145*F145</f>
        <v>304567492.635066</v>
      </c>
      <c r="V145" s="776" cm="1">
        <f t="array" ref="V145">-S145</f>
        <v>-1098942</v>
      </c>
      <c r="W145" s="776"/>
      <c r="X145" s="776" cm="1">
        <f t="array" ref="X145">$K144*4.95/12/100/(1-(1+4.95/12/100)^-(360-$A145+3))+$AY145</f>
        <v>3.83431588943115</v>
      </c>
      <c r="Y145" s="777" cm="1">
        <f t="array" ref="Y145">K144*4.95/12/100/(1-(1+4.95/12/100)^-(360-$A145+3))+AY145</f>
        <v>3.83431588943115</v>
      </c>
      <c r="Z145" s="791" cm="1">
        <f t="array" ref="Z145">IF(Z$3*12&lt;=$A145,0,$K144*'depto - Departamento'!$D$8/12/(1-(1+'depto - Departamento'!$D$8/12)^-(12*Z$3-$A145+3))+$AY146)</f>
        <v>4.4653257709868</v>
      </c>
      <c r="AA145" s="791" cm="1">
        <f t="array" ref="AA145">IF(AA$3*12&lt;=$A145,0,$K144*'depto - Departamento'!$D$8/12/(1-(1+'depto - Departamento'!$D$8/12)^-(12*AA$3-$A145+3))+$AY146)</f>
        <v>5.86359051946441</v>
      </c>
      <c r="AB145" s="765" cm="1">
        <f t="array" ref="AB145">IF(AB$3*12&lt;$A145,0,$K144*'depto - Departamento'!$D$8/12/(1-(1+'depto - Departamento'!$D$8/12)^-(12*AB$3-$A145+3))+$AY145)</f>
        <v>11.1681298407827</v>
      </c>
      <c r="AC145" s="765" cm="1">
        <f t="array" ref="AC145">IF(AC$3*12&lt;$A145,0,$K144*'depto - Departamento'!$D$8/12/(1-(1+'depto - Departamento'!$D$8/12)^-(12*AC$3-$A145+3))+$AY145)</f>
        <v>52.7863976575676</v>
      </c>
      <c r="AD145" s="765" cm="1">
        <f t="array" ref="AD145">IF(AD$3*12&lt;$A145,0,$K144*'depto - Departamento'!$D$8/12/(1-(1+'depto - Departamento'!$D$8/12)^-(12*AD$3-$A145+3))+$AY145)</f>
        <v>0</v>
      </c>
      <c r="AE145" s="765" cm="1">
        <f t="array" ref="AE145">IF(AE$3*12&lt;$A145,0,$K144*'depto - Departamento'!$D$8/12/(1-(1+'depto - Departamento'!$D$8/12)^-(12*AE$3-$A145+3))+$AY145)</f>
        <v>0</v>
      </c>
      <c r="AF145" s="765" cm="1">
        <f t="array" ref="AF145">AF144-(AF143-AF144)</f>
        <v>79.45050000000001</v>
      </c>
      <c r="AG145" s="765"/>
      <c r="AH145" s="765"/>
      <c r="AI145" s="778" cm="1">
        <f t="array" ref="AI145">$F145*Y145</f>
        <v>216260.736373118</v>
      </c>
      <c r="AJ145" s="405" cm="1">
        <f t="array" ref="AJ145">$F145*Z145</f>
        <v>251850.56923485</v>
      </c>
      <c r="AK145" s="405" cm="1">
        <f t="array" ref="AK145">$F145*AA145</f>
        <v>330714.6411763</v>
      </c>
      <c r="AL145" s="764" cm="1">
        <f t="array" ref="AL145">$F145*AB145</f>
        <v>629898.0190796379</v>
      </c>
      <c r="AM145" s="764" cm="1">
        <f t="array" ref="AM145">$F145*AC145</f>
        <v>2977226.07033387</v>
      </c>
      <c r="AN145" s="764" cm="1">
        <f t="array" ref="AN145">$F145*AD145</f>
        <v>0</v>
      </c>
      <c r="AO145" s="764"/>
      <c r="AP145" s="764" cm="1">
        <f t="array" ref="AP145">$F145*AF145</f>
        <v>4481118.43955598</v>
      </c>
      <c r="AQ145" s="765"/>
      <c r="AR145" s="779" cm="1">
        <f t="array" ref="AR145">K144-K145</f>
        <v>12.5029</v>
      </c>
      <c r="AS145" s="779" cm="1">
        <f t="array" ref="AS145">D145-AR145</f>
        <v>2.5677</v>
      </c>
      <c r="AT145" s="765"/>
      <c r="AU145" s="780" cm="1">
        <f t="array" ref="AU145">ROUND(AV145*F145,0)</f>
        <v>58330</v>
      </c>
      <c r="AV145" s="781" cm="1">
        <f t="array" ref="AV145">IF(K144=0,0,AV144)</f>
        <v>1.0342</v>
      </c>
      <c r="AW145" s="780" cm="1">
        <f t="array" ref="AW145">ROUND(F145*AX145,0)</f>
        <v>990</v>
      </c>
      <c r="AX145" s="781" cm="1">
        <f t="array" ref="AX145">AX$11/K$10*K144</f>
        <v>0.017554484657515</v>
      </c>
      <c r="AY145" s="782" cm="1">
        <f t="array" ref="AY145">SUM(AV145,AX145)</f>
        <v>1.05175448465752</v>
      </c>
      <c r="AZ145" s="780" cm="1">
        <f t="array" ref="AZ145">AU145+AW145</f>
        <v>59320</v>
      </c>
      <c r="BA145" s="783" cm="1">
        <f t="array" ref="BA145">AI145-AZ145-BG145</f>
        <v>71437.1705582671</v>
      </c>
      <c r="BB145" s="784" cm="1">
        <f t="array" ref="BB145">ROUND(BA145/$F145,4)</f>
        <v>1.2666</v>
      </c>
      <c r="BC145" s="783" cm="1">
        <f t="array" ref="BC145">J145-SUM(AZ145,BA145,BG145)</f>
        <v>633742.263626882</v>
      </c>
      <c r="BD145" s="784" cm="1">
        <f t="array" ref="BD145">ROUND(BC145/$F145,4)</f>
        <v>11.2363</v>
      </c>
      <c r="BE145" s="785" cm="1">
        <f t="array" ref="BE145">BC145+BA145</f>
        <v>705179.434185149</v>
      </c>
      <c r="BF145" s="784" cm="1">
        <f t="array" ref="BF145">ROUND((BA145+BC145)/F145,4)</f>
        <v>12.5029</v>
      </c>
      <c r="BG145" s="786" cm="1">
        <f t="array" ref="BG145">BO145*F145</f>
        <v>85503.5658148509</v>
      </c>
      <c r="BH145" s="787" cm="1">
        <f t="array" ref="BH145">ROUND(BG145/$F145,4)</f>
        <v>1.516</v>
      </c>
      <c r="BI145" s="772" cm="1">
        <f t="array" ref="BI145">M144-M145</f>
        <v>673144</v>
      </c>
      <c r="BJ145" s="772" cm="1">
        <f t="array" ref="BJ145">BE145-BI145</f>
        <v>32035.434185149</v>
      </c>
      <c r="BK145" s="772" cm="1">
        <f t="array" ref="BK145">-BJ145</f>
        <v>-32035.434185149</v>
      </c>
      <c r="BL145" s="772" cm="1">
        <f t="array" ref="BL145">BG145+BJ145</f>
        <v>117539</v>
      </c>
      <c r="BM145" s="772" cm="1">
        <f t="array" ref="BM145">AVERAGE(BL143:BL145)</f>
        <v>184697.666666667</v>
      </c>
      <c r="BN145" s="788" cm="1">
        <f t="array" ref="BN145">BH144-BH145</f>
        <v>0.0514</v>
      </c>
      <c r="BO145" s="775" cm="1">
        <f t="array" ref="BO145">K144*0.0495/12-0.16</f>
        <v>1.515983375</v>
      </c>
      <c r="BP145" s="789" cm="1">
        <f t="array" ref="BP145">(BA145+BC145)/BG145</f>
        <v>8.247368720412689</v>
      </c>
      <c r="BQ145" s="789" cm="1">
        <f t="array" ref="BQ145">Y145-BB145</f>
        <v>2.56771588943115</v>
      </c>
      <c r="BR145" s="789" cm="1">
        <f t="array" ref="BR145">(BR$4*(1+BR$4)^BR$3*K144)/((1+BR$4)^BR$3-1)</f>
        <v>2.16870216314185</v>
      </c>
      <c r="BS145" s="789"/>
      <c r="BT145" s="764"/>
      <c r="BU145" s="764"/>
      <c r="BV145" s="764" cm="1">
        <f t="array" ref="BV145">BA145+BC145+BV144</f>
        <v>152625755.708466</v>
      </c>
      <c r="BW145" s="764" cm="1">
        <f t="array" ref="BW145">BG145+BW144</f>
        <v>32899939.2915354</v>
      </c>
      <c r="BX145" s="775" cm="1">
        <f t="array" ref="BX145">BF145+BX144</f>
        <v>3521.7131</v>
      </c>
      <c r="BY145" s="775" cm="1">
        <f t="array" ref="BY145">BH145+BY144</f>
        <v>744.6703</v>
      </c>
      <c r="BZ145" s="764" cm="1">
        <f t="array" ref="BZ145">SUM(BJ$6:BJ145)</f>
        <v>28203869.7084645</v>
      </c>
      <c r="CA145" s="775"/>
      <c r="CB145" s="775"/>
      <c r="CC145" s="764" cm="1">
        <f t="array" ref="CC145">SUM(BE$6:BE145)</f>
        <v>152625755.708465</v>
      </c>
      <c r="CD145" s="775"/>
      <c r="CE145" s="775"/>
      <c r="CF145" s="775"/>
      <c r="CG145" s="775"/>
      <c r="CH145" s="775"/>
      <c r="CI145" s="775"/>
      <c r="CJ145" s="775"/>
      <c r="CK145" s="775"/>
      <c r="CL145" s="775"/>
      <c r="CM145" s="775"/>
    </row>
    <row r="146" ht="19.35" customHeight="1" hidden="1">
      <c r="A146" s="762">
        <v>140</v>
      </c>
      <c r="B146" s="763">
        <v>49593</v>
      </c>
      <c r="C146" s="764"/>
      <c r="D146" s="765" cm="1">
        <f t="array" ref="D146">ROUND(850000/F146,4)</f>
        <v>14.9911</v>
      </c>
      <c r="E146" s="766" cm="1">
        <f t="array" ref="E146">D146/K145</f>
        <v>0.038068177922534</v>
      </c>
      <c r="F146" s="767" cm="1">
        <f t="array" ref="F146">F145*(1+G146)</f>
        <v>56700.3148788948</v>
      </c>
      <c r="G146" s="766" cm="1">
        <f t="array" ref="G146">H146-SUM(G135:G145)</f>
        <v>0.0053</v>
      </c>
      <c r="H146" s="768" cm="1">
        <f t="array" ref="H146">'depto - Table 5'!$L$2</f>
        <v>0.03</v>
      </c>
      <c r="I146" s="769" cm="1">
        <f t="array" ref="I146">H146+4.95/100</f>
        <v>0.0795</v>
      </c>
      <c r="J146" s="764" cm="1">
        <f t="array" ref="J146">IF(K145=0,0,ROUND(D146*F146,0))</f>
        <v>850000</v>
      </c>
      <c r="K146" s="770" cm="1">
        <f t="array" ref="K146">IF(K145-BF146&lt;0,0,K145-BF146)</f>
        <v>381.3206</v>
      </c>
      <c r="L146" s="771" cm="1">
        <f t="array" ref="L146">K146/K$5</f>
        <v>0.09653686075949371</v>
      </c>
      <c r="M146" s="772" cm="1">
        <f t="array" ref="M146">ROUND(K146*F146,0)</f>
        <v>21620998</v>
      </c>
      <c r="N146" s="773" cm="1">
        <f t="array" ref="N146">M146/M$5</f>
        <v>0.147450212480816</v>
      </c>
      <c r="O146" s="772" cm="1">
        <f t="array" ref="O146">M146-M145</f>
        <v>-589648</v>
      </c>
      <c r="P146" s="774" cm="1">
        <f t="array" ref="P146">T146-K146</f>
        <v>5018.6794</v>
      </c>
      <c r="Q146" s="772" cm="1">
        <f t="array" ref="Q146">ROUND(P146*F146,0)</f>
        <v>284560702</v>
      </c>
      <c r="R146" s="775" cm="1">
        <f t="array" ref="R146">$K$5-K146</f>
        <v>3568.6794</v>
      </c>
      <c r="S146" s="772" cm="1">
        <f t="array" ref="S146">Q146-Q145</f>
        <v>2203856</v>
      </c>
      <c r="T146" s="775">
        <v>5400</v>
      </c>
      <c r="U146" s="772" cm="1">
        <f t="array" ref="U146">T146*F146</f>
        <v>306181700.346032</v>
      </c>
      <c r="V146" s="776" cm="1">
        <f t="array" ref="V146">-S146</f>
        <v>-2203856</v>
      </c>
      <c r="W146" s="776"/>
      <c r="X146" s="776" cm="1">
        <f t="array" ref="X146">$K145*4.95/12/100/(1-(1+4.95/12/100)^-(360-$A146+3))+$AY146</f>
        <v>3.75551419390513</v>
      </c>
      <c r="Y146" s="777" cm="1">
        <f t="array" ref="Y146">K145*4.95/12/100/(1-(1+4.95/12/100)^-(360-$A146+3))+AY146</f>
        <v>3.75551419390513</v>
      </c>
      <c r="Z146" s="791" cm="1">
        <f t="array" ref="Z146">IF(Z$3*12&lt;=$A146,0,$K145*'depto - Departamento'!$D$8/12/(1-(1+'depto - Departamento'!$D$8/12)^-(12*Z$3-$A146+3))+$AY147)</f>
        <v>4.37394225368356</v>
      </c>
      <c r="AA146" s="791" cm="1">
        <f t="array" ref="AA146">IF(AA$3*12&lt;=$A146,0,$K145*'depto - Departamento'!$D$8/12/(1-(1+'depto - Departamento'!$D$8/12)^-(12*AA$3-$A146+3))+$AY147)</f>
        <v>5.75124759388912</v>
      </c>
      <c r="AB146" s="765" cm="1">
        <f t="array" ref="AB146">IF(AB$3*12&lt;$A146,0,$K145*'depto - Departamento'!$D$8/12/(1-(1+'depto - Departamento'!$D$8/12)^-(12*AB$3-$A146+3))+$AY146)</f>
        <v>11.064292000767</v>
      </c>
      <c r="AC146" s="765" cm="1">
        <f t="array" ref="AC146">IF(AC$3*12&lt;$A146,0,$K145*'depto - Departamento'!$D$8/12/(1-(1+'depto - Departamento'!$D$8/12)^-(12*AC$3-$A146+3))+$AY146)</f>
        <v>58.2398546994041</v>
      </c>
      <c r="AD146" s="765" cm="1">
        <f t="array" ref="AD146">IF(AD$3*12&lt;$A146,0,$K145*'depto - Departamento'!$D$8/12/(1-(1+'depto - Departamento'!$D$8/12)^-(12*AD$3-$A146+3))+$AY146)</f>
        <v>0</v>
      </c>
      <c r="AE146" s="765" cm="1">
        <f t="array" ref="AE146">IF(AE$3*12&lt;$A146,0,$K145*'depto - Departamento'!$D$8/12/(1-(1+'depto - Departamento'!$D$8/12)^-(12*AE$3-$A146+3))+$AY146)</f>
        <v>0</v>
      </c>
      <c r="AF146" s="765" cm="1">
        <f t="array" ref="AF146">AF145-(AF144-AF145)</f>
        <v>79.4477</v>
      </c>
      <c r="AG146" s="765"/>
      <c r="AH146" s="765"/>
      <c r="AI146" s="778" cm="1">
        <f t="array" ref="AI146">$F146*Y146</f>
        <v>212938.83732658</v>
      </c>
      <c r="AJ146" s="405" cm="1">
        <f t="array" ref="AJ146">$F146*Z146</f>
        <v>248003.903045961</v>
      </c>
      <c r="AK146" s="405" cm="1">
        <f t="array" ref="AK146">$F146*AA146</f>
        <v>326097.549519999</v>
      </c>
      <c r="AL146" s="764" cm="1">
        <f t="array" ref="AL146">$F146*AB146</f>
        <v>627348.840355526</v>
      </c>
      <c r="AM146" s="764" cm="1">
        <f t="array" ref="AM146">$F146*AC146</f>
        <v>3302218.09995729</v>
      </c>
      <c r="AN146" s="764" cm="1">
        <f t="array" ref="AN146">$F146*AD146</f>
        <v>0</v>
      </c>
      <c r="AO146" s="764"/>
      <c r="AP146" s="764" cm="1">
        <f t="array" ref="AP146">$F146*AF146</f>
        <v>4504709.60640397</v>
      </c>
      <c r="AQ146" s="765"/>
      <c r="AR146" s="779" cm="1">
        <f t="array" ref="AR146">K145-K146</f>
        <v>12.4755</v>
      </c>
      <c r="AS146" s="779" cm="1">
        <f t="array" ref="AS146">D146-AR146</f>
        <v>2.5156</v>
      </c>
      <c r="AT146" s="765"/>
      <c r="AU146" s="780" cm="1">
        <f t="array" ref="AU146">ROUND(AV146*F146,0)</f>
        <v>58639</v>
      </c>
      <c r="AV146" s="781" cm="1">
        <f t="array" ref="AV146">IF(K145=0,0,AV145)</f>
        <v>1.0342</v>
      </c>
      <c r="AW146" s="780" cm="1">
        <f t="array" ref="AW146">ROUND(F146*AX146,0)</f>
        <v>965</v>
      </c>
      <c r="AX146" s="781" cm="1">
        <f t="array" ref="AX146">AX$11/K$10*K145</f>
        <v>0.0170142865122465</v>
      </c>
      <c r="AY146" s="782" cm="1">
        <f t="array" ref="AY146">SUM(AV146,AX146)</f>
        <v>1.05121428651225</v>
      </c>
      <c r="AZ146" s="780" cm="1">
        <f t="array" ref="AZ146">AU146+AW146</f>
        <v>59604</v>
      </c>
      <c r="BA146" s="783" cm="1">
        <f t="array" ref="BA146">AI146-AZ146-BG146</f>
        <v>70302.3908763701</v>
      </c>
      <c r="BB146" s="784" cm="1">
        <f t="array" ref="BB146">ROUND(BA146/$F146,4)</f>
        <v>1.2399</v>
      </c>
      <c r="BC146" s="783" cm="1">
        <f t="array" ref="BC146">J146-SUM(AZ146,BA146,BG146)</f>
        <v>637061.16267342</v>
      </c>
      <c r="BD146" s="784" cm="1">
        <f t="array" ref="BD146">ROUND(BC146/$F146,4)</f>
        <v>11.2356</v>
      </c>
      <c r="BE146" s="785" cm="1">
        <f t="array" ref="BE146">BC146+BA146</f>
        <v>707363.5535497901</v>
      </c>
      <c r="BF146" s="784" cm="1">
        <f t="array" ref="BF146">ROUND((BA146+BC146)/F146,4)</f>
        <v>12.4755</v>
      </c>
      <c r="BG146" s="786" cm="1">
        <f t="array" ref="BG146">BO146*F146</f>
        <v>83032.4464502099</v>
      </c>
      <c r="BH146" s="787" cm="1">
        <f t="array" ref="BH146">ROUND(BG146/$F146,4)</f>
        <v>1.4644</v>
      </c>
      <c r="BI146" s="772" cm="1">
        <f t="array" ref="BI146">M145-M146</f>
        <v>589648</v>
      </c>
      <c r="BJ146" s="772" cm="1">
        <f t="array" ref="BJ146">BE146-BI146</f>
        <v>117715.55354979</v>
      </c>
      <c r="BK146" s="772" cm="1">
        <f t="array" ref="BK146">-BJ146</f>
        <v>-117715.55354979</v>
      </c>
      <c r="BL146" s="772" cm="1">
        <f t="array" ref="BL146">BG146+BJ146</f>
        <v>200748</v>
      </c>
      <c r="BM146" s="772" cm="1">
        <f t="array" ref="BM146">AVERAGE(BL144:BL146)</f>
        <v>135522.333333333</v>
      </c>
      <c r="BN146" s="788" cm="1">
        <f t="array" ref="BN146">BH145-BH146</f>
        <v>0.0516</v>
      </c>
      <c r="BO146" s="775" cm="1">
        <f t="array" ref="BO146">K145*0.0495/12-0.16</f>
        <v>1.4644089125</v>
      </c>
      <c r="BP146" s="789" cm="1">
        <f t="array" ref="BP146">(BA146+BC146)/BG146</f>
        <v>8.5191221479179</v>
      </c>
      <c r="BQ146" s="789" cm="1">
        <f t="array" ref="BQ146">Y146-BB146</f>
        <v>2.51561419390513</v>
      </c>
      <c r="BR146" s="789" cm="1">
        <f t="array" ref="BR146">(BR$4*(1+BR$4)^BR$3*K145)/((1+BR$4)^BR$3-1)</f>
        <v>2.10196543409367</v>
      </c>
      <c r="BS146" s="789"/>
      <c r="BT146" s="764"/>
      <c r="BU146" s="764"/>
      <c r="BV146" s="764" cm="1">
        <f t="array" ref="BV146">BA146+BC146+BV145</f>
        <v>153333119.262016</v>
      </c>
      <c r="BW146" s="764" cm="1">
        <f t="array" ref="BW146">BG146+BW145</f>
        <v>32982971.7379856</v>
      </c>
      <c r="BX146" s="775" cm="1">
        <f t="array" ref="BX146">BF146+BX145</f>
        <v>3534.1886</v>
      </c>
      <c r="BY146" s="775" cm="1">
        <f t="array" ref="BY146">BH146+BY145</f>
        <v>746.1347</v>
      </c>
      <c r="BZ146" s="764" cm="1">
        <f t="array" ref="BZ146">SUM(BJ$6:BJ146)</f>
        <v>28321585.2620143</v>
      </c>
      <c r="CA146" s="775"/>
      <c r="CB146" s="775"/>
      <c r="CC146" s="764" cm="1">
        <f t="array" ref="CC146">SUM(BE$6:BE146)</f>
        <v>153333119.262014</v>
      </c>
      <c r="CD146" s="775"/>
      <c r="CE146" s="775"/>
      <c r="CF146" s="775"/>
      <c r="CG146" s="775"/>
      <c r="CH146" s="775"/>
      <c r="CI146" s="775"/>
      <c r="CJ146" s="775"/>
      <c r="CK146" s="775"/>
      <c r="CL146" s="775"/>
      <c r="CM146" s="775"/>
    </row>
    <row r="147" ht="19.35" customHeight="1" hidden="1">
      <c r="A147" s="762">
        <v>141</v>
      </c>
      <c r="B147" s="763">
        <v>49624</v>
      </c>
      <c r="C147" s="764"/>
      <c r="D147" s="765" cm="1">
        <f t="array" ref="D147">ROUND(850000/F147,4)</f>
        <v>14.9358</v>
      </c>
      <c r="E147" s="766" cm="1">
        <f t="array" ref="E147">D147/K146</f>
        <v>0.0391686155953809</v>
      </c>
      <c r="F147" s="767" cm="1">
        <f t="array" ref="F147">F146*(1+G147)</f>
        <v>56910.1060439467</v>
      </c>
      <c r="G147" s="766" cm="1">
        <f t="array" ref="G147">H147-SUM(G136:G146)</f>
        <v>0.0037</v>
      </c>
      <c r="H147" s="768" cm="1">
        <f t="array" ref="H147">'depto - Table 5'!$L$2</f>
        <v>0.03</v>
      </c>
      <c r="I147" s="769" cm="1">
        <f t="array" ref="I147">H147+4.95/100</f>
        <v>0.0795</v>
      </c>
      <c r="J147" s="764" cm="1">
        <f t="array" ref="J147">IF(K146=0,0,ROUND(D147*F147,0))</f>
        <v>849998</v>
      </c>
      <c r="K147" s="770" cm="1">
        <f t="array" ref="K147">IF(K146-BF147&lt;0,0,K146-BF147)</f>
        <v>368.8484</v>
      </c>
      <c r="L147" s="771" cm="1">
        <f t="array" ref="L147">K147/K$5</f>
        <v>0.0933793417721519</v>
      </c>
      <c r="M147" s="772" cm="1">
        <f t="array" ref="M147">ROUND(K147*F147,0)</f>
        <v>20991202</v>
      </c>
      <c r="N147" s="773" cm="1">
        <f t="array" ref="N147">M147/M$5</f>
        <v>0.143155149227049</v>
      </c>
      <c r="O147" s="772" cm="1">
        <f t="array" ref="O147">M147-M146</f>
        <v>-629796</v>
      </c>
      <c r="P147" s="774" cm="1">
        <f t="array" ref="P147">T147-K147</f>
        <v>5031.1516</v>
      </c>
      <c r="Q147" s="772" cm="1">
        <f t="array" ref="Q147">ROUND(P147*F147,0)</f>
        <v>286323371</v>
      </c>
      <c r="R147" s="775" cm="1">
        <f t="array" ref="R147">$K$5-K147</f>
        <v>3581.1516</v>
      </c>
      <c r="S147" s="772" cm="1">
        <f t="array" ref="S147">Q147-Q146</f>
        <v>1762669</v>
      </c>
      <c r="T147" s="775">
        <v>5400</v>
      </c>
      <c r="U147" s="772" cm="1">
        <f t="array" ref="U147">T147*F147</f>
        <v>307314572.637312</v>
      </c>
      <c r="V147" s="776" cm="1">
        <f t="array" ref="V147">-S147</f>
        <v>-1762669</v>
      </c>
      <c r="W147" s="776"/>
      <c r="X147" s="776" cm="1">
        <f t="array" ref="X147">$K146*4.95/12/100/(1-(1+4.95/12/100)^-(360-$A147+3))+$AY147</f>
        <v>3.67650338834022</v>
      </c>
      <c r="Y147" s="777" cm="1">
        <f t="array" ref="Y147">K146*4.95/12/100/(1-(1+4.95/12/100)^-(360-$A147+3))+AY147</f>
        <v>3.67650338834022</v>
      </c>
      <c r="Z147" s="791" cm="1">
        <f t="array" ref="Z147">IF(Z$3*12&lt;=$A147,0,$K146*'depto - Departamento'!$D$8/12/(1-(1+'depto - Departamento'!$D$8/12)^-(12*Z$3-$A147+3))+$AY148)</f>
        <v>4.28206466678494</v>
      </c>
      <c r="AA147" s="791" cm="1">
        <f t="array" ref="AA147">IF(AA$3*12&lt;=$A147,0,$K146*'depto - Departamento'!$D$8/12/(1-(1+'depto - Departamento'!$D$8/12)^-(12*AA$3-$A147+3))+$AY148)</f>
        <v>5.63762961540799</v>
      </c>
      <c r="AB147" s="765" cm="1">
        <f t="array" ref="AB147">IF(AB$3*12&lt;$A147,0,$K146*'depto - Departamento'!$D$8/12/(1-(1+'depto - Departamento'!$D$8/12)^-(12*AB$3-$A147+3))+$AY147)</f>
        <v>10.9575750690667</v>
      </c>
      <c r="AC147" s="765" cm="1">
        <f t="array" ref="AC147">IF(AC$3*12&lt;$A147,0,$K146*'depto - Departamento'!$D$8/12/(1-(1+'depto - Departamento'!$D$8/12)^-(12*AC$3-$A147+3))+$AY147)</f>
        <v>65.52480886631341</v>
      </c>
      <c r="AD147" s="765" cm="1">
        <f t="array" ref="AD147">IF(AD$3*12&lt;$A147,0,$K146*'depto - Departamento'!$D$8/12/(1-(1+'depto - Departamento'!$D$8/12)^-(12*AD$3-$A147+3))+$AY147)</f>
        <v>0</v>
      </c>
      <c r="AE147" s="765" cm="1">
        <f t="array" ref="AE147">IF(AE$3*12&lt;$A147,0,$K146*'depto - Departamento'!$D$8/12/(1-(1+'depto - Departamento'!$D$8/12)^-(12*AE$3-$A147+3))+$AY147)</f>
        <v>0</v>
      </c>
      <c r="AF147" s="765" cm="1">
        <f t="array" ref="AF147">AF146-(AF145-AF146)</f>
        <v>79.4449</v>
      </c>
      <c r="AG147" s="765"/>
      <c r="AH147" s="765"/>
      <c r="AI147" s="778" cm="1">
        <f t="array" ref="AI147">$F147*Y147</f>
        <v>209230.197701371</v>
      </c>
      <c r="AJ147" s="405" cm="1">
        <f t="array" ref="AJ147">$F147*Z147</f>
        <v>243692.754273768</v>
      </c>
      <c r="AK147" s="405" cm="1">
        <f t="array" ref="AK147">$F147*AA147</f>
        <v>320838.099249363</v>
      </c>
      <c r="AL147" s="764" cm="1">
        <f t="array" ref="AL147">$F147*AB147</f>
        <v>623596.759165092</v>
      </c>
      <c r="AM147" s="764" cm="1">
        <f t="array" ref="AM147">$F147*AC147</f>
        <v>3729023.82109123</v>
      </c>
      <c r="AN147" s="764" cm="1">
        <f t="array" ref="AN147">$F147*AD147</f>
        <v>0</v>
      </c>
      <c r="AO147" s="764"/>
      <c r="AP147" s="764" cm="1">
        <f t="array" ref="AP147">$F147*AF147</f>
        <v>4521217.68365074</v>
      </c>
      <c r="AQ147" s="765"/>
      <c r="AR147" s="779" cm="1">
        <f t="array" ref="AR147">K146-K147</f>
        <v>12.4722</v>
      </c>
      <c r="AS147" s="779" cm="1">
        <f t="array" ref="AS147">D147-AR147</f>
        <v>2.4636</v>
      </c>
      <c r="AT147" s="765"/>
      <c r="AU147" s="780" cm="1">
        <f t="array" ref="AU147">ROUND(AV147*F147,0)</f>
        <v>58856</v>
      </c>
      <c r="AV147" s="781" cm="1">
        <f t="array" ref="AV147">IF(K146=0,0,AV146)</f>
        <v>1.0342</v>
      </c>
      <c r="AW147" s="780" cm="1">
        <f t="array" ref="AW147">ROUND(F147*AX147,0)</f>
        <v>938</v>
      </c>
      <c r="AX147" s="781" cm="1">
        <f t="array" ref="AX147">AX$11/K$10*K146</f>
        <v>0.0164752722066617</v>
      </c>
      <c r="AY147" s="782" cm="1">
        <f t="array" ref="AY147">SUM(AV147,AX147)</f>
        <v>1.05067527220666</v>
      </c>
      <c r="AZ147" s="780" cm="1">
        <f t="array" ref="AZ147">AU147+AW147</f>
        <v>59794</v>
      </c>
      <c r="BA147" s="783" cm="1">
        <f t="array" ref="BA147">AI147-AZ147-BG147</f>
        <v>69025.2070645943</v>
      </c>
      <c r="BB147" s="784" cm="1">
        <f t="array" ref="BB147">ROUND(BA147/$F147,4)</f>
        <v>1.2129</v>
      </c>
      <c r="BC147" s="783" cm="1">
        <f t="array" ref="BC147">J147-SUM(AZ147,BA147,BG147)</f>
        <v>640767.802298629</v>
      </c>
      <c r="BD147" s="784" cm="1">
        <f t="array" ref="BD147">ROUND(BC147/$F147,4)</f>
        <v>11.2593</v>
      </c>
      <c r="BE147" s="785" cm="1">
        <f t="array" ref="BE147">BC147+BA147</f>
        <v>709793.009363223</v>
      </c>
      <c r="BF147" s="784" cm="1">
        <f t="array" ref="BF147">ROUND((BA147+BC147)/F147,4)</f>
        <v>12.4722</v>
      </c>
      <c r="BG147" s="786" cm="1">
        <f t="array" ref="BG147">BO147*F147</f>
        <v>80410.9906367767</v>
      </c>
      <c r="BH147" s="787" cm="1">
        <f t="array" ref="BH147">ROUND(BG147/$F147,4)</f>
        <v>1.4129</v>
      </c>
      <c r="BI147" s="772" cm="1">
        <f t="array" ref="BI147">M146-M147</f>
        <v>629796</v>
      </c>
      <c r="BJ147" s="772" cm="1">
        <f t="array" ref="BJ147">BE147-BI147</f>
        <v>79997.009363223</v>
      </c>
      <c r="BK147" s="772" cm="1">
        <f t="array" ref="BK147">-BJ147</f>
        <v>-79997.009363223</v>
      </c>
      <c r="BL147" s="772" cm="1">
        <f t="array" ref="BL147">BG147+BJ147</f>
        <v>160408</v>
      </c>
      <c r="BM147" s="772" cm="1">
        <f t="array" ref="BM147">AVERAGE(BL145:BL147)</f>
        <v>159565</v>
      </c>
      <c r="BN147" s="788" cm="1">
        <f t="array" ref="BN147">BH146-BH147</f>
        <v>0.0515</v>
      </c>
      <c r="BO147" s="775" cm="1">
        <f t="array" ref="BO147">K146*0.0495/12-0.16</f>
        <v>1.412947475</v>
      </c>
      <c r="BP147" s="789" cm="1">
        <f t="array" ref="BP147">(BA147+BC147)/BG147</f>
        <v>8.82706460575046</v>
      </c>
      <c r="BQ147" s="789" cm="1">
        <f t="array" ref="BQ147">Y147-BB147</f>
        <v>2.46360338834022</v>
      </c>
      <c r="BR147" s="789" cm="1">
        <f t="array" ref="BR147">(BR$4*(1+BR$4)^BR$3*K146)/((1+BR$4)^BR$3-1)</f>
        <v>2.03537495802488</v>
      </c>
      <c r="BS147" s="789"/>
      <c r="BT147" s="764"/>
      <c r="BU147" s="764"/>
      <c r="BV147" s="764" cm="1">
        <f t="array" ref="BV147">BA147+BC147+BV146</f>
        <v>154042912.271379</v>
      </c>
      <c r="BW147" s="764" cm="1">
        <f t="array" ref="BW147">BG147+BW146</f>
        <v>33063382.7286224</v>
      </c>
      <c r="BX147" s="775" cm="1">
        <f t="array" ref="BX147">BF147+BX146</f>
        <v>3546.6608</v>
      </c>
      <c r="BY147" s="775" cm="1">
        <f t="array" ref="BY147">BH147+BY146</f>
        <v>747.5476</v>
      </c>
      <c r="BZ147" s="764" cm="1">
        <f t="array" ref="BZ147">SUM(BJ$6:BJ147)</f>
        <v>28401582.2713775</v>
      </c>
      <c r="CA147" s="775"/>
      <c r="CB147" s="775"/>
      <c r="CC147" s="764" cm="1">
        <f t="array" ref="CC147">SUM(BE$6:BE147)</f>
        <v>154042912.271378</v>
      </c>
      <c r="CD147" s="775"/>
      <c r="CE147" s="775"/>
      <c r="CF147" s="775"/>
      <c r="CG147" s="775"/>
      <c r="CH147" s="775"/>
      <c r="CI147" s="775"/>
      <c r="CJ147" s="775"/>
      <c r="CK147" s="775"/>
      <c r="CL147" s="775"/>
      <c r="CM147" s="775"/>
    </row>
    <row r="148" ht="19.35" customHeight="1" hidden="1">
      <c r="A148" s="762">
        <v>142</v>
      </c>
      <c r="B148" s="763">
        <v>49654</v>
      </c>
      <c r="C148" s="764"/>
      <c r="D148" s="765" cm="1">
        <f t="array" ref="D148">ROUND(850000/F148,4)</f>
        <v>14.9328</v>
      </c>
      <c r="E148" s="766" cm="1">
        <f t="array" ref="E148">D148/K147</f>
        <v>0.0404849255141137</v>
      </c>
      <c r="F148" s="767" cm="1">
        <f t="array" ref="F148">F147*(1+G148)</f>
        <v>56921.4880651555</v>
      </c>
      <c r="G148" s="766" cm="1">
        <f t="array" ref="G148">H148-SUM(G137:G147)</f>
        <v>0.0002</v>
      </c>
      <c r="H148" s="768" cm="1">
        <f t="array" ref="H148">'depto - Table 5'!$L$2</f>
        <v>0.03</v>
      </c>
      <c r="I148" s="769" cm="1">
        <f t="array" ref="I148">H148+4.95/100</f>
        <v>0.0795</v>
      </c>
      <c r="J148" s="764" cm="1">
        <f t="array" ref="J148">IF(K147=0,0,ROUND(D148*F148,0))</f>
        <v>849997</v>
      </c>
      <c r="K148" s="770" cm="1">
        <f t="array" ref="K148">IF(K147-BF148&lt;0,0,K147-BF148)</f>
        <v>356.3272</v>
      </c>
      <c r="L148" s="771" cm="1">
        <f t="array" ref="L148">K148/K$5</f>
        <v>0.090209417721519</v>
      </c>
      <c r="M148" s="772" cm="1">
        <f t="array" ref="M148">ROUND(K148*F148,0)</f>
        <v>20282674</v>
      </c>
      <c r="N148" s="773" cm="1">
        <f t="array" ref="N148">M148/M$5</f>
        <v>0.138323151918293</v>
      </c>
      <c r="O148" s="772" cm="1">
        <f t="array" ref="O148">M148-M147</f>
        <v>-708528</v>
      </c>
      <c r="P148" s="774" cm="1">
        <f t="array" ref="P148">T148-K148</f>
        <v>5043.6728</v>
      </c>
      <c r="Q148" s="772" cm="1">
        <f t="array" ref="Q148">ROUND(P148*F148,0)</f>
        <v>287093361</v>
      </c>
      <c r="R148" s="775" cm="1">
        <f t="array" ref="R148">$K$5-K148</f>
        <v>3593.6728</v>
      </c>
      <c r="S148" s="772" cm="1">
        <f t="array" ref="S148">Q148-Q147</f>
        <v>769990</v>
      </c>
      <c r="T148" s="775">
        <v>5400</v>
      </c>
      <c r="U148" s="772" cm="1">
        <f t="array" ref="U148">T148*F148</f>
        <v>307376035.55184</v>
      </c>
      <c r="V148" s="776" cm="1">
        <f t="array" ref="V148">-S148</f>
        <v>-769990</v>
      </c>
      <c r="W148" s="776"/>
      <c r="X148" s="776" cm="1">
        <f t="array" ref="X148">$K147*4.95/12/100/(1-(1+4.95/12/100)^-(360-$A148+3))+$AY148</f>
        <v>3.59711172866181</v>
      </c>
      <c r="Y148" s="777" cm="1">
        <f t="array" ref="Y148">K147*4.95/12/100/(1-(1+4.95/12/100)^-(360-$A148+3))+AY148</f>
        <v>3.59711172866181</v>
      </c>
      <c r="Z148" s="791" cm="1">
        <f t="array" ref="Z148">IF(Z$3*12&lt;=$A148,0,$K147*'depto - Departamento'!$D$8/12/(1-(1+'depto - Departamento'!$D$8/12)^-(12*Z$3-$A148+3))+$AY149)</f>
        <v>4.18947447667854</v>
      </c>
      <c r="AA148" s="791" cm="1">
        <f t="array" ref="AA148">IF(AA$3*12&lt;=$A148,0,$K147*'depto - Departamento'!$D$8/12/(1-(1+'depto - Departamento'!$D$8/12)^-(12*AA$3-$A148+3))+$AY149)</f>
        <v>5.522401261013</v>
      </c>
      <c r="AB148" s="765" cm="1">
        <f t="array" ref="AB148">IF(AB$3*12&lt;$A148,0,$K147*'depto - Departamento'!$D$8/12/(1-(1+'depto - Departamento'!$D$8/12)^-(12*AB$3-$A148+3))+$AY148)</f>
        <v>10.8471201846972</v>
      </c>
      <c r="AC148" s="765" cm="1">
        <f t="array" ref="AC148">IF(AC$3*12&lt;$A148,0,$K147*'depto - Departamento'!$D$8/12/(1-(1+'depto - Departamento'!$D$8/12)^-(12*AC$3-$A148+3))+$AY148)</f>
        <v>75.7352214828491</v>
      </c>
      <c r="AD148" s="765" cm="1">
        <f t="array" ref="AD148">IF(AD$3*12&lt;$A148,0,$K147*'depto - Departamento'!$D$8/12/(1-(1+'depto - Departamento'!$D$8/12)^-(12*AD$3-$A148+3))+$AY148)</f>
        <v>0</v>
      </c>
      <c r="AE148" s="765" cm="1">
        <f t="array" ref="AE148">IF(AE$3*12&lt;$A148,0,$K147*'depto - Departamento'!$D$8/12/(1-(1+'depto - Departamento'!$D$8/12)^-(12*AE$3-$A148+3))+$AY148)</f>
        <v>0</v>
      </c>
      <c r="AF148" s="765" cm="1">
        <f t="array" ref="AF148">AF147-(AF146-AF147)</f>
        <v>79.4421</v>
      </c>
      <c r="AG148" s="765"/>
      <c r="AH148" s="765"/>
      <c r="AI148" s="778" cm="1">
        <f t="array" ref="AI148">$F148*Y148</f>
        <v>204752.952332054</v>
      </c>
      <c r="AJ148" s="405" cm="1">
        <f t="array" ref="AJ148">$F148*Z148</f>
        <v>238471.121423531</v>
      </c>
      <c r="AK148" s="405" cm="1">
        <f t="array" ref="AK148">$F148*AA148</f>
        <v>314343.297469751</v>
      </c>
      <c r="AL148" s="764" cm="1">
        <f t="array" ref="AL148">$F148*AB148</f>
        <v>617434.2221345491</v>
      </c>
      <c r="AM148" s="764" cm="1">
        <f t="array" ref="AM148">$F148*AC148</f>
        <v>4310961.5057479</v>
      </c>
      <c r="AN148" s="764" cm="1">
        <f t="array" ref="AN148">$F148*AD148</f>
        <v>0</v>
      </c>
      <c r="AO148" s="764"/>
      <c r="AP148" s="764" cm="1">
        <f t="array" ref="AP148">$F148*AF148</f>
        <v>4521962.54702089</v>
      </c>
      <c r="AQ148" s="765"/>
      <c r="AR148" s="779" cm="1">
        <f t="array" ref="AR148">K147-K148</f>
        <v>12.5212</v>
      </c>
      <c r="AS148" s="779" cm="1">
        <f t="array" ref="AS148">D148-AR148</f>
        <v>2.4116</v>
      </c>
      <c r="AT148" s="765"/>
      <c r="AU148" s="780" cm="1">
        <f t="array" ref="AU148">ROUND(AV148*F148,0)</f>
        <v>58868</v>
      </c>
      <c r="AV148" s="781" cm="1">
        <f t="array" ref="AV148">IF(K147=0,0,AV147)</f>
        <v>1.0342</v>
      </c>
      <c r="AW148" s="780" cm="1">
        <f t="array" ref="AW148">ROUND(F148*AX148,0)</f>
        <v>907</v>
      </c>
      <c r="AX148" s="781" cm="1">
        <f t="array" ref="AX148">AX$11/K$10*K147</f>
        <v>0.0159364004803088</v>
      </c>
      <c r="AY148" s="782" cm="1">
        <f t="array" ref="AY148">SUM(AV148,AX148)</f>
        <v>1.05013640048031</v>
      </c>
      <c r="AZ148" s="780" cm="1">
        <f t="array" ref="AZ148">AU148+AW148</f>
        <v>59775</v>
      </c>
      <c r="BA148" s="783" cm="1">
        <f t="array" ref="BA148">AI148-AZ148-BG148</f>
        <v>67479.366253865606</v>
      </c>
      <c r="BB148" s="784" cm="1">
        <f t="array" ref="BB148">ROUND(BA148/$F148,4)</f>
        <v>1.1855</v>
      </c>
      <c r="BC148" s="783" cm="1">
        <f t="array" ref="BC148">J148-SUM(AZ148,BA148,BG148)</f>
        <v>645244.047667946</v>
      </c>
      <c r="BD148" s="784" cm="1">
        <f t="array" ref="BD148">ROUND(BC148/$F148,4)</f>
        <v>11.3357</v>
      </c>
      <c r="BE148" s="785" cm="1">
        <f t="array" ref="BE148">BC148+BA148</f>
        <v>712723.413921812</v>
      </c>
      <c r="BF148" s="784" cm="1">
        <f t="array" ref="BF148">ROUND((BA148+BC148)/F148,4)</f>
        <v>12.5212</v>
      </c>
      <c r="BG148" s="786" cm="1">
        <f t="array" ref="BG148">BO148*F148</f>
        <v>77498.5860781884</v>
      </c>
      <c r="BH148" s="787" cm="1">
        <f t="array" ref="BH148">ROUND(BG148/$F148,4)</f>
        <v>1.3615</v>
      </c>
      <c r="BI148" s="772" cm="1">
        <f t="array" ref="BI148">M147-M148</f>
        <v>708528</v>
      </c>
      <c r="BJ148" s="772" cm="1">
        <f t="array" ref="BJ148">BE148-BI148</f>
        <v>4195.413921812</v>
      </c>
      <c r="BK148" s="772" cm="1">
        <f t="array" ref="BK148">-BJ148</f>
        <v>-4195.413921812</v>
      </c>
      <c r="BL148" s="772" cm="1">
        <f t="array" ref="BL148">BG148+BJ148</f>
        <v>81694.000000000393</v>
      </c>
      <c r="BM148" s="772" cm="1">
        <f t="array" ref="BM148">AVERAGE(BL146:BL148)</f>
        <v>147616.666666667</v>
      </c>
      <c r="BN148" s="788" cm="1">
        <f t="array" ref="BN148">BH147-BH148</f>
        <v>0.0514</v>
      </c>
      <c r="BO148" s="775" cm="1">
        <f t="array" ref="BO148">K147*0.0495/12-0.16</f>
        <v>1.36149965</v>
      </c>
      <c r="BP148" s="789" cm="1">
        <f t="array" ref="BP148">(BA148+BC148)/BG148</f>
        <v>9.196598931530749</v>
      </c>
      <c r="BQ148" s="789" cm="1">
        <f t="array" ref="BQ148">Y148-BB148</f>
        <v>2.41161172866181</v>
      </c>
      <c r="BR148" s="789" cm="1">
        <f t="array" ref="BR148">(BR$4*(1+BR$4)^BR$3*K147)/((1+BR$4)^BR$3-1)</f>
        <v>1.96880209636601</v>
      </c>
      <c r="BS148" s="789"/>
      <c r="BT148" s="764"/>
      <c r="BU148" s="764"/>
      <c r="BV148" s="764" cm="1">
        <f t="array" ref="BV148">BA148+BC148+BV147</f>
        <v>154755635.685301</v>
      </c>
      <c r="BW148" s="764" cm="1">
        <f t="array" ref="BW148">BG148+BW147</f>
        <v>33140881.3147006</v>
      </c>
      <c r="BX148" s="775" cm="1">
        <f t="array" ref="BX148">BF148+BX147</f>
        <v>3559.182</v>
      </c>
      <c r="BY148" s="775" cm="1">
        <f t="array" ref="BY148">BH148+BY147</f>
        <v>748.9091</v>
      </c>
      <c r="BZ148" s="764" cm="1">
        <f t="array" ref="BZ148">SUM(BJ$6:BJ148)</f>
        <v>28405777.6852993</v>
      </c>
      <c r="CA148" s="775"/>
      <c r="CB148" s="775"/>
      <c r="CC148" s="764" cm="1">
        <f t="array" ref="CC148">SUM(BE$6:BE148)</f>
        <v>154755635.685299</v>
      </c>
      <c r="CD148" s="775"/>
      <c r="CE148" s="775"/>
      <c r="CF148" s="775"/>
      <c r="CG148" s="775"/>
      <c r="CH148" s="775"/>
      <c r="CI148" s="775"/>
      <c r="CJ148" s="775"/>
      <c r="CK148" s="775"/>
      <c r="CL148" s="775"/>
      <c r="CM148" s="775"/>
    </row>
    <row r="149" ht="19.35" customHeight="1" hidden="1">
      <c r="A149" s="762">
        <v>143</v>
      </c>
      <c r="B149" s="790">
        <v>49685</v>
      </c>
      <c r="C149" s="405"/>
      <c r="D149" s="791" cm="1">
        <f t="array" ref="D149">ROUND(850000/F149,4)</f>
        <v>15.2252</v>
      </c>
      <c r="E149" s="792" cm="1">
        <f t="array" ref="E149">D149/K148</f>
        <v>0.0427281442449524</v>
      </c>
      <c r="F149" s="793" cm="1">
        <f t="array" ref="F149">F148*(1+G149)</f>
        <v>55828.5954943045</v>
      </c>
      <c r="G149" s="792" cm="1">
        <f t="array" ref="G149">H149-SUM(G138:G148)</f>
        <v>-0.0192</v>
      </c>
      <c r="H149" s="794" cm="1">
        <f t="array" ref="H149">'depto - Table 5'!$L$2</f>
        <v>0.03</v>
      </c>
      <c r="I149" s="795" cm="1">
        <f t="array" ref="I149">H149+4.95/100</f>
        <v>0.0795</v>
      </c>
      <c r="J149" s="405" cm="1">
        <f t="array" ref="J149">IF(K148=0,0,ROUND(D149*F149,0))</f>
        <v>850002</v>
      </c>
      <c r="K149" s="796" cm="1">
        <f t="array" ref="K149">IF(K148-BF149&lt;0,0,K148-BF149)</f>
        <v>343.4614</v>
      </c>
      <c r="L149" s="797" cm="1">
        <f t="array" ref="L149">K149/K$5</f>
        <v>0.086952253164557</v>
      </c>
      <c r="M149" s="798" cm="1">
        <f t="array" ref="M149">ROUND(K149*F149,0)</f>
        <v>19174968</v>
      </c>
      <c r="N149" s="799" cm="1">
        <f t="array" ref="N149">M149/M$5</f>
        <v>0.130768852849107</v>
      </c>
      <c r="O149" s="798" cm="1">
        <f t="array" ref="O149">M149-M148</f>
        <v>-1107706</v>
      </c>
      <c r="P149" s="800" cm="1">
        <f t="array" ref="P149">T149-K149</f>
        <v>5056.5386</v>
      </c>
      <c r="Q149" s="798" cm="1">
        <f t="array" ref="Q149">ROUND(P149*F149,0)</f>
        <v>282299448</v>
      </c>
      <c r="R149" s="801" cm="1">
        <f t="array" ref="R149">$K$5-K149</f>
        <v>3606.5386</v>
      </c>
      <c r="S149" s="798" cm="1">
        <f t="array" ref="S149">Q149-Q148</f>
        <v>-4793913</v>
      </c>
      <c r="T149" s="801">
        <v>5400</v>
      </c>
      <c r="U149" s="798" cm="1">
        <f t="array" ref="U149">T149*F149</f>
        <v>301474415.669244</v>
      </c>
      <c r="V149" s="802" cm="1">
        <f t="array" ref="V149">-S149</f>
        <v>4793913</v>
      </c>
      <c r="W149" s="802"/>
      <c r="X149" s="802" cm="1">
        <f t="array" ref="X149">$K148*4.95/12/100/(1-(1+4.95/12/100)^-(360-$A149+3))+$AY149</f>
        <v>3.51696905031074</v>
      </c>
      <c r="Y149" s="803" cm="1">
        <f t="array" ref="Y149">K148*4.95/12/100/(1-(1+4.95/12/100)^-(360-$A149+3))+AY149</f>
        <v>3.51696905031074</v>
      </c>
      <c r="Z149" s="791" cm="1">
        <f t="array" ref="Z149">IF(Z$3*12&lt;=$A149,0,$K148*'depto - Departamento'!$D$8/12/(1-(1+'depto - Departamento'!$D$8/12)^-(12*Z$3-$A149+3))+$AY150)</f>
        <v>4.09569763084757</v>
      </c>
      <c r="AA149" s="791" cm="1">
        <f t="array" ref="AA149">IF(AA$3*12&lt;=$A149,0,$K148*'depto - Departamento'!$D$8/12/(1-(1+'depto - Departamento'!$D$8/12)^-(12*AA$3-$A149+3))+$AY150)</f>
        <v>5.40486091517719</v>
      </c>
      <c r="AB149" s="791" cm="1">
        <f t="array" ref="AB149">IF(AB$3*12&lt;$A149,0,$K148*'depto - Departamento'!$D$8/12/(1-(1+'depto - Departamento'!$D$8/12)^-(12*AB$3-$A149+3))+$AY149)</f>
        <v>10.731220532882</v>
      </c>
      <c r="AC149" s="791" cm="1">
        <f t="array" ref="AC149">IF(AC$3*12&lt;$A149,0,$K148*'depto - Departamento'!$D$8/12/(1-(1+'depto - Departamento'!$D$8/12)^-(12*AC$3-$A149+3))+$AY149)</f>
        <v>91.05194229605711</v>
      </c>
      <c r="AD149" s="791" cm="1">
        <f t="array" ref="AD149">IF(AD$3*12&lt;$A149,0,$K148*'depto - Departamento'!$D$8/12/(1-(1+'depto - Departamento'!$D$8/12)^-(12*AD$3-$A149+3))+$AY149)</f>
        <v>0</v>
      </c>
      <c r="AE149" s="791" cm="1">
        <f t="array" ref="AE149">IF(AE$3*12&lt;$A149,0,$K148*'depto - Departamento'!$D$8/12/(1-(1+'depto - Departamento'!$D$8/12)^-(12*AE$3-$A149+3))+$AY149)</f>
        <v>0</v>
      </c>
      <c r="AF149" s="791" cm="1">
        <f t="array" ref="AF149">AF148-(AF147-AF148)</f>
        <v>79.4393</v>
      </c>
      <c r="AG149" s="791"/>
      <c r="AH149" s="791"/>
      <c r="AI149" s="804" cm="1">
        <f t="array" ref="AI149">$F149*Y149</f>
        <v>196347.442475787</v>
      </c>
      <c r="AJ149" s="405" cm="1">
        <f t="array" ref="AJ149">$F149*Z149</f>
        <v>228657.04629957</v>
      </c>
      <c r="AK149" s="405" cm="1">
        <f t="array" ref="AK149">$F149*AA149</f>
        <v>301745.793736404</v>
      </c>
      <c r="AL149" s="405" cm="1">
        <f t="array" ref="AL149">$F149*AB149</f>
        <v>599108.970290444</v>
      </c>
      <c r="AM149" s="405" cm="1">
        <f t="array" ref="AM149">$F149*AC149</f>
        <v>5083302.05541733</v>
      </c>
      <c r="AN149" s="405" cm="1">
        <f t="array" ref="AN149">$F149*AD149</f>
        <v>0</v>
      </c>
      <c r="AO149" s="405"/>
      <c r="AP149" s="405" cm="1">
        <f t="array" ref="AP149">$F149*AF149</f>
        <v>4434984.5460507</v>
      </c>
      <c r="AQ149" s="791"/>
      <c r="AR149" s="805" cm="1">
        <f t="array" ref="AR149">K148-K149</f>
        <v>12.8658</v>
      </c>
      <c r="AS149" s="805" cm="1">
        <f t="array" ref="AS149">D149-AR149</f>
        <v>2.3594</v>
      </c>
      <c r="AT149" s="791"/>
      <c r="AU149" s="806" cm="1">
        <f t="array" ref="AU149">ROUND(AV149*F149,0)</f>
        <v>57738</v>
      </c>
      <c r="AV149" s="807" cm="1">
        <f t="array" ref="AV149">IF(K148=0,0,AV148)</f>
        <v>1.0342</v>
      </c>
      <c r="AW149" s="806" cm="1">
        <f t="array" ref="AW149">ROUND(F149*AX149,0)</f>
        <v>860</v>
      </c>
      <c r="AX149" s="807" cm="1">
        <f t="array" ref="AX149">AX$11/K$10*K148</f>
        <v>0.0153954116683903</v>
      </c>
      <c r="AY149" s="808" cm="1">
        <f t="array" ref="AY149">SUM(AV149,AX149)</f>
        <v>1.04959541166839</v>
      </c>
      <c r="AZ149" s="806" cm="1">
        <f t="array" ref="AZ149">AU149+AW149</f>
        <v>58598</v>
      </c>
      <c r="BA149" s="809" cm="1">
        <f t="array" ref="BA149">AI149-AZ149-BG149</f>
        <v>64622.3734161509</v>
      </c>
      <c r="BB149" s="810" cm="1">
        <f t="array" ref="BB149">ROUND(BA149/$F149,4)</f>
        <v>1.1575</v>
      </c>
      <c r="BC149" s="809" cm="1">
        <f t="array" ref="BC149">J149-SUM(AZ149,BA149,BG149)</f>
        <v>653654.557524213</v>
      </c>
      <c r="BD149" s="810" cm="1">
        <f t="array" ref="BD149">ROUND(BC149/$F149,4)</f>
        <v>11.7082</v>
      </c>
      <c r="BE149" s="811" cm="1">
        <f t="array" ref="BE149">BC149+BA149</f>
        <v>718276.930940364</v>
      </c>
      <c r="BF149" s="810" cm="1">
        <f t="array" ref="BF149">ROUND((BA149+BC149)/F149,4)</f>
        <v>12.8658</v>
      </c>
      <c r="BG149" s="812" cm="1">
        <f t="array" ref="BG149">BO149*F149</f>
        <v>73127.069059636095</v>
      </c>
      <c r="BH149" s="813" cm="1">
        <f t="array" ref="BH149">ROUND(BG149/$F149,4)</f>
        <v>1.3098</v>
      </c>
      <c r="BI149" s="798" cm="1">
        <f t="array" ref="BI149">M148-M149</f>
        <v>1107706</v>
      </c>
      <c r="BJ149" s="798" cm="1">
        <f t="array" ref="BJ149">BE149-BI149</f>
        <v>-389429.069059636</v>
      </c>
      <c r="BK149" s="798" cm="1">
        <f t="array" ref="BK149">-BJ149</f>
        <v>389429.069059636</v>
      </c>
      <c r="BL149" s="798" cm="1">
        <f t="array" ref="BL149">BG149+BJ149</f>
        <v>-316302</v>
      </c>
      <c r="BM149" s="798" cm="1">
        <f t="array" ref="BM149">AVERAGE(BL147:BL149)</f>
        <v>-24733.3333333332</v>
      </c>
      <c r="BN149" s="814" cm="1">
        <f t="array" ref="BN149">BH148-BH149</f>
        <v>0.0517</v>
      </c>
      <c r="BO149" s="801" cm="1">
        <f t="array" ref="BO149">K148*0.0495/12-0.16</f>
        <v>1.3098497</v>
      </c>
      <c r="BP149" s="815" cm="1">
        <f t="array" ref="BP149">(BA149+BC149)/BG149</f>
        <v>9.82231258789545</v>
      </c>
      <c r="BQ149" s="815" cm="1">
        <f t="array" ref="BQ149">Y149-BB149</f>
        <v>2.35946905031074</v>
      </c>
      <c r="BR149" s="815" cm="1">
        <f t="array" ref="BR149">(BR$4*(1+BR$4)^BR$3*K148)/((1+BR$4)^BR$3-1)</f>
        <v>1.90196768740824</v>
      </c>
      <c r="BS149" s="815"/>
      <c r="BT149" s="405"/>
      <c r="BU149" s="405"/>
      <c r="BV149" s="405" cm="1">
        <f t="array" ref="BV149">BA149+BC149+BV148</f>
        <v>155473912.616241</v>
      </c>
      <c r="BW149" s="405" cm="1">
        <f t="array" ref="BW149">BG149+BW148</f>
        <v>33214008.3837602</v>
      </c>
      <c r="BX149" s="801" cm="1">
        <f t="array" ref="BX149">BF149+BX148</f>
        <v>3572.0478</v>
      </c>
      <c r="BY149" s="801" cm="1">
        <f t="array" ref="BY149">BH149+BY148</f>
        <v>750.2189</v>
      </c>
      <c r="BZ149" s="405" cm="1">
        <f t="array" ref="BZ149">SUM(BJ$6:BJ149)</f>
        <v>28016348.6162397</v>
      </c>
      <c r="CA149" s="801"/>
      <c r="CB149" s="801"/>
      <c r="CC149" s="405" cm="1">
        <f t="array" ref="CC149">SUM(BE$6:BE149)</f>
        <v>155473912.61624</v>
      </c>
      <c r="CD149" s="801"/>
      <c r="CE149" s="801"/>
      <c r="CF149" s="801"/>
      <c r="CG149" s="801"/>
      <c r="CH149" s="801"/>
      <c r="CI149" s="801"/>
      <c r="CJ149" s="801"/>
      <c r="CK149" s="801"/>
      <c r="CL149" s="801"/>
      <c r="CM149" s="801"/>
    </row>
    <row r="150" ht="19.35" customHeight="1" hidden="1">
      <c r="A150" s="762">
        <v>144</v>
      </c>
      <c r="B150" s="790">
        <v>49716</v>
      </c>
      <c r="C150" s="405"/>
      <c r="D150" s="791" cm="1">
        <f t="array" ref="D150">ROUND(850000/F150,4)</f>
        <v>15.2206</v>
      </c>
      <c r="E150" s="792" cm="1">
        <f t="array" ref="E150">D150/K149</f>
        <v>0.044315314617596</v>
      </c>
      <c r="F150" s="793" cm="1">
        <f t="array" ref="F150">F149*(1+G150)</f>
        <v>55845.3440729528</v>
      </c>
      <c r="G150" s="792" cm="1">
        <f t="array" ref="G150">H150-SUM(G139:G149)</f>
        <v>0.0003</v>
      </c>
      <c r="H150" s="794" cm="1">
        <f t="array" ref="H150">'depto - Table 5'!$L$2</f>
        <v>0.03</v>
      </c>
      <c r="I150" s="795" cm="1">
        <f t="array" ref="I150">H150+4.95/100</f>
        <v>0.0795</v>
      </c>
      <c r="J150" s="405" cm="1">
        <f t="array" ref="J150">IF(K149=0,0,ROUND(D150*F150,0))</f>
        <v>850000</v>
      </c>
      <c r="K150" s="796" cm="1">
        <f t="array" ref="K150">IF(K149-BF150&lt;0,0,K149-BF150)</f>
        <v>330.5466</v>
      </c>
      <c r="L150" s="797" cm="1">
        <f t="array" ref="L150">K150/K$5</f>
        <v>0.0836826835443038</v>
      </c>
      <c r="M150" s="798" cm="1">
        <f t="array" ref="M150">ROUND(K150*F150,0)</f>
        <v>18459489</v>
      </c>
      <c r="N150" s="799" cm="1">
        <f t="array" ref="N150">M150/M$5</f>
        <v>0.125889451325849</v>
      </c>
      <c r="O150" s="798" cm="1">
        <f t="array" ref="O150">M150-M149</f>
        <v>-715479</v>
      </c>
      <c r="P150" s="800" cm="1">
        <f t="array" ref="P150">T150-K150</f>
        <v>5069.4534</v>
      </c>
      <c r="Q150" s="798" cm="1">
        <f t="array" ref="Q150">ROUND(P150*F150,0)</f>
        <v>283105369</v>
      </c>
      <c r="R150" s="801" cm="1">
        <f t="array" ref="R150">$K$5-K150</f>
        <v>3619.4534</v>
      </c>
      <c r="S150" s="798" cm="1">
        <f t="array" ref="S150">Q150-Q149</f>
        <v>805921</v>
      </c>
      <c r="T150" s="801">
        <v>5400</v>
      </c>
      <c r="U150" s="798" cm="1">
        <f t="array" ref="U150">T150*F150</f>
        <v>301564857.993945</v>
      </c>
      <c r="V150" s="802" cm="1">
        <f t="array" ref="V150">-S150</f>
        <v>-805921</v>
      </c>
      <c r="W150" s="802"/>
      <c r="X150" s="802" cm="1">
        <f t="array" ref="X150">$K149*4.95/12/100/(1-(1+4.95/12/100)^-(360-$A150+3))+$AY150</f>
        <v>3.43400105393342</v>
      </c>
      <c r="Y150" s="803" cm="1">
        <f t="array" ref="Y150">K149*4.95/12/100/(1-(1+4.95/12/100)^-(360-$A150+3))+AY150</f>
        <v>3.43400105393342</v>
      </c>
      <c r="Z150" s="791" cm="1">
        <f t="array" ref="Z150">IF(Z$3*12&lt;=$A150,0,$K149*'depto - Departamento'!$D$8/12/(1-(1+'depto - Departamento'!$D$8/12)^-(12*Z$3-$A150+3))+$AY151)</f>
        <v>3.99818781182355</v>
      </c>
      <c r="AA150" s="791" cm="1">
        <f t="array" ref="AA150">IF(AA$3*12&lt;=$A150,0,$K149*'depto - Departamento'!$D$8/12/(1-(1+'depto - Departamento'!$D$8/12)^-(12*AA$3-$A150+3))+$AY151)</f>
        <v>5.28131118645849</v>
      </c>
      <c r="AB150" s="791" cm="1">
        <f t="array" ref="AB150">IF(AB$3*12&lt;$A150,0,$K149*'depto - Departamento'!$D$8/12/(1-(1+'depto - Departamento'!$D$8/12)^-(12*AB$3-$A150+3))+$AY150)</f>
        <v>10.6012290770957</v>
      </c>
      <c r="AC150" s="791" cm="1">
        <f t="array" ref="AC150">IF(AC$3*12&lt;$A150,0,$K149*'depto - Departamento'!$D$8/12/(1-(1+'depto - Departamento'!$D$8/12)^-(12*AC$3-$A150+3))+$AY150)</f>
        <v>116.481987755969</v>
      </c>
      <c r="AD150" s="791" cm="1">
        <f t="array" ref="AD150">IF(AD$3*12&lt;$A150,0,$K149*'depto - Departamento'!$D$8/12/(1-(1+'depto - Departamento'!$D$8/12)^-(12*AD$3-$A150+3))+$AY150)</f>
        <v>0</v>
      </c>
      <c r="AE150" s="791" cm="1">
        <f t="array" ref="AE150">IF(AE$3*12&lt;$A150,0,$K149*'depto - Departamento'!$D$8/12/(1-(1+'depto - Departamento'!$D$8/12)^-(12*AE$3-$A150+3))+$AY150)</f>
        <v>0</v>
      </c>
      <c r="AF150" s="791" cm="1">
        <f t="array" ref="AF150">AF149-(AF148-AF149)</f>
        <v>79.4365</v>
      </c>
      <c r="AG150" s="791"/>
      <c r="AH150" s="791"/>
      <c r="AI150" s="804" cm="1">
        <f t="array" ref="AI150">$F150*Y150</f>
        <v>191772.970403794</v>
      </c>
      <c r="AJ150" s="405" cm="1">
        <f t="array" ref="AJ150">$F150*Z150</f>
        <v>223280.174019572</v>
      </c>
      <c r="AK150" s="405" cm="1">
        <f t="array" ref="AK150">$F150*AA150</f>
        <v>294936.640364109</v>
      </c>
      <c r="AL150" s="405" cm="1">
        <f t="array" ref="AL150">$F150*AB150</f>
        <v>592029.285406601</v>
      </c>
      <c r="AM150" s="405" cm="1">
        <f t="array" ref="AM150">$F150*AC150</f>
        <v>6504976.68453356</v>
      </c>
      <c r="AN150" s="405" cm="1">
        <f t="array" ref="AN150">$F150*AD150</f>
        <v>0</v>
      </c>
      <c r="AO150" s="405"/>
      <c r="AP150" s="405" cm="1">
        <f t="array" ref="AP150">$F150*AF150</f>
        <v>4436158.67445112</v>
      </c>
      <c r="AQ150" s="791"/>
      <c r="AR150" s="805" cm="1">
        <f t="array" ref="AR150">K149-K150</f>
        <v>12.9148</v>
      </c>
      <c r="AS150" s="805" cm="1">
        <f t="array" ref="AS150">D150-AR150</f>
        <v>2.3058</v>
      </c>
      <c r="AT150" s="791"/>
      <c r="AU150" s="806" cm="1">
        <f t="array" ref="AU150">ROUND(AV150*F150,0)</f>
        <v>57755</v>
      </c>
      <c r="AV150" s="807" cm="1">
        <f t="array" ref="AV150">IF(K149=0,0,AV149)</f>
        <v>1.0342</v>
      </c>
      <c r="AW150" s="806" cm="1">
        <f t="array" ref="AW150">ROUND(F150*AX150,0)</f>
        <v>829</v>
      </c>
      <c r="AX150" s="807" cm="1">
        <f t="array" ref="AX150">AX$11/K$10*K149</f>
        <v>0.014839534128188</v>
      </c>
      <c r="AY150" s="808" cm="1">
        <f t="array" ref="AY150">SUM(AV150,AX150)</f>
        <v>1.04903953412819</v>
      </c>
      <c r="AZ150" s="806" cm="1">
        <f t="array" ref="AZ150">AU150+AW150</f>
        <v>58584</v>
      </c>
      <c r="BA150" s="809" cm="1">
        <f t="array" ref="BA150">AI150-AZ150-BG150</f>
        <v>63003.7552130069</v>
      </c>
      <c r="BB150" s="810" cm="1">
        <f t="array" ref="BB150">ROUND(BA150/$F150,4)</f>
        <v>1.1282</v>
      </c>
      <c r="BC150" s="809" cm="1">
        <f t="array" ref="BC150">J150-SUM(AZ150,BA150,BG150)</f>
        <v>658227.029596206</v>
      </c>
      <c r="BD150" s="810" cm="1">
        <f t="array" ref="BD150">ROUND(BC150/$F150,4)</f>
        <v>11.7866</v>
      </c>
      <c r="BE150" s="811" cm="1">
        <f t="array" ref="BE150">BC150+BA150</f>
        <v>721230.784809213</v>
      </c>
      <c r="BF150" s="810" cm="1">
        <f t="array" ref="BF150">ROUND((BA150+BC150)/F150,4)</f>
        <v>12.9148</v>
      </c>
      <c r="BG150" s="812" cm="1">
        <f t="array" ref="BG150">BO150*F150</f>
        <v>70185.2151907871</v>
      </c>
      <c r="BH150" s="813" cm="1">
        <f t="array" ref="BH150">ROUND(BG150/$F150,4)</f>
        <v>1.2568</v>
      </c>
      <c r="BI150" s="798" cm="1">
        <f t="array" ref="BI150">M149-M150</f>
        <v>715479</v>
      </c>
      <c r="BJ150" s="798" cm="1">
        <f t="array" ref="BJ150">BE150-BI150</f>
        <v>5751.784809213</v>
      </c>
      <c r="BK150" s="798" cm="1">
        <f t="array" ref="BK150">-BJ150</f>
        <v>-5751.784809213</v>
      </c>
      <c r="BL150" s="798" cm="1">
        <f t="array" ref="BL150">BG150+BJ150</f>
        <v>75937.0000000001</v>
      </c>
      <c r="BM150" s="798" cm="1">
        <f t="array" ref="BM150">AVERAGE(BL148:BL150)</f>
        <v>-52890.3333333332</v>
      </c>
      <c r="BN150" s="814" cm="1">
        <f t="array" ref="BN150">BH149-BH150</f>
        <v>0.053</v>
      </c>
      <c r="BO150" s="801" cm="1">
        <f t="array" ref="BO150">K149*0.0495/12-0.16</f>
        <v>1.256778275</v>
      </c>
      <c r="BP150" s="815" cm="1">
        <f t="array" ref="BP150">(BA150+BC150)/BG150</f>
        <v>10.2761070525846</v>
      </c>
      <c r="BQ150" s="815" cm="1">
        <f t="array" ref="BQ150">Y150-BB150</f>
        <v>2.30580105393342</v>
      </c>
      <c r="BR150" s="815" cm="1">
        <f t="array" ref="BR150">(BR$4*(1+BR$4)^BR$3*K149)/((1+BR$4)^BR$3-1)</f>
        <v>1.83329390703824</v>
      </c>
      <c r="BS150" s="815"/>
      <c r="BT150" s="405"/>
      <c r="BU150" s="405"/>
      <c r="BV150" s="405" cm="1">
        <f t="array" ref="BV150">BA150+BC150+BV149</f>
        <v>156195143.40105</v>
      </c>
      <c r="BW150" s="405" cm="1">
        <f t="array" ref="BW150">BG150+BW149</f>
        <v>33284193.598951</v>
      </c>
      <c r="BX150" s="801" cm="1">
        <f t="array" ref="BX150">BF150+BX149</f>
        <v>3584.9626</v>
      </c>
      <c r="BY150" s="801" cm="1">
        <f t="array" ref="BY150">BH150+BY149</f>
        <v>751.4757</v>
      </c>
      <c r="BZ150" s="405" cm="1">
        <f t="array" ref="BZ150">SUM(BJ$6:BJ150)</f>
        <v>28022100.4010489</v>
      </c>
      <c r="CA150" s="801"/>
      <c r="CB150" s="801"/>
      <c r="CC150" s="405" cm="1">
        <f t="array" ref="CC150">SUM(BE$6:BE150)</f>
        <v>156195143.401049</v>
      </c>
      <c r="CD150" s="801"/>
      <c r="CE150" s="801"/>
      <c r="CF150" s="801"/>
      <c r="CG150" s="801"/>
      <c r="CH150" s="801"/>
      <c r="CI150" s="801"/>
      <c r="CJ150" s="801"/>
      <c r="CK150" s="801"/>
      <c r="CL150" s="801"/>
      <c r="CM150" s="801"/>
    </row>
    <row r="151" ht="19.35" customHeight="1" hidden="1">
      <c r="A151" s="762">
        <v>145</v>
      </c>
      <c r="B151" s="790">
        <v>49745</v>
      </c>
      <c r="C151" s="405"/>
      <c r="D151" s="791" cm="1">
        <f t="array" ref="D151">ROUND(850000/F151,4)</f>
        <v>15.1645</v>
      </c>
      <c r="E151" s="792" cm="1">
        <f t="array" ref="E151">D151/K150</f>
        <v>0.0458770412401761</v>
      </c>
      <c r="F151" s="793" cm="1">
        <f t="array" ref="F151">F150*(1+G151)</f>
        <v>56051.9718460227</v>
      </c>
      <c r="G151" s="792" cm="1">
        <f t="array" ref="G151">H151-SUM(G140:G150)</f>
        <v>0.0037</v>
      </c>
      <c r="H151" s="794" cm="1">
        <f t="array" ref="H151">'depto - Table 5'!$L$2</f>
        <v>0.03</v>
      </c>
      <c r="I151" s="795" cm="1">
        <f t="array" ref="I151">H151+4.95/100</f>
        <v>0.0795</v>
      </c>
      <c r="J151" s="405" cm="1">
        <f t="array" ref="J151">IF(K150=0,0,ROUND(D151*F151,0))</f>
        <v>850000</v>
      </c>
      <c r="K151" s="796" cm="1">
        <f t="array" ref="K151">IF(K150-BF151&lt;0,0,K150-BF151)</f>
        <v>317.6341</v>
      </c>
      <c r="L151" s="797" cm="1">
        <f t="array" ref="L151">K151/K$5</f>
        <v>0.0804136962025316</v>
      </c>
      <c r="M151" s="798" cm="1">
        <f t="array" ref="M151">ROUND(K151*F151,0)</f>
        <v>17804018</v>
      </c>
      <c r="N151" s="799" cm="1">
        <f t="array" ref="N151">M151/M$5</f>
        <v>0.121419290502329</v>
      </c>
      <c r="O151" s="798" cm="1">
        <f t="array" ref="O151">M151-M150</f>
        <v>-655471</v>
      </c>
      <c r="P151" s="800" cm="1">
        <f t="array" ref="P151">T151-K151</f>
        <v>5082.3659</v>
      </c>
      <c r="Q151" s="798" cm="1">
        <f t="array" ref="Q151">ROUND(P151*F151,0)</f>
        <v>284876630</v>
      </c>
      <c r="R151" s="801" cm="1">
        <f t="array" ref="R151">$K$5-K151</f>
        <v>3632.3659</v>
      </c>
      <c r="S151" s="798" cm="1">
        <f t="array" ref="S151">Q151-Q150</f>
        <v>1771261</v>
      </c>
      <c r="T151" s="801">
        <v>5400</v>
      </c>
      <c r="U151" s="798" cm="1">
        <f t="array" ref="U151">T151*F151</f>
        <v>302680647.968523</v>
      </c>
      <c r="V151" s="802" cm="1">
        <f t="array" ref="V151">-S151</f>
        <v>-1771261</v>
      </c>
      <c r="W151" s="802"/>
      <c r="X151" s="802" cm="1">
        <f t="array" ref="X151">$K150*4.95/12/100/(1-(1+4.95/12/100)^-(360-$A151+3))+$AY151</f>
        <v>3.35025244454763</v>
      </c>
      <c r="Y151" s="803" cm="1">
        <f t="array" ref="Y151">K150*4.95/12/100/(1-(1+4.95/12/100)^-(360-$A151+3))+AY151</f>
        <v>3.35025244454763</v>
      </c>
      <c r="Z151" s="791" cm="1">
        <f t="array" ref="Z151">IF(Z$3*12&lt;=$A151,0,$K150*'depto - Departamento'!$D$8/12/(1-(1+'depto - Departamento'!$D$8/12)^-(12*Z$3-$A151+3))+$AY152)</f>
        <v>3.89944219023059</v>
      </c>
      <c r="AA151" s="791" cm="1">
        <f t="array" ref="AA151">IF(AA$3*12&lt;=$A151,0,$K150*'depto - Departamento'!$D$8/12/(1-(1+'depto - Departamento'!$D$8/12)^-(12*AA$3-$A151+3))+$AY152)</f>
        <v>5.15526711397781</v>
      </c>
      <c r="AB151" s="791" cm="1">
        <f t="array" ref="AB151">IF(AB$3*12&lt;$A151,0,$K150*'depto - Departamento'!$D$8/12/(1-(1+'depto - Departamento'!$D$8/12)^-(12*AB$3-$A151+3))+$AY151)</f>
        <v>10.4645240834243</v>
      </c>
      <c r="AC151" s="791" cm="1">
        <f t="array" ref="AC151">IF(AC$3*12&lt;$A151,0,$K150*'depto - Departamento'!$D$8/12/(1-(1+'depto - Departamento'!$D$8/12)^-(12*AC$3-$A151+3))+$AY151)</f>
        <v>0</v>
      </c>
      <c r="AD151" s="791" cm="1">
        <f t="array" ref="AD151">IF(AD$3*12&lt;$A151,0,$K150*'depto - Departamento'!$D$8/12/(1-(1+'depto - Departamento'!$D$8/12)^-(12*AD$3-$A151+3))+$AY151)</f>
        <v>0</v>
      </c>
      <c r="AE151" s="791" cm="1">
        <f t="array" ref="AE151">IF(AE$3*12&lt;$A151,0,$K150*'depto - Departamento'!$D$8/12/(1-(1+'depto - Departamento'!$D$8/12)^-(12*AE$3-$A151+3))+$AY151)</f>
        <v>0</v>
      </c>
      <c r="AF151" s="791" cm="1">
        <f t="array" ref="AF151">AF150-(AF149-AF150)</f>
        <v>79.4337</v>
      </c>
      <c r="AG151" s="791"/>
      <c r="AH151" s="791"/>
      <c r="AI151" s="804" cm="1">
        <f t="array" ref="AI151">$F151*Y151</f>
        <v>187788.255698852</v>
      </c>
      <c r="AJ151" s="405" cm="1">
        <f t="array" ref="AJ151">$F151*Z151</f>
        <v>218571.423861998</v>
      </c>
      <c r="AK151" s="405" cm="1">
        <f t="array" ref="AK151">$F151*AA151</f>
        <v>288962.887131411</v>
      </c>
      <c r="AL151" s="405" cm="1">
        <f t="array" ref="AL151">$F151*AB151</f>
        <v>586557.2093061249</v>
      </c>
      <c r="AM151" s="405" cm="1">
        <f t="array" ref="AM151">$F151*AC151</f>
        <v>0</v>
      </c>
      <c r="AN151" s="405" cm="1">
        <f t="array" ref="AN151">$F151*AD151</f>
        <v>0</v>
      </c>
      <c r="AO151" s="405"/>
      <c r="AP151" s="405" cm="1">
        <f t="array" ref="AP151">$F151*AF151</f>
        <v>4452415.51602541</v>
      </c>
      <c r="AQ151" s="791"/>
      <c r="AR151" s="805" cm="1">
        <f t="array" ref="AR151">K150-K151</f>
        <v>12.9125</v>
      </c>
      <c r="AS151" s="805" cm="1">
        <f t="array" ref="AS151">D151-AR151</f>
        <v>2.252</v>
      </c>
      <c r="AT151" s="791"/>
      <c r="AU151" s="806" cm="1">
        <f t="array" ref="AU151">ROUND(AV151*F151,0)</f>
        <v>57969</v>
      </c>
      <c r="AV151" s="807" cm="1">
        <f t="array" ref="AV151">IF(K150=0,0,AV150)</f>
        <v>1.0342</v>
      </c>
      <c r="AW151" s="806" cm="1">
        <f t="array" ref="AW151">ROUND(F151*AX151,0)</f>
        <v>801</v>
      </c>
      <c r="AX151" s="807" cm="1">
        <f t="array" ref="AX151">AX$11/K$10*K150</f>
        <v>0.01428153950242</v>
      </c>
      <c r="AY151" s="808" cm="1">
        <f t="array" ref="AY151">SUM(AV151,AX151)</f>
        <v>1.04848153950242</v>
      </c>
      <c r="AZ151" s="806" cm="1">
        <f t="array" ref="AZ151">AU151+AW151</f>
        <v>58770</v>
      </c>
      <c r="BA151" s="809" cm="1">
        <f t="array" ref="BA151">AI151-AZ151-BG151</f>
        <v>61559.4427365967</v>
      </c>
      <c r="BB151" s="810" cm="1">
        <f t="array" ref="BB151">ROUND(BA151/$F151,4)</f>
        <v>1.0983</v>
      </c>
      <c r="BC151" s="809" cm="1">
        <f t="array" ref="BC151">J151-SUM(AZ151,BA151,BG151)</f>
        <v>662211.744301148</v>
      </c>
      <c r="BD151" s="810" cm="1">
        <f t="array" ref="BD151">ROUND(BC151/$F151,4)</f>
        <v>11.8142</v>
      </c>
      <c r="BE151" s="811" cm="1">
        <f t="array" ref="BE151">BC151+BA151</f>
        <v>723771.187037745</v>
      </c>
      <c r="BF151" s="810" cm="1">
        <f t="array" ref="BF151">ROUND((BA151+BC151)/F151,4)</f>
        <v>12.9125</v>
      </c>
      <c r="BG151" s="812" cm="1">
        <f t="array" ref="BG151">BO151*F151</f>
        <v>67458.8129622553</v>
      </c>
      <c r="BH151" s="813" cm="1">
        <f t="array" ref="BH151">ROUND(BG151/$F151,4)</f>
        <v>1.2035</v>
      </c>
      <c r="BI151" s="798" cm="1">
        <f t="array" ref="BI151">M150-M151</f>
        <v>655471</v>
      </c>
      <c r="BJ151" s="798" cm="1">
        <f t="array" ref="BJ151">BE151-BI151</f>
        <v>68300.187037745</v>
      </c>
      <c r="BK151" s="798" cm="1">
        <f t="array" ref="BK151">-BJ151</f>
        <v>-68300.187037745</v>
      </c>
      <c r="BL151" s="798" cm="1">
        <f t="array" ref="BL151">BG151+BJ151</f>
        <v>135759</v>
      </c>
      <c r="BM151" s="798" cm="1">
        <f t="array" ref="BM151">AVERAGE(BL149:BL151)</f>
        <v>-34868.6666666666</v>
      </c>
      <c r="BN151" s="814" cm="1">
        <f t="array" ref="BN151">BH150-BH151</f>
        <v>0.0533</v>
      </c>
      <c r="BO151" s="801" cm="1">
        <f t="array" ref="BO151">K150*0.0495/12-0.16</f>
        <v>1.203504725</v>
      </c>
      <c r="BP151" s="815" cm="1">
        <f t="array" ref="BP151">(BA151+BC151)/BG151</f>
        <v>10.7290827581373</v>
      </c>
      <c r="BQ151" s="815" cm="1">
        <f t="array" ref="BQ151">Y151-BB151</f>
        <v>2.25195244454763</v>
      </c>
      <c r="BR151" s="815" cm="1">
        <f t="array" ref="BR151">(BR$4*(1+BR$4)^BR$3*K150)/((1+BR$4)^BR$3-1)</f>
        <v>1.76435857936934</v>
      </c>
      <c r="BS151" s="815"/>
      <c r="BT151" s="405"/>
      <c r="BU151" s="405"/>
      <c r="BV151" s="405" cm="1">
        <f t="array" ref="BV151">BA151+BC151+BV150</f>
        <v>156918914.588088</v>
      </c>
      <c r="BW151" s="405" cm="1">
        <f t="array" ref="BW151">BG151+BW150</f>
        <v>33351652.4119133</v>
      </c>
      <c r="BX151" s="801" cm="1">
        <f t="array" ref="BX151">BF151+BX150</f>
        <v>3597.8751</v>
      </c>
      <c r="BY151" s="801" cm="1">
        <f t="array" ref="BY151">BH151+BY150</f>
        <v>752.6792</v>
      </c>
      <c r="BZ151" s="405" cm="1">
        <f t="array" ref="BZ151">SUM(BJ$6:BJ151)</f>
        <v>28090400.5880867</v>
      </c>
      <c r="CA151" s="801"/>
      <c r="CB151" s="801"/>
      <c r="CC151" s="405" cm="1">
        <f t="array" ref="CC151">SUM(BE$6:BE151)</f>
        <v>156918914.588087</v>
      </c>
      <c r="CD151" s="801"/>
      <c r="CE151" s="801"/>
      <c r="CF151" s="801"/>
      <c r="CG151" s="801"/>
      <c r="CH151" s="801"/>
      <c r="CI151" s="801"/>
      <c r="CJ151" s="801"/>
      <c r="CK151" s="801"/>
      <c r="CL151" s="801"/>
      <c r="CM151" s="801"/>
    </row>
    <row r="152" ht="19.35" customHeight="1" hidden="1">
      <c r="A152" s="762">
        <v>146</v>
      </c>
      <c r="B152" s="790">
        <v>49776</v>
      </c>
      <c r="C152" s="405"/>
      <c r="D152" s="791" cm="1">
        <f t="array" ref="D152">ROUND(850000/F152,4)</f>
        <v>15.1539</v>
      </c>
      <c r="E152" s="792" cm="1">
        <f t="array" ref="E152">D152/K151</f>
        <v>0.0477086685592007</v>
      </c>
      <c r="F152" s="793" cm="1">
        <f t="array" ref="F152">F151*(1+G152)</f>
        <v>56091.2082263149</v>
      </c>
      <c r="G152" s="792" cm="1">
        <f t="array" ref="G152">H152-SUM(G141:G151)</f>
        <v>0.0007</v>
      </c>
      <c r="H152" s="794" cm="1">
        <f t="array" ref="H152">'depto - Table 5'!$L$2</f>
        <v>0.03</v>
      </c>
      <c r="I152" s="795" cm="1">
        <f t="array" ref="I152">H152+4.95/100</f>
        <v>0.0795</v>
      </c>
      <c r="J152" s="405" cm="1">
        <f t="array" ref="J152">IF(K151=0,0,ROUND(D152*F152,0))</f>
        <v>850001</v>
      </c>
      <c r="K152" s="796" cm="1">
        <f t="array" ref="K152">IF(K151-BF152&lt;0,0,K151-BF152)</f>
        <v>304.6784</v>
      </c>
      <c r="L152" s="797" cm="1">
        <f t="array" ref="L152">K152/K$5</f>
        <v>0.07713377215189871</v>
      </c>
      <c r="M152" s="798" cm="1">
        <f t="array" ref="M152">ROUND(K152*F152,0)</f>
        <v>17089780</v>
      </c>
      <c r="N152" s="799" cm="1">
        <f t="array" ref="N152">M152/M$5</f>
        <v>0.116548352312432</v>
      </c>
      <c r="O152" s="798" cm="1">
        <f t="array" ref="O152">M152-M151</f>
        <v>-714238</v>
      </c>
      <c r="P152" s="800" cm="1">
        <f t="array" ref="P152">T152-K152</f>
        <v>5095.3216</v>
      </c>
      <c r="Q152" s="798" cm="1">
        <f t="array" ref="Q152">ROUND(P152*F152,0)</f>
        <v>285802745</v>
      </c>
      <c r="R152" s="801" cm="1">
        <f t="array" ref="R152">$K$5-K152</f>
        <v>3645.3216</v>
      </c>
      <c r="S152" s="798" cm="1">
        <f t="array" ref="S152">Q152-Q151</f>
        <v>926115</v>
      </c>
      <c r="T152" s="801">
        <v>5400</v>
      </c>
      <c r="U152" s="798" cm="1">
        <f t="array" ref="U152">T152*F152</f>
        <v>302892524.4221</v>
      </c>
      <c r="V152" s="802" cm="1">
        <f t="array" ref="V152">-S152</f>
        <v>-926115</v>
      </c>
      <c r="W152" s="802"/>
      <c r="X152" s="802" cm="1">
        <f t="array" ref="X152">$K151*4.95/12/100/(1-(1+4.95/12/100)^-(360-$A152+3))+$AY152</f>
        <v>3.2660742636746</v>
      </c>
      <c r="Y152" s="803" cm="1">
        <f t="array" ref="Y152">K151*4.95/12/100/(1-(1+4.95/12/100)^-(360-$A152+3))+AY152</f>
        <v>3.2660742636746</v>
      </c>
      <c r="Z152" s="791" cm="1">
        <f t="array" ref="Z152">IF(Z$3*12&lt;=$A152,0,$K151*'depto - Departamento'!$D$8/12/(1-(1+'depto - Departamento'!$D$8/12)^-(12*Z$3-$A152+3))+$AY153)</f>
        <v>3.79988141290424</v>
      </c>
      <c r="AA152" s="791" cm="1">
        <f t="array" ref="AA152">IF(AA$3*12&lt;=$A152,0,$K151*'depto - Departamento'!$D$8/12/(1-(1+'depto - Departamento'!$D$8/12)^-(12*AA$3-$A152+3))+$AY153)</f>
        <v>5.02729480621735</v>
      </c>
      <c r="AB152" s="791" cm="1">
        <f t="array" ref="AB152">IF(AB$3*12&lt;$A152,0,$K151*'depto - Departamento'!$D$8/12/(1-(1+'depto - Departamento'!$D$8/12)^-(12*AB$3-$A152+3))+$AY152)</f>
        <v>10.3220671083892</v>
      </c>
      <c r="AC152" s="791" cm="1">
        <f t="array" ref="AC152">IF(AC$3*12&lt;$A152,0,$K151*'depto - Departamento'!$D$8/12/(1-(1+'depto - Departamento'!$D$8/12)^-(12*AC$3-$A152+3))+$AY152)</f>
        <v>0</v>
      </c>
      <c r="AD152" s="791" cm="1">
        <f t="array" ref="AD152">IF(AD$3*12&lt;$A152,0,$K151*'depto - Departamento'!$D$8/12/(1-(1+'depto - Departamento'!$D$8/12)^-(12*AD$3-$A152+3))+$AY152)</f>
        <v>0</v>
      </c>
      <c r="AE152" s="791" cm="1">
        <f t="array" ref="AE152">IF(AE$3*12&lt;$A152,0,$K151*'depto - Departamento'!$D$8/12/(1-(1+'depto - Departamento'!$D$8/12)^-(12*AE$3-$A152+3))+$AY152)</f>
        <v>0</v>
      </c>
      <c r="AF152" s="791" cm="1">
        <f t="array" ref="AF152">AF151-(AF150-AF151)</f>
        <v>79.43089999999999</v>
      </c>
      <c r="AG152" s="791"/>
      <c r="AH152" s="791"/>
      <c r="AI152" s="804" cm="1">
        <f t="array" ref="AI152">$F152*Y152</f>
        <v>183198.05160638</v>
      </c>
      <c r="AJ152" s="405" cm="1">
        <f t="array" ref="AJ152">$F152*Z152</f>
        <v>213139.939566515</v>
      </c>
      <c r="AK152" s="405" cm="1">
        <f t="array" ref="AK152">$F152*AA152</f>
        <v>281987.039790609</v>
      </c>
      <c r="AL152" s="405" cm="1">
        <f t="array" ref="AL152">$F152*AB152</f>
        <v>578977.215502655</v>
      </c>
      <c r="AM152" s="405" cm="1">
        <f t="array" ref="AM152">$F152*AC152</f>
        <v>0</v>
      </c>
      <c r="AN152" s="405" cm="1">
        <f t="array" ref="AN152">$F152*AD152</f>
        <v>0</v>
      </c>
      <c r="AO152" s="405"/>
      <c r="AP152" s="405" cm="1">
        <f t="array" ref="AP152">$F152*AF152</f>
        <v>4455375.1515036</v>
      </c>
      <c r="AQ152" s="791"/>
      <c r="AR152" s="805" cm="1">
        <f t="array" ref="AR152">K151-K152</f>
        <v>12.9557</v>
      </c>
      <c r="AS152" s="805" cm="1">
        <f t="array" ref="AS152">D152-AR152</f>
        <v>2.1982</v>
      </c>
      <c r="AT152" s="791"/>
      <c r="AU152" s="806" cm="1">
        <f t="array" ref="AU152">ROUND(AV152*F152,0)</f>
        <v>58010</v>
      </c>
      <c r="AV152" s="807" cm="1">
        <f t="array" ref="AV152">IF(K151=0,0,AV151)</f>
        <v>1.0342</v>
      </c>
      <c r="AW152" s="806" cm="1">
        <f t="array" ref="AW152">ROUND(F152*AX152,0)</f>
        <v>770</v>
      </c>
      <c r="AX152" s="807" cm="1">
        <f t="array" ref="AX152">AX$11/K$10*K151</f>
        <v>0.0137236442500562</v>
      </c>
      <c r="AY152" s="808" cm="1">
        <f t="array" ref="AY152">SUM(AV152,AX152)</f>
        <v>1.04792364425006</v>
      </c>
      <c r="AZ152" s="806" cm="1">
        <f t="array" ref="AZ152">AU152+AW152</f>
        <v>58780</v>
      </c>
      <c r="BA152" s="809" cm="1">
        <f t="array" ref="BA152">AI152-AZ152-BG152</f>
        <v>59899.6630957181</v>
      </c>
      <c r="BB152" s="810" cm="1">
        <f t="array" ref="BB152">ROUND(BA152/$F152,4)</f>
        <v>1.0679</v>
      </c>
      <c r="BC152" s="809" cm="1">
        <f t="array" ref="BC152">J152-SUM(AZ152,BA152,BG152)</f>
        <v>666802.94839362</v>
      </c>
      <c r="BD152" s="810" cm="1">
        <f t="array" ref="BD152">ROUND(BC152/$F152,4)</f>
        <v>11.8878</v>
      </c>
      <c r="BE152" s="811" cm="1">
        <f t="array" ref="BE152">BC152+BA152</f>
        <v>726702.611489338</v>
      </c>
      <c r="BF152" s="810" cm="1">
        <f t="array" ref="BF152">ROUND((BA152+BC152)/F152,4)</f>
        <v>12.9557</v>
      </c>
      <c r="BG152" s="812" cm="1">
        <f t="array" ref="BG152">BO152*F152</f>
        <v>64518.3885106619</v>
      </c>
      <c r="BH152" s="813" cm="1">
        <f t="array" ref="BH152">ROUND(BG152/$F152,4)</f>
        <v>1.1502</v>
      </c>
      <c r="BI152" s="798" cm="1">
        <f t="array" ref="BI152">M151-M152</f>
        <v>714238</v>
      </c>
      <c r="BJ152" s="798" cm="1">
        <f t="array" ref="BJ152">BE152-BI152</f>
        <v>12464.611489338</v>
      </c>
      <c r="BK152" s="798" cm="1">
        <f t="array" ref="BK152">-BJ152</f>
        <v>-12464.611489338</v>
      </c>
      <c r="BL152" s="798" cm="1">
        <f t="array" ref="BL152">BG152+BJ152</f>
        <v>76982.9999999999</v>
      </c>
      <c r="BM152" s="798" cm="1">
        <f t="array" ref="BM152">AVERAGE(BL150:BL152)</f>
        <v>96226.3333333333</v>
      </c>
      <c r="BN152" s="814" cm="1">
        <f t="array" ref="BN152">BH151-BH152</f>
        <v>0.0533</v>
      </c>
      <c r="BO152" s="801" cm="1">
        <f t="array" ref="BO152">K151*0.0495/12-0.16</f>
        <v>1.1502406625</v>
      </c>
      <c r="BP152" s="815" cm="1">
        <f t="array" ref="BP152">(BA152+BC152)/BG152</f>
        <v>11.263496008882</v>
      </c>
      <c r="BQ152" s="815" cm="1">
        <f t="array" ref="BQ152">Y152-BB152</f>
        <v>2.1981742636746</v>
      </c>
      <c r="BR152" s="815" cm="1">
        <f t="array" ref="BR152">(BR$4*(1+BR$4)^BR$3*K151)/((1+BR$4)^BR$3-1)</f>
        <v>1.6954355284104</v>
      </c>
      <c r="BS152" s="815"/>
      <c r="BT152" s="405"/>
      <c r="BU152" s="405"/>
      <c r="BV152" s="405" cm="1">
        <f t="array" ref="BV152">BA152+BC152+BV151</f>
        <v>157645617.199577</v>
      </c>
      <c r="BW152" s="405" cm="1">
        <f t="array" ref="BW152">BG152+BW151</f>
        <v>33416170.800424</v>
      </c>
      <c r="BX152" s="801" cm="1">
        <f t="array" ref="BX152">BF152+BX151</f>
        <v>3610.8308</v>
      </c>
      <c r="BY152" s="801" cm="1">
        <f t="array" ref="BY152">BH152+BY151</f>
        <v>753.8294</v>
      </c>
      <c r="BZ152" s="405" cm="1">
        <f t="array" ref="BZ152">SUM(BJ$6:BJ152)</f>
        <v>28102865.199576</v>
      </c>
      <c r="CA152" s="801"/>
      <c r="CB152" s="801"/>
      <c r="CC152" s="405" cm="1">
        <f t="array" ref="CC152">SUM(BE$6:BE152)</f>
        <v>157645617.199576</v>
      </c>
      <c r="CD152" s="801"/>
      <c r="CE152" s="801"/>
      <c r="CF152" s="801"/>
      <c r="CG152" s="801"/>
      <c r="CH152" s="801"/>
      <c r="CI152" s="801"/>
      <c r="CJ152" s="801"/>
      <c r="CK152" s="801"/>
      <c r="CL152" s="801"/>
      <c r="CM152" s="801"/>
    </row>
    <row r="153" ht="19.35" customHeight="1" hidden="1">
      <c r="A153" s="762">
        <v>147</v>
      </c>
      <c r="B153" s="790">
        <v>49806</v>
      </c>
      <c r="C153" s="405"/>
      <c r="D153" s="791" cm="1">
        <f t="array" ref="D153">ROUND(850000/F153,4)</f>
        <v>15.0009</v>
      </c>
      <c r="E153" s="792" cm="1">
        <f t="array" ref="E153">D153/K152</f>
        <v>0.0492351935680376</v>
      </c>
      <c r="F153" s="793" cm="1">
        <f t="array" ref="F153">F152*(1+G153)</f>
        <v>56663.3385502233</v>
      </c>
      <c r="G153" s="792" cm="1">
        <f t="array" ref="G153">H153-SUM(G142:G152)</f>
        <v>0.0102</v>
      </c>
      <c r="H153" s="794" cm="1">
        <f t="array" ref="H153">'depto - Table 5'!$L$2</f>
        <v>0.03</v>
      </c>
      <c r="I153" s="795" cm="1">
        <f t="array" ref="I153">H153+4.95/100</f>
        <v>0.0795</v>
      </c>
      <c r="J153" s="405" cm="1">
        <f t="array" ref="J153">IF(K152=0,0,ROUND(D153*F153,0))</f>
        <v>850001</v>
      </c>
      <c r="K153" s="796" cm="1">
        <f t="array" ref="K153">IF(K152-BF153&lt;0,0,K152-BF153)</f>
        <v>291.8217</v>
      </c>
      <c r="L153" s="797" cm="1">
        <f t="array" ref="L153">K153/K$5</f>
        <v>0.0738789113924051</v>
      </c>
      <c r="M153" s="798" cm="1">
        <f t="array" ref="M153">ROUND(K153*F153,0)</f>
        <v>16535592</v>
      </c>
      <c r="N153" s="799" cm="1">
        <f t="array" ref="N153">M153/M$5</f>
        <v>0.112768918155215</v>
      </c>
      <c r="O153" s="798" cm="1">
        <f t="array" ref="O153">M153-M152</f>
        <v>-554188</v>
      </c>
      <c r="P153" s="800" cm="1">
        <f t="array" ref="P153">T153-K153</f>
        <v>5108.1783</v>
      </c>
      <c r="Q153" s="798" cm="1">
        <f t="array" ref="Q153">ROUND(P153*F153,0)</f>
        <v>289446436</v>
      </c>
      <c r="R153" s="801" cm="1">
        <f t="array" ref="R153">$K$5-K153</f>
        <v>3658.1783</v>
      </c>
      <c r="S153" s="798" cm="1">
        <f t="array" ref="S153">Q153-Q152</f>
        <v>3643691</v>
      </c>
      <c r="T153" s="801">
        <v>5400</v>
      </c>
      <c r="U153" s="798" cm="1">
        <f t="array" ref="U153">T153*F153</f>
        <v>305982028.171206</v>
      </c>
      <c r="V153" s="802" cm="1">
        <f t="array" ref="V153">-S153</f>
        <v>-3643691</v>
      </c>
      <c r="W153" s="802"/>
      <c r="X153" s="802" cm="1">
        <f t="array" ref="X153">$K152*4.95/12/100/(1-(1+4.95/12/100)^-(360-$A153+3))+$AY153</f>
        <v>3.18113937354872</v>
      </c>
      <c r="Y153" s="803" cm="1">
        <f t="array" ref="Y153">K152*4.95/12/100/(1-(1+4.95/12/100)^-(360-$A153+3))+AY153</f>
        <v>3.18113937354872</v>
      </c>
      <c r="Z153" s="791" cm="1">
        <f t="array" ref="Z153">IF(Z$3*12&lt;=$A153,0,$K152*'depto - Departamento'!$D$8/12/(1-(1+'depto - Departamento'!$D$8/12)^-(12*Z$3-$A153+3))+$AY154)</f>
        <v>3.69909911466161</v>
      </c>
      <c r="AA153" s="791" cm="1">
        <f t="array" ref="AA153">IF(AA$3*12&lt;=$A153,0,$K152*'depto - Departamento'!$D$8/12/(1-(1+'depto - Departamento'!$D$8/12)^-(12*AA$3-$A153+3))+$AY154)</f>
        <v>4.89676397550882</v>
      </c>
      <c r="AB153" s="791" cm="1">
        <f t="array" ref="AB153">IF(AB$3*12&lt;$A153,0,$K152*'depto - Departamento'!$D$8/12/(1-(1+'depto - Departamento'!$D$8/12)^-(12*AB$3-$A153+3))+$AY153)</f>
        <v>10.1720107409648</v>
      </c>
      <c r="AC153" s="791" cm="1">
        <f t="array" ref="AC153">IF(AC$3*12&lt;$A153,0,$K152*'depto - Departamento'!$D$8/12/(1-(1+'depto - Departamento'!$D$8/12)^-(12*AC$3-$A153+3))+$AY153)</f>
        <v>0</v>
      </c>
      <c r="AD153" s="791" cm="1">
        <f t="array" ref="AD153">IF(AD$3*12&lt;$A153,0,$K152*'depto - Departamento'!$D$8/12/(1-(1+'depto - Departamento'!$D$8/12)^-(12*AD$3-$A153+3))+$AY153)</f>
        <v>0</v>
      </c>
      <c r="AE153" s="791" cm="1">
        <f t="array" ref="AE153">IF(AE$3*12&lt;$A153,0,$K152*'depto - Departamento'!$D$8/12/(1-(1+'depto - Departamento'!$D$8/12)^-(12*AE$3-$A153+3))+$AY153)</f>
        <v>0</v>
      </c>
      <c r="AF153" s="791" cm="1">
        <f t="array" ref="AF153">AF152-(AF151-AF152)</f>
        <v>79.4281</v>
      </c>
      <c r="AG153" s="791"/>
      <c r="AH153" s="791"/>
      <c r="AI153" s="804" cm="1">
        <f t="array" ref="AI153">$F153*Y153</f>
        <v>180253.977298836</v>
      </c>
      <c r="AJ153" s="405" cm="1">
        <f t="array" ref="AJ153">$F153*Z153</f>
        <v>209603.305464902</v>
      </c>
      <c r="AK153" s="405" cm="1">
        <f t="array" ref="AK153">$F153*AA153</f>
        <v>277466.994944794</v>
      </c>
      <c r="AL153" s="405" cm="1">
        <f t="array" ref="AL153">$F153*AB153</f>
        <v>576380.088351796</v>
      </c>
      <c r="AM153" s="405" cm="1">
        <f t="array" ref="AM153">$F153*AC153</f>
        <v>0</v>
      </c>
      <c r="AN153" s="405" cm="1">
        <f t="array" ref="AN153">$F153*AD153</f>
        <v>0</v>
      </c>
      <c r="AO153" s="405"/>
      <c r="AP153" s="405" cm="1">
        <f t="array" ref="AP153">$F153*AF153</f>
        <v>4500661.32070099</v>
      </c>
      <c r="AQ153" s="791"/>
      <c r="AR153" s="805" cm="1">
        <f t="array" ref="AR153">K152-K153</f>
        <v>12.8567</v>
      </c>
      <c r="AS153" s="805" cm="1">
        <f t="array" ref="AS153">D153-AR153</f>
        <v>2.1442</v>
      </c>
      <c r="AT153" s="791"/>
      <c r="AU153" s="806" cm="1">
        <f t="array" ref="AU153">ROUND(AV153*F153,0)</f>
        <v>58601</v>
      </c>
      <c r="AV153" s="807" cm="1">
        <f t="array" ref="AV153">IF(K152=0,0,AV152)</f>
        <v>1.0342</v>
      </c>
      <c r="AW153" s="806" cm="1">
        <f t="array" ref="AW153">ROUND(F153*AX153,0)</f>
        <v>746</v>
      </c>
      <c r="AX153" s="807" cm="1">
        <f t="array" ref="AX153">AX$11/K$10*K152</f>
        <v>0.0131638825059285</v>
      </c>
      <c r="AY153" s="808" cm="1">
        <f t="array" ref="AY153">SUM(AV153,AX153)</f>
        <v>1.04736388250593</v>
      </c>
      <c r="AZ153" s="806" cm="1">
        <f t="array" ref="AZ153">AU153+AW153</f>
        <v>59347</v>
      </c>
      <c r="BA153" s="809" cm="1">
        <f t="array" ref="BA153">AI153-AZ153-BG153</f>
        <v>58758.7182382928</v>
      </c>
      <c r="BB153" s="810" cm="1">
        <f t="array" ref="BB153">ROUND(BA153/$F153,4)</f>
        <v>1.037</v>
      </c>
      <c r="BC153" s="809" cm="1">
        <f t="array" ref="BC153">J153-SUM(AZ153,BA153,BG153)</f>
        <v>669747.022701164</v>
      </c>
      <c r="BD153" s="810" cm="1">
        <f t="array" ref="BD153">ROUND(BC153/$F153,4)</f>
        <v>11.8198</v>
      </c>
      <c r="BE153" s="811" cm="1">
        <f t="array" ref="BE153">BC153+BA153</f>
        <v>728505.740939457</v>
      </c>
      <c r="BF153" s="810" cm="1">
        <f t="array" ref="BF153">ROUND((BA153+BC153)/F153,4)</f>
        <v>12.8567</v>
      </c>
      <c r="BG153" s="812" cm="1">
        <f t="array" ref="BG153">BO153*F153</f>
        <v>62148.2590605432</v>
      </c>
      <c r="BH153" s="813" cm="1">
        <f t="array" ref="BH153">ROUND(BG153/$F153,4)</f>
        <v>1.0968</v>
      </c>
      <c r="BI153" s="798" cm="1">
        <f t="array" ref="BI153">M152-M153</f>
        <v>554188</v>
      </c>
      <c r="BJ153" s="798" cm="1">
        <f t="array" ref="BJ153">BE153-BI153</f>
        <v>174317.740939457</v>
      </c>
      <c r="BK153" s="798" cm="1">
        <f t="array" ref="BK153">-BJ153</f>
        <v>-174317.740939457</v>
      </c>
      <c r="BL153" s="798" cm="1">
        <f t="array" ref="BL153">BG153+BJ153</f>
        <v>236466</v>
      </c>
      <c r="BM153" s="798" cm="1">
        <f t="array" ref="BM153">AVERAGE(BL151:BL153)</f>
        <v>149736</v>
      </c>
      <c r="BN153" s="814" cm="1">
        <f t="array" ref="BN153">BH152-BH153</f>
        <v>0.0534</v>
      </c>
      <c r="BO153" s="801" cm="1">
        <f t="array" ref="BO153">K152*0.0495/12-0.16</f>
        <v>1.0967984</v>
      </c>
      <c r="BP153" s="815" cm="1">
        <f t="array" ref="BP153">(BA153+BC153)/BG153</f>
        <v>11.7220619201861</v>
      </c>
      <c r="BQ153" s="815" cm="1">
        <f t="array" ref="BQ153">Y153-BB153</f>
        <v>2.14413937354872</v>
      </c>
      <c r="BR153" s="815" cm="1">
        <f t="array" ref="BR153">(BR$4*(1+BR$4)^BR$3*K152)/((1+BR$4)^BR$3-1)</f>
        <v>1.62628188881242</v>
      </c>
      <c r="BS153" s="815"/>
      <c r="BT153" s="405"/>
      <c r="BU153" s="405"/>
      <c r="BV153" s="405" cm="1">
        <f t="array" ref="BV153">BA153+BC153+BV152</f>
        <v>158374122.940516</v>
      </c>
      <c r="BW153" s="405" cm="1">
        <f t="array" ref="BW153">BG153+BW152</f>
        <v>33478319.0594845</v>
      </c>
      <c r="BX153" s="801" cm="1">
        <f t="array" ref="BX153">BF153+BX152</f>
        <v>3623.6875</v>
      </c>
      <c r="BY153" s="801" cm="1">
        <f t="array" ref="BY153">BH153+BY152</f>
        <v>754.9262</v>
      </c>
      <c r="BZ153" s="405" cm="1">
        <f t="array" ref="BZ153">SUM(BJ$6:BJ153)</f>
        <v>28277182.9405155</v>
      </c>
      <c r="CA153" s="801"/>
      <c r="CB153" s="801"/>
      <c r="CC153" s="405" cm="1">
        <f t="array" ref="CC153">SUM(BE$6:BE153)</f>
        <v>158374122.940515</v>
      </c>
      <c r="CD153" s="801"/>
      <c r="CE153" s="801"/>
      <c r="CF153" s="801"/>
      <c r="CG153" s="801"/>
      <c r="CH153" s="801"/>
      <c r="CI153" s="801"/>
      <c r="CJ153" s="801"/>
      <c r="CK153" s="801"/>
      <c r="CL153" s="801"/>
      <c r="CM153" s="801"/>
    </row>
    <row r="154" ht="19.35" customHeight="1" hidden="1">
      <c r="A154" s="762">
        <v>148</v>
      </c>
      <c r="B154" s="790">
        <v>49837</v>
      </c>
      <c r="C154" s="405"/>
      <c r="D154" s="791" cm="1">
        <f t="array" ref="D154">ROUND(850000/F154,4)</f>
        <v>14.8084</v>
      </c>
      <c r="E154" s="792" cm="1">
        <f t="array" ref="E154">D154/K153</f>
        <v>0.0507446841684494</v>
      </c>
      <c r="F154" s="793" cm="1">
        <f t="array" ref="F154">F153*(1+G154)</f>
        <v>57399.9619513762</v>
      </c>
      <c r="G154" s="792" cm="1">
        <f t="array" ref="G154">H154-SUM(G143:G153)</f>
        <v>0.013</v>
      </c>
      <c r="H154" s="794" cm="1">
        <f t="array" ref="H154">'depto - Table 5'!$L$2</f>
        <v>0.03</v>
      </c>
      <c r="I154" s="795" cm="1">
        <f t="array" ref="I154">H154+4.95/100</f>
        <v>0.0795</v>
      </c>
      <c r="J154" s="405" cm="1">
        <f t="array" ref="J154">IF(K153=0,0,ROUND(D154*F154,0))</f>
        <v>850002</v>
      </c>
      <c r="K154" s="796" cm="1">
        <f t="array" ref="K154">IF(K153-BF154&lt;0,0,K153-BF154)</f>
        <v>279.1039</v>
      </c>
      <c r="L154" s="797" cm="1">
        <f t="array" ref="L154">K154/K$5</f>
        <v>0.07065921518987341</v>
      </c>
      <c r="M154" s="798" cm="1">
        <f t="array" ref="M154">ROUND(K154*F154,0)</f>
        <v>16020553</v>
      </c>
      <c r="N154" s="799" cm="1">
        <f t="array" ref="N154">M154/M$5</f>
        <v>0.109256471135614</v>
      </c>
      <c r="O154" s="798" cm="1">
        <f t="array" ref="O154">M154-M153</f>
        <v>-515039</v>
      </c>
      <c r="P154" s="800" cm="1">
        <f t="array" ref="P154">T154-K154</f>
        <v>5120.8961</v>
      </c>
      <c r="Q154" s="798" cm="1">
        <f t="array" ref="Q154">ROUND(P154*F154,0)</f>
        <v>293939241</v>
      </c>
      <c r="R154" s="801" cm="1">
        <f t="array" ref="R154">$K$5-K154</f>
        <v>3670.8961</v>
      </c>
      <c r="S154" s="798" cm="1">
        <f t="array" ref="S154">Q154-Q153</f>
        <v>4492805</v>
      </c>
      <c r="T154" s="801">
        <v>5400</v>
      </c>
      <c r="U154" s="798" cm="1">
        <f t="array" ref="U154">T154*F154</f>
        <v>309959794.537431</v>
      </c>
      <c r="V154" s="802" cm="1">
        <f t="array" ref="V154">-S154</f>
        <v>-4492805</v>
      </c>
      <c r="W154" s="802"/>
      <c r="X154" s="802" cm="1">
        <f t="array" ref="X154">$K153*4.95/12/100/(1-(1+4.95/12/100)^-(360-$A154+3))+$AY154</f>
        <v>3.09644327230144</v>
      </c>
      <c r="Y154" s="803" cm="1">
        <f t="array" ref="Y154">K153*4.95/12/100/(1-(1+4.95/12/100)^-(360-$A154+3))+AY154</f>
        <v>3.09644327230144</v>
      </c>
      <c r="Z154" s="791" cm="1">
        <f t="array" ref="Z154">IF(Z$3*12&lt;=$A154,0,$K153*'depto - Departamento'!$D$8/12/(1-(1+'depto - Departamento'!$D$8/12)^-(12*Z$3-$A154+3))+$AY155)</f>
        <v>3.59831828333152</v>
      </c>
      <c r="AA154" s="791" cm="1">
        <f t="array" ref="AA154">IF(AA$3*12&lt;=$A154,0,$K153*'depto - Departamento'!$D$8/12/(1-(1+'depto - Departamento'!$D$8/12)^-(12*AA$3-$A154+3))+$AY155)</f>
        <v>4.76540974485609</v>
      </c>
      <c r="AB154" s="791" cm="1">
        <f t="array" ref="AB154">IF(AB$3*12&lt;$A154,0,$K153*'depto - Departamento'!$D$8/12/(1-(1+'depto - Departamento'!$D$8/12)^-(12*AB$3-$A154+3))+$AY154)</f>
        <v>10.0180863540791</v>
      </c>
      <c r="AC154" s="791" cm="1">
        <f t="array" ref="AC154">IF(AC$3*12&lt;$A154,0,$K153*'depto - Departamento'!$D$8/12/(1-(1+'depto - Departamento'!$D$8/12)^-(12*AC$3-$A154+3))+$AY154)</f>
        <v>0</v>
      </c>
      <c r="AD154" s="791" cm="1">
        <f t="array" ref="AD154">IF(AD$3*12&lt;$A154,0,$K153*'depto - Departamento'!$D$8/12/(1-(1+'depto - Departamento'!$D$8/12)^-(12*AD$3-$A154+3))+$AY154)</f>
        <v>0</v>
      </c>
      <c r="AE154" s="791" cm="1">
        <f t="array" ref="AE154">IF(AE$3*12&lt;$A154,0,$K153*'depto - Departamento'!$D$8/12/(1-(1+'depto - Departamento'!$D$8/12)^-(12*AE$3-$A154+3))+$AY154)</f>
        <v>0</v>
      </c>
      <c r="AF154" s="791" cm="1">
        <f t="array" ref="AF154">AF153-(AF152-AF153)</f>
        <v>79.42529999999999</v>
      </c>
      <c r="AG154" s="791"/>
      <c r="AH154" s="791"/>
      <c r="AI154" s="804" cm="1">
        <f t="array" ref="AI154">$F154*Y154</f>
        <v>177735.726014697</v>
      </c>
      <c r="AJ154" s="405" cm="1">
        <f t="array" ref="AJ154">$F154*Z154</f>
        <v>206543.332552171</v>
      </c>
      <c r="AK154" s="405" cm="1">
        <f t="array" ref="AK154">$F154*AA154</f>
        <v>273534.338037457</v>
      </c>
      <c r="AL154" s="405" cm="1">
        <f t="array" ref="AL154">$F154*AB154</f>
        <v>575037.775549741</v>
      </c>
      <c r="AM154" s="405" cm="1">
        <f t="array" ref="AM154">$F154*AC154</f>
        <v>0</v>
      </c>
      <c r="AN154" s="405" cm="1">
        <f t="array" ref="AN154">$F154*AD154</f>
        <v>0</v>
      </c>
      <c r="AO154" s="405"/>
      <c r="AP154" s="405" cm="1">
        <f t="array" ref="AP154">$F154*AF154</f>
        <v>4559009.19797664</v>
      </c>
      <c r="AQ154" s="791"/>
      <c r="AR154" s="805" cm="1">
        <f t="array" ref="AR154">K153-K154</f>
        <v>12.7178</v>
      </c>
      <c r="AS154" s="805" cm="1">
        <f t="array" ref="AS154">D154-AR154</f>
        <v>2.0906</v>
      </c>
      <c r="AT154" s="791"/>
      <c r="AU154" s="806" cm="1">
        <f t="array" ref="AU154">ROUND(AV154*F154,0)</f>
        <v>59363</v>
      </c>
      <c r="AV154" s="807" cm="1">
        <f t="array" ref="AV154">IF(K153=0,0,AV153)</f>
        <v>1.0342</v>
      </c>
      <c r="AW154" s="806" cm="1">
        <f t="array" ref="AW154">ROUND(F154*AX154,0)</f>
        <v>724</v>
      </c>
      <c r="AX154" s="807" cm="1">
        <f t="array" ref="AX154">AX$11/K$10*K153</f>
        <v>0.0126083981387598</v>
      </c>
      <c r="AY154" s="808" cm="1">
        <f t="array" ref="AY154">SUM(AV154,AX154)</f>
        <v>1.04680839813876</v>
      </c>
      <c r="AZ154" s="806" cm="1">
        <f t="array" ref="AZ154">AU154+AW154</f>
        <v>60087</v>
      </c>
      <c r="BA154" s="809" cm="1">
        <f t="array" ref="BA154">AI154-AZ154-BG154</f>
        <v>57736.6827110003</v>
      </c>
      <c r="BB154" s="810" cm="1">
        <f t="array" ref="BB154">ROUND(BA154/$F154,4)</f>
        <v>1.0059</v>
      </c>
      <c r="BC154" s="809" cm="1">
        <f t="array" ref="BC154">J154-SUM(AZ154,BA154,BG154)</f>
        <v>672266.273985303</v>
      </c>
      <c r="BD154" s="810" cm="1">
        <f t="array" ref="BD154">ROUND(BC154/$F154,4)</f>
        <v>11.712</v>
      </c>
      <c r="BE154" s="811" cm="1">
        <f t="array" ref="BE154">BC154+BA154</f>
        <v>730002.956696303</v>
      </c>
      <c r="BF154" s="810" cm="1">
        <f t="array" ref="BF154">ROUND((BA154+BC154)/F154,4)</f>
        <v>12.7178</v>
      </c>
      <c r="BG154" s="812" cm="1">
        <f t="array" ref="BG154">BO154*F154</f>
        <v>59912.0433036967</v>
      </c>
      <c r="BH154" s="813" cm="1">
        <f t="array" ref="BH154">ROUND(BG154/$F154,4)</f>
        <v>1.0438</v>
      </c>
      <c r="BI154" s="798" cm="1">
        <f t="array" ref="BI154">M153-M154</f>
        <v>515039</v>
      </c>
      <c r="BJ154" s="798" cm="1">
        <f t="array" ref="BJ154">BE154-BI154</f>
        <v>214963.956696303</v>
      </c>
      <c r="BK154" s="798" cm="1">
        <f t="array" ref="BK154">-BJ154</f>
        <v>-214963.956696303</v>
      </c>
      <c r="BL154" s="798" cm="1">
        <f t="array" ref="BL154">BG154+BJ154</f>
        <v>274876</v>
      </c>
      <c r="BM154" s="798" cm="1">
        <f t="array" ref="BM154">AVERAGE(BL152:BL154)</f>
        <v>196108.333333333</v>
      </c>
      <c r="BN154" s="814" cm="1">
        <f t="array" ref="BN154">BH153-BH154</f>
        <v>0.053</v>
      </c>
      <c r="BO154" s="801" cm="1">
        <f t="array" ref="BO154">K153*0.0495/12-0.16</f>
        <v>1.0437645125</v>
      </c>
      <c r="BP154" s="815" cm="1">
        <f t="array" ref="BP154">(BA154+BC154)/BG154</f>
        <v>12.1845778651863</v>
      </c>
      <c r="BQ154" s="815" cm="1">
        <f t="array" ref="BQ154">Y154-BB154</f>
        <v>2.09054327230144</v>
      </c>
      <c r="BR154" s="815" cm="1">
        <f t="array" ref="BR154">(BR$4*(1+BR$4)^BR$3*K153)/((1+BR$4)^BR$3-1)</f>
        <v>1.55765668151222</v>
      </c>
      <c r="BS154" s="815"/>
      <c r="BT154" s="405"/>
      <c r="BU154" s="405"/>
      <c r="BV154" s="405" cm="1">
        <f t="array" ref="BV154">BA154+BC154+BV153</f>
        <v>159104125.897212</v>
      </c>
      <c r="BW154" s="405" cm="1">
        <f t="array" ref="BW154">BG154+BW153</f>
        <v>33538231.1027882</v>
      </c>
      <c r="BX154" s="801" cm="1">
        <f t="array" ref="BX154">BF154+BX153</f>
        <v>3636.4053</v>
      </c>
      <c r="BY154" s="801" cm="1">
        <f t="array" ref="BY154">BH154+BY153</f>
        <v>755.97</v>
      </c>
      <c r="BZ154" s="405" cm="1">
        <f t="array" ref="BZ154">SUM(BJ$6:BJ154)</f>
        <v>28492146.8972118</v>
      </c>
      <c r="CA154" s="801"/>
      <c r="CB154" s="801"/>
      <c r="CC154" s="405" cm="1">
        <f t="array" ref="CC154">SUM(BE$6:BE154)</f>
        <v>159104125.897212</v>
      </c>
      <c r="CD154" s="801"/>
      <c r="CE154" s="801"/>
      <c r="CF154" s="801"/>
      <c r="CG154" s="801"/>
      <c r="CH154" s="801"/>
      <c r="CI154" s="801"/>
      <c r="CJ154" s="801"/>
      <c r="CK154" s="801"/>
      <c r="CL154" s="801"/>
      <c r="CM154" s="801"/>
    </row>
    <row r="155" ht="19.35" customHeight="1" hidden="1">
      <c r="A155" s="762">
        <v>149</v>
      </c>
      <c r="B155" s="790">
        <v>49867</v>
      </c>
      <c r="C155" s="405"/>
      <c r="D155" s="791" cm="1">
        <f t="array" ref="D155">ROUND(850000/F155,4)</f>
        <v>14.6516</v>
      </c>
      <c r="E155" s="792" cm="1">
        <f t="array" ref="E155">D155/K154</f>
        <v>0.0524951460728424</v>
      </c>
      <c r="F155" s="793" cm="1">
        <f t="array" ref="F155">F154*(1+G155)</f>
        <v>58014.1415442559</v>
      </c>
      <c r="G155" s="792" cm="1">
        <f t="array" ref="G155">H155-SUM(G144:G154)</f>
        <v>0.0107</v>
      </c>
      <c r="H155" s="794" cm="1">
        <f t="array" ref="H155">'depto - Table 5'!$L$2</f>
        <v>0.03</v>
      </c>
      <c r="I155" s="795" cm="1">
        <f t="array" ref="I155">H155+4.95/100</f>
        <v>0.0795</v>
      </c>
      <c r="J155" s="405" cm="1">
        <f t="array" ref="J155">IF(K154=0,0,ROUND(D155*F155,0))</f>
        <v>850000</v>
      </c>
      <c r="K155" s="796" cm="1">
        <f t="array" ref="K155">IF(K154-BF155&lt;0,0,K154-BF155)</f>
        <v>266.4899</v>
      </c>
      <c r="L155" s="797" cm="1">
        <f t="array" ref="L155">K155/K$5</f>
        <v>0.0674657974683544</v>
      </c>
      <c r="M155" s="798" cm="1">
        <f t="array" ref="M155">ROUND(K155*F155,0)</f>
        <v>15460183</v>
      </c>
      <c r="N155" s="799" cm="1">
        <f t="array" ref="N155">M155/M$5</f>
        <v>0.105434877166276</v>
      </c>
      <c r="O155" s="798" cm="1">
        <f t="array" ref="O155">M155-M154</f>
        <v>-560370</v>
      </c>
      <c r="P155" s="800" cm="1">
        <f t="array" ref="P155">T155-K155</f>
        <v>5133.5101</v>
      </c>
      <c r="Q155" s="798" cm="1">
        <f t="array" ref="Q155">ROUND(P155*F155,0)</f>
        <v>297816182</v>
      </c>
      <c r="R155" s="801" cm="1">
        <f t="array" ref="R155">$K$5-K155</f>
        <v>3683.5101</v>
      </c>
      <c r="S155" s="798" cm="1">
        <f t="array" ref="S155">Q155-Q154</f>
        <v>3876941</v>
      </c>
      <c r="T155" s="801">
        <v>5400</v>
      </c>
      <c r="U155" s="798" cm="1">
        <f t="array" ref="U155">T155*F155</f>
        <v>313276364.338982</v>
      </c>
      <c r="V155" s="802" cm="1">
        <f t="array" ref="V155">-S155</f>
        <v>-3876941</v>
      </c>
      <c r="W155" s="802"/>
      <c r="X155" s="802" cm="1">
        <f t="array" ref="X155">$K154*4.95/12/100/(1-(1+4.95/12/100)^-(360-$A155+3))+$AY155</f>
        <v>3.0122678707391</v>
      </c>
      <c r="Y155" s="803" cm="1">
        <f t="array" ref="Y155">K154*4.95/12/100/(1-(1+4.95/12/100)^-(360-$A155+3))+AY155</f>
        <v>3.0122678707391</v>
      </c>
      <c r="Z155" s="791" cm="1">
        <f t="array" ref="Z155">IF(Z$3*12&lt;=$A155,0,$K154*'depto - Departamento'!$D$8/12/(1-(1+'depto - Departamento'!$D$8/12)^-(12*Z$3-$A155+3))+$AY156)</f>
        <v>3.49788237727278</v>
      </c>
      <c r="AA155" s="791" cm="1">
        <f t="array" ref="AA155">IF(AA$3*12&lt;=$A155,0,$K154*'depto - Departamento'!$D$8/12/(1-(1+'depto - Departamento'!$D$8/12)^-(12*AA$3-$A155+3))+$AY156)</f>
        <v>4.63370855146785</v>
      </c>
      <c r="AB155" s="791" cm="1">
        <f t="array" ref="AB155">IF(AB$3*12&lt;$A155,0,$K154*'depto - Departamento'!$D$8/12/(1-(1+'depto - Departamento'!$D$8/12)^-(12*AB$3-$A155+3))+$AY155)</f>
        <v>9.86119206510784</v>
      </c>
      <c r="AC155" s="791" cm="1">
        <f t="array" ref="AC155">IF(AC$3*12&lt;$A155,0,$K154*'depto - Departamento'!$D$8/12/(1-(1+'depto - Departamento'!$D$8/12)^-(12*AC$3-$A155+3))+$AY155)</f>
        <v>0</v>
      </c>
      <c r="AD155" s="791" cm="1">
        <f t="array" ref="AD155">IF(AD$3*12&lt;$A155,0,$K154*'depto - Departamento'!$D$8/12/(1-(1+'depto - Departamento'!$D$8/12)^-(12*AD$3-$A155+3))+$AY155)</f>
        <v>0</v>
      </c>
      <c r="AE155" s="791" cm="1">
        <f t="array" ref="AE155">IF(AE$3*12&lt;$A155,0,$K154*'depto - Departamento'!$D$8/12/(1-(1+'depto - Departamento'!$D$8/12)^-(12*AE$3-$A155+3))+$AY155)</f>
        <v>0</v>
      </c>
      <c r="AF155" s="791" cm="1">
        <f t="array" ref="AF155">AF154-(AF153-AF154)</f>
        <v>79.4225</v>
      </c>
      <c r="AG155" s="791"/>
      <c r="AH155" s="791"/>
      <c r="AI155" s="804" cm="1">
        <f t="array" ref="AI155">$F155*Y155</f>
        <v>174754.134622272</v>
      </c>
      <c r="AJ155" s="405" cm="1">
        <f t="array" ref="AJ155">$F155*Z155</f>
        <v>202926.643340261</v>
      </c>
      <c r="AK155" s="405" cm="1">
        <f t="array" ref="AK155">$F155*AA155</f>
        <v>268820.623779685</v>
      </c>
      <c r="AL155" s="405" cm="1">
        <f t="array" ref="AL155">$F155*AB155</f>
        <v>572088.592260259</v>
      </c>
      <c r="AM155" s="405" cm="1">
        <f t="array" ref="AM155">$F155*AC155</f>
        <v>0</v>
      </c>
      <c r="AN155" s="405" cm="1">
        <f t="array" ref="AN155">$F155*AD155</f>
        <v>0</v>
      </c>
      <c r="AO155" s="405"/>
      <c r="AP155" s="405" cm="1">
        <f t="array" ref="AP155">$F155*AF155</f>
        <v>4607628.15679866</v>
      </c>
      <c r="AQ155" s="791"/>
      <c r="AR155" s="805" cm="1">
        <f t="array" ref="AR155">K154-K155</f>
        <v>12.614</v>
      </c>
      <c r="AS155" s="805" cm="1">
        <f t="array" ref="AS155">D155-AR155</f>
        <v>2.0376</v>
      </c>
      <c r="AT155" s="791"/>
      <c r="AU155" s="806" cm="1">
        <f t="array" ref="AU155">ROUND(AV155*F155,0)</f>
        <v>59998</v>
      </c>
      <c r="AV155" s="807" cm="1">
        <f t="array" ref="AV155">IF(K154=0,0,AV154)</f>
        <v>1.0342</v>
      </c>
      <c r="AW155" s="806" cm="1">
        <f t="array" ref="AW155">ROUND(F155*AX155,0)</f>
        <v>700</v>
      </c>
      <c r="AX155" s="807" cm="1">
        <f t="array" ref="AX155">AX$11/K$10*K154</f>
        <v>0.0120589150610821</v>
      </c>
      <c r="AY155" s="808" cm="1">
        <f t="array" ref="AY155">SUM(AV155,AX155)</f>
        <v>1.04625891506108</v>
      </c>
      <c r="AZ155" s="806" cm="1">
        <f t="array" ref="AZ155">AU155+AW155</f>
        <v>60698</v>
      </c>
      <c r="BA155" s="809" cm="1">
        <f t="array" ref="BA155">AI155-AZ155-BG155</f>
        <v>56546.5079837183</v>
      </c>
      <c r="BB155" s="810" cm="1">
        <f t="array" ref="BB155">ROUND(BA155/$F155,4)</f>
        <v>0.9747</v>
      </c>
      <c r="BC155" s="809" cm="1">
        <f t="array" ref="BC155">J155-SUM(AZ155,BA155,BG155)</f>
        <v>675245.865377728</v>
      </c>
      <c r="BD155" s="810" cm="1">
        <f t="array" ref="BD155">ROUND(BC155/$F155,4)</f>
        <v>11.6393</v>
      </c>
      <c r="BE155" s="811" cm="1">
        <f t="array" ref="BE155">BC155+BA155</f>
        <v>731792.373361446</v>
      </c>
      <c r="BF155" s="810" cm="1">
        <f t="array" ref="BF155">ROUND((BA155+BC155)/F155,4)</f>
        <v>12.614</v>
      </c>
      <c r="BG155" s="812" cm="1">
        <f t="array" ref="BG155">BO155*F155</f>
        <v>57509.6266385537</v>
      </c>
      <c r="BH155" s="813" cm="1">
        <f t="array" ref="BH155">ROUND(BG155/$F155,4)</f>
        <v>0.9913</v>
      </c>
      <c r="BI155" s="798" cm="1">
        <f t="array" ref="BI155">M154-M155</f>
        <v>560370</v>
      </c>
      <c r="BJ155" s="798" cm="1">
        <f t="array" ref="BJ155">BE155-BI155</f>
        <v>171422.373361446</v>
      </c>
      <c r="BK155" s="798" cm="1">
        <f t="array" ref="BK155">-BJ155</f>
        <v>-171422.373361446</v>
      </c>
      <c r="BL155" s="798" cm="1">
        <f t="array" ref="BL155">BG155+BJ155</f>
        <v>228932</v>
      </c>
      <c r="BM155" s="798" cm="1">
        <f t="array" ref="BM155">AVERAGE(BL153:BL155)</f>
        <v>246758</v>
      </c>
      <c r="BN155" s="814" cm="1">
        <f t="array" ref="BN155">BH154-BH155</f>
        <v>0.0525</v>
      </c>
      <c r="BO155" s="801" cm="1">
        <f t="array" ref="BO155">K154*0.0495/12-0.16</f>
        <v>0.9913035875</v>
      </c>
      <c r="BP155" s="815" cm="1">
        <f t="array" ref="BP155">(BA155+BC155)/BG155</f>
        <v>12.724693518891</v>
      </c>
      <c r="BQ155" s="815" cm="1">
        <f t="array" ref="BQ155">Y155-BB155</f>
        <v>2.0375678707391</v>
      </c>
      <c r="BR155" s="815" cm="1">
        <f t="array" ref="BR155">(BR$4*(1+BR$4)^BR$3*K154)/((1+BR$4)^BR$3-1)</f>
        <v>1.48977288073888</v>
      </c>
      <c r="BS155" s="815"/>
      <c r="BT155" s="405"/>
      <c r="BU155" s="405"/>
      <c r="BV155" s="405" cm="1">
        <f t="array" ref="BV155">BA155+BC155+BV154</f>
        <v>159835918.270573</v>
      </c>
      <c r="BW155" s="405" cm="1">
        <f t="array" ref="BW155">BG155+BW154</f>
        <v>33595740.7294268</v>
      </c>
      <c r="BX155" s="801" cm="1">
        <f t="array" ref="BX155">BF155+BX154</f>
        <v>3649.0193</v>
      </c>
      <c r="BY155" s="801" cm="1">
        <f t="array" ref="BY155">BH155+BY154</f>
        <v>756.9613000000001</v>
      </c>
      <c r="BZ155" s="405" cm="1">
        <f t="array" ref="BZ155">SUM(BJ$6:BJ155)</f>
        <v>28663569.2705732</v>
      </c>
      <c r="CA155" s="801"/>
      <c r="CB155" s="801"/>
      <c r="CC155" s="405" cm="1">
        <f t="array" ref="CC155">SUM(BE$6:BE155)</f>
        <v>159835918.270573</v>
      </c>
      <c r="CD155" s="801"/>
      <c r="CE155" s="801"/>
      <c r="CF155" s="801"/>
      <c r="CG155" s="801"/>
      <c r="CH155" s="801"/>
      <c r="CI155" s="801"/>
      <c r="CJ155" s="801"/>
      <c r="CK155" s="801"/>
      <c r="CL155" s="801"/>
      <c r="CM155" s="801"/>
    </row>
    <row r="156" ht="19.35" customHeight="1" hidden="1">
      <c r="A156" s="762">
        <v>150</v>
      </c>
      <c r="B156" s="790">
        <v>49898</v>
      </c>
      <c r="C156" s="405"/>
      <c r="D156" s="791" cm="1">
        <f t="array" ref="D156">ROUND(850000/F156,4)</f>
        <v>14.6516</v>
      </c>
      <c r="E156" s="792" cm="1">
        <f t="array" ref="E156">D156/K155</f>
        <v>0.0549799448309298</v>
      </c>
      <c r="F156" s="793" cm="1">
        <f t="array" ref="F156">F155*(1+G156)</f>
        <v>58014.1415442559</v>
      </c>
      <c r="G156" s="792" cm="1">
        <f t="array" ref="G156">H156-SUM(G145:G155)</f>
        <v>0</v>
      </c>
      <c r="H156" s="794" cm="1">
        <f t="array" ref="H156">'depto - Table 5'!$L$2</f>
        <v>0.03</v>
      </c>
      <c r="I156" s="795" cm="1">
        <f t="array" ref="I156">H156+4.95/100</f>
        <v>0.0795</v>
      </c>
      <c r="J156" s="405" cm="1">
        <f t="array" ref="J156">IF(K155=0,0,ROUND(D156*F156,0))</f>
        <v>850000</v>
      </c>
      <c r="K156" s="796" cm="1">
        <f t="array" ref="K156">IF(K155-BF156&lt;0,0,K155-BF156)</f>
        <v>253.8233</v>
      </c>
      <c r="L156" s="797" cm="1">
        <f t="array" ref="L156">K156/K$5</f>
        <v>0.0642590632911392</v>
      </c>
      <c r="M156" s="798" cm="1">
        <f t="array" ref="M156">ROUND(K156*F156,0)</f>
        <v>14725341</v>
      </c>
      <c r="N156" s="799" cm="1">
        <f t="array" ref="N156">M156/M$5</f>
        <v>0.100423424455359</v>
      </c>
      <c r="O156" s="798" cm="1">
        <f t="array" ref="O156">M156-M155</f>
        <v>-734842</v>
      </c>
      <c r="P156" s="800" cm="1">
        <f t="array" ref="P156">T156-K156</f>
        <v>5146.1767</v>
      </c>
      <c r="Q156" s="798" cm="1">
        <f t="array" ref="Q156">ROUND(P156*F156,0)</f>
        <v>298551023</v>
      </c>
      <c r="R156" s="801" cm="1">
        <f t="array" ref="R156">$K$5-K156</f>
        <v>3696.1767</v>
      </c>
      <c r="S156" s="798" cm="1">
        <f t="array" ref="S156">Q156-Q155</f>
        <v>734841</v>
      </c>
      <c r="T156" s="801">
        <v>5400</v>
      </c>
      <c r="U156" s="798" cm="1">
        <f t="array" ref="U156">T156*F156</f>
        <v>313276364.338982</v>
      </c>
      <c r="V156" s="802" cm="1">
        <f t="array" ref="V156">-S156</f>
        <v>-734841</v>
      </c>
      <c r="W156" s="802"/>
      <c r="X156" s="802" cm="1">
        <f t="array" ref="X156">$K155*4.95/12/100/(1-(1+4.95/12/100)^-(360-$A156+3))+$AY156</f>
        <v>2.9283652740563</v>
      </c>
      <c r="Y156" s="803" cm="1">
        <f t="array" ref="Y156">K155*4.95/12/100/(1-(1+4.95/12/100)^-(360-$A156+3))+AY156</f>
        <v>2.9283652740563</v>
      </c>
      <c r="Z156" s="791" cm="1">
        <f t="array" ref="Z156">IF(Z$3*12&lt;=$A156,0,$K155*'depto - Departamento'!$D$8/12/(1-(1+'depto - Departamento'!$D$8/12)^-(12*Z$3-$A156+3))+$AY157)</f>
        <v>3.39747401901548</v>
      </c>
      <c r="AA156" s="791" cm="1">
        <f t="array" ref="AA156">IF(AA$3*12&lt;=$A156,0,$K155*'depto - Departamento'!$D$8/12/(1-(1+'depto - Departamento'!$D$8/12)^-(12*AA$3-$A156+3))+$AY157)</f>
        <v>4.50117552747644</v>
      </c>
      <c r="AB156" s="791" cm="1">
        <f t="array" ref="AB156">IF(AB$3*12&lt;$A156,0,$K155*'depto - Departamento'!$D$8/12/(1-(1+'depto - Departamento'!$D$8/12)^-(12*AB$3-$A156+3))+$AY156)</f>
        <v>9.699885421502771</v>
      </c>
      <c r="AC156" s="791" cm="1">
        <f t="array" ref="AC156">IF(AC$3*12&lt;$A156,0,$K155*'depto - Departamento'!$D$8/12/(1-(1+'depto - Departamento'!$D$8/12)^-(12*AC$3-$A156+3))+$AY156)</f>
        <v>0</v>
      </c>
      <c r="AD156" s="791" cm="1">
        <f t="array" ref="AD156">IF(AD$3*12&lt;$A156,0,$K155*'depto - Departamento'!$D$8/12/(1-(1+'depto - Departamento'!$D$8/12)^-(12*AD$3-$A156+3))+$AY156)</f>
        <v>0</v>
      </c>
      <c r="AE156" s="791" cm="1">
        <f t="array" ref="AE156">IF(AE$3*12&lt;$A156,0,$K155*'depto - Departamento'!$D$8/12/(1-(1+'depto - Departamento'!$D$8/12)^-(12*AE$3-$A156+3))+$AY156)</f>
        <v>0</v>
      </c>
      <c r="AF156" s="791" cm="1">
        <f t="array" ref="AF156">AF155-(AF154-AF155)</f>
        <v>79.41970000000001</v>
      </c>
      <c r="AG156" s="791"/>
      <c r="AH156" s="791"/>
      <c r="AI156" s="804" cm="1">
        <f t="array" ref="AI156">$F156*Y156</f>
        <v>169886.597502386</v>
      </c>
      <c r="AJ156" s="405" cm="1">
        <f t="array" ref="AJ156">$F156*Z156</f>
        <v>197101.538632096</v>
      </c>
      <c r="AK156" s="405" cm="1">
        <f t="array" ref="AK156">$F156*AA156</f>
        <v>261131.834166559</v>
      </c>
      <c r="AL156" s="405" cm="1">
        <f t="array" ref="AL156">$F156*AB156</f>
        <v>562730.525806126</v>
      </c>
      <c r="AM156" s="405" cm="1">
        <f t="array" ref="AM156">$F156*AC156</f>
        <v>0</v>
      </c>
      <c r="AN156" s="405" cm="1">
        <f t="array" ref="AN156">$F156*AD156</f>
        <v>0</v>
      </c>
      <c r="AO156" s="405"/>
      <c r="AP156" s="405" cm="1">
        <f t="array" ref="AP156">$F156*AF156</f>
        <v>4607465.71720234</v>
      </c>
      <c r="AQ156" s="791"/>
      <c r="AR156" s="805" cm="1">
        <f t="array" ref="AR156">K155-K156</f>
        <v>12.6666</v>
      </c>
      <c r="AS156" s="805" cm="1">
        <f t="array" ref="AS156">D156-AR156</f>
        <v>1.985</v>
      </c>
      <c r="AT156" s="791"/>
      <c r="AU156" s="806" cm="1">
        <f t="array" ref="AU156">ROUND(AV156*F156,0)</f>
        <v>59998</v>
      </c>
      <c r="AV156" s="807" cm="1">
        <f t="array" ref="AV156">IF(K155=0,0,AV155)</f>
        <v>1.0342</v>
      </c>
      <c r="AW156" s="806" cm="1">
        <f t="array" ref="AW156">ROUND(F156*AX156,0)</f>
        <v>668</v>
      </c>
      <c r="AX156" s="807" cm="1">
        <f t="array" ref="AX156">AX$11/K$10*K155</f>
        <v>0.0115139167483374</v>
      </c>
      <c r="AY156" s="808" cm="1">
        <f t="array" ref="AY156">SUM(AV156,AX156)</f>
        <v>1.04571391674834</v>
      </c>
      <c r="AZ156" s="806" cm="1">
        <f t="array" ref="AZ156">AU156+AW156</f>
        <v>60666</v>
      </c>
      <c r="BA156" s="809" cm="1">
        <f t="array" ref="BA156">AI156-AZ156-BG156</f>
        <v>54729.6061872692</v>
      </c>
      <c r="BB156" s="810" cm="1">
        <f t="array" ref="BB156">ROUND(BA156/$F156,4)</f>
        <v>0.9434</v>
      </c>
      <c r="BC156" s="809" cm="1">
        <f t="array" ref="BC156">J156-SUM(AZ156,BA156,BG156)</f>
        <v>680113.402497614</v>
      </c>
      <c r="BD156" s="810" cm="1">
        <f t="array" ref="BD156">ROUND(BC156/$F156,4)</f>
        <v>11.7232</v>
      </c>
      <c r="BE156" s="811" cm="1">
        <f t="array" ref="BE156">BC156+BA156</f>
        <v>734843.008684883</v>
      </c>
      <c r="BF156" s="810" cm="1">
        <f t="array" ref="BF156">ROUND((BA156+BC156)/F156,4)</f>
        <v>12.6666</v>
      </c>
      <c r="BG156" s="812" cm="1">
        <f t="array" ref="BG156">BO156*F156</f>
        <v>54490.9913151168</v>
      </c>
      <c r="BH156" s="813" cm="1">
        <f t="array" ref="BH156">ROUND(BG156/$F156,4)</f>
        <v>0.9393</v>
      </c>
      <c r="BI156" s="798" cm="1">
        <f t="array" ref="BI156">M155-M156</f>
        <v>734842</v>
      </c>
      <c r="BJ156" s="798" cm="1">
        <f t="array" ref="BJ156">BE156-BI156</f>
        <v>1.008684883</v>
      </c>
      <c r="BK156" s="798" cm="1">
        <f t="array" ref="BK156">-BJ156</f>
        <v>-1.008684883</v>
      </c>
      <c r="BL156" s="798" cm="1">
        <f t="array" ref="BL156">BG156+BJ156</f>
        <v>54491.9999999998</v>
      </c>
      <c r="BM156" s="798" cm="1">
        <f t="array" ref="BM156">AVERAGE(BL154:BL156)</f>
        <v>186100</v>
      </c>
      <c r="BN156" s="814" cm="1">
        <f t="array" ref="BN156">BH155-BH156</f>
        <v>0.052</v>
      </c>
      <c r="BO156" s="801" cm="1">
        <f t="array" ref="BO156">K155*0.0495/12-0.16</f>
        <v>0.9392708375</v>
      </c>
      <c r="BP156" s="815" cm="1">
        <f t="array" ref="BP156">(BA156+BC156)/BG156</f>
        <v>13.485587084209</v>
      </c>
      <c r="BQ156" s="815" cm="1">
        <f t="array" ref="BQ156">Y156-BB156</f>
        <v>1.9849652740563</v>
      </c>
      <c r="BR156" s="815" cm="1">
        <f t="array" ref="BR156">(BR$4*(1+BR$4)^BR$3*K155)/((1+BR$4)^BR$3-1)</f>
        <v>1.42244313322321</v>
      </c>
      <c r="BS156" s="815"/>
      <c r="BT156" s="405"/>
      <c r="BU156" s="405"/>
      <c r="BV156" s="405" cm="1">
        <f t="array" ref="BV156">BA156+BC156+BV155</f>
        <v>160570761.279258</v>
      </c>
      <c r="BW156" s="405" cm="1">
        <f t="array" ref="BW156">BG156+BW155</f>
        <v>33650231.7207419</v>
      </c>
      <c r="BX156" s="801" cm="1">
        <f t="array" ref="BX156">BF156+BX155</f>
        <v>3661.6859</v>
      </c>
      <c r="BY156" s="801" cm="1">
        <f t="array" ref="BY156">BH156+BY155</f>
        <v>757.9006000000001</v>
      </c>
      <c r="BZ156" s="405" cm="1">
        <f t="array" ref="BZ156">SUM(BJ$6:BJ156)</f>
        <v>28663570.2792581</v>
      </c>
      <c r="CA156" s="801"/>
      <c r="CB156" s="801"/>
      <c r="CC156" s="405" cm="1">
        <f t="array" ref="CC156">SUM(BE$6:BE156)</f>
        <v>160570761.279258</v>
      </c>
      <c r="CD156" s="801"/>
      <c r="CE156" s="801"/>
      <c r="CF156" s="801"/>
      <c r="CG156" s="801"/>
      <c r="CH156" s="801"/>
      <c r="CI156" s="801"/>
      <c r="CJ156" s="801"/>
      <c r="CK156" s="801"/>
      <c r="CL156" s="801"/>
      <c r="CM156" s="801"/>
    </row>
    <row r="157" ht="19.35" customHeight="1" hidden="1">
      <c r="A157" s="762">
        <v>151</v>
      </c>
      <c r="B157" s="790">
        <v>49929</v>
      </c>
      <c r="C157" s="405"/>
      <c r="D157" s="791" cm="1">
        <f t="array" ref="D157">ROUND(850000/F157,4)</f>
        <v>14.6311</v>
      </c>
      <c r="E157" s="792" cm="1">
        <f t="array" ref="E157">D157/K156</f>
        <v>0.0576428562704842</v>
      </c>
      <c r="F157" s="793" cm="1">
        <f t="array" ref="F157">F156*(1+G157)</f>
        <v>58095.3613424179</v>
      </c>
      <c r="G157" s="792" cm="1">
        <f t="array" ref="G157">H157-SUM(G146:G156)</f>
        <v>0.0014</v>
      </c>
      <c r="H157" s="794" cm="1">
        <f t="array" ref="H157">'depto - Table 5'!$L$2</f>
        <v>0.03</v>
      </c>
      <c r="I157" s="795" cm="1">
        <f t="array" ref="I157">H157+4.95/100</f>
        <v>0.0795</v>
      </c>
      <c r="J157" s="405" cm="1">
        <f t="array" ref="J157">IF(K156=0,0,ROUND(D157*F157,0))</f>
        <v>849999</v>
      </c>
      <c r="K157" s="796" cm="1">
        <f t="array" ref="K157">IF(K156-BF157&lt;0,0,K156-BF157)</f>
        <v>241.1244</v>
      </c>
      <c r="L157" s="797" cm="1">
        <f t="array" ref="L157">K157/K$5</f>
        <v>0.0610441518987342</v>
      </c>
      <c r="M157" s="798" cm="1">
        <f t="array" ref="M157">ROUND(K157*F157,0)</f>
        <v>14008209</v>
      </c>
      <c r="N157" s="799" cm="1">
        <f t="array" ref="N157">M157/M$5</f>
        <v>0.0955327498539001</v>
      </c>
      <c r="O157" s="798" cm="1">
        <f t="array" ref="O157">M157-M156</f>
        <v>-717132</v>
      </c>
      <c r="P157" s="800" cm="1">
        <f t="array" ref="P157">T157-K157</f>
        <v>5158.8756</v>
      </c>
      <c r="Q157" s="798" cm="1">
        <f t="array" ref="Q157">ROUND(P157*F157,0)</f>
        <v>299706742</v>
      </c>
      <c r="R157" s="801" cm="1">
        <f t="array" ref="R157">$K$5-K157</f>
        <v>3708.8756</v>
      </c>
      <c r="S157" s="798" cm="1">
        <f t="array" ref="S157">Q157-Q156</f>
        <v>1155719</v>
      </c>
      <c r="T157" s="801">
        <v>5400</v>
      </c>
      <c r="U157" s="798" cm="1">
        <f t="array" ref="U157">T157*F157</f>
        <v>313714951.249057</v>
      </c>
      <c r="V157" s="802" cm="1">
        <f t="array" ref="V157">-S157</f>
        <v>-1155719</v>
      </c>
      <c r="W157" s="802"/>
      <c r="X157" s="802" cm="1">
        <f t="array" ref="X157">$K156*4.95/12/100/(1-(1+4.95/12/100)^-(360-$A157+3))+$AY157</f>
        <v>2.84361999650679</v>
      </c>
      <c r="Y157" s="803" cm="1">
        <f t="array" ref="Y157">K156*4.95/12/100/(1-(1+4.95/12/100)^-(360-$A157+3))+AY157</f>
        <v>2.84361999650679</v>
      </c>
      <c r="Z157" s="791" cm="1">
        <f t="array" ref="Z157">IF(Z$3*12&lt;=$A157,0,$K156*'depto - Departamento'!$D$8/12/(1-(1+'depto - Departamento'!$D$8/12)^-(12*Z$3-$A157+3))+$AY158)</f>
        <v>3.29570183049957</v>
      </c>
      <c r="AA157" s="791" cm="1">
        <f t="array" ref="AA157">IF(AA$3*12&lt;=$A157,0,$K156*'depto - Departamento'!$D$8/12/(1-(1+'depto - Departamento'!$D$8/12)^-(12*AA$3-$A157+3))+$AY158)</f>
        <v>4.36572909115083</v>
      </c>
      <c r="AB157" s="791" cm="1">
        <f t="array" ref="AB157">IF(AB$3*12&lt;$A157,0,$K156*'depto - Departamento'!$D$8/12/(1-(1+'depto - Departamento'!$D$8/12)^-(12*AB$3-$A157+3))+$AY157)</f>
        <v>9.528494028214951</v>
      </c>
      <c r="AC157" s="791" cm="1">
        <f t="array" ref="AC157">IF(AC$3*12&lt;$A157,0,$K156*'depto - Departamento'!$D$8/12/(1-(1+'depto - Departamento'!$D$8/12)^-(12*AC$3-$A157+3))+$AY157)</f>
        <v>0</v>
      </c>
      <c r="AD157" s="791" cm="1">
        <f t="array" ref="AD157">IF(AD$3*12&lt;$A157,0,$K156*'depto - Departamento'!$D$8/12/(1-(1+'depto - Departamento'!$D$8/12)^-(12*AD$3-$A157+3))+$AY157)</f>
        <v>0</v>
      </c>
      <c r="AE157" s="791" cm="1">
        <f t="array" ref="AE157">IF(AE$3*12&lt;$A157,0,$K156*'depto - Departamento'!$D$8/12/(1-(1+'depto - Departamento'!$D$8/12)^-(12*AE$3-$A157+3))+$AY157)</f>
        <v>0</v>
      </c>
      <c r="AF157" s="791" cm="1">
        <f t="array" ref="AF157">AF156-(AF155-AF156)</f>
        <v>79.4169</v>
      </c>
      <c r="AG157" s="791"/>
      <c r="AH157" s="791"/>
      <c r="AI157" s="804" cm="1">
        <f t="array" ref="AI157">$F157*Y157</f>
        <v>165201.131217587</v>
      </c>
      <c r="AJ157" s="405" cm="1">
        <f t="array" ref="AJ157">$F157*Z157</f>
        <v>191464.988719741</v>
      </c>
      <c r="AK157" s="405" cm="1">
        <f t="array" ref="AK157">$F157*AA157</f>
        <v>253628.609073513</v>
      </c>
      <c r="AL157" s="405" cm="1">
        <f t="array" ref="AL157">$F157*AB157</f>
        <v>553561.303618219</v>
      </c>
      <c r="AM157" s="405" cm="1">
        <f t="array" ref="AM157">$F157*AC157</f>
        <v>0</v>
      </c>
      <c r="AN157" s="405" cm="1">
        <f t="array" ref="AN157">$F157*AD157</f>
        <v>0</v>
      </c>
      <c r="AO157" s="405"/>
      <c r="AP157" s="405" cm="1">
        <f t="array" ref="AP157">$F157*AF157</f>
        <v>4613753.50219467</v>
      </c>
      <c r="AQ157" s="791"/>
      <c r="AR157" s="805" cm="1">
        <f t="array" ref="AR157">K156-K157</f>
        <v>12.6989</v>
      </c>
      <c r="AS157" s="805" cm="1">
        <f t="array" ref="AS157">D157-AR157</f>
        <v>1.9322</v>
      </c>
      <c r="AT157" s="791"/>
      <c r="AU157" s="806" cm="1">
        <f t="array" ref="AU157">ROUND(AV157*F157,0)</f>
        <v>60082</v>
      </c>
      <c r="AV157" s="807" cm="1">
        <f t="array" ref="AV157">IF(K156=0,0,AV156)</f>
        <v>1.0342</v>
      </c>
      <c r="AW157" s="806" cm="1">
        <f t="array" ref="AW157">ROUND(F157*AX157,0)</f>
        <v>637</v>
      </c>
      <c r="AX157" s="807" cm="1">
        <f t="array" ref="AX157">AX$11/K$10*K156</f>
        <v>0.0109666458090466</v>
      </c>
      <c r="AY157" s="808" cm="1">
        <f t="array" ref="AY157">SUM(AV157,AX157)</f>
        <v>1.04516664580905</v>
      </c>
      <c r="AZ157" s="806" cm="1">
        <f t="array" ref="AZ157">AU157+AW157</f>
        <v>60719</v>
      </c>
      <c r="BA157" s="809" cm="1">
        <f t="array" ref="BA157">AI157-AZ157-BG157</f>
        <v>52950.319168546</v>
      </c>
      <c r="BB157" s="810" cm="1">
        <f t="array" ref="BB157">ROUND(BA157/$F157,4)</f>
        <v>0.9114</v>
      </c>
      <c r="BC157" s="809" cm="1">
        <f t="array" ref="BC157">J157-SUM(AZ157,BA157,BG157)</f>
        <v>684797.868782413</v>
      </c>
      <c r="BD157" s="810" cm="1">
        <f t="array" ref="BD157">ROUND(BC157/$F157,4)</f>
        <v>11.7875</v>
      </c>
      <c r="BE157" s="811" cm="1">
        <f t="array" ref="BE157">BC157+BA157</f>
        <v>737748.187950959</v>
      </c>
      <c r="BF157" s="810" cm="1">
        <f t="array" ref="BF157">ROUND((BA157+BC157)/F157,4)</f>
        <v>12.6989</v>
      </c>
      <c r="BG157" s="812" cm="1">
        <f t="array" ref="BG157">BO157*F157</f>
        <v>51531.812049041</v>
      </c>
      <c r="BH157" s="813" cm="1">
        <f t="array" ref="BH157">ROUND(BG157/$F157,4)</f>
        <v>0.887</v>
      </c>
      <c r="BI157" s="798" cm="1">
        <f t="array" ref="BI157">M156-M157</f>
        <v>717132</v>
      </c>
      <c r="BJ157" s="798" cm="1">
        <f t="array" ref="BJ157">BE157-BI157</f>
        <v>20616.187950959</v>
      </c>
      <c r="BK157" s="798" cm="1">
        <f t="array" ref="BK157">-BJ157</f>
        <v>-20616.187950959</v>
      </c>
      <c r="BL157" s="798" cm="1">
        <f t="array" ref="BL157">BG157+BJ157</f>
        <v>72148</v>
      </c>
      <c r="BM157" s="798" cm="1">
        <f t="array" ref="BM157">AVERAGE(BL155:BL157)</f>
        <v>118524</v>
      </c>
      <c r="BN157" s="814" cm="1">
        <f t="array" ref="BN157">BH156-BH157</f>
        <v>0.0523</v>
      </c>
      <c r="BO157" s="801" cm="1">
        <f t="array" ref="BO157">K156*0.0495/12-0.16</f>
        <v>0.8870211125</v>
      </c>
      <c r="BP157" s="815" cm="1">
        <f t="array" ref="BP157">(BA157+BC157)/BG157</f>
        <v>14.3163641761495</v>
      </c>
      <c r="BQ157" s="815" cm="1">
        <f t="array" ref="BQ157">Y157-BB157</f>
        <v>1.93221999650679</v>
      </c>
      <c r="BR157" s="815" cm="1">
        <f t="array" ref="BR157">(BR$4*(1+BR$4)^BR$3*K156)/((1+BR$4)^BR$3-1)</f>
        <v>1.35483262268872</v>
      </c>
      <c r="BS157" s="815"/>
      <c r="BT157" s="405"/>
      <c r="BU157" s="405"/>
      <c r="BV157" s="405" cm="1">
        <f t="array" ref="BV157">BA157+BC157+BV156</f>
        <v>161308509.467209</v>
      </c>
      <c r="BW157" s="405" cm="1">
        <f t="array" ref="BW157">BG157+BW156</f>
        <v>33701763.5327909</v>
      </c>
      <c r="BX157" s="801" cm="1">
        <f t="array" ref="BX157">BF157+BX156</f>
        <v>3674.3848</v>
      </c>
      <c r="BY157" s="801" cm="1">
        <f t="array" ref="BY157">BH157+BY156</f>
        <v>758.7876</v>
      </c>
      <c r="BZ157" s="405" cm="1">
        <f t="array" ref="BZ157">SUM(BJ$6:BJ157)</f>
        <v>28684186.467209</v>
      </c>
      <c r="CA157" s="801"/>
      <c r="CB157" s="801"/>
      <c r="CC157" s="405" cm="1">
        <f t="array" ref="CC157">SUM(BE$6:BE157)</f>
        <v>161308509.467209</v>
      </c>
      <c r="CD157" s="801"/>
      <c r="CE157" s="801"/>
      <c r="CF157" s="801"/>
      <c r="CG157" s="801"/>
      <c r="CH157" s="801"/>
      <c r="CI157" s="801"/>
      <c r="CJ157" s="801"/>
      <c r="CK157" s="801"/>
      <c r="CL157" s="801"/>
      <c r="CM157" s="801"/>
    </row>
    <row r="158" ht="19.35" customHeight="1" hidden="1">
      <c r="A158" s="762">
        <v>152</v>
      </c>
      <c r="B158" s="790">
        <v>49959</v>
      </c>
      <c r="C158" s="405"/>
      <c r="D158" s="791" cm="1">
        <f t="array" ref="D158">ROUND(850000/F158,4)</f>
        <v>14.554</v>
      </c>
      <c r="E158" s="792" cm="1">
        <f t="array" ref="E158">D158/K157</f>
        <v>0.0603588852890873</v>
      </c>
      <c r="F158" s="793" cm="1">
        <f t="array" ref="F158">F157*(1+G158)</f>
        <v>58403.2667575327</v>
      </c>
      <c r="G158" s="792" cm="1">
        <f t="array" ref="G158">H158-SUM(G147:G157)</f>
        <v>0.0053</v>
      </c>
      <c r="H158" s="794" cm="1">
        <f t="array" ref="H158">'depto - Table 5'!$L$2</f>
        <v>0.03</v>
      </c>
      <c r="I158" s="795" cm="1">
        <f t="array" ref="I158">H158+4.95/100</f>
        <v>0.0795</v>
      </c>
      <c r="J158" s="405" cm="1">
        <f t="array" ref="J158">IF(K157=0,0,ROUND(D158*F158,0))</f>
        <v>850001</v>
      </c>
      <c r="K158" s="796" cm="1">
        <f t="array" ref="K158">IF(K157-BF158&lt;0,0,K157-BF158)</f>
        <v>228.4497</v>
      </c>
      <c r="L158" s="797" cm="1">
        <f t="array" ref="L158">K158/K$5</f>
        <v>0.0578353670886076</v>
      </c>
      <c r="M158" s="798" cm="1">
        <f t="array" ref="M158">ROUND(K158*F158,0)</f>
        <v>13342209</v>
      </c>
      <c r="N158" s="799" cm="1">
        <f t="array" ref="N158">M158/M$5</f>
        <v>0.0909907836823005</v>
      </c>
      <c r="O158" s="798" cm="1">
        <f t="array" ref="O158">M158-M157</f>
        <v>-666000</v>
      </c>
      <c r="P158" s="800" cm="1">
        <f t="array" ref="P158">T158-K158</f>
        <v>5171.5503</v>
      </c>
      <c r="Q158" s="798" cm="1">
        <f t="array" ref="Q158">ROUND(P158*F158,0)</f>
        <v>302035432</v>
      </c>
      <c r="R158" s="801" cm="1">
        <f t="array" ref="R158">$K$5-K158</f>
        <v>3721.5503</v>
      </c>
      <c r="S158" s="798" cm="1">
        <f t="array" ref="S158">Q158-Q157</f>
        <v>2328690</v>
      </c>
      <c r="T158" s="801">
        <v>5400</v>
      </c>
      <c r="U158" s="798" cm="1">
        <f t="array" ref="U158">T158*F158</f>
        <v>315377640.490677</v>
      </c>
      <c r="V158" s="802" cm="1">
        <f t="array" ref="V158">-S158</f>
        <v>-2328690</v>
      </c>
      <c r="W158" s="802"/>
      <c r="X158" s="802" cm="1">
        <f t="array" ref="X158">$K157*4.95/12/100/(1-(1+4.95/12/100)^-(360-$A158+3))+$AY158</f>
        <v>2.75816673900881</v>
      </c>
      <c r="Y158" s="803" cm="1">
        <f t="array" ref="Y158">K157*4.95/12/100/(1-(1+4.95/12/100)^-(360-$A158+3))+AY158</f>
        <v>2.75816673900881</v>
      </c>
      <c r="Z158" s="791" cm="1">
        <f t="array" ref="Z158">IF(Z$3*12&lt;=$A158,0,$K157*'depto - Departamento'!$D$8/12/(1-(1+'depto - Departamento'!$D$8/12)^-(12*Z$3-$A158+3))+$AY159)</f>
        <v>3.19272399560222</v>
      </c>
      <c r="AA158" s="791" cm="1">
        <f t="array" ref="AA158">IF(AA$3*12&lt;=$A158,0,$K157*'depto - Departamento'!$D$8/12/(1-(1+'depto - Departamento'!$D$8/12)^-(12*AA$3-$A158+3))+$AY159)</f>
        <v>4.22754656241916</v>
      </c>
      <c r="AB158" s="791" cm="1">
        <f t="array" ref="AB158">IF(AB$3*12&lt;$A158,0,$K157*'depto - Departamento'!$D$8/12/(1-(1+'depto - Departamento'!$D$8/12)^-(12*AB$3-$A158+3))+$AY158)</f>
        <v>9.34674949250922</v>
      </c>
      <c r="AC158" s="791" cm="1">
        <f t="array" ref="AC158">IF(AC$3*12&lt;$A158,0,$K157*'depto - Departamento'!$D$8/12/(1-(1+'depto - Departamento'!$D$8/12)^-(12*AC$3-$A158+3))+$AY158)</f>
        <v>0</v>
      </c>
      <c r="AD158" s="791" cm="1">
        <f t="array" ref="AD158">IF(AD$3*12&lt;$A158,0,$K157*'depto - Departamento'!$D$8/12/(1-(1+'depto - Departamento'!$D$8/12)^-(12*AD$3-$A158+3))+$AY158)</f>
        <v>0</v>
      </c>
      <c r="AE158" s="791" cm="1">
        <f t="array" ref="AE158">IF(AE$3*12&lt;$A158,0,$K157*'depto - Departamento'!$D$8/12/(1-(1+'depto - Departamento'!$D$8/12)^-(12*AE$3-$A158+3))+$AY158)</f>
        <v>0</v>
      </c>
      <c r="AF158" s="791" cm="1">
        <f t="array" ref="AF158">AF157-(AF156-AF157)</f>
        <v>79.4141</v>
      </c>
      <c r="AG158" s="791"/>
      <c r="AH158" s="791"/>
      <c r="AI158" s="804" cm="1">
        <f t="array" ref="AI158">$F158*Y158</f>
        <v>161085.947820086</v>
      </c>
      <c r="AJ158" s="405" cm="1">
        <f t="array" ref="AJ158">$F158*Z158</f>
        <v>186465.511198332</v>
      </c>
      <c r="AK158" s="405" cm="1">
        <f t="array" ref="AK158">$F158*AA158</f>
        <v>246902.529614857</v>
      </c>
      <c r="AL158" s="405" cm="1">
        <f t="array" ref="AL158">$F158*AB158</f>
        <v>545880.7039268489</v>
      </c>
      <c r="AM158" s="405" cm="1">
        <f t="array" ref="AM158">$F158*AC158</f>
        <v>0</v>
      </c>
      <c r="AN158" s="405" cm="1">
        <f t="array" ref="AN158">$F158*AD158</f>
        <v>0</v>
      </c>
      <c r="AO158" s="405"/>
      <c r="AP158" s="405" cm="1">
        <f t="array" ref="AP158">$F158*AF158</f>
        <v>4638042.86660938</v>
      </c>
      <c r="AQ158" s="791"/>
      <c r="AR158" s="805" cm="1">
        <f t="array" ref="AR158">K157-K158</f>
        <v>12.6747</v>
      </c>
      <c r="AS158" s="805" cm="1">
        <f t="array" ref="AS158">D158-AR158</f>
        <v>1.8793</v>
      </c>
      <c r="AT158" s="791"/>
      <c r="AU158" s="806" cm="1">
        <f t="array" ref="AU158">ROUND(AV158*F158,0)</f>
        <v>60401</v>
      </c>
      <c r="AV158" s="807" cm="1">
        <f t="array" ref="AV158">IF(K157=0,0,AV157)</f>
        <v>1.0342</v>
      </c>
      <c r="AW158" s="806" cm="1">
        <f t="array" ref="AW158">ROUND(F158*AX158,0)</f>
        <v>608</v>
      </c>
      <c r="AX158" s="807" cm="1">
        <f t="array" ref="AX158">AX$11/K$10*K157</f>
        <v>0.0104179793215157</v>
      </c>
      <c r="AY158" s="808" cm="1">
        <f t="array" ref="AY158">SUM(AV158,AX158)</f>
        <v>1.04461797932152</v>
      </c>
      <c r="AZ158" s="806" cm="1">
        <f t="array" ref="AZ158">AU158+AW158</f>
        <v>61009</v>
      </c>
      <c r="BA158" s="809" cm="1">
        <f t="array" ref="BA158">AI158-AZ158-BG158</f>
        <v>51331.3532996224</v>
      </c>
      <c r="BB158" s="810" cm="1">
        <f t="array" ref="BB158">ROUND(BA158/$F158,4)</f>
        <v>0.8789</v>
      </c>
      <c r="BC158" s="809" cm="1">
        <f t="array" ref="BC158">J158-SUM(AZ158,BA158,BG158)</f>
        <v>688915.052179914</v>
      </c>
      <c r="BD158" s="810" cm="1">
        <f t="array" ref="BD158">ROUND(BC158/$F158,4)</f>
        <v>11.7958</v>
      </c>
      <c r="BE158" s="811" cm="1">
        <f t="array" ref="BE158">BC158+BA158</f>
        <v>740246.405479536</v>
      </c>
      <c r="BF158" s="810" cm="1">
        <f t="array" ref="BF158">ROUND((BA158+BC158)/F158,4)</f>
        <v>12.6747</v>
      </c>
      <c r="BG158" s="812" cm="1">
        <f t="array" ref="BG158">BO158*F158</f>
        <v>48745.5945204636</v>
      </c>
      <c r="BH158" s="813" cm="1">
        <f t="array" ref="BH158">ROUND(BG158/$F158,4)</f>
        <v>0.8346</v>
      </c>
      <c r="BI158" s="798" cm="1">
        <f t="array" ref="BI158">M157-M158</f>
        <v>666000</v>
      </c>
      <c r="BJ158" s="798" cm="1">
        <f t="array" ref="BJ158">BE158-BI158</f>
        <v>74246.405479536</v>
      </c>
      <c r="BK158" s="798" cm="1">
        <f t="array" ref="BK158">-BJ158</f>
        <v>-74246.405479536</v>
      </c>
      <c r="BL158" s="798" cm="1">
        <f t="array" ref="BL158">BG158+BJ158</f>
        <v>122992</v>
      </c>
      <c r="BM158" s="798" cm="1">
        <f t="array" ref="BM158">AVERAGE(BL156:BL158)</f>
        <v>83210.6666666666</v>
      </c>
      <c r="BN158" s="814" cm="1">
        <f t="array" ref="BN158">BH157-BH158</f>
        <v>0.0524</v>
      </c>
      <c r="BO158" s="801" cm="1">
        <f t="array" ref="BO158">K157*0.0495/12-0.16</f>
        <v>0.83463815</v>
      </c>
      <c r="BP158" s="815" cm="1">
        <f t="array" ref="BP158">(BA158+BC158)/BG158</f>
        <v>15.185913983853</v>
      </c>
      <c r="BQ158" s="815" cm="1">
        <f t="array" ref="BQ158">Y158-BB158</f>
        <v>1.87926673900881</v>
      </c>
      <c r="BR158" s="815" cm="1">
        <f t="array" ref="BR158">(BR$4*(1+BR$4)^BR$3*K157)/((1+BR$4)^BR$3-1)</f>
        <v>1.28704970444496</v>
      </c>
      <c r="BS158" s="815"/>
      <c r="BT158" s="405"/>
      <c r="BU158" s="405"/>
      <c r="BV158" s="405" cm="1">
        <f t="array" ref="BV158">BA158+BC158+BV157</f>
        <v>162048755.872689</v>
      </c>
      <c r="BW158" s="405" cm="1">
        <f t="array" ref="BW158">BG158+BW157</f>
        <v>33750509.1273114</v>
      </c>
      <c r="BX158" s="801" cm="1">
        <f t="array" ref="BX158">BF158+BX157</f>
        <v>3687.0595</v>
      </c>
      <c r="BY158" s="801" cm="1">
        <f t="array" ref="BY158">BH158+BY157</f>
        <v>759.6222</v>
      </c>
      <c r="BZ158" s="405" cm="1">
        <f t="array" ref="BZ158">SUM(BJ$6:BJ158)</f>
        <v>28758432.8726886</v>
      </c>
      <c r="CA158" s="801"/>
      <c r="CB158" s="801"/>
      <c r="CC158" s="405" cm="1">
        <f t="array" ref="CC158">SUM(BE$6:BE158)</f>
        <v>162048755.872689</v>
      </c>
      <c r="CD158" s="801"/>
      <c r="CE158" s="801"/>
      <c r="CF158" s="801"/>
      <c r="CG158" s="801"/>
      <c r="CH158" s="801"/>
      <c r="CI158" s="801"/>
      <c r="CJ158" s="801"/>
      <c r="CK158" s="801"/>
      <c r="CL158" s="801"/>
      <c r="CM158" s="801"/>
    </row>
    <row r="159" ht="19.35" customHeight="1" hidden="1">
      <c r="A159" s="762">
        <v>153</v>
      </c>
      <c r="B159" s="790">
        <v>49990</v>
      </c>
      <c r="C159" s="405"/>
      <c r="D159" s="791" cm="1">
        <f t="array" ref="D159">ROUND(850000/F159,4)</f>
        <v>14.5003</v>
      </c>
      <c r="E159" s="792" cm="1">
        <f t="array" ref="E159">D159/K158</f>
        <v>0.063472615634864</v>
      </c>
      <c r="F159" s="793" cm="1">
        <f t="array" ref="F159">F158*(1+G159)</f>
        <v>58619.3588445356</v>
      </c>
      <c r="G159" s="792" cm="1">
        <f t="array" ref="G159">H159-SUM(G148:G158)</f>
        <v>0.0037</v>
      </c>
      <c r="H159" s="794" cm="1">
        <f t="array" ref="H159">'depto - Table 5'!$L$2</f>
        <v>0.03</v>
      </c>
      <c r="I159" s="795" cm="1">
        <f t="array" ref="I159">H159+4.95/100</f>
        <v>0.0795</v>
      </c>
      <c r="J159" s="405" cm="1">
        <f t="array" ref="J159">IF(K158=0,0,ROUND(D159*F159,0))</f>
        <v>849998</v>
      </c>
      <c r="K159" s="796" cm="1">
        <f t="array" ref="K159">IF(K158-BF159&lt;0,0,K158-BF159)</f>
        <v>215.7758</v>
      </c>
      <c r="L159" s="797" cm="1">
        <f t="array" ref="L159">K159/K$5</f>
        <v>0.0546267848101266</v>
      </c>
      <c r="M159" s="798" cm="1">
        <f t="array" ref="M159">ROUND(K159*F159,0)</f>
        <v>12648639</v>
      </c>
      <c r="N159" s="799" cm="1">
        <f t="array" ref="N159">M159/M$5</f>
        <v>0.08626079647864229</v>
      </c>
      <c r="O159" s="798" cm="1">
        <f t="array" ref="O159">M159-M158</f>
        <v>-693570</v>
      </c>
      <c r="P159" s="800" cm="1">
        <f t="array" ref="P159">T159-K159</f>
        <v>5184.2242</v>
      </c>
      <c r="Q159" s="798" cm="1">
        <f t="array" ref="Q159">ROUND(P159*F159,0)</f>
        <v>303895899</v>
      </c>
      <c r="R159" s="801" cm="1">
        <f t="array" ref="R159">$K$5-K159</f>
        <v>3734.2242</v>
      </c>
      <c r="S159" s="798" cm="1">
        <f t="array" ref="S159">Q159-Q158</f>
        <v>1860467</v>
      </c>
      <c r="T159" s="801">
        <v>5400</v>
      </c>
      <c r="U159" s="798" cm="1">
        <f t="array" ref="U159">T159*F159</f>
        <v>316544537.760492</v>
      </c>
      <c r="V159" s="802" cm="1">
        <f t="array" ref="V159">-S159</f>
        <v>-1860467</v>
      </c>
      <c r="W159" s="802"/>
      <c r="X159" s="802" cm="1">
        <f t="array" ref="X159">$K158*4.95/12/100/(1-(1+4.95/12/100)^-(360-$A159+3))+$AY159</f>
        <v>2.67240131324765</v>
      </c>
      <c r="Y159" s="803" cm="1">
        <f t="array" ref="Y159">K158*4.95/12/100/(1-(1+4.95/12/100)^-(360-$A159+3))+AY159</f>
        <v>2.67240131324765</v>
      </c>
      <c r="Z159" s="791" cm="1">
        <f t="array" ref="Z159">IF(Z$3*12&lt;=$A159,0,$K158*'depto - Departamento'!$D$8/12/(1-(1+'depto - Departamento'!$D$8/12)^-(12*Z$3-$A159+3))+$AY160)</f>
        <v>3.08902217740967</v>
      </c>
      <c r="AA159" s="791" cm="1">
        <f t="array" ref="AA159">IF(AA$3*12&lt;=$A159,0,$K158*'depto - Departamento'!$D$8/12/(1-(1+'depto - Departamento'!$D$8/12)^-(12*AA$3-$A159+3))+$AY160)</f>
        <v>4.08728979377028</v>
      </c>
      <c r="AB159" s="791" cm="1">
        <f t="array" ref="AB159">IF(AB$3*12&lt;$A159,0,$K158*'depto - Departamento'!$D$8/12/(1-(1+'depto - Departamento'!$D$8/12)^-(12*AB$3-$A159+3))+$AY159)</f>
        <v>9.155628589293039</v>
      </c>
      <c r="AC159" s="791" cm="1">
        <f t="array" ref="AC159">IF(AC$3*12&lt;$A159,0,$K158*'depto - Departamento'!$D$8/12/(1-(1+'depto - Departamento'!$D$8/12)^-(12*AC$3-$A159+3))+$AY159)</f>
        <v>0</v>
      </c>
      <c r="AD159" s="791" cm="1">
        <f t="array" ref="AD159">IF(AD$3*12&lt;$A159,0,$K158*'depto - Departamento'!$D$8/12/(1-(1+'depto - Departamento'!$D$8/12)^-(12*AD$3-$A159+3))+$AY159)</f>
        <v>0</v>
      </c>
      <c r="AE159" s="791" cm="1">
        <f t="array" ref="AE159">IF(AE$3*12&lt;$A159,0,$K158*'depto - Departamento'!$D$8/12/(1-(1+'depto - Departamento'!$D$8/12)^-(12*AE$3-$A159+3))+$AY159)</f>
        <v>0</v>
      </c>
      <c r="AF159" s="791" cm="1">
        <f t="array" ref="AF159">AF158-(AF157-AF158)</f>
        <v>79.4113</v>
      </c>
      <c r="AG159" s="791"/>
      <c r="AH159" s="791"/>
      <c r="AI159" s="804" cm="1">
        <f t="array" ref="AI159">$F159*Y159</f>
        <v>156654.451557872</v>
      </c>
      <c r="AJ159" s="405" cm="1">
        <f t="array" ref="AJ159">$F159*Z159</f>
        <v>181076.499496306</v>
      </c>
      <c r="AK159" s="405" cm="1">
        <f t="array" ref="AK159">$F159*AA159</f>
        <v>239594.307122628</v>
      </c>
      <c r="AL159" s="405" cm="1">
        <f t="array" ref="AL159">$F159*AB159</f>
        <v>536697.0777230581</v>
      </c>
      <c r="AM159" s="405" cm="1">
        <f t="array" ref="AM159">$F159*AC159</f>
        <v>0</v>
      </c>
      <c r="AN159" s="405" cm="1">
        <f t="array" ref="AN159">$F159*AD159</f>
        <v>0</v>
      </c>
      <c r="AO159" s="405"/>
      <c r="AP159" s="405" cm="1">
        <f t="array" ref="AP159">$F159*AF159</f>
        <v>4655039.49101107</v>
      </c>
      <c r="AQ159" s="791"/>
      <c r="AR159" s="805" cm="1">
        <f t="array" ref="AR159">K158-K159</f>
        <v>12.6739</v>
      </c>
      <c r="AS159" s="805" cm="1">
        <f t="array" ref="AS159">D159-AR159</f>
        <v>1.8264</v>
      </c>
      <c r="AT159" s="791"/>
      <c r="AU159" s="806" cm="1">
        <f t="array" ref="AU159">ROUND(AV159*F159,0)</f>
        <v>60624</v>
      </c>
      <c r="AV159" s="807" cm="1">
        <f t="array" ref="AV159">IF(K158=0,0,AV158)</f>
        <v>1.0342</v>
      </c>
      <c r="AW159" s="806" cm="1">
        <f t="array" ref="AW159">ROUND(F159*AX159,0)</f>
        <v>579</v>
      </c>
      <c r="AX159" s="807" cm="1">
        <f t="array" ref="AX159">AX$11/K$10*K158</f>
        <v>0.00987035841501927</v>
      </c>
      <c r="AY159" s="808" cm="1">
        <f t="array" ref="AY159">SUM(AV159,AX159)</f>
        <v>1.04407035841502</v>
      </c>
      <c r="AZ159" s="806" cm="1">
        <f t="array" ref="AZ159">AU159+AW159</f>
        <v>61203</v>
      </c>
      <c r="BA159" s="809" cm="1">
        <f t="array" ref="BA159">AI159-AZ159-BG159</f>
        <v>49590.3023363134</v>
      </c>
      <c r="BB159" s="810" cm="1">
        <f t="array" ref="BB159">ROUND(BA159/$F159,4)</f>
        <v>0.846</v>
      </c>
      <c r="BC159" s="809" cm="1">
        <f t="array" ref="BC159">J159-SUM(AZ159,BA159,BG159)</f>
        <v>693343.548442128</v>
      </c>
      <c r="BD159" s="810" cm="1">
        <f t="array" ref="BD159">ROUND(BC159/$F159,4)</f>
        <v>11.8279</v>
      </c>
      <c r="BE159" s="811" cm="1">
        <f t="array" ref="BE159">BC159+BA159</f>
        <v>742933.8507784409</v>
      </c>
      <c r="BF159" s="810" cm="1">
        <f t="array" ref="BF159">ROUND((BA159+BC159)/F159,4)</f>
        <v>12.6739</v>
      </c>
      <c r="BG159" s="812" cm="1">
        <f t="array" ref="BG159">BO159*F159</f>
        <v>45861.1492215586</v>
      </c>
      <c r="BH159" s="813" cm="1">
        <f t="array" ref="BH159">ROUND(BG159/$F159,4)</f>
        <v>0.7824</v>
      </c>
      <c r="BI159" s="798" cm="1">
        <f t="array" ref="BI159">M158-M159</f>
        <v>693570</v>
      </c>
      <c r="BJ159" s="798" cm="1">
        <f t="array" ref="BJ159">BE159-BI159</f>
        <v>49363.850778441</v>
      </c>
      <c r="BK159" s="798" cm="1">
        <f t="array" ref="BK159">-BJ159</f>
        <v>-49363.850778441</v>
      </c>
      <c r="BL159" s="798" cm="1">
        <f t="array" ref="BL159">BG159+BJ159</f>
        <v>95224.999999999607</v>
      </c>
      <c r="BM159" s="798" cm="1">
        <f t="array" ref="BM159">AVERAGE(BL157:BL159)</f>
        <v>96788.3333333332</v>
      </c>
      <c r="BN159" s="814" cm="1">
        <f t="array" ref="BN159">BH158-BH159</f>
        <v>0.0522</v>
      </c>
      <c r="BO159" s="801" cm="1">
        <f t="array" ref="BO159">K158*0.0495/12-0.16</f>
        <v>0.7823550124999999</v>
      </c>
      <c r="BP159" s="815" cm="1">
        <f t="array" ref="BP159">(BA159+BC159)/BG159</f>
        <v>16.1996344049137</v>
      </c>
      <c r="BQ159" s="815" cm="1">
        <f t="array" ref="BQ159">Y159-BB159</f>
        <v>1.82640131324765</v>
      </c>
      <c r="BR159" s="815" cm="1">
        <f t="array" ref="BR159">(BR$4*(1+BR$4)^BR$3*K158)/((1+BR$4)^BR$3-1)</f>
        <v>1.21939595854065</v>
      </c>
      <c r="BS159" s="815"/>
      <c r="BT159" s="405"/>
      <c r="BU159" s="405"/>
      <c r="BV159" s="405" cm="1">
        <f t="array" ref="BV159">BA159+BC159+BV158</f>
        <v>162791689.723467</v>
      </c>
      <c r="BW159" s="405" cm="1">
        <f t="array" ref="BW159">BG159+BW158</f>
        <v>33796370.276533</v>
      </c>
      <c r="BX159" s="801" cm="1">
        <f t="array" ref="BX159">BF159+BX158</f>
        <v>3699.7334</v>
      </c>
      <c r="BY159" s="801" cm="1">
        <f t="array" ref="BY159">BH159+BY158</f>
        <v>760.4046</v>
      </c>
      <c r="BZ159" s="405" cm="1">
        <f t="array" ref="BZ159">SUM(BJ$6:BJ159)</f>
        <v>28807796.723467</v>
      </c>
      <c r="CA159" s="801"/>
      <c r="CB159" s="801"/>
      <c r="CC159" s="405" cm="1">
        <f t="array" ref="CC159">SUM(BE$6:BE159)</f>
        <v>162791689.723467</v>
      </c>
      <c r="CD159" s="801"/>
      <c r="CE159" s="801"/>
      <c r="CF159" s="801"/>
      <c r="CG159" s="801"/>
      <c r="CH159" s="801"/>
      <c r="CI159" s="801"/>
      <c r="CJ159" s="801"/>
      <c r="CK159" s="801"/>
      <c r="CL159" s="801"/>
      <c r="CM159" s="801"/>
    </row>
    <row r="160" ht="19.35" customHeight="1" hidden="1">
      <c r="A160" s="762">
        <v>154</v>
      </c>
      <c r="B160" s="790">
        <v>50020</v>
      </c>
      <c r="C160" s="405"/>
      <c r="D160" s="791" cm="1">
        <f t="array" ref="D160">ROUND(850000/F160,4)</f>
        <v>14.4974</v>
      </c>
      <c r="E160" s="792" cm="1">
        <f t="array" ref="E160">D160/K159</f>
        <v>0.06718733055328729</v>
      </c>
      <c r="F160" s="793" cm="1">
        <f t="array" ref="F160">F159*(1+G160)</f>
        <v>58631.0827163045</v>
      </c>
      <c r="G160" s="792" cm="1">
        <f t="array" ref="G160">H160-SUM(G149:G159)</f>
        <v>0.0002</v>
      </c>
      <c r="H160" s="794" cm="1">
        <f t="array" ref="H160">'depto - Table 5'!$L$2</f>
        <v>0.03</v>
      </c>
      <c r="I160" s="795" cm="1">
        <f t="array" ref="I160">H160+4.95/100</f>
        <v>0.0795</v>
      </c>
      <c r="J160" s="405" cm="1">
        <f t="array" ref="J160">IF(K159=0,0,ROUND(D160*F160,0))</f>
        <v>849998</v>
      </c>
      <c r="K160" s="796" cm="1">
        <f t="array" ref="K160">IF(K159-BF160&lt;0,0,K159-BF160)</f>
        <v>203.052</v>
      </c>
      <c r="L160" s="797" cm="1">
        <f t="array" ref="L160">K160/K$5</f>
        <v>0.0514055696202532</v>
      </c>
      <c r="M160" s="798" cm="1">
        <f t="array" ref="M160">ROUND(K160*F160,0)</f>
        <v>11905159</v>
      </c>
      <c r="N160" s="799" cm="1">
        <f t="array" ref="N160">M160/M$5</f>
        <v>0.0811904346028752</v>
      </c>
      <c r="O160" s="798" cm="1">
        <f t="array" ref="O160">M160-M159</f>
        <v>-743480</v>
      </c>
      <c r="P160" s="800" cm="1">
        <f t="array" ref="P160">T160-K160</f>
        <v>5196.948</v>
      </c>
      <c r="Q160" s="798" cm="1">
        <f t="array" ref="Q160">ROUND(P160*F160,0)</f>
        <v>304702688</v>
      </c>
      <c r="R160" s="801" cm="1">
        <f t="array" ref="R160">$K$5-K160</f>
        <v>3746.948</v>
      </c>
      <c r="S160" s="798" cm="1">
        <f t="array" ref="S160">Q160-Q159</f>
        <v>806789</v>
      </c>
      <c r="T160" s="801">
        <v>5400</v>
      </c>
      <c r="U160" s="798" cm="1">
        <f t="array" ref="U160">T160*F160</f>
        <v>316607846.668044</v>
      </c>
      <c r="V160" s="802" cm="1">
        <f t="array" ref="V160">-S160</f>
        <v>-806789</v>
      </c>
      <c r="W160" s="802"/>
      <c r="X160" s="802" cm="1">
        <f t="array" ref="X160">$K159*4.95/12/100/(1-(1+4.95/12/100)^-(360-$A160+3))+$AY160</f>
        <v>2.58614952660771</v>
      </c>
      <c r="Y160" s="803" cm="1">
        <f t="array" ref="Y160">K159*4.95/12/100/(1-(1+4.95/12/100)^-(360-$A160+3))+AY160</f>
        <v>2.58614952660771</v>
      </c>
      <c r="Z160" s="791" cm="1">
        <f t="array" ref="Z160">IF(Z$3*12&lt;=$A160,0,$K159*'depto - Departamento'!$D$8/12/(1-(1+'depto - Departamento'!$D$8/12)^-(12*Z$3-$A160+3))+$AY161)</f>
        <v>1.94139413903703</v>
      </c>
      <c r="AA160" s="791" cm="1">
        <f t="array" ref="AA160">IF(AA$3*12&lt;=$A160,0,$K159*'depto - Departamento'!$D$8/12/(1-(1+'depto - Departamento'!$D$8/12)^-(12*AA$3-$A160+3))+$AY161)</f>
        <v>2.90159589873723</v>
      </c>
      <c r="AB160" s="791" cm="1">
        <f t="array" ref="AB160">IF(AB$3*12&lt;$A160,0,$K159*'depto - Departamento'!$D$8/12/(1-(1+'depto - Departamento'!$D$8/12)^-(12*AB$3-$A160+3))+$AY160)</f>
        <v>8.953293366277929</v>
      </c>
      <c r="AC160" s="791" cm="1">
        <f t="array" ref="AC160">IF(AC$3*12&lt;$A160,0,$K159*'depto - Departamento'!$D$8/12/(1-(1+'depto - Departamento'!$D$8/12)^-(12*AC$3-$A160+3))+$AY160)</f>
        <v>0</v>
      </c>
      <c r="AD160" s="791" cm="1">
        <f t="array" ref="AD160">IF(AD$3*12&lt;$A160,0,$K159*'depto - Departamento'!$D$8/12/(1-(1+'depto - Departamento'!$D$8/12)^-(12*AD$3-$A160+3))+$AY160)</f>
        <v>0</v>
      </c>
      <c r="AE160" s="791" cm="1">
        <f t="array" ref="AE160">IF(AE$3*12&lt;$A160,0,$K159*'depto - Departamento'!$D$8/12/(1-(1+'depto - Departamento'!$D$8/12)^-(12*AE$3-$A160+3))+$AY160)</f>
        <v>0</v>
      </c>
      <c r="AF160" s="791" cm="1">
        <f t="array" ref="AF160">AF159-(AF158-AF159)</f>
        <v>79.4085</v>
      </c>
      <c r="AG160" s="791"/>
      <c r="AH160" s="791"/>
      <c r="AI160" s="804" cm="1">
        <f t="array" ref="AI160">$F160*Y160</f>
        <v>151628.746811268</v>
      </c>
      <c r="AJ160" s="405" cm="1">
        <f t="array" ref="AJ160">$F160*Z160</f>
        <v>113826.040350829</v>
      </c>
      <c r="AK160" s="405" cm="1">
        <f t="array" ref="AK160">$F160*AA160</f>
        <v>170123.709148152</v>
      </c>
      <c r="AL160" s="405" cm="1">
        <f t="array" ref="AL160">$F160*AB160</f>
        <v>524941.283941582</v>
      </c>
      <c r="AM160" s="405" cm="1">
        <f t="array" ref="AM160">$F160*AC160</f>
        <v>0</v>
      </c>
      <c r="AN160" s="405" cm="1">
        <f t="array" ref="AN160">$F160*AD160</f>
        <v>0</v>
      </c>
      <c r="AO160" s="405"/>
      <c r="AP160" s="405" cm="1">
        <f t="array" ref="AP160">$F160*AF160</f>
        <v>4655806.33187767</v>
      </c>
      <c r="AQ160" s="791"/>
      <c r="AR160" s="805" cm="1">
        <f t="array" ref="AR160">K159-K160</f>
        <v>12.7238</v>
      </c>
      <c r="AS160" s="805" cm="1">
        <f t="array" ref="AS160">D160-AR160</f>
        <v>1.7736</v>
      </c>
      <c r="AT160" s="791"/>
      <c r="AU160" s="806" cm="1">
        <f t="array" ref="AU160">ROUND(AV160*F160,0)</f>
        <v>60636</v>
      </c>
      <c r="AV160" s="807" cm="1">
        <f t="array" ref="AV160">IF(K159=0,0,AV159)</f>
        <v>1.0342</v>
      </c>
      <c r="AW160" s="806" cm="1">
        <f t="array" ref="AW160">ROUND(F160*AX160,0)</f>
        <v>547</v>
      </c>
      <c r="AX160" s="807" cm="1">
        <f t="array" ref="AX160">AX$11/K$10*K159</f>
        <v>0.0093227720731851</v>
      </c>
      <c r="AY160" s="808" cm="1">
        <f t="array" ref="AY160">SUM(AV160,AX160)</f>
        <v>1.04352277207319</v>
      </c>
      <c r="AZ160" s="806" cm="1">
        <f t="array" ref="AZ160">AU160+AW160</f>
        <v>61183</v>
      </c>
      <c r="BA160" s="809" cm="1">
        <f t="array" ref="BA160">AI160-AZ160-BG160</f>
        <v>47640.6488367225</v>
      </c>
      <c r="BB160" s="810" cm="1">
        <f t="array" ref="BB160">ROUND(BA160/$F160,4)</f>
        <v>0.8125</v>
      </c>
      <c r="BC160" s="809" cm="1">
        <f t="array" ref="BC160">J160-SUM(AZ160,BA160,BG160)</f>
        <v>698369.253188732</v>
      </c>
      <c r="BD160" s="810" cm="1">
        <f t="array" ref="BD160">ROUND(BC160/$F160,4)</f>
        <v>11.9112</v>
      </c>
      <c r="BE160" s="811" cm="1">
        <f t="array" ref="BE160">BC160+BA160</f>
        <v>746009.902025455</v>
      </c>
      <c r="BF160" s="810" cm="1">
        <f t="array" ref="BF160">ROUND((BA160+BC160)/F160,4)</f>
        <v>12.7238</v>
      </c>
      <c r="BG160" s="812" cm="1">
        <f t="array" ref="BG160">BO160*F160</f>
        <v>42805.0979745455</v>
      </c>
      <c r="BH160" s="813" cm="1">
        <f t="array" ref="BH160">ROUND(BG160/$F160,4)</f>
        <v>0.7301</v>
      </c>
      <c r="BI160" s="798" cm="1">
        <f t="array" ref="BI160">M159-M160</f>
        <v>743480</v>
      </c>
      <c r="BJ160" s="798" cm="1">
        <f t="array" ref="BJ160">BE160-BI160</f>
        <v>2529.902025455</v>
      </c>
      <c r="BK160" s="798" cm="1">
        <f t="array" ref="BK160">-BJ160</f>
        <v>-2529.902025455</v>
      </c>
      <c r="BL160" s="798" cm="1">
        <f t="array" ref="BL160">BG160+BJ160</f>
        <v>45335.0000000005</v>
      </c>
      <c r="BM160" s="798" cm="1">
        <f t="array" ref="BM160">AVERAGE(BL158:BL160)</f>
        <v>87850.6666666667</v>
      </c>
      <c r="BN160" s="814" cm="1">
        <f t="array" ref="BN160">BH159-BH160</f>
        <v>0.0523</v>
      </c>
      <c r="BO160" s="801" cm="1">
        <f t="array" ref="BO160">K159*0.0495/12-0.16</f>
        <v>0.730075175</v>
      </c>
      <c r="BP160" s="815" cm="1">
        <f t="array" ref="BP160">(BA160+BC160)/BG160</f>
        <v>17.4280620142273</v>
      </c>
      <c r="BQ160" s="815" cm="1">
        <f t="array" ref="BQ160">Y160-BB160</f>
        <v>1.77364952660771</v>
      </c>
      <c r="BR160" s="815" cm="1">
        <f t="array" ref="BR160">(BR$4*(1+BR$4)^BR$3*K159)/((1+BR$4)^BR$3-1)</f>
        <v>1.15174648279632</v>
      </c>
      <c r="BS160" s="815"/>
      <c r="BT160" s="405"/>
      <c r="BU160" s="405"/>
      <c r="BV160" s="405" cm="1">
        <f t="array" ref="BV160">BA160+BC160+BV159</f>
        <v>163537699.625492</v>
      </c>
      <c r="BW160" s="405" cm="1">
        <f t="array" ref="BW160">BG160+BW159</f>
        <v>33839175.3745075</v>
      </c>
      <c r="BX160" s="801" cm="1">
        <f t="array" ref="BX160">BF160+BX159</f>
        <v>3712.4572</v>
      </c>
      <c r="BY160" s="801" cm="1">
        <f t="array" ref="BY160">BH160+BY159</f>
        <v>761.1347</v>
      </c>
      <c r="BZ160" s="405" cm="1">
        <f t="array" ref="BZ160">SUM(BJ$6:BJ160)</f>
        <v>28810326.6254925</v>
      </c>
      <c r="CA160" s="801"/>
      <c r="CB160" s="801"/>
      <c r="CC160" s="405" cm="1">
        <f t="array" ref="CC160">SUM(BE$6:BE160)</f>
        <v>163537699.625492</v>
      </c>
      <c r="CD160" s="801"/>
      <c r="CE160" s="801"/>
      <c r="CF160" s="801"/>
      <c r="CG160" s="801"/>
      <c r="CH160" s="801"/>
      <c r="CI160" s="801"/>
      <c r="CJ160" s="801"/>
      <c r="CK160" s="801"/>
      <c r="CL160" s="801"/>
      <c r="CM160" s="801"/>
    </row>
    <row r="161" ht="20.55" customHeight="1">
      <c r="A161" s="817"/>
      <c r="B161" s="666"/>
      <c r="C161" s="366" cm="1">
        <f t="array" ref="C161">SUM(C5:C160)</f>
        <v>148338452</v>
      </c>
      <c r="D161" s="666" cm="1">
        <f t="array" ref="D161">D$162+D5</f>
        <v>3895.22538</v>
      </c>
      <c r="E161" s="818"/>
      <c r="F161" s="666"/>
      <c r="G161" s="666"/>
      <c r="H161" s="666"/>
      <c r="I161" s="666"/>
      <c r="J161" s="46"/>
      <c r="K161" s="46"/>
      <c r="L161" s="46"/>
      <c r="M161" s="819"/>
      <c r="N161" s="819"/>
      <c r="O161" s="819"/>
      <c r="P161" s="819"/>
      <c r="Q161" s="819"/>
      <c r="R161" s="819"/>
      <c r="S161" s="666"/>
      <c r="T161" s="819"/>
      <c r="U161" s="819"/>
      <c r="V161" s="366"/>
      <c r="W161" s="366"/>
      <c r="X161" s="366"/>
      <c r="Y161" s="366"/>
      <c r="Z161" s="366"/>
      <c r="AA161" s="366"/>
      <c r="AB161" s="366"/>
      <c r="AC161" s="366"/>
      <c r="AD161" s="366"/>
      <c r="AE161" s="366"/>
      <c r="AF161" s="366"/>
      <c r="AG161" s="366"/>
      <c r="AH161" s="366"/>
      <c r="AI161" s="366"/>
      <c r="AJ161" s="366"/>
      <c r="AK161" s="366"/>
      <c r="AL161" s="366"/>
      <c r="AM161" s="366"/>
      <c r="AN161" s="366"/>
      <c r="AO161" s="366"/>
      <c r="AP161" s="366"/>
      <c r="AQ161" s="366"/>
      <c r="AR161" s="46"/>
      <c r="AS161" s="366"/>
      <c r="AT161" s="366"/>
      <c r="AU161" s="366"/>
      <c r="AV161" s="366"/>
      <c r="AW161" s="366"/>
      <c r="AX161" s="366"/>
      <c r="AY161" s="366"/>
      <c r="AZ161" s="366"/>
      <c r="BA161" s="820" cm="1">
        <f t="array" ref="BA161">SUM(BA5:BA160)</f>
        <v>15771236.4308734</v>
      </c>
      <c r="BB161" s="821" cm="1">
        <f t="array" ref="BB161">SUM(BB5:BB160)</f>
        <v>342.792</v>
      </c>
      <c r="BC161" s="820" cm="1">
        <f t="array" ref="BC161">SUM(BC5:BC160)</f>
        <v>147766463.194619</v>
      </c>
      <c r="BD161" s="821" cm="1">
        <f t="array" ref="BD161">SUM(BD5:BD160)</f>
        <v>3437.8105</v>
      </c>
      <c r="BE161" s="820" cm="1">
        <f t="array" ref="BE161">SUM(BE5:BE160)</f>
        <v>163537699.625492</v>
      </c>
      <c r="BF161" s="46"/>
      <c r="BG161" s="46"/>
      <c r="BH161" s="46"/>
      <c r="BI161" s="46"/>
      <c r="BJ161" s="46"/>
      <c r="BK161" s="46"/>
      <c r="BL161" s="46"/>
      <c r="BM161" s="46"/>
      <c r="BN161" s="366"/>
      <c r="BO161" s="366"/>
      <c r="BP161" s="366"/>
      <c r="BQ161" s="366"/>
      <c r="BR161" s="366"/>
      <c r="BS161" s="366"/>
      <c r="BT161" s="366"/>
      <c r="BU161" s="366"/>
      <c r="BV161" s="366"/>
      <c r="BW161" s="366"/>
      <c r="BX161" s="366"/>
      <c r="BY161" s="366"/>
      <c r="BZ161" s="366"/>
      <c r="CA161" s="366"/>
      <c r="CB161" s="366"/>
      <c r="CC161" s="366"/>
      <c r="CD161" s="366"/>
      <c r="CE161" s="366"/>
      <c r="CF161" s="366"/>
      <c r="CG161" s="366"/>
      <c r="CH161" s="366"/>
      <c r="CI161" s="366"/>
      <c r="CJ161" s="366"/>
      <c r="CK161" s="366"/>
      <c r="CL161" s="366"/>
      <c r="CM161" s="366"/>
    </row>
    <row r="162" ht="20.35" customHeight="1">
      <c r="A162" s="822" cm="1">
        <f t="array" ref="A162">'depto - Departamento'!D3</f>
        <v>5400</v>
      </c>
      <c r="B162" s="681"/>
      <c r="C162" s="371" cm="1">
        <f t="array" ref="C162">SUM(C5:C160)-C5</f>
        <v>94511320</v>
      </c>
      <c r="D162" s="823" cm="1">
        <f t="array" ref="D162">SUM(D7:D33)</f>
        <v>2445.22538</v>
      </c>
      <c r="E162" s="824"/>
      <c r="F162" t="s" s="50">
        <v>597</v>
      </c>
      <c r="G162" s="51"/>
      <c r="H162" s="51"/>
      <c r="I162" s="825"/>
      <c r="J162" s="371"/>
      <c r="K162" s="681"/>
      <c r="L162" s="681"/>
      <c r="M162" s="677"/>
      <c r="N162" s="677"/>
      <c r="O162" s="371"/>
      <c r="P162" s="677"/>
      <c r="Q162" s="51"/>
      <c r="R162" s="371"/>
      <c r="S162" s="681"/>
      <c r="T162" s="677"/>
      <c r="U162" s="677"/>
      <c r="V162" s="371"/>
      <c r="W162" s="371"/>
      <c r="X162" s="371"/>
      <c r="Y162" s="371"/>
      <c r="Z162" s="371"/>
      <c r="AA162" s="371"/>
      <c r="AB162" s="371"/>
      <c r="AC162" s="371"/>
      <c r="AD162" s="371"/>
      <c r="AE162" s="371"/>
      <c r="AF162" s="371"/>
      <c r="AG162" s="371"/>
      <c r="AH162" s="371"/>
      <c r="AI162" s="371"/>
      <c r="AJ162" s="371"/>
      <c r="AK162" s="371"/>
      <c r="AL162" s="371"/>
      <c r="AM162" s="371"/>
      <c r="AN162" s="371"/>
      <c r="AO162" s="371"/>
      <c r="AP162" s="371"/>
      <c r="AQ162" s="371"/>
      <c r="AR162" s="371"/>
      <c r="AS162" s="371"/>
      <c r="AT162" s="371"/>
      <c r="AU162" s="371"/>
      <c r="AV162" s="371"/>
      <c r="AW162" s="371"/>
      <c r="AX162" s="371"/>
      <c r="AY162" s="371"/>
      <c r="AZ162" s="371"/>
      <c r="BA162" s="371"/>
      <c r="BB162" s="371"/>
      <c r="BC162" s="51"/>
      <c r="BD162" s="374"/>
      <c r="BE162" s="51"/>
      <c r="BF162" s="51"/>
      <c r="BG162" s="51"/>
      <c r="BH162" s="51"/>
      <c r="BI162" s="51"/>
      <c r="BJ162" s="51"/>
      <c r="BK162" s="51"/>
      <c r="BL162" s="51"/>
      <c r="BM162" s="51"/>
      <c r="BN162" s="371"/>
      <c r="BO162" s="371"/>
      <c r="BP162" s="371"/>
      <c r="BQ162" s="371"/>
      <c r="BR162" s="371"/>
      <c r="BS162" s="371"/>
      <c r="BT162" s="371"/>
      <c r="BU162" s="371"/>
      <c r="BV162" s="371"/>
      <c r="BW162" s="371"/>
      <c r="BX162" s="371"/>
      <c r="BY162" s="371"/>
      <c r="BZ162" s="371"/>
      <c r="CA162" s="371"/>
      <c r="CB162" s="371"/>
      <c r="CC162" s="371"/>
      <c r="CD162" s="371"/>
      <c r="CE162" s="371"/>
      <c r="CF162" s="371"/>
      <c r="CG162" s="371"/>
      <c r="CH162" s="371"/>
      <c r="CI162" s="371"/>
      <c r="CJ162" s="371"/>
      <c r="CK162" s="371"/>
      <c r="CL162" s="371"/>
      <c r="CM162" s="371"/>
    </row>
    <row r="163" ht="20.35" customHeight="1">
      <c r="A163" s="681" cm="1">
        <f t="array" ref="A163">D$163</f>
        <v>1835.4735</v>
      </c>
      <c r="B163" s="681"/>
      <c r="C163" s="371" cm="1">
        <f t="array" ref="C163">ROUND(D$163*'depto - Table 2'!B1,0)</f>
        <v>74539845</v>
      </c>
      <c r="D163" s="823" cm="1">
        <f t="array" ref="D163">K33</f>
        <v>1835.4735</v>
      </c>
      <c r="E163" s="824"/>
      <c r="F163" t="s" s="50">
        <v>598</v>
      </c>
      <c r="G163" s="573" cm="1">
        <f t="array" ref="G163">D$163/K5</f>
        <v>0.464676835443038</v>
      </c>
      <c r="H163" s="573" cm="1">
        <f t="array" ref="H163">C$163/M5</f>
        <v>0.508344526165585</v>
      </c>
      <c r="I163" s="51"/>
      <c r="J163" s="371"/>
      <c r="K163" s="88"/>
      <c r="L163" s="88"/>
      <c r="M163" t="s" s="56">
        <v>1023</v>
      </c>
      <c r="N163" s="93"/>
      <c r="O163" s="677" cm="1">
        <f t="array" ref="O163">ROUND(O$162/F13,4)</f>
        <v>0</v>
      </c>
      <c r="P163" s="826" cm="1">
        <f t="array" ref="P163">SUM(P$164:P$165)</f>
        <v>1.1135</v>
      </c>
      <c r="Q163" t="s" s="50">
        <v>599</v>
      </c>
      <c r="R163" s="247"/>
      <c r="S163" s="681"/>
      <c r="T163" s="371"/>
      <c r="U163" s="677"/>
      <c r="V163" s="374"/>
      <c r="W163" s="374"/>
      <c r="X163" s="374"/>
      <c r="Y163" s="374"/>
      <c r="Z163" s="374"/>
      <c r="AA163" s="374"/>
      <c r="AB163" s="374"/>
      <c r="AC163" s="374"/>
      <c r="AD163" s="374"/>
      <c r="AE163" s="374"/>
      <c r="AF163" s="374"/>
      <c r="AG163" s="374"/>
      <c r="AH163" s="374"/>
      <c r="AI163" s="374"/>
      <c r="AJ163" s="374"/>
      <c r="AK163" s="374"/>
      <c r="AL163" s="374"/>
      <c r="AM163" s="374"/>
      <c r="AN163" s="374"/>
      <c r="AO163" s="374"/>
      <c r="AP163" s="374"/>
      <c r="AQ163" s="374"/>
      <c r="AR163" s="51"/>
      <c r="AS163" s="374"/>
      <c r="AT163" s="374"/>
      <c r="AU163" s="374"/>
      <c r="AV163" s="374"/>
      <c r="AW163" s="374"/>
      <c r="AX163" s="374"/>
      <c r="AY163" s="374"/>
      <c r="AZ163" s="374"/>
      <c r="BA163" s="374"/>
      <c r="BB163" s="374"/>
      <c r="BC163" s="51"/>
      <c r="BD163" s="51"/>
      <c r="BE163" t="s" s="50">
        <v>1176</v>
      </c>
      <c r="BF163" s="51"/>
      <c r="BG163" t="s" s="50">
        <v>1022</v>
      </c>
      <c r="BH163" s="51"/>
      <c r="BI163" s="51"/>
      <c r="BJ163" s="51"/>
      <c r="BK163" s="51"/>
      <c r="BL163" s="51"/>
      <c r="BM163" s="51"/>
      <c r="BN163" s="374"/>
      <c r="BO163" s="374"/>
      <c r="BP163" s="374"/>
      <c r="BQ163" s="374"/>
      <c r="BR163" s="374"/>
      <c r="BS163" s="374"/>
      <c r="BT163" s="374"/>
      <c r="BU163" s="374"/>
      <c r="BV163" s="374"/>
      <c r="BW163" s="374"/>
      <c r="BX163" s="374"/>
      <c r="BY163" s="374"/>
      <c r="BZ163" s="374"/>
      <c r="CA163" s="374"/>
      <c r="CB163" s="374"/>
      <c r="CC163" s="374"/>
      <c r="CD163" s="374"/>
      <c r="CE163" s="374"/>
      <c r="CF163" s="374"/>
      <c r="CG163" s="374"/>
      <c r="CH163" s="374"/>
      <c r="CI163" s="374"/>
      <c r="CJ163" s="374"/>
      <c r="CK163" s="374"/>
      <c r="CL163" s="374"/>
      <c r="CM163" s="374"/>
    </row>
    <row r="164" ht="20.35" customHeight="1">
      <c r="A164" s="681"/>
      <c r="B164" s="681"/>
      <c r="C164" s="371" cm="1">
        <f t="array" ref="C164">ROUND(D$164*'depto - Table 2'!B1,0)</f>
        <v>144757881</v>
      </c>
      <c r="D164" s="822" cm="1">
        <f t="array" ref="D164">A$162-D$163</f>
        <v>3564.5265</v>
      </c>
      <c r="E164" s="824"/>
      <c r="F164" t="s" s="50">
        <v>1177</v>
      </c>
      <c r="G164" s="51"/>
      <c r="H164" s="51"/>
      <c r="I164" s="51"/>
      <c r="J164" s="51"/>
      <c r="K164" s="88"/>
      <c r="L164" s="88"/>
      <c r="M164" s="51"/>
      <c r="N164" s="51"/>
      <c r="O164" s="677"/>
      <c r="P164" s="677" cm="1">
        <f t="array" ref="P164">ROUND($AX$11/$K$10*D$163,4)</f>
        <v>0.0793</v>
      </c>
      <c r="Q164" t="s" s="827">
        <v>1149</v>
      </c>
      <c r="R164" s="677"/>
      <c r="S164" s="681"/>
      <c r="T164" s="677"/>
      <c r="U164" s="51"/>
      <c r="V164" s="374"/>
      <c r="W164" s="374"/>
      <c r="X164" s="374"/>
      <c r="Y164" s="374"/>
      <c r="Z164" s="374"/>
      <c r="AA164" s="374"/>
      <c r="AB164" s="374"/>
      <c r="AC164" s="374"/>
      <c r="AD164" s="374"/>
      <c r="AE164" s="374"/>
      <c r="AF164" s="374"/>
      <c r="AG164" s="374"/>
      <c r="AH164" s="374"/>
      <c r="AI164" s="51"/>
      <c r="AJ164" s="374"/>
      <c r="AK164" s="374"/>
      <c r="AL164" s="374"/>
      <c r="AM164" s="374"/>
      <c r="AN164" s="374"/>
      <c r="AO164" s="374"/>
      <c r="AP164" s="374"/>
      <c r="AQ164" s="374"/>
      <c r="AR164" s="374"/>
      <c r="AS164" s="374"/>
      <c r="AT164" s="374"/>
      <c r="AU164" s="374"/>
      <c r="AV164" s="374"/>
      <c r="AW164" s="374"/>
      <c r="AX164" s="374"/>
      <c r="AY164" s="374"/>
      <c r="AZ164" s="374"/>
      <c r="BA164" s="374"/>
      <c r="BB164" s="374"/>
      <c r="BC164" s="51"/>
      <c r="BD164" s="374"/>
      <c r="BE164" s="371" cm="1">
        <f t="array" ref="BE164">SUM(BA$161,BC$161)</f>
        <v>163537699.625492</v>
      </c>
      <c r="BF164" s="681" cm="1">
        <f t="array" ref="BF164">SUM(BF5:BF160)</f>
        <v>3780.6025</v>
      </c>
      <c r="BG164" s="371" cm="1">
        <f t="array" ref="BG164">SUM(BG5:BG160)</f>
        <v>33839175.3745075</v>
      </c>
      <c r="BH164" s="681" cm="1">
        <f t="array" ref="BH164">SUM(BH5:BH160)</f>
        <v>761.1347</v>
      </c>
      <c r="BI164" s="681"/>
      <c r="BJ164" s="681"/>
      <c r="BK164" s="681"/>
      <c r="BL164" s="681"/>
      <c r="BM164" s="681"/>
      <c r="BN164" s="374"/>
      <c r="BO164" s="374"/>
      <c r="BP164" s="374"/>
      <c r="BQ164" s="374"/>
      <c r="BR164" s="374"/>
      <c r="BS164" s="374"/>
      <c r="BT164" s="374"/>
      <c r="BU164" s="374"/>
      <c r="BV164" s="374"/>
      <c r="BW164" s="374"/>
      <c r="BX164" s="374"/>
      <c r="BY164" s="374"/>
      <c r="BZ164" s="374"/>
      <c r="CA164" s="374"/>
      <c r="CB164" s="374"/>
      <c r="CC164" s="374"/>
      <c r="CD164" s="374"/>
      <c r="CE164" s="374"/>
      <c r="CF164" s="374"/>
      <c r="CG164" s="374"/>
      <c r="CH164" s="374"/>
      <c r="CI164" s="374"/>
      <c r="CJ164" s="374"/>
      <c r="CK164" s="374"/>
      <c r="CL164" s="374"/>
      <c r="CM164" s="374"/>
    </row>
    <row r="165" ht="20.35" customHeight="1">
      <c r="A165" s="374"/>
      <c r="B165" s="374"/>
      <c r="C165" s="828" cm="1">
        <f t="array" ref="C165">D$165/12</f>
        <v>2</v>
      </c>
      <c r="D165" s="829" cm="1">
        <f t="array" ref="D165">COUNT(C5:C160)-COUNT(C5,C12,C16,C30)</f>
        <v>24</v>
      </c>
      <c r="E165" s="824"/>
      <c r="F165" t="s" s="50">
        <v>966</v>
      </c>
      <c r="G165" s="88"/>
      <c r="H165" s="51"/>
      <c r="I165" s="51"/>
      <c r="J165" s="51"/>
      <c r="K165" s="51"/>
      <c r="L165" s="51"/>
      <c r="M165" s="677"/>
      <c r="N165" s="677"/>
      <c r="O165" s="677"/>
      <c r="P165" s="677">
        <v>1.0342</v>
      </c>
      <c r="Q165" t="s" s="50">
        <v>1148</v>
      </c>
      <c r="R165" s="677"/>
      <c r="S165" t="s" s="827">
        <v>1178</v>
      </c>
      <c r="T165" s="677"/>
      <c r="U165" s="51"/>
      <c r="V165" s="374"/>
      <c r="W165" s="374"/>
      <c r="X165" s="374"/>
      <c r="Y165" s="374"/>
      <c r="Z165" s="374"/>
      <c r="AA165" s="374"/>
      <c r="AB165" s="374"/>
      <c r="AC165" s="374"/>
      <c r="AD165" s="374"/>
      <c r="AE165" s="374"/>
      <c r="AF165" s="374"/>
      <c r="AG165" s="374"/>
      <c r="AH165" s="374"/>
      <c r="AI165" s="51"/>
      <c r="AJ165" s="374"/>
      <c r="AK165" s="374"/>
      <c r="AL165" s="374"/>
      <c r="AM165" s="374"/>
      <c r="AN165" s="374"/>
      <c r="AO165" s="374"/>
      <c r="AP165" s="374"/>
      <c r="AQ165" s="374"/>
      <c r="AR165" s="51"/>
      <c r="AS165" s="374"/>
      <c r="AT165" s="374"/>
      <c r="AU165" s="374"/>
      <c r="AV165" s="374"/>
      <c r="AW165" s="374"/>
      <c r="AX165" s="374"/>
      <c r="AY165" s="374"/>
      <c r="AZ165" s="374"/>
      <c r="BA165" s="374"/>
      <c r="BB165" s="374"/>
      <c r="BC165" s="677"/>
      <c r="BD165" s="374"/>
      <c r="BE165" s="374"/>
      <c r="BF165" s="374"/>
      <c r="BG165" s="374"/>
      <c r="BH165" s="374"/>
      <c r="BI165" s="830" cm="1">
        <f t="array" ref="BI165">J$163-K17</f>
        <v>-2522.4985</v>
      </c>
      <c r="BJ165" s="374"/>
      <c r="BK165" s="374"/>
      <c r="BL165" s="374"/>
      <c r="BM165" s="374"/>
      <c r="BN165" s="374"/>
      <c r="BO165" s="374"/>
      <c r="BP165" s="374"/>
      <c r="BQ165" s="374"/>
      <c r="BR165" s="374"/>
      <c r="BS165" s="374"/>
      <c r="BT165" s="374"/>
      <c r="BU165" s="374"/>
      <c r="BV165" s="374"/>
      <c r="BW165" s="374"/>
      <c r="BX165" s="374"/>
      <c r="BY165" s="374"/>
      <c r="BZ165" s="374"/>
      <c r="CA165" s="374"/>
      <c r="CB165" s="374"/>
      <c r="CC165" s="374"/>
      <c r="CD165" s="374"/>
      <c r="CE165" s="374"/>
      <c r="CF165" s="374"/>
      <c r="CG165" s="374"/>
      <c r="CH165" s="374"/>
      <c r="CI165" s="374"/>
      <c r="CJ165" s="374"/>
      <c r="CK165" s="374"/>
      <c r="CL165" s="374"/>
      <c r="CM165" s="374"/>
    </row>
  </sheetData>
  <mergeCells count="1">
    <mergeCell ref="A1:CM1"/>
  </mergeCells>
  <conditionalFormatting sqref="K5:L160 N5">
    <cfRule type="cellIs" dxfId="25" priority="1" operator="equal" stopIfTrue="1">
      <formula>D$163</formula>
    </cfRule>
  </conditionalFormatting>
  <conditionalFormatting sqref="D163">
    <cfRule type="cellIs" dxfId="26" priority="1" operator="equal" stopIfTrue="1">
      <formula>D$163</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66.xml><?xml version="1.0" encoding="utf-8"?>
<worksheet xmlns:r="http://schemas.openxmlformats.org/officeDocument/2006/relationships" xmlns="http://schemas.openxmlformats.org/spreadsheetml/2006/main">
  <sheetPr>
    <pageSetUpPr fitToPage="1"/>
  </sheetPr>
  <dimension ref="A2:BX115"/>
  <sheetViews>
    <sheetView workbookViewId="0" showGridLines="0" defaultGridColor="1">
      <pane topLeftCell="B5" xSplit="1" ySplit="4" activePane="bottomRight" state="frozen"/>
    </sheetView>
  </sheetViews>
  <sheetFormatPr defaultColWidth="16.3333" defaultRowHeight="18" customHeight="1" outlineLevelRow="0" outlineLevelCol="0"/>
  <cols>
    <col min="1" max="5" width="16.3516" style="831" customWidth="1"/>
    <col min="6" max="8" width="8.08594" style="831" customWidth="1"/>
    <col min="9" max="15" width="16.3516" style="831" customWidth="1"/>
    <col min="16" max="16" width="16.6719" style="831" customWidth="1"/>
    <col min="17" max="18" width="16.3516" style="831" customWidth="1"/>
    <col min="19" max="19" width="15.8438" style="831" customWidth="1"/>
    <col min="20" max="20" width="3.69531" style="831" customWidth="1"/>
    <col min="21" max="22" hidden="1" width="16.3333" style="831" customWidth="1"/>
    <col min="23" max="27" width="16.3516" style="831" customWidth="1"/>
    <col min="28" max="28" hidden="1" width="16.3333" style="831" customWidth="1"/>
    <col min="29" max="29" width="1.57812" style="831" customWidth="1"/>
    <col min="30" max="31" hidden="1" width="16.3333" style="831" customWidth="1"/>
    <col min="32" max="36" width="16.3516" style="831" customWidth="1"/>
    <col min="37" max="37" hidden="1" width="16.3333" style="831" customWidth="1"/>
    <col min="38" max="38" width="3.82031" style="831" customWidth="1"/>
    <col min="39" max="40" width="11.5" style="831" customWidth="1"/>
    <col min="41" max="41" width="3.82031" style="831" customWidth="1"/>
    <col min="42" max="43" width="10.5" style="831" customWidth="1"/>
    <col min="44" max="44" width="12.1719" style="831" customWidth="1"/>
    <col min="45" max="45" width="11.3516" style="831" customWidth="1"/>
    <col min="46" max="46" width="12" style="831" customWidth="1"/>
    <col min="47" max="47" width="11.3516" style="831" customWidth="1"/>
    <col min="48" max="48" width="16.3516" style="831" customWidth="1"/>
    <col min="49" max="49" width="8.79688" style="831" customWidth="1"/>
    <col min="50" max="50" width="16.3516" style="831" customWidth="1"/>
    <col min="51" max="51" width="9.95312" style="831" customWidth="1"/>
    <col min="52" max="52" width="14.375" style="831" customWidth="1"/>
    <col min="53" max="53" width="12.0547" style="831" customWidth="1"/>
    <col min="54" max="66" width="16.3516" style="831" customWidth="1"/>
    <col min="67" max="67" width="16.5" style="831" customWidth="1"/>
    <col min="68" max="68" width="16.3516" style="831" customWidth="1"/>
    <col min="69" max="69" width="19.3516" style="831" customWidth="1"/>
    <col min="70" max="76" width="16.3516" style="831" customWidth="1"/>
    <col min="77" max="16384" width="16.3516" style="831" customWidth="1"/>
  </cols>
  <sheetData>
    <row r="1" ht="28" customHeight="1">
      <c r="A1" t="s" s="90">
        <v>1179</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row>
    <row r="2" ht="20.35" customHeight="1">
      <c r="A2" t="s" s="435">
        <v>1130</v>
      </c>
      <c r="B2" s="219" cm="1">
        <f t="array" ref="B2">12*20</f>
        <v>240</v>
      </c>
      <c r="C2" s="217"/>
      <c r="D2" s="217"/>
      <c r="E2" t="s" s="218">
        <v>1131</v>
      </c>
      <c r="F2" s="217"/>
      <c r="G2" s="217"/>
      <c r="H2" s="217"/>
      <c r="I2" s="217"/>
      <c r="J2" t="s" s="218">
        <v>1135</v>
      </c>
      <c r="K2" t="s" s="218">
        <v>1136</v>
      </c>
      <c r="L2" t="s" s="218">
        <v>1137</v>
      </c>
      <c r="M2" t="s" s="218">
        <v>1138</v>
      </c>
      <c r="N2" t="s" s="218">
        <v>1139</v>
      </c>
      <c r="O2" t="s" s="218">
        <v>1140</v>
      </c>
      <c r="P2" t="s" s="218">
        <v>1141</v>
      </c>
      <c r="Q2" t="s" s="218">
        <v>1142</v>
      </c>
      <c r="R2" t="s" s="218">
        <v>1143</v>
      </c>
      <c r="S2" s="217"/>
      <c r="T2" s="217"/>
      <c r="U2" t="s" s="218">
        <v>1144</v>
      </c>
      <c r="V2" s="219" cm="1">
        <f t="array" ref="V2">2024+V$3</f>
        <v>2049</v>
      </c>
      <c r="W2" s="219" cm="1">
        <f t="array" ref="W2">2024+W$3</f>
        <v>2044</v>
      </c>
      <c r="X2" s="219" cm="1">
        <f t="array" ref="X2">2024+X$3</f>
        <v>2039</v>
      </c>
      <c r="Y2" s="219" cm="1">
        <f t="array" ref="Y2">2024+Y$3</f>
        <v>2036</v>
      </c>
      <c r="Z2" s="219" cm="1">
        <f t="array" ref="Z2">2024+Z$3</f>
        <v>2034</v>
      </c>
      <c r="AA2" s="219" cm="1">
        <f t="array" ref="AA2">2024+AA$3</f>
        <v>2029</v>
      </c>
      <c r="AB2" t="s" s="218">
        <v>1145</v>
      </c>
      <c r="AC2" s="217"/>
      <c r="AD2" t="s" s="218">
        <v>1146</v>
      </c>
      <c r="AE2" s="217"/>
      <c r="AF2" s="219" cm="1">
        <f t="array" ref="AF2">W$2</f>
        <v>2044</v>
      </c>
      <c r="AG2" s="219" cm="1">
        <f t="array" ref="AG2">X$2</f>
        <v>2039</v>
      </c>
      <c r="AH2" s="219" cm="1">
        <f t="array" ref="AH2">Y$2</f>
        <v>2036</v>
      </c>
      <c r="AI2" s="219" cm="1">
        <f t="array" ref="AI2">Z$2</f>
        <v>2034</v>
      </c>
      <c r="AJ2" s="219" cm="1">
        <f t="array" ref="AJ2">AA$2</f>
        <v>2029</v>
      </c>
      <c r="AK2" t="s" s="218">
        <v>1147</v>
      </c>
      <c r="AL2" s="217"/>
      <c r="AM2" s="217"/>
      <c r="AN2" s="217"/>
      <c r="AO2" s="217"/>
      <c r="AP2" t="s" s="218">
        <v>1148</v>
      </c>
      <c r="AQ2" s="217"/>
      <c r="AR2" t="s" s="218">
        <v>1149</v>
      </c>
      <c r="AS2" s="217"/>
      <c r="AT2" t="s" s="218">
        <v>1150</v>
      </c>
      <c r="AU2" s="217"/>
      <c r="AV2" t="s" s="218">
        <v>1151</v>
      </c>
      <c r="AW2" s="217"/>
      <c r="AX2" t="s" s="218">
        <v>1152</v>
      </c>
      <c r="AY2" s="217"/>
      <c r="AZ2" s="217"/>
      <c r="BA2" s="217"/>
      <c r="BB2" t="s" s="218">
        <v>1153</v>
      </c>
      <c r="BC2" s="217"/>
      <c r="BD2" t="s" s="218">
        <v>1137</v>
      </c>
      <c r="BE2" t="s" s="218">
        <v>1154</v>
      </c>
      <c r="BF2" s="217"/>
      <c r="BG2" t="s" s="218">
        <v>1155</v>
      </c>
      <c r="BH2" s="217"/>
      <c r="BI2" s="217"/>
      <c r="BJ2" t="s" s="218">
        <v>1158</v>
      </c>
      <c r="BK2" t="s" s="218">
        <v>1157</v>
      </c>
      <c r="BL2" s="217"/>
      <c r="BM2" s="219">
        <v>360</v>
      </c>
      <c r="BN2" s="219" cm="1">
        <f t="array" ref="BN2">0.0495/12</f>
        <v>0.004125</v>
      </c>
      <c r="BO2" t="s" s="218">
        <v>1160</v>
      </c>
      <c r="BP2" t="s" s="218">
        <v>1161</v>
      </c>
      <c r="BQ2" t="s" s="218">
        <v>1162</v>
      </c>
      <c r="BR2" t="s" s="218">
        <v>1163</v>
      </c>
      <c r="BS2" t="s" s="218">
        <v>1164</v>
      </c>
      <c r="BT2" s="217"/>
      <c r="BU2" s="217"/>
      <c r="BV2" t="s" s="218">
        <v>1166</v>
      </c>
      <c r="BW2" s="217"/>
      <c r="BX2" s="217"/>
    </row>
    <row r="3" ht="20.35" customHeight="1">
      <c r="A3" s="657"/>
      <c r="B3" s="217"/>
      <c r="C3" s="217"/>
      <c r="D3" s="217"/>
      <c r="E3" s="217"/>
      <c r="F3" s="217"/>
      <c r="G3" s="217"/>
      <c r="H3" s="217"/>
      <c r="I3" s="217"/>
      <c r="J3" s="217"/>
      <c r="K3" s="217"/>
      <c r="L3" s="217"/>
      <c r="M3" s="217"/>
      <c r="N3" s="217"/>
      <c r="O3" s="217"/>
      <c r="P3" s="217"/>
      <c r="Q3" s="217"/>
      <c r="R3" s="217"/>
      <c r="S3" s="217"/>
      <c r="T3" s="217"/>
      <c r="U3" s="219">
        <v>30</v>
      </c>
      <c r="V3" s="219">
        <v>25</v>
      </c>
      <c r="W3" s="219">
        <v>20</v>
      </c>
      <c r="X3" s="219">
        <v>15</v>
      </c>
      <c r="Y3" s="219">
        <v>12</v>
      </c>
      <c r="Z3" s="219">
        <v>10</v>
      </c>
      <c r="AA3" s="219">
        <v>5</v>
      </c>
      <c r="AB3" t="s" s="218">
        <v>1167</v>
      </c>
      <c r="AC3" s="217"/>
      <c r="AD3" s="219">
        <v>30</v>
      </c>
      <c r="AE3" s="219">
        <v>25</v>
      </c>
      <c r="AF3" s="219">
        <v>20</v>
      </c>
      <c r="AG3" s="219">
        <v>15</v>
      </c>
      <c r="AH3" s="219">
        <v>12</v>
      </c>
      <c r="AI3" s="219">
        <v>10</v>
      </c>
      <c r="AJ3" s="219">
        <v>5</v>
      </c>
      <c r="AK3" t="s" s="218">
        <v>1167</v>
      </c>
      <c r="AL3" s="217"/>
      <c r="AM3" s="217"/>
      <c r="AN3" s="217"/>
      <c r="AO3" s="217"/>
      <c r="AP3" s="217"/>
      <c r="AQ3" s="217"/>
      <c r="AR3" s="217"/>
      <c r="AS3" s="217"/>
      <c r="AT3" s="217"/>
      <c r="AU3" s="217"/>
      <c r="AV3" s="217"/>
      <c r="AW3" s="217"/>
      <c r="AX3" s="217"/>
      <c r="AY3" s="217"/>
      <c r="AZ3" s="217"/>
      <c r="BA3" s="217"/>
      <c r="BB3" s="217"/>
      <c r="BC3" s="217"/>
      <c r="BD3" s="217"/>
      <c r="BE3" s="217"/>
      <c r="BF3" s="217"/>
      <c r="BG3" s="217"/>
      <c r="BH3" t="s" s="218">
        <v>1168</v>
      </c>
      <c r="BI3" s="217"/>
      <c r="BJ3" s="217"/>
      <c r="BK3" s="217"/>
      <c r="BL3" s="217"/>
      <c r="BM3" s="217"/>
      <c r="BN3" s="217"/>
      <c r="BO3" s="217"/>
      <c r="BP3" s="217"/>
      <c r="BQ3" s="217"/>
      <c r="BR3" s="217"/>
      <c r="BS3" s="217"/>
      <c r="BT3" s="217"/>
      <c r="BU3" s="217"/>
      <c r="BV3" s="217"/>
      <c r="BW3" s="217"/>
      <c r="BX3" s="217"/>
    </row>
    <row r="4" ht="20.55" customHeight="1">
      <c r="A4" s="576"/>
      <c r="B4" s="7"/>
      <c r="C4" s="7"/>
      <c r="D4" s="7"/>
      <c r="E4" s="7"/>
      <c r="F4" s="7"/>
      <c r="G4" t="s" s="8">
        <v>663</v>
      </c>
      <c r="H4" t="s" s="8">
        <v>1134</v>
      </c>
      <c r="I4" s="7"/>
      <c r="J4" s="7"/>
      <c r="K4" s="7"/>
      <c r="L4" s="7"/>
      <c r="M4" s="7"/>
      <c r="N4" s="7"/>
      <c r="O4" s="7"/>
      <c r="P4" s="7"/>
      <c r="Q4" s="7"/>
      <c r="R4" s="7"/>
      <c r="S4" s="7"/>
      <c r="T4" s="7"/>
      <c r="U4" s="220" cm="1">
        <f t="array" ref="U4">U$3-ROUND($D$115/12,1)</f>
        <v>28.2</v>
      </c>
      <c r="V4" s="7"/>
      <c r="W4" s="220" cm="1">
        <f t="array" ref="W4">W$3-ROUND($D$115/12,1)</f>
        <v>18.2</v>
      </c>
      <c r="X4" s="220" cm="1">
        <f t="array" ref="X4">X$3-ROUND($D$115/12,1)</f>
        <v>13.2</v>
      </c>
      <c r="Y4" s="220" cm="1">
        <f t="array" ref="Y4">Y$3-ROUND($D$115/12,1)</f>
        <v>10.2</v>
      </c>
      <c r="Z4" s="220" cm="1">
        <f t="array" ref="Z4">Z$3-ROUND($D$115/12,1)</f>
        <v>8.199999999999999</v>
      </c>
      <c r="AA4" s="220" cm="1">
        <f t="array" ref="AA4">AA$3-ROUND($D$115/12,1)</f>
        <v>3.2</v>
      </c>
      <c r="AB4" s="7"/>
      <c r="AC4" s="7"/>
      <c r="AD4" s="220" cm="1">
        <f t="array" ref="AD4">U$4</f>
        <v>28.2</v>
      </c>
      <c r="AE4" s="7"/>
      <c r="AF4" s="220" cm="1">
        <f t="array" ref="AF4">W$4</f>
        <v>18.2</v>
      </c>
      <c r="AG4" s="220" cm="1">
        <f t="array" ref="AG4">X$4</f>
        <v>13.2</v>
      </c>
      <c r="AH4" s="220" cm="1">
        <f t="array" ref="AH4">Y$4</f>
        <v>10.2</v>
      </c>
      <c r="AI4" s="220" cm="1">
        <f t="array" ref="AI4">Z$4</f>
        <v>8.199999999999999</v>
      </c>
      <c r="AJ4" s="220" cm="1">
        <f t="array" ref="AJ4">AA$4</f>
        <v>3.2</v>
      </c>
      <c r="AK4" s="7"/>
      <c r="AL4" s="7"/>
      <c r="AM4" s="7"/>
      <c r="AN4" s="7"/>
      <c r="AO4" s="7"/>
      <c r="AP4" s="7"/>
      <c r="AQ4" s="220">
        <v>0.87</v>
      </c>
      <c r="AR4" s="7"/>
      <c r="AS4" s="220">
        <v>0.11</v>
      </c>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row>
    <row r="5" ht="20.55" customHeight="1">
      <c r="A5" t="s" s="475">
        <v>1174</v>
      </c>
      <c r="B5" s="659">
        <v>45386</v>
      </c>
      <c r="C5" s="234" cm="1">
        <f t="array" ref="C5">D5*E5</f>
        <v>53827132</v>
      </c>
      <c r="D5" s="592">
        <v>1450</v>
      </c>
      <c r="E5" s="661">
        <v>37122.16</v>
      </c>
      <c r="F5" s="660">
        <v>0.003</v>
      </c>
      <c r="G5" s="660">
        <v>0.037</v>
      </c>
      <c r="H5" s="662" cm="1">
        <f t="array" ref="H5">G5+4.95/100</f>
        <v>0.08649999999999999</v>
      </c>
      <c r="I5" s="234"/>
      <c r="J5" s="663">
        <v>3950</v>
      </c>
      <c r="K5" s="665" cm="1">
        <f t="array" ref="K5">ROUND(J5*E5,0)</f>
        <v>146632532</v>
      </c>
      <c r="L5" s="665" cm="1">
        <f t="array" ref="L5">BD5</f>
        <v>0</v>
      </c>
      <c r="M5" s="666" cm="1">
        <f t="array" ref="M5">Q5-J5</f>
        <v>1450</v>
      </c>
      <c r="N5" s="665" cm="1">
        <f t="array" ref="N5">ROUND(M5*E5,0)</f>
        <v>53827132</v>
      </c>
      <c r="O5" s="591" cm="1">
        <f t="array" ref="O5">J$5-J5</f>
        <v>0</v>
      </c>
      <c r="P5" s="665" cm="1">
        <f t="array" ref="P5">N5-N4</f>
        <v>53827132</v>
      </c>
      <c r="Q5" s="591">
        <v>5400</v>
      </c>
      <c r="R5" s="665" cm="1">
        <f t="array" ref="R5">Q5*E5</f>
        <v>200459664</v>
      </c>
      <c r="S5" s="234" cm="1">
        <f t="array" ref="S5">-P5</f>
        <v>-53827132</v>
      </c>
      <c r="T5" s="592"/>
      <c r="U5" s="667"/>
      <c r="V5" s="592"/>
      <c r="W5" s="592"/>
      <c r="X5" s="592"/>
      <c r="Y5" s="592"/>
      <c r="Z5" s="592"/>
      <c r="AA5" s="592"/>
      <c r="AB5" s="592"/>
      <c r="AC5" s="592"/>
      <c r="AD5" s="667"/>
      <c r="AE5" s="592"/>
      <c r="AF5" s="592"/>
      <c r="AG5" s="592"/>
      <c r="AH5" s="592"/>
      <c r="AI5" s="592"/>
      <c r="AJ5" s="592"/>
      <c r="AK5" s="592"/>
      <c r="AL5" s="592"/>
      <c r="AM5" s="234"/>
      <c r="AN5" s="234"/>
      <c r="AO5" s="592"/>
      <c r="AP5" s="668"/>
      <c r="AQ5" s="668"/>
      <c r="AR5" s="668"/>
      <c r="AS5" s="668"/>
      <c r="AT5" s="669"/>
      <c r="AU5" s="669"/>
      <c r="AV5" s="670"/>
      <c r="AW5" s="671"/>
      <c r="AX5" s="670"/>
      <c r="AY5" s="671"/>
      <c r="AZ5" s="671"/>
      <c r="BA5" s="671"/>
      <c r="BB5" s="672"/>
      <c r="BC5" s="673"/>
      <c r="BD5" s="665"/>
      <c r="BE5" s="665"/>
      <c r="BF5" s="665"/>
      <c r="BG5" s="665"/>
      <c r="BH5" s="665"/>
      <c r="BI5" s="665"/>
      <c r="BJ5" s="234"/>
      <c r="BK5" s="234"/>
      <c r="BL5" s="234"/>
      <c r="BM5" s="234"/>
      <c r="BN5" s="234"/>
      <c r="BO5" s="234"/>
      <c r="BP5" s="234"/>
      <c r="BQ5" s="234"/>
      <c r="BR5" s="234"/>
      <c r="BS5" s="234"/>
      <c r="BT5" s="234"/>
      <c r="BU5" s="234"/>
      <c r="BV5" s="234"/>
      <c r="BW5" s="234"/>
      <c r="BX5" s="234"/>
    </row>
    <row r="6" ht="19.35" customHeight="1">
      <c r="A6" s="674"/>
      <c r="B6" s="675">
        <v>45416</v>
      </c>
      <c r="C6" s="247"/>
      <c r="D6" s="597"/>
      <c r="E6" s="296">
        <v>37286.78</v>
      </c>
      <c r="F6" s="676" cm="1">
        <f t="array" ref="F6">(E6-E5)/E5</f>
        <v>0.00443454798966439</v>
      </c>
      <c r="G6" s="676">
        <v>0.04</v>
      </c>
      <c r="H6" s="299" cm="1">
        <f t="array" ref="H6">G6+4.95/100</f>
        <v>0.0895</v>
      </c>
      <c r="I6" s="247"/>
      <c r="J6" s="677">
        <v>3983.6544</v>
      </c>
      <c r="K6" s="679" cm="1">
        <f t="array" ref="K6">ROUND(J6*E6,0)</f>
        <v>148537645</v>
      </c>
      <c r="L6" s="679" cm="1">
        <f t="array" ref="L6">K6-K5</f>
        <v>1905113</v>
      </c>
      <c r="M6" s="681" cm="1">
        <f t="array" ref="M6">Q6-J6</f>
        <v>1416.3456</v>
      </c>
      <c r="N6" s="679" cm="1">
        <f t="array" ref="N6">ROUND(M6*E6,0)</f>
        <v>52810967</v>
      </c>
      <c r="O6" s="596" cm="1">
        <f t="array" ref="O6">$J$5-J6</f>
        <v>-33.6544</v>
      </c>
      <c r="P6" s="679" cm="1">
        <f t="array" ref="P6">N6-N5</f>
        <v>-1016165</v>
      </c>
      <c r="Q6" s="596">
        <v>5400</v>
      </c>
      <c r="R6" s="679" cm="1">
        <f t="array" ref="R6">Q6*E6</f>
        <v>201348612</v>
      </c>
      <c r="S6" s="247" cm="1">
        <f t="array" ref="S6">-P6</f>
        <v>1016165</v>
      </c>
      <c r="T6" s="597"/>
      <c r="U6" s="682"/>
      <c r="V6" s="597"/>
      <c r="W6" s="597" cm="1">
        <f t="array" ref="W6">IF(W$3*12&lt;=$A6,0,$J5*'depto - Departamento'!$D$8/12/(1-(1+'depto - Departamento'!$D$8/12)^-(12*W$3-$A6+3))+$AT6)</f>
        <v>25.7716351353939</v>
      </c>
      <c r="X6" s="597"/>
      <c r="Y6" s="597"/>
      <c r="Z6" s="597"/>
      <c r="AA6" s="597"/>
      <c r="AB6" s="597"/>
      <c r="AC6" s="597"/>
      <c r="AD6" s="682"/>
      <c r="AE6" s="597"/>
      <c r="AF6" s="247" cm="1">
        <f t="array" ref="AF6">$E6*W6</f>
        <v>960941.289533703</v>
      </c>
      <c r="AG6" s="597"/>
      <c r="AH6" s="597"/>
      <c r="AI6" s="597"/>
      <c r="AJ6" s="597"/>
      <c r="AK6" s="597"/>
      <c r="AL6" s="597"/>
      <c r="AM6" s="247"/>
      <c r="AN6" s="247"/>
      <c r="AO6" s="597"/>
      <c r="AP6" s="683"/>
      <c r="AQ6" s="683"/>
      <c r="AR6" s="683"/>
      <c r="AS6" s="683"/>
      <c r="AT6" s="684"/>
      <c r="AU6" s="684"/>
      <c r="AV6" s="685"/>
      <c r="AW6" s="686"/>
      <c r="AX6" s="685"/>
      <c r="AY6" s="686"/>
      <c r="AZ6" s="686"/>
      <c r="BA6" s="686"/>
      <c r="BB6" s="687"/>
      <c r="BC6" s="688"/>
      <c r="BD6" s="679" cm="1">
        <f t="array" ref="BD6">K5-K6</f>
        <v>-1905113</v>
      </c>
      <c r="BE6" s="679" cm="1">
        <f t="array" ref="BE6">AZ6-BD6</f>
        <v>1905113</v>
      </c>
      <c r="BF6" s="679" cm="1">
        <f t="array" ref="BF6">-BE6</f>
        <v>-1905113</v>
      </c>
      <c r="BG6" s="679" cm="1">
        <f t="array" ref="BG6">BB6+BE6</f>
        <v>1905113</v>
      </c>
      <c r="BH6" s="679" cm="1">
        <f t="array" ref="BH6">AVERAGE(BG3:BG6)</f>
        <v>1905113</v>
      </c>
      <c r="BI6" s="679"/>
      <c r="BJ6" s="247"/>
      <c r="BK6" s="247"/>
      <c r="BL6" s="247"/>
      <c r="BM6" s="247"/>
      <c r="BN6" s="247"/>
      <c r="BO6" s="247"/>
      <c r="BP6" s="247"/>
      <c r="BQ6" s="247"/>
      <c r="BR6" s="247"/>
      <c r="BS6" s="247" cm="1">
        <f t="array" ref="BS6">SUM(BE$6:BE6)</f>
        <v>1905113</v>
      </c>
      <c r="BT6" s="247"/>
      <c r="BU6" s="247"/>
      <c r="BV6" s="247" cm="1">
        <f t="array" ref="BV6">SUM(AZ$6:AZ6)</f>
        <v>0</v>
      </c>
      <c r="BW6" s="247"/>
      <c r="BX6" s="247"/>
    </row>
    <row r="7" ht="20.35" customHeight="1">
      <c r="A7" s="689">
        <v>4</v>
      </c>
      <c r="B7" s="675">
        <v>45457</v>
      </c>
      <c r="C7" s="247">
        <v>1200000</v>
      </c>
      <c r="D7" s="597" cm="1">
        <f t="array" ref="D7">W7</f>
        <v>31.9346675545625</v>
      </c>
      <c r="E7" s="296">
        <v>37511.88</v>
      </c>
      <c r="F7" s="676" cm="1">
        <f t="array" ref="F7">(E7-E6)/E6</f>
        <v>0.00603699219938005</v>
      </c>
      <c r="G7" s="676">
        <v>0.041</v>
      </c>
      <c r="H7" s="299" cm="1">
        <f t="array" ref="H7">G7+4.95/100</f>
        <v>0.0905</v>
      </c>
      <c r="I7" s="247" cm="1">
        <f t="array" ref="I7">ROUND(D7*E7,0)</f>
        <v>1197929</v>
      </c>
      <c r="J7" s="677">
        <v>3958.95</v>
      </c>
      <c r="K7" s="679" cm="1">
        <f t="array" ref="K7">ROUND(J7*E7,0)</f>
        <v>148507657</v>
      </c>
      <c r="L7" s="679" cm="1">
        <f t="array" ref="L7">K7-K6</f>
        <v>-29988</v>
      </c>
      <c r="M7" s="681" cm="1">
        <f t="array" ref="M7">Q7-J7</f>
        <v>1441.05</v>
      </c>
      <c r="N7" s="679" cm="1">
        <f t="array" ref="N7">ROUND(M7*E7,0)</f>
        <v>54056495</v>
      </c>
      <c r="O7" s="596" cm="1">
        <f t="array" ref="O7">$J$5-J7</f>
        <v>-8.949999999999999</v>
      </c>
      <c r="P7" s="679" cm="1">
        <f t="array" ref="P7">N7-N6</f>
        <v>1245528</v>
      </c>
      <c r="Q7" s="596">
        <v>5400</v>
      </c>
      <c r="R7" s="679" cm="1">
        <f t="array" ref="R7">Q7*E7</f>
        <v>202564152</v>
      </c>
      <c r="S7" s="247" cm="1">
        <f t="array" ref="S7">-P7</f>
        <v>-1245528</v>
      </c>
      <c r="T7" s="690"/>
      <c r="U7" s="682"/>
      <c r="V7" s="597"/>
      <c r="W7" s="597" cm="1">
        <f t="array" ref="W7">IF(W$3*12&lt;=$A7,0,$J6*'depto - Departamento'!$D$8/12/(1-(1+'depto - Departamento'!$D$8/12)^-(12*W$3-$A7+3))+$AT7)</f>
        <v>31.9346675545625</v>
      </c>
      <c r="X7" s="597"/>
      <c r="Y7" s="597"/>
      <c r="Z7" s="597"/>
      <c r="AA7" s="597"/>
      <c r="AB7" s="597"/>
      <c r="AC7" s="597"/>
      <c r="AD7" s="682"/>
      <c r="AE7" s="597"/>
      <c r="AF7" s="247" cm="1">
        <f t="array" ref="AF7">$E7*W7</f>
        <v>1197929.41714664</v>
      </c>
      <c r="AG7" s="597"/>
      <c r="AH7" s="597"/>
      <c r="AI7" s="597"/>
      <c r="AJ7" s="597"/>
      <c r="AK7" s="597"/>
      <c r="AL7" s="597"/>
      <c r="AM7" s="691" cm="1">
        <f t="array" ref="AM7">J6-J7</f>
        <v>24.7044</v>
      </c>
      <c r="AN7" s="691" cm="1">
        <f t="array" ref="AN7">D7-AM7</f>
        <v>7.2302675545625</v>
      </c>
      <c r="AO7" s="597"/>
      <c r="AP7" s="684">
        <v>187754</v>
      </c>
      <c r="AQ7" s="692" cm="1">
        <f t="array" ref="AQ7">ROUND(AP7/$E7,4)</f>
        <v>5.0052</v>
      </c>
      <c r="AR7" s="684">
        <v>25688</v>
      </c>
      <c r="AS7" s="692" cm="1">
        <f t="array" ref="AS7">ROUND(AR7/$E7,4)</f>
        <v>0.6848</v>
      </c>
      <c r="AT7" s="693" cm="1">
        <f t="array" ref="AT7">SUM(AQ7,AS7)</f>
        <v>5.69</v>
      </c>
      <c r="AU7" s="684" cm="1">
        <f t="array" ref="AU7">ROUND(SUM(AQ7,AS7)*E7,0)</f>
        <v>213443</v>
      </c>
      <c r="AV7" s="685">
        <v>188520</v>
      </c>
      <c r="AW7" s="694" cm="1">
        <f t="array" ref="AW7">ROUND(AV7/$E7,4)</f>
        <v>5.0256</v>
      </c>
      <c r="AX7" s="685">
        <v>737861</v>
      </c>
      <c r="AY7" s="694" cm="1">
        <f t="array" ref="AY7">ROUND(AX7/$E7,4)</f>
        <v>19.6701</v>
      </c>
      <c r="AZ7" s="686" cm="1">
        <f t="array" ref="AZ7">AX7+AV7</f>
        <v>926381</v>
      </c>
      <c r="BA7" s="694" cm="1">
        <f t="array" ref="BA7">ROUND(AW7+AY7,4)</f>
        <v>24.6957</v>
      </c>
      <c r="BB7" s="687"/>
      <c r="BC7" s="695"/>
      <c r="BD7" s="679" cm="1">
        <f t="array" ref="BD7">K6-K7</f>
        <v>29988</v>
      </c>
      <c r="BE7" s="679" cm="1">
        <f t="array" ref="BE7">AZ7-BD7</f>
        <v>896393</v>
      </c>
      <c r="BF7" s="679" cm="1">
        <f t="array" ref="BF7">-BE7</f>
        <v>-896393</v>
      </c>
      <c r="BG7" s="679" cm="1">
        <f t="array" ref="BG7">BB7+BE7</f>
        <v>896393</v>
      </c>
      <c r="BH7" s="679" cm="1">
        <f t="array" ref="BH7">AVERAGE(BG5:BG7)</f>
        <v>1400753</v>
      </c>
      <c r="BI7" s="691"/>
      <c r="BJ7" s="32"/>
      <c r="BK7" s="247"/>
      <c r="BL7" s="247"/>
      <c r="BM7" s="247"/>
      <c r="BN7" s="596"/>
      <c r="BO7" s="247" cm="1">
        <f t="array" ref="BO7">AV7+AX7+BO6</f>
        <v>926381</v>
      </c>
      <c r="BP7" s="247" cm="1">
        <f t="array" ref="BP7">BB7+BP6</f>
        <v>0</v>
      </c>
      <c r="BQ7" s="596" cm="1">
        <f t="array" ref="BQ7">BA7+BQ6</f>
        <v>24.6957</v>
      </c>
      <c r="BR7" s="596" cm="1">
        <f t="array" ref="BR7">BC7+BR6</f>
        <v>0</v>
      </c>
      <c r="BS7" s="247" cm="1">
        <f t="array" ref="BS7">SUM(BE$6:BE7)</f>
        <v>2801506</v>
      </c>
      <c r="BT7" s="596"/>
      <c r="BU7" s="247"/>
      <c r="BV7" s="247" cm="1">
        <f t="array" ref="BV7">SUM(AZ$6:AZ7)</f>
        <v>926381</v>
      </c>
      <c r="BW7" s="247"/>
      <c r="BX7" s="247"/>
    </row>
    <row r="8" ht="19.35" customHeight="1">
      <c r="A8" s="689">
        <v>5</v>
      </c>
      <c r="B8" s="675">
        <v>45484</v>
      </c>
      <c r="C8" s="247">
        <v>3011141</v>
      </c>
      <c r="D8" s="597" cm="1">
        <f t="array" ref="D8">W8</f>
        <v>27.5686134649687</v>
      </c>
      <c r="E8" s="296">
        <v>37603.21</v>
      </c>
      <c r="F8" s="676" cm="1">
        <f t="array" ref="F8">(E8-E7)/E7</f>
        <v>0.00243469535517815</v>
      </c>
      <c r="G8" s="676">
        <v>0.042</v>
      </c>
      <c r="H8" s="299" cm="1">
        <f t="array" ref="H8">G8+4.95/100</f>
        <v>0.0915</v>
      </c>
      <c r="I8" s="247" cm="1">
        <f t="array" ref="I8">ROUND(D8*E8,0)</f>
        <v>1036668</v>
      </c>
      <c r="J8" s="677" cm="1">
        <f t="array" ref="J8">3896.3339</f>
        <v>3896.3339</v>
      </c>
      <c r="K8" s="679" cm="1">
        <f t="array" ref="K8">ROUND(J8*E8,0)</f>
        <v>146514662</v>
      </c>
      <c r="L8" s="679" cm="1">
        <f t="array" ref="L8">K8-K7</f>
        <v>-1992995</v>
      </c>
      <c r="M8" s="681" cm="1">
        <f t="array" ref="M8">Q8-J8</f>
        <v>1503.6661</v>
      </c>
      <c r="N8" s="679" cm="1">
        <f t="array" ref="N8">ROUND(M8*E8,0)</f>
        <v>56542672</v>
      </c>
      <c r="O8" s="596" cm="1">
        <f t="array" ref="O8">$J$5-J8</f>
        <v>53.6661</v>
      </c>
      <c r="P8" s="679" cm="1">
        <f t="array" ref="P8">N8-N7</f>
        <v>2486177</v>
      </c>
      <c r="Q8" s="596">
        <v>5400</v>
      </c>
      <c r="R8" s="679" cm="1">
        <f t="array" ref="R8">Q8*E8</f>
        <v>203057334</v>
      </c>
      <c r="S8" s="247" cm="1">
        <f t="array" ref="S8">-P8</f>
        <v>-2486177</v>
      </c>
      <c r="T8" s="690"/>
      <c r="U8" s="682" cm="1">
        <f t="array" ref="U8">J7*4.95/12/100/(1-(1+4.95/12/100)^-(B$2-$A8))+AT8</f>
        <v>27.7653643041481</v>
      </c>
      <c r="V8" s="597"/>
      <c r="W8" s="597" cm="1">
        <f t="array" ref="W8">IF(W$3*12&lt;=$A8,0,$J7*'depto - Departamento'!$D$8/12/(1-(1+'depto - Departamento'!$D$8/12)^-(12*W$3-$A8+3))+$AT8)</f>
        <v>27.5686134649687</v>
      </c>
      <c r="X8" s="597" cm="1">
        <f t="array" ref="X8">IF(X$3*12&lt;=$A8,0,$J7*'depto - Departamento'!$D$8/12/(1-(1+'depto - Departamento'!$D$8/12)^-(12*X$3-$A8+3))+$AT8)</f>
        <v>32.8631345855604</v>
      </c>
      <c r="Y8" s="597" cm="1">
        <f t="array" ref="Y8">IF(Y$3*12&lt;=$A8,0,$J7*'depto - Departamento'!$D$8/12/(1-(1+'depto - Departamento'!$D$8/12)^-(12*Y$3-$A8+3))+$AT8)</f>
        <v>38.3160342851576</v>
      </c>
      <c r="Z8" s="597" cm="1">
        <f t="array" ref="Z8">IF(Z$3*12&lt;=$A8,0,$J7*'depto - Departamento'!$D$8/12/(1-(1+'depto - Departamento'!$D$8/12)^-(12*Z$3-$A8+3))+$AT8)</f>
        <v>43.8656735648369</v>
      </c>
      <c r="AA8" s="597" cm="1">
        <f t="array" ref="AA8">IF(AA$3*12&lt;=$A8,0,$J7*'depto - Departamento'!$D$8/12/(1-(1+'depto - Departamento'!$D$8/12)^-(12*AA$3-$A8+3))+$AT8)</f>
        <v>78.3106927614982</v>
      </c>
      <c r="AB8" s="597">
        <v>80.0767</v>
      </c>
      <c r="AC8" s="597"/>
      <c r="AD8" s="696" cm="1">
        <f t="array" ref="AD8">$E8*U8</f>
        <v>1044066.82465538</v>
      </c>
      <c r="AE8" s="597"/>
      <c r="AF8" s="247" cm="1">
        <f t="array" ref="AF8">$E8*W8</f>
        <v>1036668.36153205</v>
      </c>
      <c r="AG8" s="247" cm="1">
        <f t="array" ref="AG8">$E8*X8</f>
        <v>1235759.35107909</v>
      </c>
      <c r="AH8" s="247" cm="1">
        <f t="array" ref="AH8">$E8*Y8</f>
        <v>1440805.88359198</v>
      </c>
      <c r="AI8" s="247" cm="1">
        <f t="array" ref="AI8">$E8*Z8</f>
        <v>1649490.13485001</v>
      </c>
      <c r="AJ8" s="247" cm="1">
        <f t="array" ref="AJ8">$E8*AA8</f>
        <v>2944733.4251561</v>
      </c>
      <c r="AK8" s="247" cm="1">
        <f t="array" ref="AK8">$E8*AB8</f>
        <v>3011140.966207</v>
      </c>
      <c r="AL8" s="597"/>
      <c r="AM8" s="691" cm="1">
        <f t="array" ref="AM8">J7-J8</f>
        <v>62.6161</v>
      </c>
      <c r="AN8" s="691" cm="1">
        <f t="array" ref="AN8">D8-AM8</f>
        <v>-35.0474865350313</v>
      </c>
      <c r="AO8" s="597"/>
      <c r="AP8" s="684">
        <v>47053</v>
      </c>
      <c r="AQ8" s="692" cm="1">
        <f t="array" ref="AQ8">ROUND(AP8/$E8,4)</f>
        <v>1.2513</v>
      </c>
      <c r="AR8" s="684">
        <v>6430</v>
      </c>
      <c r="AS8" s="692" cm="1">
        <f t="array" ref="AS8">ROUND(AR8/E8,4)</f>
        <v>0.171</v>
      </c>
      <c r="AT8" s="693" cm="1">
        <f t="array" ref="AT8">SUM(AQ8,AS8)</f>
        <v>1.4223</v>
      </c>
      <c r="AU8" s="684" cm="1">
        <f t="array" ref="AU8">ROUND(SUM(AQ8,AS8)*E8,0)</f>
        <v>53483</v>
      </c>
      <c r="AV8" s="685">
        <v>188802</v>
      </c>
      <c r="AW8" s="694" cm="1">
        <f t="array" ref="AW8">ROUND(AV8/$E8,4)</f>
        <v>5.0209</v>
      </c>
      <c r="AX8" s="685">
        <v>2166095</v>
      </c>
      <c r="AY8" s="694" cm="1">
        <f t="array" ref="AY8">ROUND(AX8/$E8,4)</f>
        <v>57.604</v>
      </c>
      <c r="AZ8" s="686" cm="1">
        <f t="array" ref="AZ8">AX8+AV8</f>
        <v>2354897</v>
      </c>
      <c r="BA8" s="694" cm="1">
        <f t="array" ref="BA8">ROUND(AW8+AY8,4)</f>
        <v>62.6249</v>
      </c>
      <c r="BB8" s="687">
        <v>602761</v>
      </c>
      <c r="BC8" s="695" cm="1">
        <f t="array" ref="BC8">ROUND(BB8/$E8,4)</f>
        <v>16.0295</v>
      </c>
      <c r="BD8" s="679" cm="1">
        <f t="array" ref="BD8">K7-K8</f>
        <v>1992995</v>
      </c>
      <c r="BE8" s="679" cm="1">
        <f t="array" ref="BE8">AZ8-BD8</f>
        <v>361902</v>
      </c>
      <c r="BF8" s="679" cm="1">
        <f t="array" ref="BF8">-BE8</f>
        <v>-361902</v>
      </c>
      <c r="BG8" s="679" cm="1">
        <f t="array" ref="BG8">BB8+BE8</f>
        <v>964663</v>
      </c>
      <c r="BH8" s="679" cm="1">
        <f t="array" ref="BH8">AVERAGE(BG6:BG8)</f>
        <v>1255389.66666667</v>
      </c>
      <c r="BI8" s="691"/>
      <c r="BJ8" s="596" cm="1">
        <f t="array" ref="BJ8">J7*4.95%/12-0.3</f>
        <v>16.03066875</v>
      </c>
      <c r="BK8" s="698" cm="1">
        <f t="array" ref="BK8">(AV8+AX8)/BB8</f>
        <v>3.9068503104879</v>
      </c>
      <c r="BL8" s="698" cm="1">
        <f t="array" ref="BL8">U8-AW8</f>
        <v>22.7444643041481</v>
      </c>
      <c r="BM8" s="698" cm="1">
        <f t="array" ref="BM8">(BN$2*(1+BN$2)^BM$2*J7)/((1+BN$2)^BM$2-1)</f>
        <v>21.1316873257636</v>
      </c>
      <c r="BN8" s="596"/>
      <c r="BO8" s="247" cm="1">
        <f t="array" ref="BO8">AV8+AX8+BO7</f>
        <v>3281278</v>
      </c>
      <c r="BP8" s="247" cm="1">
        <f t="array" ref="BP8">BB8+BP7</f>
        <v>602761</v>
      </c>
      <c r="BQ8" s="596" cm="1">
        <f t="array" ref="BQ8">BA8+BQ7</f>
        <v>87.3206</v>
      </c>
      <c r="BR8" s="596" cm="1">
        <f t="array" ref="BR8">BC8+BR7</f>
        <v>16.0295</v>
      </c>
      <c r="BS8" s="247" cm="1">
        <f t="array" ref="BS8">SUM(BE$6:BE8)</f>
        <v>3163408</v>
      </c>
      <c r="BT8" s="596"/>
      <c r="BU8" s="247"/>
      <c r="BV8" s="247" cm="1">
        <f t="array" ref="BV8">SUM(AZ$6:AZ8)</f>
        <v>3281278</v>
      </c>
      <c r="BW8" s="247"/>
      <c r="BX8" s="247"/>
    </row>
    <row r="9" ht="19.35" customHeight="1">
      <c r="A9" s="689">
        <v>6</v>
      </c>
      <c r="B9" s="675">
        <v>45515</v>
      </c>
      <c r="C9" s="247">
        <v>3009576</v>
      </c>
      <c r="D9" s="597" cm="1">
        <f t="array" ref="D9">W9</f>
        <v>27.2163337518531</v>
      </c>
      <c r="E9" s="296">
        <v>37584.94</v>
      </c>
      <c r="F9" s="676" cm="1">
        <f t="array" ref="F9">(E9-E8)/E8</f>
        <v>-0.00048586277607683</v>
      </c>
      <c r="G9" s="676">
        <v>0.046</v>
      </c>
      <c r="H9" s="299" cm="1">
        <f t="array" ref="H9">G9+4.95/100</f>
        <v>0.0955</v>
      </c>
      <c r="I9" s="247" cm="1">
        <f t="array" ref="I9">ROUND(D9*E9,0)</f>
        <v>1022924</v>
      </c>
      <c r="J9" s="677">
        <v>3833.4562</v>
      </c>
      <c r="K9" s="679" cm="1">
        <f t="array" ref="K9">ROUND(J9*E9,0)</f>
        <v>144080221</v>
      </c>
      <c r="L9" s="679" cm="1">
        <f t="array" ref="L9">K9-K8</f>
        <v>-2434441</v>
      </c>
      <c r="M9" s="681" cm="1">
        <f t="array" ref="M9">Q9-J9</f>
        <v>1566.5438</v>
      </c>
      <c r="N9" s="679" cm="1">
        <f t="array" ref="N9">ROUND(M9*E9,0)</f>
        <v>58878455</v>
      </c>
      <c r="O9" s="596" cm="1">
        <f t="array" ref="O9">$J$5-J9</f>
        <v>116.5438</v>
      </c>
      <c r="P9" s="679" cm="1">
        <f t="array" ref="P9">N9-N8</f>
        <v>2335783</v>
      </c>
      <c r="Q9" s="596">
        <v>5400</v>
      </c>
      <c r="R9" s="679" cm="1">
        <f t="array" ref="R9">Q9*E9</f>
        <v>202958676</v>
      </c>
      <c r="S9" s="247" cm="1">
        <f t="array" ref="S9">-P9</f>
        <v>-2335783</v>
      </c>
      <c r="T9" s="690"/>
      <c r="U9" s="682" cm="1">
        <f t="array" ref="U9">J8*4.95/12/100/(1-(1+4.95/12/100)^-(360-$A9))+AT9</f>
        <v>22.371089379807</v>
      </c>
      <c r="V9" s="597"/>
      <c r="W9" s="597" cm="1">
        <f t="array" ref="W9">IF(W$3*12&lt;=$A9,0,$J8*'depto - Departamento'!$D$8/12/(1-(1+'depto - Departamento'!$D$8/12)^-(12*W$3-$A9+3))+$AT9)</f>
        <v>27.2163337518531</v>
      </c>
      <c r="X9" s="597" cm="1">
        <f t="array" ref="X9">IF(X$3*12&lt;=$A9,0,$J8*'depto - Departamento'!$D$8/12/(1-(1+'depto - Departamento'!$D$8/12)^-(12*X$3-$A9+3))+$AT9)</f>
        <v>32.4817107324877</v>
      </c>
      <c r="Y9" s="597" cm="1">
        <f t="array" ref="Y9">IF(Y$3*12&lt;=$A9,0,$J8*'depto - Departamento'!$D$8/12/(1-(1+'depto - Departamento'!$D$8/12)^-(12*Y$3-$A9+3))+$AT9)</f>
        <v>37.9193929316929</v>
      </c>
      <c r="Z9" s="597" cm="1">
        <f t="array" ref="Z9">IF(Z$3*12&lt;=$A9,0,$J8*'depto - Departamento'!$D$8/12/(1-(1+'depto - Departamento'!$D$8/12)^-(12*Z$3-$A9+3))+$AT9)</f>
        <v>43.4690271282209</v>
      </c>
      <c r="AA9" s="597" cm="1">
        <f t="array" ref="AA9">IF(AA$3*12&lt;=$A9,0,$J8*'depto - Departamento'!$D$8/12/(1-(1+'depto - Departamento'!$D$8/12)^-(12*AA$3-$A9+3))+$AT9)</f>
        <v>78.2673951996701</v>
      </c>
      <c r="AB9" s="597">
        <v>80.074</v>
      </c>
      <c r="AC9" s="597"/>
      <c r="AD9" s="696" cm="1">
        <f t="array" ref="AD9">$E9*U9</f>
        <v>840816.052074683</v>
      </c>
      <c r="AE9" s="597"/>
      <c r="AF9" s="247" cm="1">
        <f t="array" ref="AF9">$E9*W9</f>
        <v>1022924.27108337</v>
      </c>
      <c r="AG9" s="247" cm="1">
        <f t="array" ref="AG9">$E9*X9</f>
        <v>1220823.14897791</v>
      </c>
      <c r="AH9" s="247" cm="1">
        <f t="array" ref="AH9">$E9*Y9</f>
        <v>1425198.1081741</v>
      </c>
      <c r="AI9" s="247" cm="1">
        <f t="array" ref="AI9">$E9*Z9</f>
        <v>1633780.77647255</v>
      </c>
      <c r="AJ9" s="247" cm="1">
        <f t="array" ref="AJ9">$E9*AA9</f>
        <v>2941675.35253589</v>
      </c>
      <c r="AK9" s="247" cm="1">
        <f t="array" ref="AK9">$E9*AB9</f>
        <v>3009576.48556</v>
      </c>
      <c r="AL9" s="597"/>
      <c r="AM9" s="691" cm="1">
        <f t="array" ref="AM9">J8-J9</f>
        <v>62.8777</v>
      </c>
      <c r="AN9" s="691" cm="1">
        <f t="array" ref="AN9">D9-AM9</f>
        <v>-35.6613662481469</v>
      </c>
      <c r="AO9" s="597"/>
      <c r="AP9" s="684">
        <v>47030</v>
      </c>
      <c r="AQ9" s="692" cm="1">
        <f t="array" ref="AQ9">ROUND(AP9/$E9,4)</f>
        <v>1.2513</v>
      </c>
      <c r="AR9" s="684">
        <v>6326</v>
      </c>
      <c r="AS9" s="692" cm="1">
        <f t="array" ref="AS9">ROUND(AR9/E9,4)</f>
        <v>0.1683</v>
      </c>
      <c r="AT9" s="693" cm="1">
        <f t="array" ref="AT9">SUM(AQ9,AS9)</f>
        <v>1.4196</v>
      </c>
      <c r="AU9" s="684" cm="1">
        <f t="array" ref="AU9">ROUND(SUM(AQ9,AS9)*E9,0)</f>
        <v>53356</v>
      </c>
      <c r="AV9" s="685">
        <v>186726</v>
      </c>
      <c r="AW9" s="694" cm="1">
        <f t="array" ref="AW9">ROUND(AV9/$E9,4)</f>
        <v>4.9681</v>
      </c>
      <c r="AX9" s="685">
        <v>2176528</v>
      </c>
      <c r="AY9" s="694" cm="1">
        <f t="array" ref="AY9">ROUND(AX9/$E9,4)</f>
        <v>57.9096</v>
      </c>
      <c r="AZ9" s="686" cm="1">
        <f t="array" ref="AZ9">AX9+AV9</f>
        <v>2363254</v>
      </c>
      <c r="BA9" s="694" cm="1">
        <f t="array" ref="BA9">ROUND(AW9+AY9,4)</f>
        <v>62.8777</v>
      </c>
      <c r="BB9" s="687">
        <v>592966</v>
      </c>
      <c r="BC9" s="695" cm="1">
        <f t="array" ref="BC9">ROUND(BB9/$E9,4)</f>
        <v>15.7767</v>
      </c>
      <c r="BD9" s="679" cm="1">
        <f t="array" ref="BD9">K8-K9</f>
        <v>2434441</v>
      </c>
      <c r="BE9" s="679" cm="1">
        <f t="array" ref="BE9">AZ9-BD9</f>
        <v>-71187</v>
      </c>
      <c r="BF9" s="679" cm="1">
        <f t="array" ref="BF9">-BE9</f>
        <v>71187</v>
      </c>
      <c r="BG9" s="679" cm="1">
        <f t="array" ref="BG9">BB9+BE9</f>
        <v>521779</v>
      </c>
      <c r="BH9" s="679" cm="1">
        <f t="array" ref="BH9">AVERAGE(BG7:BG9)</f>
        <v>794278.333333333</v>
      </c>
      <c r="BI9" s="699" cm="1">
        <f t="array" ref="BI9">BC8-BC9</f>
        <v>0.2528</v>
      </c>
      <c r="BJ9" s="596" cm="1">
        <f t="array" ref="BJ9">J8*4.95%/12-0.3</f>
        <v>15.7723773375</v>
      </c>
      <c r="BK9" s="698" cm="1">
        <f t="array" ref="BK9">(AV9+AX9)/BB9</f>
        <v>3.98547977455706</v>
      </c>
      <c r="BL9" s="698" cm="1">
        <f t="array" ref="BL9">U9-AW9</f>
        <v>17.402989379807</v>
      </c>
      <c r="BM9" s="698" cm="1">
        <f t="array" ref="BM9">(BN$2*(1+BN$2)^BM$2*J8)/((1+BN$2)^BM$2-1)</f>
        <v>20.797461370205</v>
      </c>
      <c r="BN9" s="690"/>
      <c r="BO9" s="247" cm="1">
        <f t="array" ref="BO9">AV9+AX9+BO8</f>
        <v>5644532</v>
      </c>
      <c r="BP9" s="247" cm="1">
        <f t="array" ref="BP9">BB9+BP8</f>
        <v>1195727</v>
      </c>
      <c r="BQ9" s="596" cm="1">
        <f t="array" ref="BQ9">BA9+BQ8</f>
        <v>150.1983</v>
      </c>
      <c r="BR9" s="596" cm="1">
        <f t="array" ref="BR9">BC9+BR8</f>
        <v>31.8062</v>
      </c>
      <c r="BS9" s="247" cm="1">
        <f t="array" ref="BS9">SUM(BE$6:BE9)</f>
        <v>3092221</v>
      </c>
      <c r="BT9" s="596"/>
      <c r="BU9" s="247"/>
      <c r="BV9" s="247" cm="1">
        <f t="array" ref="BV9">SUM(AZ$6:AZ9)</f>
        <v>5644532</v>
      </c>
      <c r="BW9" s="247"/>
      <c r="BX9" s="247"/>
    </row>
    <row r="10" ht="19.35" customHeight="1">
      <c r="A10" s="689">
        <v>7</v>
      </c>
      <c r="B10" s="675">
        <v>45547</v>
      </c>
      <c r="C10" s="247">
        <v>3030085</v>
      </c>
      <c r="D10" s="597" cm="1">
        <f t="array" ref="D10">W10</f>
        <v>26.8608371467085</v>
      </c>
      <c r="E10" s="296">
        <v>37842.34</v>
      </c>
      <c r="F10" s="676" cm="1">
        <f t="array" ref="F10">(E10-E9)/E9</f>
        <v>0.00684848771875118</v>
      </c>
      <c r="G10" s="676">
        <v>0.047</v>
      </c>
      <c r="H10" s="299" cm="1">
        <f t="array" ref="H10">G10+4.95/100</f>
        <v>0.0965</v>
      </c>
      <c r="I10" s="247" cm="1">
        <f t="array" ref="I10">ROUND(D10*E10,0)</f>
        <v>1016477</v>
      </c>
      <c r="J10" s="677" cm="1">
        <f t="array" ref="J10">3770.3247</f>
        <v>3770.3247</v>
      </c>
      <c r="K10" s="679" cm="1">
        <f t="array" ref="K10">ROUND(J10*E10,0)</f>
        <v>142677909</v>
      </c>
      <c r="L10" s="679" cm="1">
        <f t="array" ref="L10">K10-K9</f>
        <v>-1402312</v>
      </c>
      <c r="M10" s="681" cm="1">
        <f t="array" ref="M10">Q10-J10</f>
        <v>1629.6753</v>
      </c>
      <c r="N10" s="679" cm="1">
        <f t="array" ref="N10">ROUND(M10*E10,0)</f>
        <v>61670727</v>
      </c>
      <c r="O10" s="596" cm="1">
        <f t="array" ref="O10">$J$5-J10</f>
        <v>179.6753</v>
      </c>
      <c r="P10" s="679" cm="1">
        <f t="array" ref="P10">N10-N9</f>
        <v>2792272</v>
      </c>
      <c r="Q10" s="596">
        <v>5400</v>
      </c>
      <c r="R10" s="679" cm="1">
        <f t="array" ref="R10">Q10*E10</f>
        <v>204348636</v>
      </c>
      <c r="S10" s="247" cm="1">
        <f t="array" ref="S10">-P10</f>
        <v>-2792272</v>
      </c>
      <c r="T10" s="690"/>
      <c r="U10" s="682" cm="1">
        <f t="array" ref="U10">J9*4.95/12/100/(1-(1+4.95/12/100)^-(360-$A10))+AT10</f>
        <v>22.0561265203232</v>
      </c>
      <c r="V10" s="597"/>
      <c r="W10" s="597" cm="1">
        <f t="array" ref="W10">IF(W$3*12&lt;=$A10,0,$J9*'depto - Departamento'!$D$8/12/(1-(1+'depto - Departamento'!$D$8/12)^-(12*W$3-$A10+3))+$AT10)</f>
        <v>26.8608371467085</v>
      </c>
      <c r="X10" s="597" cm="1">
        <f t="array" ref="X10">IF(X$3*12&lt;=$A10,0,$J9*'depto - Departamento'!$D$8/12/(1-(1+'depto - Departamento'!$D$8/12)^-(12*X$3-$A10+3))+$AT10)</f>
        <v>32.0957668722196</v>
      </c>
      <c r="Y10" s="597" cm="1">
        <f t="array" ref="Y10">IF(Y$3*12&lt;=$A10,0,$J9*'depto - Departamento'!$D$8/12/(1-(1+'depto - Departamento'!$D$8/12)^-(12*Y$3-$A10+3))+$AT10)</f>
        <v>37.5169344243767</v>
      </c>
      <c r="Z10" s="597" cm="1">
        <f t="array" ref="Z10">IF(Z$3*12&lt;=$A10,0,$J9*'depto - Departamento'!$D$8/12/(1-(1+'depto - Departamento'!$D$8/12)^-(12*Z$3-$A10+3))+$AT10)</f>
        <v>43.0654206325123</v>
      </c>
      <c r="AA10" s="597" cm="1">
        <f t="array" ref="AA10">IF(AA$3*12&lt;=$A10,0,$J9*'depto - Departamento'!$D$8/12/(1-(1+'depto - Departamento'!$D$8/12)^-(12*AA$3-$A10+3))+$AT10)</f>
        <v>78.2225746719992</v>
      </c>
      <c r="AB10" s="597">
        <v>80.07129999999999</v>
      </c>
      <c r="AC10" s="597"/>
      <c r="AD10" s="696" cm="1">
        <f t="array" ref="AD10">$E10*U10</f>
        <v>834655.438865087</v>
      </c>
      <c r="AE10" s="597"/>
      <c r="AF10" s="247" cm="1">
        <f t="array" ref="AF10">$E10*W10</f>
        <v>1016476.93199037</v>
      </c>
      <c r="AG10" s="247" cm="1">
        <f t="array" ref="AG10">$E10*X10</f>
        <v>1214578.92253927</v>
      </c>
      <c r="AH10" s="247" cm="1">
        <f t="array" ref="AH10">$E10*Y10</f>
        <v>1419728.58824497</v>
      </c>
      <c r="AI10" s="247" cm="1">
        <f t="array" ref="AI10">$E10*Z10</f>
        <v>1629696.28981855</v>
      </c>
      <c r="AJ10" s="247" cm="1">
        <f t="array" ref="AJ10">$E10*AA10</f>
        <v>2960125.26641318</v>
      </c>
      <c r="AK10" s="247" cm="1">
        <f t="array" ref="AK10">$E10*AB10</f>
        <v>3030085.358842</v>
      </c>
      <c r="AL10" s="597"/>
      <c r="AM10" s="691" cm="1">
        <f t="array" ref="AM10">J9-J10</f>
        <v>63.1315</v>
      </c>
      <c r="AN10" s="691" cm="1">
        <f t="array" ref="AN10">D10-AM10</f>
        <v>-36.2706628532915</v>
      </c>
      <c r="AO10" s="597"/>
      <c r="AP10" s="684">
        <v>47352</v>
      </c>
      <c r="AQ10" s="692" cm="1">
        <f t="array" ref="AQ10">ROUND(AP10/$E10,4)</f>
        <v>1.2513</v>
      </c>
      <c r="AR10" s="684">
        <v>6267</v>
      </c>
      <c r="AS10" s="692" cm="1">
        <f t="array" ref="AS10">ROUND(AR10/E10,4)</f>
        <v>0.1656</v>
      </c>
      <c r="AT10" s="693" cm="1">
        <f t="array" ref="AT10">SUM(AQ10,AS10)</f>
        <v>1.4169</v>
      </c>
      <c r="AU10" s="684" cm="1">
        <f t="array" ref="AU10">ROUND(SUM(AQ10,AS10)*E10,0)</f>
        <v>53619</v>
      </c>
      <c r="AV10" s="685">
        <v>185969</v>
      </c>
      <c r="AW10" s="694" cm="1">
        <f t="array" ref="AW10">ROUND(AV10/$E10,4)</f>
        <v>4.9143</v>
      </c>
      <c r="AX10" s="685" cm="1">
        <f t="array" ref="AX10">C10-SUM(AU10,AV10,BB10)</f>
        <v>2203074</v>
      </c>
      <c r="AY10" s="694" cm="1">
        <f t="array" ref="AY10">ROUND(AX10/$E10,4)</f>
        <v>58.2172</v>
      </c>
      <c r="AZ10" s="686" cm="1">
        <f t="array" ref="AZ10">AX10+AV10</f>
        <v>2389043</v>
      </c>
      <c r="BA10" s="694" cm="1">
        <f t="array" ref="BA10">ROUND(AW10+AY10,4)</f>
        <v>63.1315</v>
      </c>
      <c r="BB10" s="687">
        <v>587423</v>
      </c>
      <c r="BC10" s="695" cm="1">
        <f t="array" ref="BC10">ROUND(BB10/$E10,4)</f>
        <v>15.5229</v>
      </c>
      <c r="BD10" s="679" cm="1">
        <f t="array" ref="BD10">K9-K10</f>
        <v>1402312</v>
      </c>
      <c r="BE10" s="679" cm="1">
        <f t="array" ref="BE10">AZ10-BD10</f>
        <v>986731</v>
      </c>
      <c r="BF10" s="679" cm="1">
        <f t="array" ref="BF10">-BE10</f>
        <v>-986731</v>
      </c>
      <c r="BG10" s="679" cm="1">
        <f t="array" ref="BG10">BB10+BE10</f>
        <v>1574154</v>
      </c>
      <c r="BH10" s="679" cm="1">
        <f t="array" ref="BH10">AVERAGE(BG8:BG10)</f>
        <v>1020198.66666667</v>
      </c>
      <c r="BI10" s="699" cm="1">
        <f t="array" ref="BI10">BC9-BC10</f>
        <v>0.2538</v>
      </c>
      <c r="BJ10" s="596" cm="1">
        <f t="array" ref="BJ10">J9*4.95%/12-0.3</f>
        <v>15.513006825</v>
      </c>
      <c r="BK10" s="698" cm="1">
        <f t="array" ref="BK10">(AV10+AX10)/BB10</f>
        <v>4.06698920539373</v>
      </c>
      <c r="BL10" s="698" cm="1">
        <f t="array" ref="BL10">U10-AW10</f>
        <v>17.1418265203232</v>
      </c>
      <c r="BM10" s="698" cm="1">
        <f t="array" ref="BM10">(BN$2*(1+BN$2)^BM$2*J9)/((1+BN$2)^BM$2-1)</f>
        <v>20.4618390723323</v>
      </c>
      <c r="BN10" s="690"/>
      <c r="BO10" s="247" cm="1">
        <f t="array" ref="BO10">AV10+AX10+BO9</f>
        <v>8033575</v>
      </c>
      <c r="BP10" s="247" cm="1">
        <f t="array" ref="BP10">BB10+BP9</f>
        <v>1783150</v>
      </c>
      <c r="BQ10" s="596" cm="1">
        <f t="array" ref="BQ10">BA10+BQ9</f>
        <v>213.3298</v>
      </c>
      <c r="BR10" s="596" cm="1">
        <f t="array" ref="BR10">BC10+BR9</f>
        <v>47.3291</v>
      </c>
      <c r="BS10" s="247" cm="1">
        <f t="array" ref="BS10">SUM(BE$6:BE10)</f>
        <v>4078952</v>
      </c>
      <c r="BT10" s="596"/>
      <c r="BU10" s="247"/>
      <c r="BV10" s="247" cm="1">
        <f t="array" ref="BV10">SUM(AZ$6:AZ10)</f>
        <v>8033575</v>
      </c>
      <c r="BW10" s="247"/>
      <c r="BX10" s="247"/>
    </row>
    <row r="11" ht="19.35" customHeight="1">
      <c r="A11" s="689">
        <v>8</v>
      </c>
      <c r="B11" s="675">
        <v>45576</v>
      </c>
      <c r="C11" s="247">
        <v>3038359</v>
      </c>
      <c r="D11" s="597" cm="1">
        <f t="array" ref="D11">W11</f>
        <v>26.5021415045954</v>
      </c>
      <c r="E11" s="296">
        <v>37946.95</v>
      </c>
      <c r="F11" s="676" cm="1">
        <f t="array" ref="F11">(E11-E10)/E10</f>
        <v>0.00276436393732523</v>
      </c>
      <c r="G11" s="676">
        <v>0.041</v>
      </c>
      <c r="H11" s="299" cm="1">
        <f t="array" ref="H11">G11+4.95/100</f>
        <v>0.0905</v>
      </c>
      <c r="I11" s="247" cm="1">
        <f t="array" ref="I11">ROUND(D11*E11,0)</f>
        <v>1005675</v>
      </c>
      <c r="J11" s="677" cm="1">
        <f t="array" ref="J11">J10-BA11</f>
        <v>3706.9385</v>
      </c>
      <c r="K11" s="679" cm="1">
        <f t="array" ref="K11">ROUND(J11*E11,0)</f>
        <v>140667010</v>
      </c>
      <c r="L11" s="679" cm="1">
        <f t="array" ref="L11">K11-K10</f>
        <v>-2010899</v>
      </c>
      <c r="M11" s="681" cm="1">
        <f t="array" ref="M11">Q11-J11</f>
        <v>1693.0615</v>
      </c>
      <c r="N11" s="679" cm="1">
        <f t="array" ref="N11">ROUND(M11*E11,0)</f>
        <v>64246520</v>
      </c>
      <c r="O11" s="596" cm="1">
        <f t="array" ref="O11">$J$5-J11</f>
        <v>243.0615</v>
      </c>
      <c r="P11" s="679" cm="1">
        <f t="array" ref="P11">N11-N10</f>
        <v>2575793</v>
      </c>
      <c r="Q11" s="596">
        <v>5400</v>
      </c>
      <c r="R11" s="679" cm="1">
        <f t="array" ref="R11">Q11*E11</f>
        <v>204913530</v>
      </c>
      <c r="S11" s="247" cm="1">
        <f t="array" ref="S11">-P11</f>
        <v>-2575793</v>
      </c>
      <c r="T11" s="690"/>
      <c r="U11" s="682" cm="1">
        <f t="array" ref="U11">J10*4.95/12/100/(1-(1+4.95/12/100)^-(360-$A11))+AT11</f>
        <v>21.7391167296854</v>
      </c>
      <c r="V11" s="597"/>
      <c r="W11" s="597" cm="1">
        <f t="array" ref="W11">IF(W$3*12&lt;=$A11,0,$J10*'depto - Departamento'!$D$8/12/(1-(1+'depto - Departamento'!$D$8/12)^-(12*W$3-$A11+3))+$AT11)</f>
        <v>26.5021415045954</v>
      </c>
      <c r="X11" s="597" cm="1">
        <f t="array" ref="X11">IF(X$3*12&lt;=$A11,0,$J10*'depto - Departamento'!$D$8/12/(1-(1+'depto - Departamento'!$D$8/12)^-(12*X$3-$A11+3))+$AT11)</f>
        <v>31.7052967762443</v>
      </c>
      <c r="Y11" s="597" cm="1">
        <f t="array" ref="Y11">IF(Y$3*12&lt;=$A11,0,$J10*'depto - Departamento'!$D$8/12/(1-(1+'depto - Departamento'!$D$8/12)^-(12*Y$3-$A11+3))+$AT11)</f>
        <v>37.1086172438562</v>
      </c>
      <c r="Z11" s="597" cm="1">
        <f t="array" ref="Z11">IF(Z$3*12&lt;=$A11,0,$J10*'depto - Departamento'!$D$8/12/(1-(1+'depto - Departamento'!$D$8/12)^-(12*Z$3-$A11+3))+$AT11)</f>
        <v>42.654769636742</v>
      </c>
      <c r="AA11" s="597" cm="1">
        <f t="array" ref="AA11">IF(AA$3*12&lt;=$A11,0,$J10*'depto - Departamento'!$D$8/12/(1-(1+'depto - Departamento'!$D$8/12)^-(12*AA$3-$A11+3))+$AT11)</f>
        <v>78.1763290034669</v>
      </c>
      <c r="AB11" s="597">
        <v>80.0686</v>
      </c>
      <c r="AC11" s="597"/>
      <c r="AD11" s="696" cm="1">
        <f t="array" ref="AD11">$E11*U11</f>
        <v>824933.175585535</v>
      </c>
      <c r="AE11" s="597"/>
      <c r="AF11" s="247" cm="1">
        <f t="array" ref="AF11">$E11*W11</f>
        <v>1005675.43856781</v>
      </c>
      <c r="AG11" s="247" cm="1">
        <f t="array" ref="AG11">$E11*X11</f>
        <v>1203119.3115033</v>
      </c>
      <c r="AH11" s="247" cm="1">
        <f t="array" ref="AH11">$E11*Y11</f>
        <v>1408158.84312175</v>
      </c>
      <c r="AI11" s="247" cm="1">
        <f t="array" ref="AI11">$E11*Z11</f>
        <v>1618618.41066697</v>
      </c>
      <c r="AJ11" s="247" cm="1">
        <f t="array" ref="AJ11">$E11*AA11</f>
        <v>2966553.24787811</v>
      </c>
      <c r="AK11" s="247" cm="1">
        <f t="array" ref="AK11">$E11*AB11</f>
        <v>3038359.16077</v>
      </c>
      <c r="AL11" s="597"/>
      <c r="AM11" s="691" cm="1">
        <f t="array" ref="AM11">J10-J11</f>
        <v>63.3862</v>
      </c>
      <c r="AN11" s="691" cm="1">
        <f t="array" ref="AN11">D11-AM11</f>
        <v>-36.8840584954046</v>
      </c>
      <c r="AO11" s="597"/>
      <c r="AP11" s="684">
        <v>47483</v>
      </c>
      <c r="AQ11" s="692" cm="1">
        <f t="array" ref="AQ11">ROUND(AP11/$E11,4)</f>
        <v>1.2513</v>
      </c>
      <c r="AR11" s="684">
        <v>6182</v>
      </c>
      <c r="AS11" s="692" cm="1">
        <f t="array" ref="AS11">ROUND(AR11/E11,4)</f>
        <v>0.1629</v>
      </c>
      <c r="AT11" s="693" cm="1">
        <f t="array" ref="AT11">SUM(AQ11,AS11)</f>
        <v>1.4142</v>
      </c>
      <c r="AU11" s="684" cm="1">
        <f t="array" ref="AU11">ROUND(SUM(AQ11,AS11)*E11,0)</f>
        <v>53665</v>
      </c>
      <c r="AV11" s="685">
        <v>184399</v>
      </c>
      <c r="AW11" s="694" cm="1">
        <f t="array" ref="AW11">ROUND(AV11/$E11,4)</f>
        <v>4.8594</v>
      </c>
      <c r="AX11" s="685" cm="1">
        <f t="array" ref="AX11">C11-SUM(AU11,AV11,BB11)</f>
        <v>2220913</v>
      </c>
      <c r="AY11" s="694" cm="1">
        <f t="array" ref="AY11">ROUND(AX11/$E11,4)</f>
        <v>58.5268</v>
      </c>
      <c r="AZ11" s="686" cm="1">
        <f t="array" ref="AZ11">AX11+AV11</f>
        <v>2405312</v>
      </c>
      <c r="BA11" s="694" cm="1">
        <f t="array" ref="BA11">ROUND(AW11+AY11,4)</f>
        <v>63.3862</v>
      </c>
      <c r="BB11" s="687">
        <v>579382</v>
      </c>
      <c r="BC11" s="695" cm="1">
        <f t="array" ref="BC11">ROUND(BB11/$E11,4)</f>
        <v>15.2682</v>
      </c>
      <c r="BD11" s="679" cm="1">
        <f t="array" ref="BD11">K10-K11</f>
        <v>2010899</v>
      </c>
      <c r="BE11" s="679" cm="1">
        <f t="array" ref="BE11">AZ11-BD11</f>
        <v>394413</v>
      </c>
      <c r="BF11" s="679" cm="1">
        <f t="array" ref="BF11">-BE11</f>
        <v>-394413</v>
      </c>
      <c r="BG11" s="679" cm="1">
        <f t="array" ref="BG11">BB11+BE11</f>
        <v>973795</v>
      </c>
      <c r="BH11" s="679" cm="1">
        <f t="array" ref="BH11">AVERAGE(BG9:BG11)</f>
        <v>1023242.66666667</v>
      </c>
      <c r="BI11" s="699" cm="1">
        <f t="array" ref="BI11">BC10-BC11</f>
        <v>0.2547</v>
      </c>
      <c r="BJ11" s="596" cm="1">
        <f t="array" ref="BJ11">J10*4.95%/12-0.3</f>
        <v>15.2525893875</v>
      </c>
      <c r="BK11" s="698" cm="1">
        <f t="array" ref="BK11">(AV11+AX11)/BB11</f>
        <v>4.1515131640265</v>
      </c>
      <c r="BL11" s="698" cm="1">
        <f t="array" ref="BL11">U11-AW11</f>
        <v>16.8797167296854</v>
      </c>
      <c r="BM11" s="698" cm="1">
        <f t="array" ref="BM11">(BN$2*(1+BN$2)^BM$2*J10)/((1+BN$2)^BM$2-1)</f>
        <v>20.1248620662053</v>
      </c>
      <c r="BN11" s="690"/>
      <c r="BO11" s="247" cm="1">
        <f t="array" ref="BO11">AV11+AX11+BO10</f>
        <v>10438887</v>
      </c>
      <c r="BP11" s="247" cm="1">
        <f t="array" ref="BP11">BB11+BP10</f>
        <v>2362532</v>
      </c>
      <c r="BQ11" s="596" cm="1">
        <f t="array" ref="BQ11">BA11+BQ10</f>
        <v>276.716</v>
      </c>
      <c r="BR11" s="596" cm="1">
        <f t="array" ref="BR11">BC11+BR10</f>
        <v>62.5973</v>
      </c>
      <c r="BS11" s="247" cm="1">
        <f t="array" ref="BS11">SUM(BE$6:BE11)</f>
        <v>4473365</v>
      </c>
      <c r="BT11" s="596"/>
      <c r="BU11" s="247"/>
      <c r="BV11" s="247" cm="1">
        <f t="array" ref="BV11">SUM(AZ$6:AZ11)</f>
        <v>10438887</v>
      </c>
      <c r="BW11" s="247"/>
      <c r="BX11" s="247"/>
    </row>
    <row r="12" ht="19.35" customHeight="1">
      <c r="A12" s="689">
        <v>9</v>
      </c>
      <c r="B12" s="675">
        <v>45607</v>
      </c>
      <c r="C12" s="247">
        <v>3042268</v>
      </c>
      <c r="D12" s="597" cm="1">
        <f t="array" ref="D12">W12</f>
        <v>26.1407065683393</v>
      </c>
      <c r="E12" s="296">
        <v>38007.64</v>
      </c>
      <c r="F12" s="676" cm="1">
        <f t="array" ref="F12">(E12-E11)/E11</f>
        <v>0.00159933802321399</v>
      </c>
      <c r="G12" s="676">
        <v>0.042</v>
      </c>
      <c r="H12" s="299" cm="1">
        <f t="array" ref="H12">G12+4.95/100</f>
        <v>0.0915</v>
      </c>
      <c r="I12" s="247" cm="1">
        <f t="array" ref="I12">ROUND(D12*E12,0)</f>
        <v>993547</v>
      </c>
      <c r="J12" s="677" cm="1">
        <f t="array" ref="J12">J11-BA12</f>
        <v>3643.5508</v>
      </c>
      <c r="K12" s="679" cm="1">
        <f t="array" ref="K12">ROUND(J12*E12,0)</f>
        <v>138482767</v>
      </c>
      <c r="L12" s="679" cm="1">
        <f t="array" ref="L12">K12-K11</f>
        <v>-2184243</v>
      </c>
      <c r="M12" s="681" cm="1">
        <f t="array" ref="M12">Q12-J12</f>
        <v>1756.4492</v>
      </c>
      <c r="N12" s="679" cm="1">
        <f t="array" ref="N12">ROUND(M12*E12,0)</f>
        <v>66758489</v>
      </c>
      <c r="O12" s="596" cm="1">
        <f t="array" ref="O12">$J$5-J12</f>
        <v>306.4492</v>
      </c>
      <c r="P12" s="679" cm="1">
        <f t="array" ref="P12">N12-N11</f>
        <v>2511969</v>
      </c>
      <c r="Q12" s="596">
        <v>5400</v>
      </c>
      <c r="R12" s="679" cm="1">
        <f t="array" ref="R12">Q12*E12</f>
        <v>205241256</v>
      </c>
      <c r="S12" s="247" cm="1">
        <f t="array" ref="S12">-P12</f>
        <v>-2511969</v>
      </c>
      <c r="T12" s="690"/>
      <c r="U12" s="682" cm="1">
        <f t="array" ref="U12">J11*4.95/12/100/(1-(1+4.95/12/100)^-(360-$A12))+AT12</f>
        <v>21.4205429382532</v>
      </c>
      <c r="V12" s="597"/>
      <c r="W12" s="597" cm="1">
        <f t="array" ref="W12">IF(W$3*12&lt;=$A12,0,$J11*'depto - Departamento'!$D$8/12/(1-(1+'depto - Departamento'!$D$8/12)^-(12*W$3-$A12+3))+$AT12)</f>
        <v>26.1407065683393</v>
      </c>
      <c r="X12" s="597" cm="1">
        <f t="array" ref="X12">IF(X$3*12&lt;=$A12,0,$J11*'depto - Departamento'!$D$8/12/(1-(1+'depto - Departamento'!$D$8/12)^-(12*X$3-$A12+3))+$AT12)</f>
        <v>31.3107234184639</v>
      </c>
      <c r="Y12" s="597" cm="1">
        <f t="array" ref="Y12">IF(Y$3*12&lt;=$A12,0,$J11*'depto - Departamento'!$D$8/12/(1-(1+'depto - Departamento'!$D$8/12)^-(12*Y$3-$A12+3))+$AT12)</f>
        <v>36.6948152726005</v>
      </c>
      <c r="Z12" s="597" cm="1">
        <f t="array" ref="Z12">IF(Z$3*12&lt;=$A12,0,$J11*'depto - Departamento'!$D$8/12/(1-(1+'depto - Departamento'!$D$8/12)^-(12*Z$3-$A12+3))+$AT12)</f>
        <v>42.2373902286536</v>
      </c>
      <c r="AA12" s="597" cm="1">
        <f t="array" ref="AA12">IF(AA$3*12&lt;=$A12,0,$J11*'depto - Departamento'!$D$8/12/(1-(1+'depto - Departamento'!$D$8/12)^-(12*AA$3-$A12+3))+$AT12)</f>
        <v>78.1290818485604</v>
      </c>
      <c r="AB12" s="701">
        <v>80.0686</v>
      </c>
      <c r="AC12" s="701"/>
      <c r="AD12" s="696" cm="1">
        <f t="array" ref="AD12">$E12*U12</f>
        <v>814144.28460167</v>
      </c>
      <c r="AE12" s="597"/>
      <c r="AF12" s="247" cm="1">
        <f t="array" ref="AF12">$E12*W12</f>
        <v>993546.564595076</v>
      </c>
      <c r="AG12" s="247" cm="1">
        <f t="array" ref="AG12">$E12*X12</f>
        <v>1190046.70382855</v>
      </c>
      <c r="AH12" s="247" cm="1">
        <f t="array" ref="AH12">$E12*Y12</f>
        <v>1394683.3287475</v>
      </c>
      <c r="AI12" s="247" cm="1">
        <f t="array" ref="AI12">$E12*Z12</f>
        <v>1605343.52235018</v>
      </c>
      <c r="AJ12" s="247" cm="1">
        <f t="array" ref="AJ12">$E12*AA12</f>
        <v>2969502.01643062</v>
      </c>
      <c r="AK12" s="702" cm="1">
        <f t="array" ref="AK12">$E12*AB12</f>
        <v>3043218.524104</v>
      </c>
      <c r="AL12" s="597"/>
      <c r="AM12" s="691" cm="1">
        <f t="array" ref="AM12">J11-J12</f>
        <v>63.3877</v>
      </c>
      <c r="AN12" s="691" cm="1">
        <f t="array" ref="AN12">D12-AM12</f>
        <v>-37.2469934316607</v>
      </c>
      <c r="AO12" s="597"/>
      <c r="AP12" s="684">
        <v>47483</v>
      </c>
      <c r="AQ12" s="692" cm="1">
        <f t="array" ref="AQ12">ROUND(AP12/$E12,4)</f>
        <v>1.2493</v>
      </c>
      <c r="AR12" s="684">
        <v>6182</v>
      </c>
      <c r="AS12" s="692" cm="1">
        <f t="array" ref="AS12">ROUND(AR12/E12,4)</f>
        <v>0.1627</v>
      </c>
      <c r="AT12" s="693" cm="1">
        <f t="array" ref="AT12">SUM(AQ12,AS12)</f>
        <v>1.412</v>
      </c>
      <c r="AU12" s="684" cm="1">
        <f t="array" ref="AU12">ROUND(SUM(AQ12,AS12)*E12,0)</f>
        <v>53667</v>
      </c>
      <c r="AV12" s="685">
        <v>184399</v>
      </c>
      <c r="AW12" s="694" cm="1">
        <f t="array" ref="AW12">ROUND(AV12/$E12,4)</f>
        <v>4.8516</v>
      </c>
      <c r="AX12" s="685" cm="1">
        <f t="array" ref="AX12">C12-SUM(AU12,AV12,BB12)</f>
        <v>2224820</v>
      </c>
      <c r="AY12" s="694" cm="1">
        <f t="array" ref="AY12">ROUND(AX12/$E12,4)</f>
        <v>58.5361</v>
      </c>
      <c r="AZ12" s="686" cm="1">
        <f t="array" ref="AZ12">AX12+AV12</f>
        <v>2409219</v>
      </c>
      <c r="BA12" s="694" cm="1">
        <f t="array" ref="BA12">ROUND(AW12+AY12,4)</f>
        <v>63.3877</v>
      </c>
      <c r="BB12" s="687">
        <v>579382</v>
      </c>
      <c r="BC12" s="695" cm="1">
        <f t="array" ref="BC12">ROUND(BB12/$E12,4)</f>
        <v>15.2438</v>
      </c>
      <c r="BD12" s="679" cm="1">
        <f t="array" ref="BD12">K11-K12</f>
        <v>2184243</v>
      </c>
      <c r="BE12" s="679" cm="1">
        <f t="array" ref="BE12">AZ12-BD12</f>
        <v>224976</v>
      </c>
      <c r="BF12" s="679" cm="1">
        <f t="array" ref="BF12">-BE12</f>
        <v>-224976</v>
      </c>
      <c r="BG12" s="679" cm="1">
        <f t="array" ref="BG12">BB12+BE12</f>
        <v>804358</v>
      </c>
      <c r="BH12" s="679" cm="1">
        <f t="array" ref="BH12">AVERAGE(BG10:BG12)</f>
        <v>1117435.66666667</v>
      </c>
      <c r="BI12" s="699" cm="1">
        <f t="array" ref="BI12">BC11-BC12</f>
        <v>0.0244</v>
      </c>
      <c r="BJ12" s="596" cm="1">
        <f t="array" ref="BJ12">J11*4.95%/12-0.3</f>
        <v>14.9911213125</v>
      </c>
      <c r="BK12" s="698" cm="1">
        <f t="array" ref="BK12">(AV12+AX12)/BB12</f>
        <v>4.15825655612359</v>
      </c>
      <c r="BL12" s="698" cm="1">
        <f t="array" ref="BL12">U12-AW12</f>
        <v>16.5689429382532</v>
      </c>
      <c r="BM12" s="698" cm="1">
        <f t="array" ref="BM12">(BN$2*(1+BN$2)^BM$2*J11)/((1+BN$2)^BM$2-1)</f>
        <v>19.7865255478941</v>
      </c>
      <c r="BN12" s="690"/>
      <c r="BO12" s="247" cm="1">
        <f t="array" ref="BO12">AV12+AX12+BO11</f>
        <v>12848106</v>
      </c>
      <c r="BP12" s="247" cm="1">
        <f t="array" ref="BP12">BB12+BP11</f>
        <v>2941914</v>
      </c>
      <c r="BQ12" s="596" cm="1">
        <f t="array" ref="BQ12">BA12+BQ11</f>
        <v>340.1037</v>
      </c>
      <c r="BR12" s="596" cm="1">
        <f t="array" ref="BR12">BC12+BR11</f>
        <v>77.8411</v>
      </c>
      <c r="BS12" s="247" cm="1">
        <f t="array" ref="BS12">SUM(BE$6:BE12)</f>
        <v>4698341</v>
      </c>
      <c r="BT12" s="596"/>
      <c r="BU12" s="247"/>
      <c r="BV12" s="247" cm="1">
        <f t="array" ref="BV12">SUM(AZ$6:AZ12)</f>
        <v>12848106</v>
      </c>
      <c r="BW12" s="247"/>
      <c r="BX12" s="247"/>
    </row>
    <row r="13" ht="19.35" customHeight="1">
      <c r="A13" s="689">
        <v>10</v>
      </c>
      <c r="B13" s="675">
        <v>45637</v>
      </c>
      <c r="C13" s="247">
        <v>3071042</v>
      </c>
      <c r="D13" s="597" cm="1">
        <f t="array" ref="D13">W13</f>
        <v>25.7665908207308</v>
      </c>
      <c r="E13" s="296">
        <v>38367.21</v>
      </c>
      <c r="F13" s="676" cm="1">
        <f t="array" ref="F13">(E13-E12)/E12</f>
        <v>0.0094604663693931</v>
      </c>
      <c r="G13" s="676">
        <v>0.042</v>
      </c>
      <c r="H13" s="299" cm="1">
        <f t="array" ref="H13">G13+4.95/100</f>
        <v>0.0915</v>
      </c>
      <c r="I13" s="247" cm="1">
        <f t="array" ref="I13">ROUND(D13*E13,0)</f>
        <v>988592</v>
      </c>
      <c r="J13" s="677" cm="1">
        <f t="array" ref="J13">J12-BA13</f>
        <v>3580.007</v>
      </c>
      <c r="K13" s="679" cm="1">
        <f t="array" ref="K13">ROUND(J13*E13,0)</f>
        <v>137354880</v>
      </c>
      <c r="L13" s="679" cm="1">
        <f t="array" ref="L13">K13-K12</f>
        <v>-1127887</v>
      </c>
      <c r="M13" s="681" cm="1">
        <f t="array" ref="M13">Q13-J13</f>
        <v>1819.993</v>
      </c>
      <c r="N13" s="679" cm="1">
        <f t="array" ref="N13">ROUND(M13*E13,0)</f>
        <v>69828054</v>
      </c>
      <c r="O13" s="596" cm="1">
        <f t="array" ref="O13">$J$5-J13</f>
        <v>369.993</v>
      </c>
      <c r="P13" s="679" cm="1">
        <f t="array" ref="P13">N13-N12</f>
        <v>3069565</v>
      </c>
      <c r="Q13" s="596">
        <v>5400</v>
      </c>
      <c r="R13" s="679" cm="1">
        <f t="array" ref="R13">Q13*E13</f>
        <v>207182934</v>
      </c>
      <c r="S13" s="247" cm="1">
        <f t="array" ref="S13">-P13</f>
        <v>-3069565</v>
      </c>
      <c r="T13" s="690"/>
      <c r="U13" s="682" cm="1">
        <f t="array" ref="U13">J12*4.95/12/100/(1-(1+4.95/12/100)^-(360-$A13))+AT13</f>
        <v>21.0901611759274</v>
      </c>
      <c r="V13" s="597"/>
      <c r="W13" s="597" cm="1">
        <f t="array" ref="W13">IF(W$3*12&lt;=$A13,0,$J12*'depto - Departamento'!$D$8/12/(1-(1+'depto - Departamento'!$D$8/12)^-(12*W$3-$A13+3))+$AT13)</f>
        <v>25.7665908207308</v>
      </c>
      <c r="X13" s="597" cm="1">
        <f t="array" ref="X13">IF(X$3*12&lt;=$A13,0,$J12*'depto - Departamento'!$D$8/12/(1-(1+'depto - Departamento'!$D$8/12)^-(12*X$3-$A13+3))+$AT13)</f>
        <v>30.9024255984984</v>
      </c>
      <c r="Y13" s="597" cm="1">
        <f t="array" ref="Y13">IF(Y$3*12&lt;=$A13,0,$J12*'depto - Departamento'!$D$8/12/(1-(1+'depto - Departamento'!$D$8/12)^-(12*Y$3-$A13+3))+$AT13)</f>
        <v>36.2662303918514</v>
      </c>
      <c r="Z13" s="597" cm="1">
        <f t="array" ref="Z13">IF(Z$3*12&lt;=$A13,0,$J12*'depto - Departamento'!$D$8/12/(1-(1+'depto - Departamento'!$D$8/12)^-(12*Z$3-$A13+3))+$AT13)</f>
        <v>41.8043098952571</v>
      </c>
      <c r="AA13" s="597" cm="1">
        <f t="array" ref="AA13">IF(AA$3*12&lt;=$A13,0,$J12*'depto - Departamento'!$D$8/12/(1-(1+'depto - Departamento'!$D$8/12)^-(12*AA$3-$A13+3))+$AT13)</f>
        <v>78.0744985103764</v>
      </c>
      <c r="AB13" s="701">
        <v>80.0686</v>
      </c>
      <c r="AC13" s="701"/>
      <c r="AD13" s="696" cm="1">
        <f t="array" ref="AD13">$E13*U13</f>
        <v>809170.6427706541</v>
      </c>
      <c r="AE13" s="597"/>
      <c r="AF13" s="247" cm="1">
        <f t="array" ref="AF13">$E13*W13</f>
        <v>988592.201003051</v>
      </c>
      <c r="AG13" s="247" cm="1">
        <f t="array" ref="AG13">$E13*X13</f>
        <v>1185639.85244696</v>
      </c>
      <c r="AH13" s="247" cm="1">
        <f t="array" ref="AH13">$E13*Y13</f>
        <v>1391434.07735254</v>
      </c>
      <c r="AI13" s="247" cm="1">
        <f t="array" ref="AI13">$E13*Z13</f>
        <v>1603914.73665641</v>
      </c>
      <c r="AJ13" s="247" cm="1">
        <f t="array" ref="AJ13">$E13*AA13</f>
        <v>2995500.6799923</v>
      </c>
      <c r="AK13" s="702" cm="1">
        <f t="array" ref="AK13">$E13*AB13</f>
        <v>3072008.790606</v>
      </c>
      <c r="AL13" s="597"/>
      <c r="AM13" s="691" cm="1">
        <f t="array" ref="AM13">J12-J13</f>
        <v>63.5438</v>
      </c>
      <c r="AN13" s="691" cm="1">
        <f t="array" ref="AN13">D13-AM13</f>
        <v>-37.7772091792692</v>
      </c>
      <c r="AO13" s="597"/>
      <c r="AP13" s="684">
        <v>47483</v>
      </c>
      <c r="AQ13" s="692" cm="1">
        <f t="array" ref="AQ13">ROUND(AP13/$E13,4)</f>
        <v>1.2376</v>
      </c>
      <c r="AR13" s="684">
        <v>6182</v>
      </c>
      <c r="AS13" s="692" cm="1">
        <f t="array" ref="AS13">ROUND(AR13/E13,4)</f>
        <v>0.1611</v>
      </c>
      <c r="AT13" s="693" cm="1">
        <f t="array" ref="AT13">SUM(AQ13,AS13)</f>
        <v>1.3987</v>
      </c>
      <c r="AU13" s="684" cm="1">
        <f t="array" ref="AU13">ROUND(SUM(AQ13,AS13)*E13,0)</f>
        <v>53664</v>
      </c>
      <c r="AV13" s="685">
        <v>184399</v>
      </c>
      <c r="AW13" s="694" cm="1">
        <f t="array" ref="AW13">ROUND(AV13/$E13,4)</f>
        <v>4.8062</v>
      </c>
      <c r="AX13" s="685" cm="1">
        <f t="array" ref="AX13">C13-SUM(AU13,AV13,BB13)</f>
        <v>2253597</v>
      </c>
      <c r="AY13" s="694" cm="1">
        <f t="array" ref="AY13">ROUND(AX13/$E13,4)</f>
        <v>58.7376</v>
      </c>
      <c r="AZ13" s="686" cm="1">
        <f t="array" ref="AZ13">AX13+AV13</f>
        <v>2437996</v>
      </c>
      <c r="BA13" s="694" cm="1">
        <f t="array" ref="BA13">ROUND(AW13+AY13,4)</f>
        <v>63.5438</v>
      </c>
      <c r="BB13" s="687">
        <v>579382</v>
      </c>
      <c r="BC13" s="695" cm="1">
        <f t="array" ref="BC13">ROUND(BB13/$E13,4)</f>
        <v>15.101</v>
      </c>
      <c r="BD13" s="679" cm="1">
        <f t="array" ref="BD13">K12-K13</f>
        <v>1127887</v>
      </c>
      <c r="BE13" s="679" cm="1">
        <f t="array" ref="BE13">AZ13-BD13</f>
        <v>1310109</v>
      </c>
      <c r="BF13" s="679" cm="1">
        <f t="array" ref="BF13">-BE13</f>
        <v>-1310109</v>
      </c>
      <c r="BG13" s="679" cm="1">
        <f t="array" ref="BG13">BB13+BE13</f>
        <v>1889491</v>
      </c>
      <c r="BH13" s="679" cm="1">
        <f t="array" ref="BH13">AVERAGE(BG11:BG13)</f>
        <v>1222548</v>
      </c>
      <c r="BI13" s="699" cm="1">
        <f t="array" ref="BI13">BC12-BC13</f>
        <v>0.1428</v>
      </c>
      <c r="BJ13" s="596" cm="1">
        <f t="array" ref="BJ13">J12*4.95%/12-0.3</f>
        <v>14.72964705</v>
      </c>
      <c r="BK13" s="698" cm="1">
        <f t="array" ref="BK13">(AV13+AX13)/BB13</f>
        <v>4.20792499594395</v>
      </c>
      <c r="BL13" s="698" cm="1">
        <f t="array" ref="BL13">U13-AW13</f>
        <v>16.2839611759274</v>
      </c>
      <c r="BM13" s="698" cm="1">
        <f t="array" ref="BM13">(BN$2*(1+BN$2)^BM$2*J12)/((1+BN$2)^BM$2-1)</f>
        <v>19.4481810230329</v>
      </c>
      <c r="BN13" s="690"/>
      <c r="BO13" s="247" cm="1">
        <f t="array" ref="BO13">AV13+AX13+BO12</f>
        <v>15286102</v>
      </c>
      <c r="BP13" s="247" cm="1">
        <f t="array" ref="BP13">BB13+BP12</f>
        <v>3521296</v>
      </c>
      <c r="BQ13" s="596" cm="1">
        <f t="array" ref="BQ13">BA13+BQ12</f>
        <v>403.6475</v>
      </c>
      <c r="BR13" s="596" cm="1">
        <f t="array" ref="BR13">BC13+BR12</f>
        <v>92.9421</v>
      </c>
      <c r="BS13" s="247" cm="1">
        <f t="array" ref="BS13">SUM(BE$6:BE13)</f>
        <v>6008450</v>
      </c>
      <c r="BT13" s="596"/>
      <c r="BU13" s="247"/>
      <c r="BV13" s="247" cm="1">
        <f t="array" ref="BV13">SUM(AZ$6:AZ13)</f>
        <v>15286102</v>
      </c>
      <c r="BW13" s="247"/>
      <c r="BX13" s="247"/>
    </row>
    <row r="14" ht="19.35" customHeight="1">
      <c r="A14" s="689">
        <v>11</v>
      </c>
      <c r="B14" s="703">
        <v>45698</v>
      </c>
      <c r="C14" s="704" cm="1">
        <f t="array" ref="C14">I14</f>
        <v>974887</v>
      </c>
      <c r="D14" s="705" cm="1">
        <f t="array" ref="D14">W14</f>
        <v>25.4028351737</v>
      </c>
      <c r="E14" s="707">
        <v>38377.09</v>
      </c>
      <c r="F14" s="706" cm="1">
        <f t="array" ref="F14">(E14-E13)/E13</f>
        <v>0.000257511557394973</v>
      </c>
      <c r="G14" s="706">
        <v>0.045</v>
      </c>
      <c r="H14" s="708" cm="1">
        <f t="array" ref="H14">G14+4.95/100</f>
        <v>0.0945</v>
      </c>
      <c r="I14" s="704" cm="1">
        <f t="array" ref="I14">ROUND(D14*E14,0)</f>
        <v>974887</v>
      </c>
      <c r="J14" s="709" cm="1">
        <f t="array" ref="J14">J13-BA14</f>
        <v>3571.0997</v>
      </c>
      <c r="K14" s="711" cm="1">
        <f t="array" ref="K14">ROUND(J14*E14,0)</f>
        <v>137048415</v>
      </c>
      <c r="L14" s="711" cm="1">
        <f t="array" ref="L14">K14-K13</f>
        <v>-306465</v>
      </c>
      <c r="M14" s="713" cm="1">
        <f t="array" ref="M14">Q14-J14</f>
        <v>1828.9003</v>
      </c>
      <c r="N14" s="711" cm="1">
        <f t="array" ref="N14">ROUND(M14*E14,0)</f>
        <v>70187871</v>
      </c>
      <c r="O14" s="714" cm="1">
        <f t="array" ref="O14">$J$5-J14</f>
        <v>378.9003</v>
      </c>
      <c r="P14" s="711" cm="1">
        <f t="array" ref="P14">N14-N13</f>
        <v>359817</v>
      </c>
      <c r="Q14" s="714">
        <v>5400</v>
      </c>
      <c r="R14" s="711" cm="1">
        <f t="array" ref="R14">Q14*E14</f>
        <v>207236286</v>
      </c>
      <c r="S14" s="704" cm="1">
        <f t="array" ref="S14">-P14</f>
        <v>-359817</v>
      </c>
      <c r="T14" s="715"/>
      <c r="U14" s="716" cm="1">
        <f t="array" ref="U14">J13*4.95/12/100/(1-(1+4.95/12/100)^-(360-$A14))+AT14</f>
        <v>20.7712275645967</v>
      </c>
      <c r="V14" s="705" cm="1">
        <f t="array" ref="V14">IF(V$3*12&lt;=$A14,0,$J13*'depto - Departamento'!$D$8/12/(1-(1+'depto - Departamento'!$D$8/12)^-(12*V$3-$A14+3))+$AT14)</f>
        <v>22.5125349131635</v>
      </c>
      <c r="W14" s="705" cm="1">
        <f t="array" ref="W14">IF(W$3*12&lt;=$A14,0,$J13*'depto - Departamento'!$D$8/12/(1-(1+'depto - Departamento'!$D$8/12)^-(12*W$3-$A14+3))+$AT14)</f>
        <v>25.4028351737</v>
      </c>
      <c r="X14" s="705" cm="1">
        <f t="array" ref="X14">IF(X$3*12&lt;=$A14,0,$J13*'depto - Departamento'!$D$8/12/(1-(1+'depto - Departamento'!$D$8/12)^-(12*X$3-$A14+3))+$AT14)</f>
        <v>30.5031977972915</v>
      </c>
      <c r="Y14" s="705" cm="1">
        <f t="array" ref="Y14">IF(Y$3*12&lt;=$A14,0,$J13*'depto - Departamento'!$D$8/12/(1-(1+'depto - Departamento'!$D$8/12)^-(12*Y$3-$A14+3))+$AT14)</f>
        <v>35.845390075212</v>
      </c>
      <c r="Z14" s="705" cm="1">
        <f t="array" ref="Z14">IF(Z$3*12&lt;=$A14,0,$J13*'depto - Departamento'!$D$8/12/(1-(1+'depto - Departamento'!$D$8/12)^-(12*Z$3-$A14+3))+$AT14)</f>
        <v>41.3777743461113</v>
      </c>
      <c r="AA14" s="705" cm="1">
        <f t="array" ref="AA14">IF(AA$3*12&lt;=$A14,0,$J13*'depto - Departamento'!$D$8/12/(1-(1+'depto - Departamento'!$D$8/12)^-(12*AA$3-$A14+3))+$AT14)</f>
        <v>78.03357662583601</v>
      </c>
      <c r="AB14" s="705">
        <v>80.0686</v>
      </c>
      <c r="AC14" s="705"/>
      <c r="AD14" s="717" cm="1">
        <f t="array" ref="AD14">$E14*U14</f>
        <v>797139.269657008</v>
      </c>
      <c r="AE14" s="704" cm="1">
        <f t="array" ref="AE14">$E14*V14</f>
        <v>863965.578490618</v>
      </c>
      <c r="AF14" s="704" cm="1">
        <f t="array" ref="AF14">$E14*W14</f>
        <v>974886.891716251</v>
      </c>
      <c r="AG14" s="704" cm="1">
        <f t="array" ref="AG14">$E14*X14</f>
        <v>1170623.96715446</v>
      </c>
      <c r="AH14" s="704" cm="1">
        <f t="array" ref="AH14">$E14*Y14</f>
        <v>1375641.76100152</v>
      </c>
      <c r="AI14" s="704" cm="1">
        <f t="array" ref="AI14">$E14*Z14</f>
        <v>1587958.5700804</v>
      </c>
      <c r="AJ14" s="704" cm="1">
        <f t="array" ref="AJ14">$E14*AA14</f>
        <v>2994701.5931916</v>
      </c>
      <c r="AK14" s="704" cm="1">
        <f t="array" ref="AK14">$E14*AB14</f>
        <v>3072799.868374</v>
      </c>
      <c r="AL14" s="705"/>
      <c r="AM14" s="718" cm="1">
        <f t="array" ref="AM14">J13-J14</f>
        <v>8.907299999999999</v>
      </c>
      <c r="AN14" s="718" cm="1">
        <f t="array" ref="AN14">D14-AM14</f>
        <v>16.4955351737</v>
      </c>
      <c r="AO14" s="705"/>
      <c r="AP14" s="719">
        <v>47483</v>
      </c>
      <c r="AQ14" s="720" cm="1">
        <f t="array" ref="AQ14">ROUND(AP14/$E14,4)</f>
        <v>1.2373</v>
      </c>
      <c r="AR14" s="719">
        <v>6182</v>
      </c>
      <c r="AS14" s="720" cm="1">
        <f t="array" ref="AS14">ROUND(AR14/E14,4)</f>
        <v>0.1611</v>
      </c>
      <c r="AT14" s="721" cm="1">
        <f t="array" ref="AT14">SUM(AQ14,AS14)</f>
        <v>1.3984</v>
      </c>
      <c r="AU14" s="719" cm="1">
        <f t="array" ref="AU14">ROUND(SUM(AQ14,AS14)*E14,0)</f>
        <v>53667</v>
      </c>
      <c r="AV14" s="722">
        <v>184399</v>
      </c>
      <c r="AW14" s="723" cm="1">
        <f t="array" ref="AW14">ROUND(AV14/$E14,4)</f>
        <v>4.8049</v>
      </c>
      <c r="AX14" s="722" cm="1">
        <f t="array" ref="AX14">C14-SUM(AU14,AV14,BB14)</f>
        <v>157439</v>
      </c>
      <c r="AY14" s="723" cm="1">
        <f t="array" ref="AY14">ROUND(AX14/$E14,4)</f>
        <v>4.1024</v>
      </c>
      <c r="AZ14" s="724" cm="1">
        <f t="array" ref="AZ14">AX14+AV14</f>
        <v>341838</v>
      </c>
      <c r="BA14" s="723" cm="1">
        <f t="array" ref="BA14">ROUND(AW14+AY14,4)</f>
        <v>8.907299999999999</v>
      </c>
      <c r="BB14" s="725">
        <v>579382</v>
      </c>
      <c r="BC14" s="832" cm="1">
        <f t="array" ref="BC14">ROUND(BB14/$E14,4)</f>
        <v>15.0971</v>
      </c>
      <c r="BD14" s="711" cm="1">
        <f t="array" ref="BD14">K13-K14</f>
        <v>306465</v>
      </c>
      <c r="BE14" s="711" cm="1">
        <f t="array" ref="BE14">AZ14-BD14</f>
        <v>35373</v>
      </c>
      <c r="BF14" s="711" cm="1">
        <f t="array" ref="BF14">-BE14</f>
        <v>-35373</v>
      </c>
      <c r="BG14" s="711" cm="1">
        <f t="array" ref="BG14">BB14+BE14</f>
        <v>614755</v>
      </c>
      <c r="BH14" s="711" cm="1">
        <f t="array" ref="BH14">AVERAGE(BG12:BG14)</f>
        <v>1102868</v>
      </c>
      <c r="BI14" s="727" cm="1">
        <f t="array" ref="BI14">BC13-BC14</f>
        <v>0.0039</v>
      </c>
      <c r="BJ14" s="714" cm="1">
        <f t="array" ref="BJ14">J13*4.95%/12-0.3</f>
        <v>14.467528875</v>
      </c>
      <c r="BK14" s="728" cm="1">
        <f t="array" ref="BK14">(AV14+AX14)/BB14</f>
        <v>0.590004522059712</v>
      </c>
      <c r="BL14" s="728" cm="1">
        <f t="array" ref="BL14">U14-AW14</f>
        <v>15.9663275645967</v>
      </c>
      <c r="BM14" s="728" cm="1">
        <f t="array" ref="BM14">(BN$2*(1+BN$2)^BM$2*J13)/((1+BN$2)^BM$2-1)</f>
        <v>19.1090032832052</v>
      </c>
      <c r="BN14" s="715"/>
      <c r="BO14" s="704" cm="1">
        <f t="array" ref="BO14">AV14+AX14+BO13</f>
        <v>15627940</v>
      </c>
      <c r="BP14" s="704" cm="1">
        <f t="array" ref="BP14">BB14+BP13</f>
        <v>4100678</v>
      </c>
      <c r="BQ14" s="714" cm="1">
        <f t="array" ref="BQ14">BA14+BQ13</f>
        <v>412.5548</v>
      </c>
      <c r="BR14" s="714" cm="1">
        <f t="array" ref="BR14">BC14+BR13</f>
        <v>108.0392</v>
      </c>
      <c r="BS14" s="704" cm="1">
        <f t="array" ref="BS14">SUM(BE$6:BE14)</f>
        <v>6043823</v>
      </c>
      <c r="BT14" s="714"/>
      <c r="BU14" s="704"/>
      <c r="BV14" s="704" cm="1">
        <f t="array" ref="BV14">SUM(AZ$6:AZ14)</f>
        <v>15627940</v>
      </c>
      <c r="BW14" s="704"/>
      <c r="BX14" s="704"/>
    </row>
    <row r="15" ht="19.35" customHeight="1">
      <c r="A15" s="689">
        <v>12</v>
      </c>
      <c r="B15" s="703">
        <v>45699</v>
      </c>
      <c r="C15" s="704" cm="1">
        <f t="array" ref="C15">I15</f>
        <v>975330</v>
      </c>
      <c r="D15" s="705" cm="1">
        <f t="array" ref="D15">W15</f>
        <v>25.4044509458786</v>
      </c>
      <c r="E15" s="707">
        <v>38392.09</v>
      </c>
      <c r="F15" s="706" cm="1">
        <f t="array" ref="F15">(E15-E14)/E14</f>
        <v>0.000390858191697182</v>
      </c>
      <c r="G15" s="706">
        <v>0.045</v>
      </c>
      <c r="H15" s="708" cm="1">
        <f t="array" ref="H15">G15+4.95/100</f>
        <v>0.0945</v>
      </c>
      <c r="I15" s="704" cm="1">
        <f t="array" ref="I15">ROUND(D15*E15,0)</f>
        <v>975330</v>
      </c>
      <c r="J15" s="709" cm="1">
        <f t="array" ref="J15">J14-BA15</f>
        <v>3562.1843</v>
      </c>
      <c r="K15" s="711" cm="1">
        <f t="array" ref="K15">ROUND(J15*E15,0)</f>
        <v>136759700</v>
      </c>
      <c r="L15" s="711" cm="1">
        <f t="array" ref="L15">K15-K14</f>
        <v>-288715</v>
      </c>
      <c r="M15" s="713" cm="1">
        <f t="array" ref="M15">Q15-J15</f>
        <v>1837.8157</v>
      </c>
      <c r="N15" s="711" cm="1">
        <f t="array" ref="N15">ROUND(M15*E15,0)</f>
        <v>70557586</v>
      </c>
      <c r="O15" s="714" cm="1">
        <f t="array" ref="O15">$J$5-J15</f>
        <v>387.8157</v>
      </c>
      <c r="P15" s="711" cm="1">
        <f t="array" ref="P15">N15-N14</f>
        <v>369715</v>
      </c>
      <c r="Q15" s="714">
        <v>5400</v>
      </c>
      <c r="R15" s="711" cm="1">
        <f t="array" ref="R15">Q15*E15</f>
        <v>207317286</v>
      </c>
      <c r="S15" s="704" cm="1">
        <f t="array" ref="S15">-P15</f>
        <v>-369715</v>
      </c>
      <c r="T15" s="715"/>
      <c r="U15" s="716" cm="1">
        <f t="array" ref="U15">J14*4.95/12/100/(1-(1+4.95/12/100)^-(360-$A15))+AT15</f>
        <v>20.7473177559286</v>
      </c>
      <c r="V15" s="705" cm="1">
        <f t="array" ref="V15">IF(V$3*12&lt;=$A15,0,$J14*'depto - Departamento'!$D$8/12/(1-(1+'depto - Departamento'!$D$8/12)^-(12*V$3-$A15+3))+$AT15)</f>
        <v>22.4968056530153</v>
      </c>
      <c r="W15" s="705" cm="1">
        <f t="array" ref="W15">IF(W$3*12&lt;=$A15,0,$J14*'depto - Departamento'!$D$8/12/(1-(1+'depto - Departamento'!$D$8/12)^-(12*W$3-$A15+3))+$AT15)</f>
        <v>25.4044509458786</v>
      </c>
      <c r="X15" s="705" cm="1">
        <f t="array" ref="X15">IF(X$3*12&lt;=$A15,0,$J14*'depto - Departamento'!$D$8/12/(1-(1+'depto - Departamento'!$D$8/12)^-(12*X$3-$A15+3))+$AT15)</f>
        <v>30.5469199469711</v>
      </c>
      <c r="Y15" s="705" cm="1">
        <f t="array" ref="Y15">IF(Y$3*12&lt;=$A15,0,$J14*'depto - Departamento'!$D$8/12/(1-(1+'depto - Departamento'!$D$8/12)^-(12*Y$3-$A15+3))+$AT15)</f>
        <v>35.949013219265</v>
      </c>
      <c r="Z15" s="705" cm="1">
        <f t="array" ref="Z15">IF(Z$3*12&lt;=$A15,0,$J14*'depto - Departamento'!$D$8/12/(1-(1+'depto - Departamento'!$D$8/12)^-(12*Z$3-$A15+3))+$AT15)</f>
        <v>41.5605451167455</v>
      </c>
      <c r="AA15" s="705" cm="1">
        <f t="array" ref="AA15">IF(AA$3*12&lt;=$A15,0,$J14*'depto - Departamento'!$D$8/12/(1-(1+'depto - Departamento'!$D$8/12)^-(12*AA$3-$A15+3))+$AT15)</f>
        <v>79.18660506339521</v>
      </c>
      <c r="AB15" s="705">
        <v>80.0686</v>
      </c>
      <c r="AC15" s="705"/>
      <c r="AD15" s="717" cm="1">
        <f t="array" ref="AD15">$E15*U15</f>
        <v>796532.890544209</v>
      </c>
      <c r="AE15" s="704" cm="1">
        <f t="array" ref="AE15">$E15*V15</f>
        <v>863699.387343072</v>
      </c>
      <c r="AF15" s="704" cm="1">
        <f t="array" ref="AF15">$E15*W15</f>
        <v>975329.967114756</v>
      </c>
      <c r="AG15" s="704" cm="1">
        <f t="array" ref="AG15">$E15*X15</f>
        <v>1172760.09982691</v>
      </c>
      <c r="AH15" s="704" cm="1">
        <f t="array" ref="AH15">$E15*Y15</f>
        <v>1380157.75092521</v>
      </c>
      <c r="AI15" s="704" cm="1">
        <f t="array" ref="AI15">$E15*Z15</f>
        <v>1595596.18857115</v>
      </c>
      <c r="AJ15" s="704" cm="1">
        <f t="array" ref="AJ15">$E15*AA15</f>
        <v>3040139.26838832</v>
      </c>
      <c r="AK15" s="704" cm="1">
        <f t="array" ref="AK15">$E15*AB15</f>
        <v>3074000.897374</v>
      </c>
      <c r="AL15" s="705"/>
      <c r="AM15" s="718" cm="1">
        <f t="array" ref="AM15">J14-J15</f>
        <v>8.9154</v>
      </c>
      <c r="AN15" s="718" cm="1">
        <f t="array" ref="AN15">D15-AM15</f>
        <v>16.4890509458786</v>
      </c>
      <c r="AO15" s="705"/>
      <c r="AP15" s="719">
        <v>47483</v>
      </c>
      <c r="AQ15" s="720" cm="1">
        <f t="array" ref="AQ15">ROUND(AP15/$E15,4)</f>
        <v>1.2368</v>
      </c>
      <c r="AR15" s="719">
        <v>6182</v>
      </c>
      <c r="AS15" s="720" cm="1">
        <f t="array" ref="AS15">ROUND(AR15/E15,4)</f>
        <v>0.161</v>
      </c>
      <c r="AT15" s="721" cm="1">
        <f t="array" ref="AT15">SUM(AQ15,AS15)</f>
        <v>1.3978</v>
      </c>
      <c r="AU15" s="719" cm="1">
        <f t="array" ref="AU15">ROUND(SUM(AQ15,AS15)*E15,0)</f>
        <v>53664</v>
      </c>
      <c r="AV15" s="722">
        <v>184399</v>
      </c>
      <c r="AW15" s="723" cm="1">
        <f t="array" ref="AW15">ROUND(AV15/$E15,4)</f>
        <v>4.803</v>
      </c>
      <c r="AX15" s="722" cm="1">
        <f t="array" ref="AX15">C15-SUM(AU15,AV15,BB15)</f>
        <v>157885</v>
      </c>
      <c r="AY15" s="723" cm="1">
        <f t="array" ref="AY15">ROUND(AX15/$E15,4)</f>
        <v>4.1124</v>
      </c>
      <c r="AZ15" s="724" cm="1">
        <f t="array" ref="AZ15">AX15+AV15</f>
        <v>342284</v>
      </c>
      <c r="BA15" s="723" cm="1">
        <f t="array" ref="BA15">ROUND(AW15+AY15,4)</f>
        <v>8.9154</v>
      </c>
      <c r="BB15" s="725">
        <v>579382</v>
      </c>
      <c r="BC15" s="832" cm="1">
        <f t="array" ref="BC15">ROUND(BB15/$E15,4)</f>
        <v>15.0912</v>
      </c>
      <c r="BD15" s="711" cm="1">
        <f t="array" ref="BD15">K14-K15</f>
        <v>288715</v>
      </c>
      <c r="BE15" s="711" cm="1">
        <f t="array" ref="BE15">AZ15-BD15</f>
        <v>53569</v>
      </c>
      <c r="BF15" s="711" cm="1">
        <f t="array" ref="BF15">-BE15</f>
        <v>-53569</v>
      </c>
      <c r="BG15" s="711" cm="1">
        <f t="array" ref="BG15">BB15+BE15</f>
        <v>632951</v>
      </c>
      <c r="BH15" s="711" cm="1">
        <f t="array" ref="BH15">AVERAGE(BG13:BG15)</f>
        <v>1045732.33333333</v>
      </c>
      <c r="BI15" s="727" cm="1">
        <f t="array" ref="BI15">BC14-BC15</f>
        <v>0.0059</v>
      </c>
      <c r="BJ15" s="714" cm="1">
        <f t="array" ref="BJ15">J14*4.95%/12-0.3</f>
        <v>14.4307862625</v>
      </c>
      <c r="BK15" s="728" cm="1">
        <f t="array" ref="BK15">(AV15+AX15)/BB15</f>
        <v>0.590774307796928</v>
      </c>
      <c r="BL15" s="728" cm="1">
        <f t="array" ref="BL15">U15-AW15</f>
        <v>15.9443177559286</v>
      </c>
      <c r="BM15" s="728" cm="1">
        <f t="array" ref="BM15">(BN$2*(1+BN$2)^BM$2*J14)/((1+BN$2)^BM$2-1)</f>
        <v>19.0614587881959</v>
      </c>
      <c r="BN15" s="715"/>
      <c r="BO15" s="704" cm="1">
        <f t="array" ref="BO15">AV15+AX15+BO14</f>
        <v>15970224</v>
      </c>
      <c r="BP15" s="704" cm="1">
        <f t="array" ref="BP15">BB15+BP14</f>
        <v>4680060</v>
      </c>
      <c r="BQ15" s="714" cm="1">
        <f t="array" ref="BQ15">BA15+BQ14</f>
        <v>421.4702</v>
      </c>
      <c r="BR15" s="714" cm="1">
        <f t="array" ref="BR15">BC15+BR14</f>
        <v>123.1304</v>
      </c>
      <c r="BS15" s="704" cm="1">
        <f t="array" ref="BS15">SUM(BE$6:BE15)</f>
        <v>6097392</v>
      </c>
      <c r="BT15" s="714"/>
      <c r="BU15" s="714"/>
      <c r="BV15" s="704" cm="1">
        <f t="array" ref="BV15">SUM(AZ$6:AZ15)</f>
        <v>15970224</v>
      </c>
      <c r="BW15" s="714"/>
      <c r="BX15" s="714"/>
    </row>
    <row r="16" ht="19.35" customHeight="1">
      <c r="A16" s="689">
        <v>13</v>
      </c>
      <c r="B16" s="703">
        <v>45727</v>
      </c>
      <c r="C16" s="704" cm="1">
        <f t="array" ref="C16">I16</f>
        <v>984857</v>
      </c>
      <c r="D16" s="705" cm="1">
        <f t="array" ref="D16">W16</f>
        <v>25.386780473624</v>
      </c>
      <c r="E16" s="707">
        <v>38794.07</v>
      </c>
      <c r="F16" s="706" cm="1">
        <f t="array" ref="F16">(E16-E15)/E15</f>
        <v>0.0104703859571073</v>
      </c>
      <c r="G16" s="706" cm="1">
        <f t="array" ref="G16">SUM(F5:F16)</f>
        <v>0.0472117845230287</v>
      </c>
      <c r="H16" s="708" cm="1">
        <f t="array" ref="H16">G16+4.95/100</f>
        <v>0.0967117845230287</v>
      </c>
      <c r="I16" s="704" cm="1">
        <f t="array" ref="I16">ROUND(D16*E16,0)</f>
        <v>984857</v>
      </c>
      <c r="J16" s="709" cm="1">
        <f t="array" ref="J16">J15-BA16</f>
        <v>3553.1157</v>
      </c>
      <c r="K16" s="711" cm="1">
        <f t="array" ref="K16">ROUND(J16*E16,0)</f>
        <v>137839819</v>
      </c>
      <c r="L16" s="711" cm="1">
        <f t="array" ref="L16">K16-K15</f>
        <v>1080119</v>
      </c>
      <c r="M16" s="713" cm="1">
        <f t="array" ref="M16">Q16-J16</f>
        <v>1846.8843</v>
      </c>
      <c r="N16" s="711" cm="1">
        <f t="array" ref="N16">ROUND(M16*E16,0)</f>
        <v>71648159</v>
      </c>
      <c r="O16" s="714" cm="1">
        <f t="array" ref="O16">$J$5-J16</f>
        <v>396.8843</v>
      </c>
      <c r="P16" s="711" cm="1">
        <f t="array" ref="P16">N16-N15</f>
        <v>1090573</v>
      </c>
      <c r="Q16" s="714">
        <v>5400</v>
      </c>
      <c r="R16" s="711" cm="1">
        <f t="array" ref="R16">Q16*E16</f>
        <v>209487978</v>
      </c>
      <c r="S16" s="704" cm="1">
        <f t="array" ref="S16">-P16</f>
        <v>-1090573</v>
      </c>
      <c r="T16" s="715"/>
      <c r="U16" s="716" cm="1">
        <f t="array" ref="U16">J15*4.95/12/100/(1-(1+4.95/12/100)^-(360-$A16))+AT16</f>
        <v>20.7096066926442</v>
      </c>
      <c r="V16" s="705" cm="1">
        <f t="array" ref="V16">IF(V$3*12&lt;=$A16,0,$J15*'depto - Departamento'!$D$8/12/(1-(1+'depto - Departamento'!$D$8/12)^-(12*V$3-$A16+3))+$AT17)</f>
        <v>22.4616293482863</v>
      </c>
      <c r="W16" s="705" cm="1">
        <f t="array" ref="W16">IF(W$3*12&lt;=$A16,0,$J15*'depto - Departamento'!$D$8/12/(1-(1+'depto - Departamento'!$D$8/12)^-(12*W$3-$A16+3))+$AT17)</f>
        <v>25.386780473624</v>
      </c>
      <c r="X16" s="705" cm="1">
        <f t="array" ref="X16">IF(X$3*12&lt;=$A16,0,$J15*'depto - Departamento'!$D$8/12/(1-(1+'depto - Departamento'!$D$8/12)^-(12*X$3-$A16+3))+$AT16)</f>
        <v>30.5776197626442</v>
      </c>
      <c r="Y16" s="705" cm="1">
        <f t="array" ref="Y16">IF(Y$3*12&lt;=$A16,0,$J15*'depto - Departamento'!$D$8/12/(1-(1+'depto - Departamento'!$D$8/12)^-(12*Y$3-$A16+3))+$AT16)</f>
        <v>36.0407107358431</v>
      </c>
      <c r="Z16" s="705" cm="1">
        <f t="array" ref="Z16">IF(Z$3*12&lt;=$A16,0,$J15*'depto - Departamento'!$D$8/12/(1-(1+'depto - Departamento'!$D$8/12)^-(12*Z$3-$A16+3))+$AT16)</f>
        <v>41.7332326815985</v>
      </c>
      <c r="AA16" s="705" cm="1">
        <f t="array" ref="AA16">IF(AA$3*12&lt;=$A16,0,$J15*'depto - Departamento'!$D$8/12/(1-(1+'depto - Departamento'!$D$8/12)^-(12*AA$3-$A16+3))+$AT16)</f>
        <v>80.37278647099269</v>
      </c>
      <c r="AB16" s="705">
        <v>80.0686</v>
      </c>
      <c r="AC16" s="705"/>
      <c r="AD16" s="717" cm="1">
        <f t="array" ref="AD16">$E16*U16</f>
        <v>803409.931706908</v>
      </c>
      <c r="AE16" s="704" cm="1">
        <f t="array" ref="AE16">$E16*V16</f>
        <v>871378.021251473</v>
      </c>
      <c r="AF16" s="704" cm="1">
        <f t="array" ref="AF16">$E16*W16</f>
        <v>984856.538768403</v>
      </c>
      <c r="AG16" s="704" cm="1">
        <f t="array" ref="AG16">$E16*X16</f>
        <v>1186230.3215054</v>
      </c>
      <c r="AH16" s="704" cm="1">
        <f t="array" ref="AH16">$E16*Y16</f>
        <v>1398165.85513605</v>
      </c>
      <c r="AI16" s="704" cm="1">
        <f t="array" ref="AI16">$E16*Z16</f>
        <v>1619001.94997622</v>
      </c>
      <c r="AJ16" s="704" cm="1">
        <f t="array" ref="AJ16">$E16*AA16</f>
        <v>3117987.50445074</v>
      </c>
      <c r="AK16" s="704" cm="1">
        <f t="array" ref="AK16">$E16*AB16</f>
        <v>3106186.873202</v>
      </c>
      <c r="AL16" s="705"/>
      <c r="AM16" s="718" cm="1">
        <f t="array" ref="AM16">J15-J16</f>
        <v>9.0686</v>
      </c>
      <c r="AN16" s="718" cm="1">
        <f t="array" ref="AN16">D16-AM16</f>
        <v>16.318180473624</v>
      </c>
      <c r="AO16" s="705"/>
      <c r="AP16" s="719">
        <v>47483</v>
      </c>
      <c r="AQ16" s="720" cm="1">
        <f t="array" ref="AQ16">ROUND(AP16/$E16,4)</f>
        <v>1.224</v>
      </c>
      <c r="AR16" s="719">
        <v>6182</v>
      </c>
      <c r="AS16" s="720" cm="1">
        <f t="array" ref="AS16">ROUND(AR16/E16,4)</f>
        <v>0.1594</v>
      </c>
      <c r="AT16" s="721" cm="1">
        <f t="array" ref="AT16">SUM(AQ16,AS16)</f>
        <v>1.3834</v>
      </c>
      <c r="AU16" s="719" cm="1">
        <f t="array" ref="AU16">ROUND(SUM(AQ16,AS16)*E16,0)</f>
        <v>53668</v>
      </c>
      <c r="AV16" s="722">
        <v>184399</v>
      </c>
      <c r="AW16" s="723" cm="1">
        <f t="array" ref="AW16">ROUND(AV16/$E16,4)</f>
        <v>4.7533</v>
      </c>
      <c r="AX16" s="722" cm="1">
        <f t="array" ref="AX16">C16-SUM(AU16,AV16,BB16)</f>
        <v>167408</v>
      </c>
      <c r="AY16" s="723" cm="1">
        <f t="array" ref="AY16">ROUND(AX16/$E16,4)</f>
        <v>4.3153</v>
      </c>
      <c r="AZ16" s="724" cm="1">
        <f t="array" ref="AZ16">AX16+AV16</f>
        <v>351807</v>
      </c>
      <c r="BA16" s="723" cm="1">
        <f t="array" ref="BA16">ROUND(AW16+AY16,4)</f>
        <v>9.0686</v>
      </c>
      <c r="BB16" s="725">
        <v>579382</v>
      </c>
      <c r="BC16" s="832" cm="1">
        <f t="array" ref="BC16">ROUND(BB16/$E16,4)</f>
        <v>14.9348</v>
      </c>
      <c r="BD16" s="711" cm="1">
        <f t="array" ref="BD16">K15-K16</f>
        <v>-1080119</v>
      </c>
      <c r="BE16" s="711" cm="1">
        <f t="array" ref="BE16">AZ16-BD16</f>
        <v>1431926</v>
      </c>
      <c r="BF16" s="711" cm="1">
        <f t="array" ref="BF16">-BE16</f>
        <v>-1431926</v>
      </c>
      <c r="BG16" s="711" cm="1">
        <f t="array" ref="BG16">BB16+BE16</f>
        <v>2011308</v>
      </c>
      <c r="BH16" s="711" cm="1">
        <f t="array" ref="BH16">AVERAGE(BG14:BG16)</f>
        <v>1086338</v>
      </c>
      <c r="BI16" s="727" cm="1">
        <f t="array" ref="BI16">BC15-BC16</f>
        <v>0.1564</v>
      </c>
      <c r="BJ16" s="714" cm="1">
        <f t="array" ref="BJ16">J15*4.95%/12-0.3</f>
        <v>14.3940102375</v>
      </c>
      <c r="BK16" s="728" cm="1">
        <f t="array" ref="BK16">(AV16+AX16)/BB16</f>
        <v>0.607210786665792</v>
      </c>
      <c r="BL16" s="728" cm="1">
        <f t="array" ref="BL16">U16-AW16</f>
        <v>15.9563066926442</v>
      </c>
      <c r="BM16" s="728" cm="1">
        <f t="array" ref="BM16">(BN$2*(1+BN$2)^BM$2*J15)/((1+BN$2)^BM$2-1)</f>
        <v>19.0138710578169</v>
      </c>
      <c r="BN16" s="715"/>
      <c r="BO16" s="704" cm="1">
        <f t="array" ref="BO16">AV16+AX16+BO15</f>
        <v>16322031</v>
      </c>
      <c r="BP16" s="704" cm="1">
        <f t="array" ref="BP16">BB16+BP15</f>
        <v>5259442</v>
      </c>
      <c r="BQ16" s="714" cm="1">
        <f t="array" ref="BQ16">BA16+BQ15</f>
        <v>430.5388</v>
      </c>
      <c r="BR16" s="714" cm="1">
        <f t="array" ref="BR16">BC16+BR15</f>
        <v>138.0652</v>
      </c>
      <c r="BS16" s="704" cm="1">
        <f t="array" ref="BS16">SUM(BE$6:BE16)</f>
        <v>7529318</v>
      </c>
      <c r="BT16" s="714"/>
      <c r="BU16" s="714"/>
      <c r="BV16" s="704" cm="1">
        <f t="array" ref="BV16">SUM(AZ$6:AZ16)</f>
        <v>16322031</v>
      </c>
      <c r="BW16" s="714"/>
      <c r="BX16" s="714"/>
    </row>
    <row r="17" ht="19.35" customHeight="1">
      <c r="A17" s="689">
        <v>14</v>
      </c>
      <c r="B17" s="703">
        <v>45758</v>
      </c>
      <c r="C17" s="704" cm="1">
        <f t="array" ref="C17">I17</f>
        <v>988682</v>
      </c>
      <c r="D17" s="705" cm="1">
        <f t="array" ref="D17">W17</f>
        <v>25.3819460355546</v>
      </c>
      <c r="E17" s="707">
        <v>38952.17</v>
      </c>
      <c r="F17" s="706" cm="1">
        <f t="array" ref="F17">ROUND((E17-E16)/E16,3)</f>
        <v>0.004</v>
      </c>
      <c r="G17" s="706" cm="1">
        <f t="array" ref="G17">SUM(F6:F17)</f>
        <v>0.0482117845230287</v>
      </c>
      <c r="H17" s="708" cm="1">
        <f t="array" ref="H17">G17+4.95/100</f>
        <v>0.0977117845230287</v>
      </c>
      <c r="I17" s="704" cm="1">
        <f t="array" ref="I17">ROUND(D17*E17,0)</f>
        <v>988682</v>
      </c>
      <c r="J17" s="709" cm="1">
        <f t="array" ref="J17">J16-BA17</f>
        <v>3543.9856</v>
      </c>
      <c r="K17" s="711" cm="1">
        <f t="array" ref="K17">ROUND(J17*E17,0)</f>
        <v>138045930</v>
      </c>
      <c r="L17" s="711" cm="1">
        <f t="array" ref="L17">K17-K16</f>
        <v>206111</v>
      </c>
      <c r="M17" s="713" cm="1">
        <f t="array" ref="M17">Q17-J17</f>
        <v>1856.0144</v>
      </c>
      <c r="N17" s="711" cm="1">
        <f t="array" ref="N17">ROUND(M17*E17,0)</f>
        <v>72295788</v>
      </c>
      <c r="O17" s="714" cm="1">
        <f t="array" ref="O17">$J$5-J17</f>
        <v>406.0144</v>
      </c>
      <c r="P17" s="711" cm="1">
        <f t="array" ref="P17">N17-N16</f>
        <v>647629</v>
      </c>
      <c r="Q17" s="714">
        <v>5400</v>
      </c>
      <c r="R17" s="711" cm="1">
        <f t="array" ref="R17">Q17*E17</f>
        <v>210341718</v>
      </c>
      <c r="S17" s="704" cm="1">
        <f t="array" ref="S17">-P17</f>
        <v>-647629</v>
      </c>
      <c r="T17" s="715"/>
      <c r="U17" s="716" cm="1">
        <f t="array" ref="U17">J16*4.95/12/100/(1-(1+4.95/12/100)^-(360-$A17))+AT17</f>
        <v>20.6798061736963</v>
      </c>
      <c r="V17" s="705" cm="1">
        <f t="array" ref="V17">IF(V$3*12&lt;=$A17,0,$J16*'depto - Departamento'!$D$8/12/(1-(1+'depto - Departamento'!$D$8/12)^-(12*V$3-$A17+3))+$AT18)</f>
        <v>22.4392462255393</v>
      </c>
      <c r="W17" s="705" cm="1">
        <f t="array" ref="W17">IF(W$3*12&lt;=$A17,0,$J16*'depto - Departamento'!$D$8/12/(1-(1+'depto - Departamento'!$D$8/12)^-(12*W$3-$A17+3))+$AT18)</f>
        <v>25.3819460355546</v>
      </c>
      <c r="X17" s="705" cm="1">
        <f t="array" ref="X17">IF(X$3*12&lt;=$A17,0,$J16*'depto - Departamento'!$D$8/12/(1-(1+'depto - Departamento'!$D$8/12)^-(12*X$3-$A17+3))+$AT17)</f>
        <v>30.6166169786584</v>
      </c>
      <c r="Y17" s="705" cm="1">
        <f t="array" ref="Y17">IF(Y$3*12&lt;=$A17,0,$J16*'depto - Departamento'!$D$8/12/(1-(1+'depto - Departamento'!$D$8/12)^-(12*Y$3-$A17+3))+$AT17)</f>
        <v>36.1416051636323</v>
      </c>
      <c r="Z17" s="705" cm="1">
        <f t="array" ref="Z17">IF(Z$3*12&lt;=$A17,0,$J16*'depto - Departamento'!$D$8/12/(1-(1+'depto - Departamento'!$D$8/12)^-(12*Z$3-$A17+3))+$AT17)</f>
        <v>41.9167837096955</v>
      </c>
      <c r="AA17" s="705" cm="1">
        <f t="array" ref="AA17">IF(AA$3*12&lt;=$A17,0,$J16*'depto - Departamento'!$D$8/12/(1-(1+'depto - Departamento'!$D$8/12)^-(12*AA$3-$A17+3))+$AT17)</f>
        <v>81.6142184601803</v>
      </c>
      <c r="AB17" s="705">
        <v>80.0686</v>
      </c>
      <c r="AC17" s="705"/>
      <c r="AD17" s="717" cm="1">
        <f t="array" ref="AD17">$E17*U17</f>
        <v>805523.325644868</v>
      </c>
      <c r="AE17" s="704" cm="1">
        <f t="array" ref="AE17">$E17*V17</f>
        <v>874057.333649065</v>
      </c>
      <c r="AF17" s="704" cm="1">
        <f t="array" ref="AF17">$E17*W17</f>
        <v>988681.876907749</v>
      </c>
      <c r="AG17" s="704" cm="1">
        <f t="array" ref="AG17">$E17*X17</f>
        <v>1192583.66937759</v>
      </c>
      <c r="AH17" s="704" cm="1">
        <f t="array" ref="AH17">$E17*Y17</f>
        <v>1407793.94840668</v>
      </c>
      <c r="AI17" s="704" cm="1">
        <f t="array" ref="AI17">$E17*Z17</f>
        <v>1632749.68491329</v>
      </c>
      <c r="AJ17" s="704" cm="1">
        <f t="array" ref="AJ17">$E17*AA17</f>
        <v>3179050.91187808</v>
      </c>
      <c r="AK17" s="704" cm="1">
        <f t="array" ref="AK17">$E17*AB17</f>
        <v>3118845.718862</v>
      </c>
      <c r="AL17" s="705"/>
      <c r="AM17" s="718" cm="1">
        <f t="array" ref="AM17">J16-J17</f>
        <v>9.130100000000001</v>
      </c>
      <c r="AN17" s="718" cm="1">
        <f t="array" ref="AN17">D17-AM17</f>
        <v>16.2518460355546</v>
      </c>
      <c r="AO17" s="705"/>
      <c r="AP17" s="719">
        <v>47483</v>
      </c>
      <c r="AQ17" s="720" cm="1">
        <f t="array" ref="AQ17">ROUND(AP17/$E17,4)</f>
        <v>1.219</v>
      </c>
      <c r="AR17" s="719">
        <v>6182</v>
      </c>
      <c r="AS17" s="720" cm="1">
        <f t="array" ref="AS17">ROUND(AR17/E17,4)</f>
        <v>0.1587</v>
      </c>
      <c r="AT17" s="721" cm="1">
        <f t="array" ref="AT17">SUM(AQ17,AS17)</f>
        <v>1.3777</v>
      </c>
      <c r="AU17" s="719" cm="1">
        <f t="array" ref="AU17">ROUND(SUM(AQ17,AS17)*E17,0)</f>
        <v>53664</v>
      </c>
      <c r="AV17" s="722">
        <v>184399</v>
      </c>
      <c r="AW17" s="723" cm="1">
        <f t="array" ref="AW17">ROUND(AV17/$E17,4)</f>
        <v>4.734</v>
      </c>
      <c r="AX17" s="722" cm="1">
        <f t="array" ref="AX17">C17-SUM(AU17,AV17,BB17)</f>
        <v>171237</v>
      </c>
      <c r="AY17" s="723" cm="1">
        <f t="array" ref="AY17">ROUND(AX17/$E17,4)</f>
        <v>4.3961</v>
      </c>
      <c r="AZ17" s="724" cm="1">
        <f t="array" ref="AZ17">AX17+AV17</f>
        <v>355636</v>
      </c>
      <c r="BA17" s="723" cm="1">
        <f t="array" ref="BA17">ROUND(AW17+AY17,4)</f>
        <v>9.130100000000001</v>
      </c>
      <c r="BB17" s="725">
        <v>579382</v>
      </c>
      <c r="BC17" s="832" cm="1">
        <f t="array" ref="BC17">ROUND(BB17/$E17,4)</f>
        <v>14.8742</v>
      </c>
      <c r="BD17" s="711" cm="1">
        <f t="array" ref="BD17">K16-K17</f>
        <v>-206111</v>
      </c>
      <c r="BE17" s="711" cm="1">
        <f t="array" ref="BE17">AZ17-BD17</f>
        <v>561747</v>
      </c>
      <c r="BF17" s="711" cm="1">
        <f t="array" ref="BF17">-BE17</f>
        <v>-561747</v>
      </c>
      <c r="BG17" s="711" cm="1">
        <f t="array" ref="BG17">BB17+BE17</f>
        <v>1141129</v>
      </c>
      <c r="BH17" s="711" cm="1">
        <f t="array" ref="BH17">AVERAGE(BG15:BG17)</f>
        <v>1261796</v>
      </c>
      <c r="BI17" s="727" cm="1">
        <f t="array" ref="BI17">BC16-BC17</f>
        <v>0.0606</v>
      </c>
      <c r="BJ17" s="714" cm="1">
        <f t="array" ref="BJ17">J16*4.95%/12-0.3</f>
        <v>14.3566022625</v>
      </c>
      <c r="BK17" s="728" cm="1">
        <f t="array" ref="BK17">(AV17+AX17)/BB17</f>
        <v>0.613819552557725</v>
      </c>
      <c r="BL17" s="728" cm="1">
        <f t="array" ref="BL17">U17-AW17</f>
        <v>15.9458061736963</v>
      </c>
      <c r="BM17" s="728" cm="1">
        <f t="array" ref="BM17">(BN$2*(1+BN$2)^BM$2*J16)/((1+BN$2)^BM$2-1)</f>
        <v>18.9654655918013</v>
      </c>
      <c r="BN17" s="715"/>
      <c r="BO17" s="704" cm="1">
        <f t="array" ref="BO17">AV17+AX17+BO16</f>
        <v>16677667</v>
      </c>
      <c r="BP17" s="704" cm="1">
        <f t="array" ref="BP17">BB17+BP16</f>
        <v>5838824</v>
      </c>
      <c r="BQ17" s="714" cm="1">
        <f t="array" ref="BQ17">BA17+BQ16</f>
        <v>439.6689</v>
      </c>
      <c r="BR17" s="714" cm="1">
        <f t="array" ref="BR17">BC17+BR16</f>
        <v>152.9394</v>
      </c>
      <c r="BS17" s="704" cm="1">
        <f t="array" ref="BS17">SUM(BE$6:BE17)</f>
        <v>8091065</v>
      </c>
      <c r="BT17" s="714"/>
      <c r="BU17" s="714"/>
      <c r="BV17" s="704" cm="1">
        <f t="array" ref="BV17">SUM(AZ$6:AZ17)</f>
        <v>16677667</v>
      </c>
      <c r="BW17" s="714"/>
      <c r="BX17" s="714"/>
    </row>
    <row r="18" ht="19.35" customHeight="1">
      <c r="A18" s="689">
        <v>15</v>
      </c>
      <c r="B18" s="703">
        <v>45788</v>
      </c>
      <c r="C18" s="704" cm="1">
        <f t="array" ref="C18">I18</f>
        <v>993373</v>
      </c>
      <c r="D18" s="705" cm="1">
        <f t="array" ref="D18">W18</f>
        <v>25.3806640434822</v>
      </c>
      <c r="E18" s="707">
        <v>39138.96</v>
      </c>
      <c r="F18" s="706" cm="1">
        <f t="array" ref="F18">ROUND((E18-E17)/E17,3)</f>
        <v>0.005</v>
      </c>
      <c r="G18" s="706" cm="1">
        <f t="array" ref="G18">SUM(F7:F18)</f>
        <v>0.0487772365333643</v>
      </c>
      <c r="H18" s="708" cm="1">
        <f t="array" ref="H18">G18+4.95/100</f>
        <v>0.0982772365333643</v>
      </c>
      <c r="I18" s="704" cm="1">
        <f t="array" ref="I18">ROUND(D18*E18,0)</f>
        <v>993373</v>
      </c>
      <c r="J18" s="709" cm="1">
        <f t="array" ref="J18">J17-BA18</f>
        <v>3534.7793</v>
      </c>
      <c r="K18" s="711" cm="1">
        <f t="array" ref="K18">ROUND(J18*E18,0)</f>
        <v>138347586</v>
      </c>
      <c r="L18" s="711" cm="1">
        <f t="array" ref="L18">K18-K17</f>
        <v>301656</v>
      </c>
      <c r="M18" s="713" cm="1">
        <f t="array" ref="M18">Q18-J18</f>
        <v>1865.2207</v>
      </c>
      <c r="N18" s="711" cm="1">
        <f t="array" ref="N18">ROUND(M18*E18,0)</f>
        <v>73002798</v>
      </c>
      <c r="O18" s="714" cm="1">
        <f t="array" ref="O18">$J$5-J18</f>
        <v>415.2207</v>
      </c>
      <c r="P18" s="711" cm="1">
        <f t="array" ref="P18">N18-N17</f>
        <v>707010</v>
      </c>
      <c r="Q18" s="714">
        <v>5400</v>
      </c>
      <c r="R18" s="711" cm="1">
        <f t="array" ref="R18">Q18*E18</f>
        <v>211350384</v>
      </c>
      <c r="S18" s="704" cm="1">
        <f t="array" ref="S18">-P18</f>
        <v>-707010</v>
      </c>
      <c r="T18" s="715"/>
      <c r="U18" s="716" cm="1">
        <f t="array" ref="U18">J17*4.95/12/100/(1-(1+4.95/12/100)^-(360-$A18))+AT18</f>
        <v>20.6489119572963</v>
      </c>
      <c r="V18" s="705" cm="1">
        <f t="array" ref="V18">IF(V$3*12&lt;=$A18,0,$J17*'depto - Departamento'!$D$8/12/(1-(1+'depto - Departamento'!$D$8/12)^-(12*V$3-$A18+3))+$AT19)</f>
        <v>22.4202969311738</v>
      </c>
      <c r="W18" s="705" cm="1">
        <f t="array" ref="W18">IF(W$3*12&lt;=$A18,0,$J17*'depto - Departamento'!$D$8/12/(1-(1+'depto - Departamento'!$D$8/12)^-(12*W$3-$A18+3))+$AT19)</f>
        <v>25.3806640434822</v>
      </c>
      <c r="X18" s="705" cm="1">
        <f t="array" ref="X18">IF(X$3*12&lt;=$A18,0,$J17*'depto - Departamento'!$D$8/12/(1-(1+'depto - Departamento'!$D$8/12)^-(12*X$3-$A18+3))+$AT18)</f>
        <v>30.6551686529194</v>
      </c>
      <c r="Y18" s="705" cm="1">
        <f t="array" ref="Y18">IF(Y$3*12&lt;=$A18,0,$J17*'depto - Departamento'!$D$8/12/(1-(1+'depto - Departamento'!$D$8/12)^-(12*Y$3-$A18+3))+$AT18)</f>
        <v>36.2431180517223</v>
      </c>
      <c r="Z18" s="705" cm="1">
        <f t="array" ref="Z18">IF(Z$3*12&lt;=$A18,0,$J17*'depto - Departamento'!$D$8/12/(1-(1+'depto - Departamento'!$D$8/12)^-(12*Z$3-$A18+3))+$AT18)</f>
        <v>42.1028216428984</v>
      </c>
      <c r="AA18" s="705" cm="1">
        <f t="array" ref="AA18">IF(AA$3*12&lt;=$A18,0,$J17*'depto - Departamento'!$D$8/12/(1-(1+'depto - Departamento'!$D$8/12)^-(12*AA$3-$A18+3))+$AT18)</f>
        <v>82.9064396777389</v>
      </c>
      <c r="AB18" s="705">
        <v>80.0686</v>
      </c>
      <c r="AC18" s="705"/>
      <c r="AD18" s="717" cm="1">
        <f t="array" ref="AD18">$E18*U18</f>
        <v>808176.9391401421</v>
      </c>
      <c r="AE18" s="704" cm="1">
        <f t="array" ref="AE18">$E18*V18</f>
        <v>877507.104777334</v>
      </c>
      <c r="AF18" s="704" cm="1">
        <f t="array" ref="AF18">$E18*W18</f>
        <v>993372.7947712881</v>
      </c>
      <c r="AG18" s="704" cm="1">
        <f t="array" ref="AG18">$E18*X18</f>
        <v>1199811.41969987</v>
      </c>
      <c r="AH18" s="704" cm="1">
        <f t="array" ref="AH18">$E18*Y18</f>
        <v>1418517.94770164</v>
      </c>
      <c r="AI18" s="704" cm="1">
        <f t="array" ref="AI18">$E18*Z18</f>
        <v>1647860.65216853</v>
      </c>
      <c r="AJ18" s="704" cm="1">
        <f t="array" ref="AJ18">$E18*AA18</f>
        <v>3244871.82628944</v>
      </c>
      <c r="AK18" s="704" cm="1">
        <f t="array" ref="AK18">$E18*AB18</f>
        <v>3133801.732656</v>
      </c>
      <c r="AL18" s="705"/>
      <c r="AM18" s="718" cm="1">
        <f t="array" ref="AM18">J17-J18</f>
        <v>9.206300000000001</v>
      </c>
      <c r="AN18" s="718" cm="1">
        <f t="array" ref="AN18">D18-AM18</f>
        <v>16.1743640434822</v>
      </c>
      <c r="AO18" s="705"/>
      <c r="AP18" s="719">
        <v>47483</v>
      </c>
      <c r="AQ18" s="720" cm="1">
        <f t="array" ref="AQ18">ROUND(AP18/$E18,4)</f>
        <v>1.2132</v>
      </c>
      <c r="AR18" s="719">
        <v>6182</v>
      </c>
      <c r="AS18" s="720" cm="1">
        <f t="array" ref="AS18">ROUND(AR18/E18,4)</f>
        <v>0.158</v>
      </c>
      <c r="AT18" s="721" cm="1">
        <f t="array" ref="AT18">SUM(AQ18,AS18)</f>
        <v>1.3712</v>
      </c>
      <c r="AU18" s="719" cm="1">
        <f t="array" ref="AU18">ROUND(SUM(AQ18,AS18)*E18,0)</f>
        <v>53667</v>
      </c>
      <c r="AV18" s="722">
        <v>184399</v>
      </c>
      <c r="AW18" s="723" cm="1">
        <f t="array" ref="AW18">ROUND(AV18/$E18,4)</f>
        <v>4.7114</v>
      </c>
      <c r="AX18" s="722" cm="1">
        <f t="array" ref="AX18">C18-SUM(AU18,AV18,BB18)</f>
        <v>175925</v>
      </c>
      <c r="AY18" s="723" cm="1">
        <f t="array" ref="AY18">ROUND(AX18/$E18,4)</f>
        <v>4.4949</v>
      </c>
      <c r="AZ18" s="724" cm="1">
        <f t="array" ref="AZ18">AX18+AV18</f>
        <v>360324</v>
      </c>
      <c r="BA18" s="723" cm="1">
        <f t="array" ref="BA18">ROUND(AW18+AY18,4)</f>
        <v>9.206300000000001</v>
      </c>
      <c r="BB18" s="725">
        <v>579382</v>
      </c>
      <c r="BC18" s="832" cm="1">
        <f t="array" ref="BC18">ROUND(BB18/$E18,4)</f>
        <v>14.8032</v>
      </c>
      <c r="BD18" s="711" cm="1">
        <f t="array" ref="BD18">K17-K18</f>
        <v>-301656</v>
      </c>
      <c r="BE18" s="711" cm="1">
        <f t="array" ref="BE18">AZ18-BD18</f>
        <v>661980</v>
      </c>
      <c r="BF18" s="711" cm="1">
        <f t="array" ref="BF18">-BE18</f>
        <v>-661980</v>
      </c>
      <c r="BG18" s="711" cm="1">
        <f t="array" ref="BG18">BB18+BE18</f>
        <v>1241362</v>
      </c>
      <c r="BH18" s="711" cm="1">
        <f t="array" ref="BH18">AVERAGE(BG16:BG18)</f>
        <v>1464599.66666667</v>
      </c>
      <c r="BI18" s="727" cm="1">
        <f t="array" ref="BI18">BC17-BC18</f>
        <v>0.07099999999999999</v>
      </c>
      <c r="BJ18" s="714" cm="1">
        <f t="array" ref="BJ18">J17*4.95%/12-0.3</f>
        <v>14.3189406</v>
      </c>
      <c r="BK18" s="728" cm="1">
        <f t="array" ref="BK18">(AV18+AX18)/BB18</f>
        <v>0.621910932683445</v>
      </c>
      <c r="BL18" s="728" cm="1">
        <f t="array" ref="BL18">U18-AW18</f>
        <v>15.9375119572963</v>
      </c>
      <c r="BM18" s="728" cm="1">
        <f t="array" ref="BM18">(BN$2*(1+BN$2)^BM$2*J17)/((1+BN$2)^BM$2-1)</f>
        <v>18.9167318572371</v>
      </c>
      <c r="BN18" s="715"/>
      <c r="BO18" s="704" cm="1">
        <f t="array" ref="BO18">AV18+AX18+BO17</f>
        <v>17037991</v>
      </c>
      <c r="BP18" s="704" cm="1">
        <f t="array" ref="BP18">BB18+BP17</f>
        <v>6418206</v>
      </c>
      <c r="BQ18" s="714" cm="1">
        <f t="array" ref="BQ18">BA18+BQ17</f>
        <v>448.8752</v>
      </c>
      <c r="BR18" s="714" cm="1">
        <f t="array" ref="BR18">BC18+BR17</f>
        <v>167.7426</v>
      </c>
      <c r="BS18" s="704" cm="1">
        <f t="array" ref="BS18">SUM(BE$6:BE18)</f>
        <v>8753045</v>
      </c>
      <c r="BT18" s="714"/>
      <c r="BU18" s="714"/>
      <c r="BV18" s="704" cm="1">
        <f t="array" ref="BV18">SUM(AZ$6:AZ18)</f>
        <v>17037991</v>
      </c>
      <c r="BW18" s="714"/>
      <c r="BX18" s="714"/>
    </row>
    <row r="19" ht="19.35" customHeight="1">
      <c r="A19" s="689">
        <v>16</v>
      </c>
      <c r="B19" s="703">
        <v>45819</v>
      </c>
      <c r="C19" s="704" cm="1">
        <f t="array" ref="C19">I19</f>
        <v>995327</v>
      </c>
      <c r="D19" s="705" cm="1">
        <f t="array" ref="D19">W19</f>
        <v>25.3797345878493</v>
      </c>
      <c r="E19" s="707">
        <v>39217.41</v>
      </c>
      <c r="F19" s="706" cm="1">
        <f t="array" ref="F19">ROUND((E19-E18)/E18,3)</f>
        <v>0.002</v>
      </c>
      <c r="G19" s="706" cm="1">
        <f t="array" ref="G19">SUM(F8:F19)</f>
        <v>0.0447402443339843</v>
      </c>
      <c r="H19" s="708" cm="1">
        <f t="array" ref="H19">G19+4.95/100</f>
        <v>0.0942402443339843</v>
      </c>
      <c r="I19" s="704" cm="1">
        <f t="array" ref="I19">ROUND(D19*E19,0)</f>
        <v>995327</v>
      </c>
      <c r="J19" s="709" cm="1">
        <f t="array" ref="J19">J18-BA19</f>
        <v>3525.5415</v>
      </c>
      <c r="K19" s="711" cm="1">
        <f t="array" ref="K19">ROUND(J19*E19,0)</f>
        <v>138262606</v>
      </c>
      <c r="L19" s="711" cm="1">
        <f t="array" ref="L19">K19-K18</f>
        <v>-84980</v>
      </c>
      <c r="M19" s="713" cm="1">
        <f t="array" ref="M19">Q19-J19</f>
        <v>1874.4585</v>
      </c>
      <c r="N19" s="711" cm="1">
        <f t="array" ref="N19">ROUND(M19*E19,0)</f>
        <v>73511408</v>
      </c>
      <c r="O19" s="714" cm="1">
        <f t="array" ref="O19">$J$5-J19</f>
        <v>424.4585</v>
      </c>
      <c r="P19" s="711" cm="1">
        <f t="array" ref="P19">N19-N18</f>
        <v>508610</v>
      </c>
      <c r="Q19" s="714">
        <v>5400</v>
      </c>
      <c r="R19" s="711" cm="1">
        <f t="array" ref="R19">Q19*E19</f>
        <v>211774014</v>
      </c>
      <c r="S19" s="704" cm="1">
        <f t="array" ref="S19">-P19</f>
        <v>-508610</v>
      </c>
      <c r="T19" s="715"/>
      <c r="U19" s="716" cm="1">
        <f t="array" ref="U19">J18*4.95/12/100/(1-(1+4.95/12/100)^-(360-$A19))+AT19</f>
        <v>20.6213428552789</v>
      </c>
      <c r="V19" s="705" cm="1">
        <f t="array" ref="V19">IF(V$3*12&lt;=$A19,0,$J18*'depto - Departamento'!$D$8/12/(1-(1+'depto - Departamento'!$D$8/12)^-(12*V$3-$A19+3))+$AT20)</f>
        <v>22.4015928248179</v>
      </c>
      <c r="W19" s="705" cm="1">
        <f t="array" ref="W19">IF(W$3*12&lt;=$A19,0,$J18*'depto - Departamento'!$D$8/12/(1-(1+'depto - Departamento'!$D$8/12)^-(12*W$3-$A19+3))+$AT20)</f>
        <v>25.3797345878493</v>
      </c>
      <c r="X19" s="705" cm="1">
        <f t="array" ref="X19">IF(X$3*12&lt;=$A19,0,$J18*'depto - Departamento'!$D$8/12/(1-(1+'depto - Departamento'!$D$8/12)^-(12*X$3-$A19+3))+$AT19)</f>
        <v>30.6976615691983</v>
      </c>
      <c r="Y19" s="705" cm="1">
        <f t="array" ref="Y19">IF(Y$3*12&lt;=$A19,0,$J18*'depto - Departamento'!$D$8/12/(1-(1+'depto - Departamento'!$D$8/12)^-(12*Y$3-$A19+3))+$AT19)</f>
        <v>36.3496392948766</v>
      </c>
      <c r="Z19" s="705" cm="1">
        <f t="array" ref="Z19">IF(Z$3*12&lt;=$A19,0,$J18*'depto - Departamento'!$D$8/12/(1-(1+'depto - Departamento'!$D$8/12)^-(12*Z$3-$A19+3))+$AT19)</f>
        <v>42.2957718396377</v>
      </c>
      <c r="AA19" s="705" cm="1">
        <f t="array" ref="AA19">IF(AA$3*12&lt;=$A19,0,$J18*'depto - Departamento'!$D$8/12/(1-(1+'depto - Departamento'!$D$8/12)^-(12*AA$3-$A19+3))+$AT19)</f>
        <v>84.2569053734664</v>
      </c>
      <c r="AB19" s="705">
        <v>80.0686</v>
      </c>
      <c r="AC19" s="705"/>
      <c r="AD19" s="717" cm="1">
        <f t="array" ref="AD19">$E19*U19</f>
        <v>808715.657506043</v>
      </c>
      <c r="AE19" s="704" cm="1">
        <f t="array" ref="AE19">$E19*V19</f>
        <v>878532.450463942</v>
      </c>
      <c r="AF19" s="704" cm="1">
        <f t="array" ref="AF19">$E19*W19</f>
        <v>995327.457022867</v>
      </c>
      <c r="AG19" s="704" cm="1">
        <f t="array" ref="AG19">$E19*X19</f>
        <v>1203882.77980049</v>
      </c>
      <c r="AH19" s="704" cm="1">
        <f t="array" ref="AH19">$E19*Y19</f>
        <v>1425538.70757929</v>
      </c>
      <c r="AI19" s="704" cm="1">
        <f t="array" ref="AI19">$E19*Z19</f>
        <v>1658730.62550153</v>
      </c>
      <c r="AJ19" s="704" cm="1">
        <f t="array" ref="AJ19">$E19*AA19</f>
        <v>3304337.60336243</v>
      </c>
      <c r="AK19" s="704" cm="1">
        <f t="array" ref="AK19">$E19*AB19</f>
        <v>3140083.114326</v>
      </c>
      <c r="AL19" s="705"/>
      <c r="AM19" s="718" cm="1">
        <f t="array" ref="AM19">J18-J19</f>
        <v>9.2378</v>
      </c>
      <c r="AN19" s="718" cm="1">
        <f t="array" ref="AN19">D19-AM19</f>
        <v>16.1419345878493</v>
      </c>
      <c r="AO19" s="705"/>
      <c r="AP19" s="719">
        <v>47483</v>
      </c>
      <c r="AQ19" s="720" cm="1">
        <f t="array" ref="AQ19">ROUND(AP19/$E19,4)</f>
        <v>1.2108</v>
      </c>
      <c r="AR19" s="719">
        <v>6182</v>
      </c>
      <c r="AS19" s="720" cm="1">
        <f t="array" ref="AS19">ROUND(AR19/E19,4)</f>
        <v>0.1576</v>
      </c>
      <c r="AT19" s="721" cm="1">
        <f t="array" ref="AT19">SUM(AQ19,AS19)</f>
        <v>1.3684</v>
      </c>
      <c r="AU19" s="719" cm="1">
        <f t="array" ref="AU19">ROUND(SUM(AQ19,AS19)*E19,0)</f>
        <v>53665</v>
      </c>
      <c r="AV19" s="722">
        <v>184399</v>
      </c>
      <c r="AW19" s="723" cm="1">
        <f t="array" ref="AW19">ROUND(AV19/$E19,4)</f>
        <v>4.702</v>
      </c>
      <c r="AX19" s="722" cm="1">
        <f t="array" ref="AX19">C19-SUM(AU19,AV19,BB19)</f>
        <v>177881</v>
      </c>
      <c r="AY19" s="723" cm="1">
        <f t="array" ref="AY19">ROUND(AX19/$E19,4)</f>
        <v>4.5358</v>
      </c>
      <c r="AZ19" s="724" cm="1">
        <f t="array" ref="AZ19">AX19+AV19</f>
        <v>362280</v>
      </c>
      <c r="BA19" s="723" cm="1">
        <f t="array" ref="BA19">ROUND(AW19+AY19,4)</f>
        <v>9.2378</v>
      </c>
      <c r="BB19" s="725">
        <v>579382</v>
      </c>
      <c r="BC19" s="832" cm="1">
        <f t="array" ref="BC19">ROUND(BB19/$E19,4)</f>
        <v>14.7736</v>
      </c>
      <c r="BD19" s="711" cm="1">
        <f t="array" ref="BD19">K18-K19</f>
        <v>84980</v>
      </c>
      <c r="BE19" s="711" cm="1">
        <f t="array" ref="BE19">AZ19-BD19</f>
        <v>277300</v>
      </c>
      <c r="BF19" s="711" cm="1">
        <f t="array" ref="BF19">-BE19</f>
        <v>-277300</v>
      </c>
      <c r="BG19" s="711" cm="1">
        <f t="array" ref="BG19">BB19+BE19</f>
        <v>856682</v>
      </c>
      <c r="BH19" s="711" cm="1">
        <f t="array" ref="BH19">AVERAGE(BG17:BG19)</f>
        <v>1079724.33333333</v>
      </c>
      <c r="BI19" s="727" cm="1">
        <f t="array" ref="BI19">BC18-BC19</f>
        <v>0.0296</v>
      </c>
      <c r="BJ19" s="714" cm="1">
        <f t="array" ref="BJ19">J18*4.95%/12-0.3</f>
        <v>14.2809646125</v>
      </c>
      <c r="BK19" s="728" cm="1">
        <f t="array" ref="BK19">(AV19+AX19)/BB19</f>
        <v>0.625286943674467</v>
      </c>
      <c r="BL19" s="728" cm="1">
        <f t="array" ref="BL19">U19-AW19</f>
        <v>15.9193428552789</v>
      </c>
      <c r="BM19" s="728" cm="1">
        <f t="array" ref="BM19">(BN$2*(1+BN$2)^BM$2*J18)/((1+BN$2)^BM$2-1)</f>
        <v>18.8675913899346</v>
      </c>
      <c r="BN19" s="715"/>
      <c r="BO19" s="704" cm="1">
        <f t="array" ref="BO19">AV19+AX19+BO18</f>
        <v>17400271</v>
      </c>
      <c r="BP19" s="704" cm="1">
        <f t="array" ref="BP19">BB19+BP18</f>
        <v>6997588</v>
      </c>
      <c r="BQ19" s="714" cm="1">
        <f t="array" ref="BQ19">BA19+BQ18</f>
        <v>458.113</v>
      </c>
      <c r="BR19" s="714" cm="1">
        <f t="array" ref="BR19">BC19+BR18</f>
        <v>182.5162</v>
      </c>
      <c r="BS19" s="704" cm="1">
        <f t="array" ref="BS19">SUM(BE$6:BE19)</f>
        <v>9030345</v>
      </c>
      <c r="BT19" s="714"/>
      <c r="BU19" s="714"/>
      <c r="BV19" s="704" cm="1">
        <f t="array" ref="BV19">SUM(AZ$6:AZ19)</f>
        <v>17400271</v>
      </c>
      <c r="BW19" s="714"/>
      <c r="BX19" s="714"/>
    </row>
    <row r="20" ht="19.35" customHeight="1">
      <c r="A20" s="689">
        <v>17</v>
      </c>
      <c r="B20" s="703">
        <v>45849</v>
      </c>
      <c r="C20" s="704">
        <v>800000</v>
      </c>
      <c r="D20" s="705" cm="1">
        <f t="array" ref="D20">W20</f>
        <v>25.3854612986378</v>
      </c>
      <c r="E20" s="707">
        <v>39280.45</v>
      </c>
      <c r="F20" s="706" cm="1">
        <f t="array" ref="F20">ROUND((E20-E19)/E19,3)</f>
        <v>0.002</v>
      </c>
      <c r="G20" s="706" cm="1">
        <f t="array" ref="G20">SUM(F9:F20)</f>
        <v>0.0443055489788061</v>
      </c>
      <c r="H20" s="708" cm="1">
        <f t="array" ref="H20">G20+4.95/100</f>
        <v>0.09380554897880609</v>
      </c>
      <c r="I20" s="704" cm="1">
        <f t="array" ref="I20">C20</f>
        <v>800000</v>
      </c>
      <c r="J20" s="709" cm="1">
        <f t="array" ref="J20">J19-BA20</f>
        <v>3521.2912</v>
      </c>
      <c r="K20" s="711" cm="1">
        <f t="array" ref="K20">ROUND(J20*E20,0)</f>
        <v>138317903</v>
      </c>
      <c r="L20" s="711" cm="1">
        <f t="array" ref="L20">K20-K19</f>
        <v>55297</v>
      </c>
      <c r="M20" s="713" cm="1">
        <f t="array" ref="M20">Q20-J20</f>
        <v>1878.7088</v>
      </c>
      <c r="N20" s="711" cm="1">
        <f t="array" ref="N20">ROUND(M20*E20,0)</f>
        <v>73796527</v>
      </c>
      <c r="O20" s="714" cm="1">
        <f t="array" ref="O20">$J$5-J20</f>
        <v>428.7088</v>
      </c>
      <c r="P20" s="711" cm="1">
        <f t="array" ref="P20">N20-N19</f>
        <v>285119</v>
      </c>
      <c r="Q20" s="714">
        <v>5400</v>
      </c>
      <c r="R20" s="711" cm="1">
        <f t="array" ref="R20">Q20*E20</f>
        <v>212114430</v>
      </c>
      <c r="S20" s="704" cm="1">
        <f t="array" ref="S20">-P20</f>
        <v>-285119</v>
      </c>
      <c r="T20" s="715"/>
      <c r="U20" s="716" cm="1">
        <f t="array" ref="U20">J19*4.95/12/100/(1-(1+4.95/12/100)^-(360-$A20))+AT20</f>
        <v>20.5942412029021</v>
      </c>
      <c r="V20" s="705" cm="1">
        <f t="array" ref="V20">IF(V$3*12&lt;=$A20,0,$J19*'depto - Departamento'!$D$8/12/(1-(1+'depto - Departamento'!$D$8/12)^-(12*V$3-$A20+3))+$AT21)</f>
        <v>22.3893987409228</v>
      </c>
      <c r="W20" s="705" cm="1">
        <f t="array" ref="W20">IF(W$3*12&lt;=$A20,0,$J19*'depto - Departamento'!$D$8/12/(1-(1+'depto - Departamento'!$D$8/12)^-(12*W$3-$A20+3))+$AT21)</f>
        <v>25.3854612986378</v>
      </c>
      <c r="X20" s="705" cm="1">
        <f t="array" ref="X20">IF(X$3*12&lt;=$A20,0,$J19*'depto - Departamento'!$D$8/12/(1-(1+'depto - Departamento'!$D$8/12)^-(12*X$3-$A20+3))+$AT20)</f>
        <v>30.7413755985007</v>
      </c>
      <c r="Y20" s="705" cm="1">
        <f t="array" ref="Y20">IF(Y$3*12&lt;=$A20,0,$J19*'depto - Departamento'!$D$8/12/(1-(1+'depto - Departamento'!$D$8/12)^-(12*Y$3-$A20+3))+$AT20)</f>
        <v>36.4585477425353</v>
      </c>
      <c r="Z20" s="705" cm="1">
        <f t="array" ref="Z20">IF(Z$3*12&lt;=$A20,0,$J19*'depto - Departamento'!$D$8/12/(1-(1+'depto - Departamento'!$D$8/12)^-(12*Z$3-$A20+3))+$AT20)</f>
        <v>42.4931510680407</v>
      </c>
      <c r="AA20" s="705" cm="1">
        <f t="array" ref="AA20">IF(AA$3*12&lt;=$A20,0,$J19*'depto - Departamento'!$D$8/12/(1-(1+'depto - Departamento'!$D$8/12)^-(12*AA$3-$A20+3))+$AT20)</f>
        <v>85.66715089863909</v>
      </c>
      <c r="AB20" s="705">
        <v>80.0686</v>
      </c>
      <c r="AC20" s="705"/>
      <c r="AD20" s="717" cm="1">
        <f t="array" ref="AD20">$E20*U20</f>
        <v>808951.061858536</v>
      </c>
      <c r="AE20" s="704" cm="1">
        <f t="array" ref="AE20">$E20*V20</f>
        <v>879465.657772881</v>
      </c>
      <c r="AF20" s="704" cm="1">
        <f t="array" ref="AF20">$E20*W20</f>
        <v>997152.343268077</v>
      </c>
      <c r="AG20" s="704" cm="1">
        <f t="array" ref="AG20">$E20*X20</f>
        <v>1207535.06712813</v>
      </c>
      <c r="AH20" s="704" cm="1">
        <f t="array" ref="AH20">$E20*Y20</f>
        <v>1432108.16167327</v>
      </c>
      <c r="AI20" s="704" cm="1">
        <f t="array" ref="AI20">$E20*Z20</f>
        <v>1669150.09587062</v>
      </c>
      <c r="AJ20" s="704" cm="1">
        <f t="array" ref="AJ20">$E20*AA20</f>
        <v>3365044.23751645</v>
      </c>
      <c r="AK20" s="704" cm="1">
        <f t="array" ref="AK20">$E20*AB20</f>
        <v>3145130.63887</v>
      </c>
      <c r="AL20" s="705"/>
      <c r="AM20" s="718" cm="1">
        <f t="array" ref="AM20">J19-J20</f>
        <v>4.2503</v>
      </c>
      <c r="AN20" s="718" cm="1">
        <f t="array" ref="AN20">D20-AM20</f>
        <v>21.1351612986378</v>
      </c>
      <c r="AO20" s="705"/>
      <c r="AP20" s="719">
        <v>47483</v>
      </c>
      <c r="AQ20" s="720" cm="1">
        <f t="array" ref="AQ20">ROUND(AP20/$E20,4)</f>
        <v>1.2088</v>
      </c>
      <c r="AR20" s="719">
        <v>6182</v>
      </c>
      <c r="AS20" s="720" cm="1">
        <f t="array" ref="AS20">ROUND(AR20/E20,4)</f>
        <v>0.1574</v>
      </c>
      <c r="AT20" s="721" cm="1">
        <f t="array" ref="AT20">SUM(AQ20,AS20)</f>
        <v>1.3662</v>
      </c>
      <c r="AU20" s="719" cm="1">
        <f t="array" ref="AU20">ROUND(SUM(AQ20,AS20)*E20,0)</f>
        <v>53665</v>
      </c>
      <c r="AV20" s="722">
        <v>184399</v>
      </c>
      <c r="AW20" s="723" cm="1">
        <f t="array" ref="AW20">ROUND(AV20/$E20,4)</f>
        <v>4.6944</v>
      </c>
      <c r="AX20" s="722" cm="1">
        <f t="array" ref="AX20">C20-SUM(AU20,AV20,BB20)</f>
        <v>-17446</v>
      </c>
      <c r="AY20" s="723" cm="1">
        <f t="array" ref="AY20">ROUND(AX20/$E20,4)</f>
        <v>-0.4441</v>
      </c>
      <c r="AZ20" s="724" cm="1">
        <f t="array" ref="AZ20">AX20+AV20</f>
        <v>166953</v>
      </c>
      <c r="BA20" s="723" cm="1">
        <f t="array" ref="BA20">ROUND(AW20+AY20,4)</f>
        <v>4.2503</v>
      </c>
      <c r="BB20" s="725">
        <v>579382</v>
      </c>
      <c r="BC20" s="832" cm="1">
        <f t="array" ref="BC20">ROUND(BB20/$E20,4)</f>
        <v>14.7499</v>
      </c>
      <c r="BD20" s="711" cm="1">
        <f t="array" ref="BD20">K19-K20</f>
        <v>-55297</v>
      </c>
      <c r="BE20" s="711" cm="1">
        <f t="array" ref="BE20">AZ20-BD20</f>
        <v>222250</v>
      </c>
      <c r="BF20" s="711" cm="1">
        <f t="array" ref="BF20">-BE20</f>
        <v>-222250</v>
      </c>
      <c r="BG20" s="711" cm="1">
        <f t="array" ref="BG20">BB20+BE20</f>
        <v>801632</v>
      </c>
      <c r="BH20" s="711" cm="1">
        <f t="array" ref="BH20">AVERAGE(BG18:BG20)</f>
        <v>966558.666666667</v>
      </c>
      <c r="BI20" s="727" cm="1">
        <f t="array" ref="BI20">BC19-BC20</f>
        <v>0.0237</v>
      </c>
      <c r="BJ20" s="714" cm="1">
        <f t="array" ref="BJ20">J19*4.95%/12-0.3</f>
        <v>14.2428586875</v>
      </c>
      <c r="BK20" s="728" cm="1">
        <f t="array" ref="BK20">(AV20+AX20)/BB20</f>
        <v>0.288157036290392</v>
      </c>
      <c r="BL20" s="728" cm="1">
        <f t="array" ref="BL20">U20-AW20</f>
        <v>15.8998412029021</v>
      </c>
      <c r="BM20" s="728" cm="1">
        <f t="array" ref="BM20">(BN$2*(1+BN$2)^BM$2*J19)/((1+BN$2)^BM$2-1)</f>
        <v>18.8182827850828</v>
      </c>
      <c r="BN20" s="728"/>
      <c r="BO20" s="704" cm="1">
        <f t="array" ref="BO20">AV20+AX20+BO19</f>
        <v>17567224</v>
      </c>
      <c r="BP20" s="704" cm="1">
        <f t="array" ref="BP20">BB20+BP19</f>
        <v>7576970</v>
      </c>
      <c r="BQ20" s="714" cm="1">
        <f t="array" ref="BQ20">BA20+BQ19</f>
        <v>462.3633</v>
      </c>
      <c r="BR20" s="714" cm="1">
        <f t="array" ref="BR20">BC20+BR19</f>
        <v>197.2661</v>
      </c>
      <c r="BS20" s="704" cm="1">
        <f t="array" ref="BS20">SUM(BE$6:BE20)</f>
        <v>9252595</v>
      </c>
      <c r="BT20" s="714"/>
      <c r="BU20" s="714"/>
      <c r="BV20" s="704" cm="1">
        <f t="array" ref="BV20">SUM(AZ$6:AZ20)</f>
        <v>17567224</v>
      </c>
      <c r="BW20" s="714"/>
      <c r="BX20" s="714"/>
    </row>
    <row r="21" ht="19.35" customHeight="1">
      <c r="A21" s="689">
        <v>18</v>
      </c>
      <c r="B21" s="703">
        <v>45880</v>
      </c>
      <c r="C21" s="704">
        <v>821802</v>
      </c>
      <c r="D21" s="705" cm="1">
        <f t="array" ref="D21">W21</f>
        <v>25.4096256858299</v>
      </c>
      <c r="E21" s="707">
        <v>39156.08</v>
      </c>
      <c r="F21" s="706" cm="1">
        <f t="array" ref="F21">ROUND((E21-E20)/E20,3)</f>
        <v>-0.003</v>
      </c>
      <c r="G21" s="706" cm="1">
        <f t="array" ref="G21">SUM(F10:F21)</f>
        <v>0.041791411754883</v>
      </c>
      <c r="H21" s="708" cm="1">
        <f t="array" ref="H21">G21+4.95/100</f>
        <v>0.09129141175488301</v>
      </c>
      <c r="I21" s="704" cm="1">
        <f t="array" ref="I21">ROUND(D21*E21,0)</f>
        <v>994941</v>
      </c>
      <c r="J21" s="709" cm="1">
        <f t="array" ref="J21">J20-BA21</f>
        <v>3516.4707</v>
      </c>
      <c r="K21" s="711" cm="1">
        <f t="array" ref="K21">ROUND(J21*E21,0)</f>
        <v>137691208</v>
      </c>
      <c r="L21" s="711" cm="1">
        <f t="array" ref="L21">K21-K20</f>
        <v>-626695</v>
      </c>
      <c r="M21" s="713" cm="1">
        <f t="array" ref="M21">Q21-J21</f>
        <v>1883.5293</v>
      </c>
      <c r="N21" s="711" cm="1">
        <f t="array" ref="N21">ROUND(M21*E21,0)</f>
        <v>73751624</v>
      </c>
      <c r="O21" s="714" cm="1">
        <f t="array" ref="O21">$J$5-J21</f>
        <v>433.5293</v>
      </c>
      <c r="P21" s="711" cm="1">
        <f t="array" ref="P21">N21-N20</f>
        <v>-44903</v>
      </c>
      <c r="Q21" s="714">
        <v>5400</v>
      </c>
      <c r="R21" s="711" cm="1">
        <f t="array" ref="R21">Q21*E21</f>
        <v>211442832</v>
      </c>
      <c r="S21" s="704" cm="1">
        <f t="array" ref="S21">-P21</f>
        <v>44903</v>
      </c>
      <c r="T21" s="715"/>
      <c r="U21" s="716" cm="1">
        <f t="array" ref="U21">J20*4.95/12/100/(1-(1+4.95/12/100)^-(360-$A21))+AT21</f>
        <v>20.6010161759685</v>
      </c>
      <c r="V21" s="705" cm="1">
        <f t="array" ref="V21">IF(V$3*12&lt;=$A21,0,$J20*'depto - Departamento'!$D$8/12/(1-(1+'depto - Departamento'!$D$8/12)^-(12*V$3-$A21+3))+$AT22)</f>
        <v>22.3911921222355</v>
      </c>
      <c r="W21" s="705" cm="1">
        <f t="array" ref="W21">IF(W$3*12&lt;=$A21,0,$J20*'depto - Departamento'!$D$8/12/(1-(1+'depto - Departamento'!$D$8/12)^-(12*W$3-$A21+3))+$AT22)</f>
        <v>25.4096256858299</v>
      </c>
      <c r="X21" s="705" cm="1">
        <f t="array" ref="X21">IF(X$3*12&lt;=$A21,0,$J20*'depto - Departamento'!$D$8/12/(1-(1+'depto - Departamento'!$D$8/12)^-(12*X$3-$A21+3))+$AT21)</f>
        <v>30.8343185648177</v>
      </c>
      <c r="Y21" s="705" cm="1">
        <f t="array" ref="Y21">IF(Y$3*12&lt;=$A21,0,$J20*'depto - Departamento'!$D$8/12/(1-(1+'depto - Departamento'!$D$8/12)^-(12*Y$3-$A21+3))+$AT21)</f>
        <v>36.6261369333963</v>
      </c>
      <c r="Z21" s="705" cm="1">
        <f t="array" ref="Z21">IF(Z$3*12&lt;=$A21,0,$J20*'depto - Departamento'!$D$8/12/(1-(1+'depto - Departamento'!$D$8/12)^-(12*Z$3-$A21+3))+$AT21)</f>
        <v>42.7600637766545</v>
      </c>
      <c r="AA21" s="705" cm="1">
        <f t="array" ref="AA21">IF(AA$3*12&lt;=$A21,0,$J20*'depto - Departamento'!$D$8/12/(1-(1+'depto - Departamento'!$D$8/12)^-(12*AA$3-$A21+3))+$AT21)</f>
        <v>87.26955879526319</v>
      </c>
      <c r="AB21" s="705">
        <v>80.0686</v>
      </c>
      <c r="AC21" s="705"/>
      <c r="AD21" s="717" cm="1">
        <f t="array" ref="AD21">$E21*U21</f>
        <v>806655.037467517</v>
      </c>
      <c r="AE21" s="704" cm="1">
        <f t="array" ref="AE21">$E21*V21</f>
        <v>876751.310033623</v>
      </c>
      <c r="AF21" s="704" cm="1">
        <f t="array" ref="AF21">$E21*W21</f>
        <v>994941.33612441</v>
      </c>
      <c r="AG21" s="704" cm="1">
        <f t="array" ref="AG21">$E21*X21</f>
        <v>1207351.04446949</v>
      </c>
      <c r="AH21" s="704" cm="1">
        <f t="array" ref="AH21">$E21*Y21</f>
        <v>1434135.94785502</v>
      </c>
      <c r="AI21" s="704" cm="1">
        <f t="array" ref="AI21">$E21*Z21</f>
        <v>1674316.47804379</v>
      </c>
      <c r="AJ21" s="704" cm="1">
        <f t="array" ref="AJ21">$E21*AA21</f>
        <v>3417133.82575203</v>
      </c>
      <c r="AK21" s="704" cm="1">
        <f t="array" ref="AK21">$E21*AB21</f>
        <v>3135172.507088</v>
      </c>
      <c r="AL21" s="705"/>
      <c r="AM21" s="718" cm="1">
        <f t="array" ref="AM21">J20-J21</f>
        <v>4.8205</v>
      </c>
      <c r="AN21" s="718" cm="1">
        <f t="array" ref="AN21">D21-AM21</f>
        <v>20.5891256858299</v>
      </c>
      <c r="AO21" s="705"/>
      <c r="AP21" s="719">
        <v>47483</v>
      </c>
      <c r="AQ21" s="720" cm="1">
        <f t="array" ref="AQ21">ROUND(AP21/$E21,4)</f>
        <v>1.2127</v>
      </c>
      <c r="AR21" s="719">
        <v>6182</v>
      </c>
      <c r="AS21" s="720" cm="1">
        <f t="array" ref="AS21">ROUND(AR21/E21,4)</f>
        <v>0.1579</v>
      </c>
      <c r="AT21" s="721" cm="1">
        <f t="array" ref="AT21">SUM(AQ21,AS21)</f>
        <v>1.3706</v>
      </c>
      <c r="AU21" s="719" cm="1">
        <f t="array" ref="AU21">ROUND(SUM(AQ21,AS21)*E21,0)</f>
        <v>53667</v>
      </c>
      <c r="AV21" s="722">
        <v>184399</v>
      </c>
      <c r="AW21" s="723" cm="1">
        <f t="array" ref="AW21">ROUND(AV21/$E21,4)</f>
        <v>4.7093</v>
      </c>
      <c r="AX21" s="722" cm="1">
        <f t="array" ref="AX21">C21-SUM(AU21,AV21,BB21)</f>
        <v>4354</v>
      </c>
      <c r="AY21" s="723" cm="1">
        <f t="array" ref="AY21">ROUND(AX21/$E21,4)</f>
        <v>0.1112</v>
      </c>
      <c r="AZ21" s="724" cm="1">
        <f t="array" ref="AZ21">AX21+AV21</f>
        <v>188753</v>
      </c>
      <c r="BA21" s="723" cm="1">
        <f t="array" ref="BA21">ROUND(AW21+AY21,4)</f>
        <v>4.8205</v>
      </c>
      <c r="BB21" s="725">
        <v>579382</v>
      </c>
      <c r="BC21" s="832" cm="1">
        <f t="array" ref="BC21">ROUND(BB21/$E21,4)</f>
        <v>14.7967</v>
      </c>
      <c r="BD21" s="711" cm="1">
        <f t="array" ref="BD21">K20-K21</f>
        <v>626695</v>
      </c>
      <c r="BE21" s="711" cm="1">
        <f t="array" ref="BE21">AZ21-BD21</f>
        <v>-437942</v>
      </c>
      <c r="BF21" s="711" cm="1">
        <f t="array" ref="BF21">-BE21</f>
        <v>437942</v>
      </c>
      <c r="BG21" s="711" cm="1">
        <f t="array" ref="BG21">BB21+BE21</f>
        <v>141440</v>
      </c>
      <c r="BH21" s="711" cm="1">
        <f t="array" ref="BH21">AVERAGE(BG19:BG21)</f>
        <v>599918</v>
      </c>
      <c r="BI21" s="727" cm="1">
        <f t="array" ref="BI21">BC20-BC21</f>
        <v>-0.0468</v>
      </c>
      <c r="BJ21" s="714" cm="1">
        <f t="array" ref="BJ21">J20*4.95%/12-0.3</f>
        <v>14.2253262</v>
      </c>
      <c r="BK21" s="728" cm="1">
        <f t="array" ref="BK21">(AV21+AX21)/BB21</f>
        <v>0.325783334656582</v>
      </c>
      <c r="BL21" s="728" cm="1">
        <f t="array" ref="BL21">U21-AW21</f>
        <v>15.8917161759685</v>
      </c>
      <c r="BM21" s="728" cm="1">
        <f t="array" ref="BM21">(BN$2*(1+BN$2)^BM$2*J20)/((1+BN$2)^BM$2-1)</f>
        <v>18.7955959588687</v>
      </c>
      <c r="BN21" s="728"/>
      <c r="BO21" s="704" cm="1">
        <f t="array" ref="BO21">AV21+AX21+BO20</f>
        <v>17755977</v>
      </c>
      <c r="BP21" s="704" cm="1">
        <f t="array" ref="BP21">BB21+BP20</f>
        <v>8156352</v>
      </c>
      <c r="BQ21" s="714" cm="1">
        <f t="array" ref="BQ21">BA21+BQ20</f>
        <v>467.1838</v>
      </c>
      <c r="BR21" s="714" cm="1">
        <f t="array" ref="BR21">BC21+BR20</f>
        <v>212.0628</v>
      </c>
      <c r="BS21" s="704" cm="1">
        <f t="array" ref="BS21">SUM(BE$6:BE21)</f>
        <v>8814653</v>
      </c>
      <c r="BT21" s="714"/>
      <c r="BU21" s="714"/>
      <c r="BV21" s="704" cm="1">
        <f t="array" ref="BV21">SUM(AZ$6:AZ21)</f>
        <v>17755977</v>
      </c>
      <c r="BW21" s="714"/>
      <c r="BX21" s="714"/>
    </row>
    <row r="22" ht="19.35" customHeight="1">
      <c r="A22" s="689">
        <v>19</v>
      </c>
      <c r="B22" s="703">
        <v>45930</v>
      </c>
      <c r="C22" s="704" cm="1">
        <f t="array" ref="C22">I22</f>
        <v>1004572</v>
      </c>
      <c r="D22" s="705" cm="1">
        <f t="array" ref="D22">W22</f>
        <v>25.4414460831489</v>
      </c>
      <c r="E22" s="707">
        <v>39485.65</v>
      </c>
      <c r="F22" s="706" cm="1">
        <f t="array" ref="F22">ROUND((E22-E21)/E21,4)</f>
        <v>0.008399999999999999</v>
      </c>
      <c r="G22" s="706" cm="1">
        <f t="array" ref="G22">SUM(F11:F22)</f>
        <v>0.0433429240361318</v>
      </c>
      <c r="H22" s="708" cm="1">
        <f t="array" ref="H22">G22+4.95/100</f>
        <v>0.0928429240361318</v>
      </c>
      <c r="I22" s="704" cm="1">
        <f t="array" ref="I22">ROUND(D22*E22,0)</f>
        <v>1004572</v>
      </c>
      <c r="J22" s="709" cm="1">
        <f t="array" ref="J22">J21-BA22</f>
        <v>3507.0616</v>
      </c>
      <c r="K22" s="711" cm="1">
        <f t="array" ref="K22">ROUND(J22*E22,0)</f>
        <v>138478607</v>
      </c>
      <c r="L22" s="711" cm="1">
        <f t="array" ref="L22">K22-K21</f>
        <v>787399</v>
      </c>
      <c r="M22" s="713" cm="1">
        <f t="array" ref="M22">Q22-J22</f>
        <v>1892.9384</v>
      </c>
      <c r="N22" s="711" cm="1">
        <f t="array" ref="N22">ROUND(M22*E22,0)</f>
        <v>74743903</v>
      </c>
      <c r="O22" s="714" cm="1">
        <f t="array" ref="O22">$J$5-J22</f>
        <v>442.9384</v>
      </c>
      <c r="P22" s="711" cm="1">
        <f t="array" ref="P22">N22-N21</f>
        <v>992279</v>
      </c>
      <c r="Q22" s="714">
        <v>5400</v>
      </c>
      <c r="R22" s="711" cm="1">
        <f t="array" ref="R22">Q22*E22</f>
        <v>213222510</v>
      </c>
      <c r="S22" s="704" cm="1">
        <f t="array" ref="S22">-P22</f>
        <v>-992279</v>
      </c>
      <c r="T22" s="715"/>
      <c r="U22" s="716" cm="1">
        <f t="array" ref="U22">J21*4.95/12/100/(1-(1+4.95/12/100)^-(360-$A22))+AT22</f>
        <v>20.5888850573996</v>
      </c>
      <c r="V22" s="705" cm="1">
        <f t="array" ref="V22">IF(V$3*12&lt;=$A22,0,$J21*'depto - Departamento'!$D$8/12/(1-(1+'depto - Departamento'!$D$8/12)^-(12*V$3-$A22+3))+$AT23)</f>
        <v>22.4008825561964</v>
      </c>
      <c r="W22" s="705" cm="1">
        <f t="array" ref="W22">IF(W$3*12&lt;=$A22,0,$J21*'depto - Departamento'!$D$8/12/(1-(1+'depto - Departamento'!$D$8/12)^-(12*W$3-$A22+3))+$AT23)</f>
        <v>25.4414460831489</v>
      </c>
      <c r="X22" s="705" cm="1">
        <f t="array" ref="X22">IF(X$3*12&lt;=$A22,0,$J21*'depto - Departamento'!$D$8/12/(1-(1+'depto - Departamento'!$D$8/12)^-(12*X$3-$A22+3))+$AT22)</f>
        <v>30.9078387408984</v>
      </c>
      <c r="Y22" s="705" cm="1">
        <f t="array" ref="Y22">IF(Y$3*12&lt;=$A22,0,$J21*'depto - Departamento'!$D$8/12/(1-(1+'depto - Departamento'!$D$8/12)^-(12*Y$3-$A22+3))+$AT22)</f>
        <v>36.7748699349297</v>
      </c>
      <c r="Z22" s="705" cm="1">
        <f t="array" ref="Z22">IF(Z$3*12&lt;=$A22,0,$J21*'depto - Departamento'!$D$8/12/(1-(1+'depto - Departamento'!$D$8/12)^-(12*Z$3-$A22+3))+$AT22)</f>
        <v>43.0096578909932</v>
      </c>
      <c r="AA22" s="705" cm="1">
        <f t="array" ref="AA22">IF(AA$3*12&lt;=$A22,0,$J21*'depto - Departamento'!$D$8/12/(1-(1+'depto - Departamento'!$D$8/12)^-(12*AA$3-$A22+3))+$AT22)</f>
        <v>88.9151548512704</v>
      </c>
      <c r="AB22" s="705">
        <v>80.0686</v>
      </c>
      <c r="AC22" s="705"/>
      <c r="AD22" s="717" cm="1">
        <f t="array" ref="AD22">$E22*U22</f>
        <v>812965.509266711</v>
      </c>
      <c r="AE22" s="704" cm="1">
        <f t="array" ref="AE22">$E22*V22</f>
        <v>884513.408305076</v>
      </c>
      <c r="AF22" s="704" cm="1">
        <f t="array" ref="AF22">$E22*W22</f>
        <v>1004572.03553309</v>
      </c>
      <c r="AG22" s="704" cm="1">
        <f t="array" ref="AG22">$E22*X22</f>
        <v>1220416.10277955</v>
      </c>
      <c r="AH22" s="704" cm="1">
        <f t="array" ref="AH22">$E22*Y22</f>
        <v>1452079.64304616</v>
      </c>
      <c r="AI22" s="704" cm="1">
        <f t="array" ref="AI22">$E22*Z22</f>
        <v>1698264.2981035</v>
      </c>
      <c r="AJ22" s="704" cm="1">
        <f t="array" ref="AJ22">$E22*AA22</f>
        <v>3510872.68415307</v>
      </c>
      <c r="AK22" s="704" cm="1">
        <f t="array" ref="AK22">$E22*AB22</f>
        <v>3161560.71559</v>
      </c>
      <c r="AL22" s="705"/>
      <c r="AM22" s="718" cm="1">
        <f t="array" ref="AM22">J21-J22</f>
        <v>9.4091</v>
      </c>
      <c r="AN22" s="718" cm="1">
        <f t="array" ref="AN22">D22-AM22</f>
        <v>16.0323460831489</v>
      </c>
      <c r="AO22" s="705"/>
      <c r="AP22" s="719">
        <v>47483</v>
      </c>
      <c r="AQ22" s="720" cm="1">
        <f t="array" ref="AQ22">ROUND(AP22/$E22,4)</f>
        <v>1.2025</v>
      </c>
      <c r="AR22" s="719">
        <v>6182</v>
      </c>
      <c r="AS22" s="720" cm="1">
        <f t="array" ref="AS22">ROUND(AR22/E22,4)</f>
        <v>0.1566</v>
      </c>
      <c r="AT22" s="721" cm="1">
        <f t="array" ref="AT22">SUM(AQ22,AS22)</f>
        <v>1.3591</v>
      </c>
      <c r="AU22" s="719" cm="1">
        <f t="array" ref="AU22">ROUND(SUM(AQ22,AS22)*E22,0)</f>
        <v>53665</v>
      </c>
      <c r="AV22" s="722">
        <v>184399</v>
      </c>
      <c r="AW22" s="723" cm="1">
        <f t="array" ref="AW22">ROUND(AV22/$E22,4)</f>
        <v>4.67</v>
      </c>
      <c r="AX22" s="722" cm="1">
        <f t="array" ref="AX22">C22-SUM(AU22,AV22,BB22)</f>
        <v>187126</v>
      </c>
      <c r="AY22" s="723" cm="1">
        <f t="array" ref="AY22">ROUND(AX22/$E22,4)</f>
        <v>4.7391</v>
      </c>
      <c r="AZ22" s="724" cm="1">
        <f t="array" ref="AZ22">AX22+AV22</f>
        <v>371525</v>
      </c>
      <c r="BA22" s="723" cm="1">
        <f t="array" ref="BA22">ROUND(AW22+AY22,4)</f>
        <v>9.4091</v>
      </c>
      <c r="BB22" s="725">
        <v>579382</v>
      </c>
      <c r="BC22" s="832" cm="1">
        <f t="array" ref="BC22">ROUND(BB22/$E22,4)</f>
        <v>14.6732</v>
      </c>
      <c r="BD22" s="711" cm="1">
        <f t="array" ref="BD22">K21-K22</f>
        <v>-787399</v>
      </c>
      <c r="BE22" s="711" cm="1">
        <f t="array" ref="BE22">AZ22-BD22</f>
        <v>1158924</v>
      </c>
      <c r="BF22" s="711" cm="1">
        <f t="array" ref="BF22">-BE22</f>
        <v>-1158924</v>
      </c>
      <c r="BG22" s="711" cm="1">
        <f t="array" ref="BG22">BB22+BE22</f>
        <v>1738306</v>
      </c>
      <c r="BH22" s="711" cm="1">
        <f t="array" ref="BH22">AVERAGE(BG20:BG22)</f>
        <v>893792.666666667</v>
      </c>
      <c r="BI22" s="727" cm="1">
        <f t="array" ref="BI22">BC21-BC22</f>
        <v>0.1235</v>
      </c>
      <c r="BJ22" s="714" cm="1">
        <f t="array" ref="BJ22">J21*4.95%/12-0.3</f>
        <v>14.2054416375</v>
      </c>
      <c r="BK22" s="728" cm="1">
        <f t="array" ref="BK22">(AV22+AX22)/BB22</f>
        <v>0.641243600940312</v>
      </c>
      <c r="BL22" s="728" cm="1">
        <f t="array" ref="BL22">U22-AW22</f>
        <v>15.9188850573996</v>
      </c>
      <c r="BM22" s="728" cm="1">
        <f t="array" ref="BM22">(BN$2*(1+BN$2)^BM$2*J21)/((1+BN$2)^BM$2-1)</f>
        <v>18.7698655761273</v>
      </c>
      <c r="BN22" s="728"/>
      <c r="BO22" s="704" cm="1">
        <f t="array" ref="BO22">AV22+AX22+BO21</f>
        <v>18127502</v>
      </c>
      <c r="BP22" s="704" cm="1">
        <f t="array" ref="BP22">BB22+BP21</f>
        <v>8735734</v>
      </c>
      <c r="BQ22" s="714" cm="1">
        <f t="array" ref="BQ22">BA22+BQ21</f>
        <v>476.5929</v>
      </c>
      <c r="BR22" s="714" cm="1">
        <f t="array" ref="BR22">BC22+BR21</f>
        <v>226.736</v>
      </c>
      <c r="BS22" s="704" cm="1">
        <f t="array" ref="BS22">SUM(BE$6:BE22)</f>
        <v>9973577</v>
      </c>
      <c r="BT22" s="714"/>
      <c r="BU22" s="714"/>
      <c r="BV22" s="704" cm="1">
        <f t="array" ref="BV22">SUM(AZ$6:AZ22)</f>
        <v>18127502</v>
      </c>
      <c r="BW22" s="714"/>
      <c r="BX22" s="714"/>
    </row>
    <row r="23" ht="19.35" customHeight="1">
      <c r="A23" s="689">
        <v>20</v>
      </c>
      <c r="B23" s="703">
        <v>45941</v>
      </c>
      <c r="C23" s="704" cm="1">
        <f t="array" ref="C23">I23</f>
        <v>995721</v>
      </c>
      <c r="D23" s="705" cm="1">
        <f t="array" ref="D23">W23</f>
        <v>25.2108011866829</v>
      </c>
      <c r="E23" s="707">
        <v>39495.82</v>
      </c>
      <c r="F23" s="706" cm="1">
        <f t="array" ref="F23">ROUND((E23-E22)/E22,4)</f>
        <v>0.0003</v>
      </c>
      <c r="G23" s="706" cm="1">
        <f t="array" ref="G23">SUM(F12:F23)</f>
        <v>0.0408785600988065</v>
      </c>
      <c r="H23" s="708" cm="1">
        <f t="array" ref="H23">G23+4.95/100</f>
        <v>0.0903785600988065</v>
      </c>
      <c r="I23" s="704" cm="1">
        <f t="array" ref="I23">ROUND(D23*E23,0)</f>
        <v>995721</v>
      </c>
      <c r="J23" s="709" cm="1">
        <f t="array" ref="J23">J22-BA23</f>
        <v>3497.879</v>
      </c>
      <c r="K23" s="711" cm="1">
        <f t="array" ref="K23">ROUND(J23*E23,0)</f>
        <v>138151599</v>
      </c>
      <c r="L23" s="711" cm="1">
        <f t="array" ref="L23">K23-K22</f>
        <v>-327008</v>
      </c>
      <c r="M23" s="713" cm="1">
        <f t="array" ref="M23">Q23-J23</f>
        <v>1902.121</v>
      </c>
      <c r="N23" s="711" cm="1">
        <f t="array" ref="N23">ROUND(M23*E23,0)</f>
        <v>75125829</v>
      </c>
      <c r="O23" s="714" cm="1">
        <f t="array" ref="O23">$J$5-J23</f>
        <v>452.121</v>
      </c>
      <c r="P23" s="711" cm="1">
        <f t="array" ref="P23">N23-N22</f>
        <v>381926</v>
      </c>
      <c r="Q23" s="714">
        <v>5400</v>
      </c>
      <c r="R23" s="711" cm="1">
        <f t="array" ref="R23">Q23*E23</f>
        <v>213277428</v>
      </c>
      <c r="S23" s="704" cm="1">
        <f t="array" ref="S23">-P23</f>
        <v>-381926</v>
      </c>
      <c r="T23" s="715"/>
      <c r="U23" s="716" cm="1">
        <f t="array" ref="U23">J22*4.95/12/100/(1-(1+4.95/12/100)^-(360-$A23))+AT23</f>
        <v>20.5628320480606</v>
      </c>
      <c r="V23" s="705" cm="1">
        <f t="array" ref="V23">IF(V$3*12&lt;=$A23,0,$J22*'depto - Departamento'!$D$8/12/(1-(1+'depto - Departamento'!$D$8/12)^-(12*V$3-$A23+3))+$AT24)</f>
        <v>22.1518626583692</v>
      </c>
      <c r="W23" s="705" cm="1">
        <f t="array" ref="W23">IF(W$3*12&lt;=$A23,0,$J22*'depto - Departamento'!$D$8/12/(1-(1+'depto - Departamento'!$D$8/12)^-(12*W$3-$A23+3))+$AT24)</f>
        <v>25.2108011866829</v>
      </c>
      <c r="X23" s="705" cm="1">
        <f t="array" ref="X23">IF(X$3*12&lt;=$A23,0,$J22*'depto - Departamento'!$D$8/12/(1-(1+'depto - Departamento'!$D$8/12)^-(12*X$3-$A23+3))+$AT23)</f>
        <v>30.9549860406326</v>
      </c>
      <c r="Y23" s="705" cm="1">
        <f t="array" ref="Y23">IF(Y$3*12&lt;=$A23,0,$J22*'depto - Departamento'!$D$8/12/(1-(1+'depto - Departamento'!$D$8/12)^-(12*Y$3-$A23+3))+$AT23)</f>
        <v>36.890996274640</v>
      </c>
      <c r="Z23" s="705" cm="1">
        <f t="array" ref="Z23">IF(Z$3*12&lt;=$A23,0,$J22*'depto - Departamento'!$D$8/12/(1-(1+'depto - Departamento'!$D$8/12)^-(12*Z$3-$A23+3))+$AT23)</f>
        <v>43.2209649828056</v>
      </c>
      <c r="AA23" s="705" cm="1">
        <f t="array" ref="AA23">IF(AA$3*12&lt;=$A23,0,$J22*'depto - Departamento'!$D$8/12/(1-(1+'depto - Departamento'!$D$8/12)^-(12*AA$3-$A23+3))+$AT23)</f>
        <v>90.5329715315835</v>
      </c>
      <c r="AB23" s="705">
        <v>80.0686</v>
      </c>
      <c r="AC23" s="705"/>
      <c r="AD23" s="717" cm="1">
        <f t="array" ref="AD23">$E23*U23</f>
        <v>812145.913260433</v>
      </c>
      <c r="AE23" s="704" cm="1">
        <f t="array" ref="AE23">$E23*V23</f>
        <v>874905.980219671</v>
      </c>
      <c r="AF23" s="704" cm="1">
        <f t="array" ref="AF23">$E23*W23</f>
        <v>995721.265725014</v>
      </c>
      <c r="AG23" s="704" cm="1">
        <f t="array" ref="AG23">$E23*X23</f>
        <v>1222592.55676334</v>
      </c>
      <c r="AH23" s="704" cm="1">
        <f t="array" ref="AH23">$E23*Y23</f>
        <v>1457040.14848385</v>
      </c>
      <c r="AI23" s="704" cm="1">
        <f t="array" ref="AI23">$E23*Z23</f>
        <v>1707047.45318719</v>
      </c>
      <c r="AJ23" s="704" cm="1">
        <f t="array" ref="AJ23">$E23*AA23</f>
        <v>3575673.94767655</v>
      </c>
      <c r="AK23" s="704" cm="1">
        <f t="array" ref="AK23">$E23*AB23</f>
        <v>3162375.013252</v>
      </c>
      <c r="AL23" s="705"/>
      <c r="AM23" s="718" cm="1">
        <f t="array" ref="AM23">J22-J23</f>
        <v>9.182600000000001</v>
      </c>
      <c r="AN23" s="718" cm="1">
        <f t="array" ref="AN23">D23-AM23</f>
        <v>16.0282011866829</v>
      </c>
      <c r="AO23" s="705"/>
      <c r="AP23" s="719">
        <v>47483</v>
      </c>
      <c r="AQ23" s="720" cm="1">
        <f t="array" ref="AQ23">ROUND(AP23/$E23,4)</f>
        <v>1.2022</v>
      </c>
      <c r="AR23" s="719">
        <v>6182</v>
      </c>
      <c r="AS23" s="720" cm="1">
        <f t="array" ref="AS23">ROUND(AR23/E23,4)</f>
        <v>0.1565</v>
      </c>
      <c r="AT23" s="721" cm="1">
        <f t="array" ref="AT23">SUM(AQ23,AS23)</f>
        <v>1.3587</v>
      </c>
      <c r="AU23" s="719" cm="1">
        <f t="array" ref="AU23">ROUND(SUM(AQ23,AS23)*E23,0)</f>
        <v>53663</v>
      </c>
      <c r="AV23" s="722">
        <v>184399</v>
      </c>
      <c r="AW23" s="723" cm="1">
        <f t="array" ref="AW23">ROUND(AV23/$E23,4)</f>
        <v>4.6688</v>
      </c>
      <c r="AX23" s="722" cm="1">
        <f t="array" ref="AX23">C23-SUM(AU23,AV23,BB23)</f>
        <v>178277</v>
      </c>
      <c r="AY23" s="723" cm="1">
        <f t="array" ref="AY23">ROUND(AX23/$E23,4)</f>
        <v>4.5138</v>
      </c>
      <c r="AZ23" s="724" cm="1">
        <f t="array" ref="AZ23">AX23+AV23</f>
        <v>362676</v>
      </c>
      <c r="BA23" s="723" cm="1">
        <f t="array" ref="BA23">ROUND(AW23+AY23,4)</f>
        <v>9.182600000000001</v>
      </c>
      <c r="BB23" s="725">
        <v>579382</v>
      </c>
      <c r="BC23" s="832" cm="1">
        <f t="array" ref="BC23">ROUND(BB23/$E23,4)</f>
        <v>14.6695</v>
      </c>
      <c r="BD23" s="711" cm="1">
        <f t="array" ref="BD23">K22-K23</f>
        <v>327008</v>
      </c>
      <c r="BE23" s="711" cm="1">
        <f t="array" ref="BE23">AZ23-BD23</f>
        <v>35668</v>
      </c>
      <c r="BF23" s="711" cm="1">
        <f t="array" ref="BF23">-BE23</f>
        <v>-35668</v>
      </c>
      <c r="BG23" s="711" cm="1">
        <f t="array" ref="BG23">BB23+BE23</f>
        <v>615050</v>
      </c>
      <c r="BH23" s="711" cm="1">
        <f t="array" ref="BH23">AVERAGE(BG21:BG23)</f>
        <v>831598.666666667</v>
      </c>
      <c r="BI23" s="727" cm="1">
        <f t="array" ref="BI23">BC22-BC23</f>
        <v>0.0037</v>
      </c>
      <c r="BJ23" s="714" cm="1">
        <f t="array" ref="BJ23">J22*4.95%/12-0.3</f>
        <v>14.1666291</v>
      </c>
      <c r="BK23" s="728" cm="1">
        <f t="array" ref="BK23">(AV23+AX23)/BB23</f>
        <v>0.62597043056222</v>
      </c>
      <c r="BL23" s="728" cm="1">
        <f t="array" ref="BL23">U23-AW23</f>
        <v>15.8940320480606</v>
      </c>
      <c r="BM23" s="728" cm="1">
        <f t="array" ref="BM23">(BN$2*(1+BN$2)^BM$2*J22)/((1+BN$2)^BM$2-1)</f>
        <v>18.7196426232694</v>
      </c>
      <c r="BN23" s="728"/>
      <c r="BO23" s="704" cm="1">
        <f t="array" ref="BO23">AV23+AX23+BO22</f>
        <v>18490178</v>
      </c>
      <c r="BP23" s="704" cm="1">
        <f t="array" ref="BP23">BB23+BP22</f>
        <v>9315116</v>
      </c>
      <c r="BQ23" s="714" cm="1">
        <f t="array" ref="BQ23">BA23+BQ22</f>
        <v>485.7755</v>
      </c>
      <c r="BR23" s="714" cm="1">
        <f t="array" ref="BR23">BC23+BR22</f>
        <v>241.4055</v>
      </c>
      <c r="BS23" s="704" cm="1">
        <f t="array" ref="BS23">SUM(BE$6:BE23)</f>
        <v>10009245</v>
      </c>
      <c r="BT23" s="714"/>
      <c r="BU23" s="714"/>
      <c r="BV23" s="704" cm="1">
        <f t="array" ref="BV23">SUM(AZ$6:AZ23)</f>
        <v>18490178</v>
      </c>
      <c r="BW23" s="714"/>
      <c r="BX23" s="714"/>
    </row>
    <row r="24" ht="19.35" customHeight="1">
      <c r="A24" s="689">
        <v>21</v>
      </c>
      <c r="B24" s="703">
        <v>45986</v>
      </c>
      <c r="C24" s="704" cm="1">
        <f t="array" ref="C24">I24</f>
        <v>999542</v>
      </c>
      <c r="D24" s="705" cm="1">
        <f t="array" ref="D24">W24</f>
        <v>25.2131944007566</v>
      </c>
      <c r="E24" s="707">
        <v>39643.59</v>
      </c>
      <c r="F24" s="706" cm="1">
        <f t="array" ref="F24">ROUND((E24-E23)/E23,4)</f>
        <v>0.0037</v>
      </c>
      <c r="G24" s="706" cm="1">
        <f t="array" ref="G24">SUM(F13:F24)</f>
        <v>0.0429792220755926</v>
      </c>
      <c r="H24" s="708" cm="1">
        <f t="array" ref="H24">G24+4.95/100</f>
        <v>0.0924792220755926</v>
      </c>
      <c r="I24" s="704" cm="1">
        <f t="array" ref="I24">ROUND(D24*E24,0)</f>
        <v>999542</v>
      </c>
      <c r="J24" s="709" cm="1">
        <f t="array" ref="J24">J23-IF(ISBLANK(D24),0,BA24)</f>
        <v>3483.2909</v>
      </c>
      <c r="K24" s="711" cm="1">
        <f t="array" ref="K24">ROUND(J24*E24,0)</f>
        <v>138090156</v>
      </c>
      <c r="L24" s="711" cm="1">
        <f t="array" ref="L24">K24-K23</f>
        <v>-61443</v>
      </c>
      <c r="M24" s="713" cm="1">
        <f t="array" ref="M24">Q24-J24</f>
        <v>1916.7091</v>
      </c>
      <c r="N24" s="711" cm="1">
        <f t="array" ref="N24">ROUND(M24*E24,0)</f>
        <v>75985230</v>
      </c>
      <c r="O24" s="714" cm="1">
        <f t="array" ref="O24">$J$5-J24</f>
        <v>466.7091</v>
      </c>
      <c r="P24" s="711" cm="1">
        <f t="array" ref="P24">N24-N23</f>
        <v>859401</v>
      </c>
      <c r="Q24" s="714">
        <v>5400</v>
      </c>
      <c r="R24" s="711" cm="1">
        <f t="array" ref="R24">Q24*E24</f>
        <v>214075386</v>
      </c>
      <c r="S24" s="704" cm="1">
        <f t="array" ref="S24">-P24</f>
        <v>-859401</v>
      </c>
      <c r="T24" s="715"/>
      <c r="U24" s="716" cm="1">
        <f t="array" ref="U24">J23*4.95/12/100/(1-(1+4.95/12/100)^-(360-$A24))+AT24</f>
        <v>20.306658452589</v>
      </c>
      <c r="V24" s="705" cm="1">
        <f t="array" ref="V24">IF(V$3*12&lt;=$A24,0,$J23*'depto - Departamento'!$D$8/12/(1-(1+'depto - Departamento'!$D$8/12)^-(12*V$3-$A24+3))+$AT25)</f>
        <v>22.135500609389</v>
      </c>
      <c r="W24" s="705" cm="1">
        <f t="array" ref="W24">IF(W$3*12&lt;=$A24,0,$J23*'depto - Departamento'!$D$8/12/(1-(1+'depto - Departamento'!$D$8/12)^-(12*W$3-$A24+3))+$AT25)</f>
        <v>25.2131944007566</v>
      </c>
      <c r="X24" s="705" cm="1">
        <f t="array" ref="X24">IF(X$3*12&lt;=$A24,0,$J23*'depto - Departamento'!$D$8/12/(1-(1+'depto - Departamento'!$D$8/12)^-(12*X$3-$A24+3))+$AT25)</f>
        <v>30.7729910316762</v>
      </c>
      <c r="Y24" s="705" cm="1">
        <f t="array" ref="Y24">IF(Y$3*12&lt;=$A24,0,$J23*'depto - Departamento'!$D$8/12/(1-(1+'depto - Departamento'!$D$8/12)^-(12*Y$3-$A24+3))+$AT25)</f>
        <v>36.7797188093868</v>
      </c>
      <c r="Z24" s="705" cm="1">
        <f t="array" ref="Z24">IF(Z$3*12&lt;=$A24,0,$J23*'depto - Departamento'!$D$8/12/(1-(1+'depto - Departamento'!$D$8/12)^-(12*Z$3-$A24+3))+$AT25)</f>
        <v>43.2076776626231</v>
      </c>
      <c r="AA24" s="705" cm="1">
        <f t="array" ref="AA24">IF(AA$3*12&lt;=$A24,0,$J23*'depto - Departamento'!$D$8/12/(1-(1+'depto - Departamento'!$D$8/12)^-(12*AA$3-$A24+3))+$AT25)</f>
        <v>92.0029448876379</v>
      </c>
      <c r="AB24" s="705" cm="1">
        <f t="array" ref="AB24">79.7813</f>
        <v>79.7813</v>
      </c>
      <c r="AC24" s="705"/>
      <c r="AD24" s="717" cm="1">
        <f t="array" ref="AD24">$E24*U24</f>
        <v>805028.841964473</v>
      </c>
      <c r="AE24" s="704" cm="1">
        <f t="array" ref="AE24">$E24*V24</f>
        <v>877530.710603368</v>
      </c>
      <c r="AF24" s="704" cm="1">
        <f t="array" ref="AF24">$E24*W24</f>
        <v>999541.54141389</v>
      </c>
      <c r="AG24" s="704" cm="1">
        <f t="array" ref="AG24">$E24*X24</f>
        <v>1219951.83953345</v>
      </c>
      <c r="AH24" s="704" cm="1">
        <f t="array" ref="AH24">$E24*Y24</f>
        <v>1458080.09279462</v>
      </c>
      <c r="AI24" s="704" cm="1">
        <f t="array" ref="AI24">$E24*Z24</f>
        <v>1712907.45810919</v>
      </c>
      <c r="AJ24" s="704" cm="1">
        <f t="array" ref="AJ24">$E24*AA24</f>
        <v>3647327.02591811</v>
      </c>
      <c r="AK24" s="704" cm="1">
        <f t="array" ref="AK24">$E24*AB24</f>
        <v>3162817.146867</v>
      </c>
      <c r="AL24" s="705"/>
      <c r="AM24" s="718" cm="1">
        <f t="array" ref="AM24">J23-J24</f>
        <v>14.5881</v>
      </c>
      <c r="AN24" s="718" cm="1">
        <f t="array" ref="AN24">D24-AM24</f>
        <v>10.6250944007566</v>
      </c>
      <c r="AO24" s="705"/>
      <c r="AP24" s="719" cm="1">
        <f t="array" ref="AP24">ROUND(AQ24*E24,0)</f>
        <v>40999</v>
      </c>
      <c r="AQ24" s="720">
        <v>1.0342</v>
      </c>
      <c r="AR24" s="719" cm="1">
        <f t="array" ref="AR24">ROUND(E24*AS24,0)</f>
        <v>3675</v>
      </c>
      <c r="AS24" s="720" cm="1">
        <f t="array" ref="AS24">0.0927</f>
        <v>0.0927</v>
      </c>
      <c r="AT24" s="721" cm="1">
        <f t="array" ref="AT24">SUM(AQ24,AS24)</f>
        <v>1.1269</v>
      </c>
      <c r="AU24" s="719" cm="1">
        <f t="array" ref="AU24">SUM(AP24,AR24)</f>
        <v>44674</v>
      </c>
      <c r="AV24" s="722" cm="1">
        <f t="array" ref="AV24">AD24-AU24-BB24</f>
        <v>383811.841964473</v>
      </c>
      <c r="AW24" s="723" cm="1">
        <f t="array" ref="AW24">ROUND(AV24/$E24,4)</f>
        <v>9.6816</v>
      </c>
      <c r="AX24" s="722" cm="1">
        <f t="array" ref="AX24">I24-SUM(AU24,AV24,BB24)</f>
        <v>194513.158035527</v>
      </c>
      <c r="AY24" s="723" cm="1">
        <f t="array" ref="AY24">ROUND(AX24/$E24,4)</f>
        <v>4.9065</v>
      </c>
      <c r="AZ24" s="724" cm="1">
        <f t="array" ref="AZ24">AX24+AV24</f>
        <v>578325</v>
      </c>
      <c r="BA24" s="723" cm="1">
        <f t="array" ref="BA24">ROUND((AV24+AX24)/E24,4)</f>
        <v>14.5881</v>
      </c>
      <c r="BB24" s="725" cm="1">
        <f t="array" ref="BB24">376543</f>
        <v>376543</v>
      </c>
      <c r="BC24" s="832" cm="1">
        <f t="array" ref="BC24">ROUND(BB24/$E24,4)</f>
        <v>9.498200000000001</v>
      </c>
      <c r="BD24" s="711" cm="1">
        <f t="array" ref="BD24">K23-K24</f>
        <v>61443</v>
      </c>
      <c r="BE24" s="711" cm="1">
        <f t="array" ref="BE24">AZ24-BD24</f>
        <v>516882</v>
      </c>
      <c r="BF24" s="711" cm="1">
        <f t="array" ref="BF24">-BE24</f>
        <v>-516882</v>
      </c>
      <c r="BG24" s="711" cm="1">
        <f t="array" ref="BG24">BB24+BE24</f>
        <v>893425</v>
      </c>
      <c r="BH24" s="711" cm="1">
        <f t="array" ref="BH24">AVERAGE(BG22:BG24)</f>
        <v>1082260.33333333</v>
      </c>
      <c r="BI24" s="727" cm="1">
        <f t="array" ref="BI24">BC23-BC24</f>
        <v>5.1713</v>
      </c>
      <c r="BJ24" s="714" cm="1">
        <f t="array" ref="BJ24">J23*0.0495/12-0.16</f>
        <v>14.268750875</v>
      </c>
      <c r="BK24" s="728" cm="1">
        <f t="array" ref="BK24">(AV24+AX24)/BB24</f>
        <v>1.53588036426119</v>
      </c>
      <c r="BL24" s="728" cm="1">
        <f t="array" ref="BL24">U24-AW24</f>
        <v>10.625058452589</v>
      </c>
      <c r="BM24" s="728" cm="1">
        <f t="array" ref="BM24">(BN$2*(1+BN$2)^BM$2*J23)/((1+BN$2)^BM$2-1)</f>
        <v>18.6706286594564</v>
      </c>
      <c r="BN24" s="728"/>
      <c r="BO24" s="704" cm="1">
        <f t="array" ref="BO24">AV24+AX24+BO23</f>
        <v>19068503</v>
      </c>
      <c r="BP24" s="704" cm="1">
        <f t="array" ref="BP24">BB24+BP23</f>
        <v>9691659</v>
      </c>
      <c r="BQ24" s="714" cm="1">
        <f t="array" ref="BQ24">BA24+BQ23</f>
        <v>500.3636</v>
      </c>
      <c r="BR24" s="714" cm="1">
        <f t="array" ref="BR24">BC24+BR23</f>
        <v>250.9037</v>
      </c>
      <c r="BS24" s="704" cm="1">
        <f t="array" ref="BS24">SUM(BE$6:BE24)</f>
        <v>10526127</v>
      </c>
      <c r="BT24" s="714"/>
      <c r="BU24" s="714"/>
      <c r="BV24" s="704" cm="1">
        <f t="array" ref="BV24">SUM(AZ$6:AZ24)</f>
        <v>19068503</v>
      </c>
      <c r="BW24" s="714"/>
      <c r="BX24" s="714"/>
    </row>
    <row r="25" ht="19.35" customHeight="1">
      <c r="A25" s="689">
        <v>22</v>
      </c>
      <c r="B25" s="703">
        <v>46002</v>
      </c>
      <c r="C25" s="704" cm="1">
        <f t="array" ref="C25">I25</f>
        <v>998365</v>
      </c>
      <c r="D25" s="705" cm="1">
        <f t="array" ref="D25">W25</f>
        <v>25.1786520204483</v>
      </c>
      <c r="E25" s="707">
        <v>39651.25</v>
      </c>
      <c r="F25" s="706" cm="1">
        <f t="array" ref="F25">ROUND((E25-E24)/E24,4)</f>
        <v>0.0002</v>
      </c>
      <c r="G25" s="706" cm="1">
        <f t="array" ref="G25">SUM(F14:F25)</f>
        <v>0.0337187557061995</v>
      </c>
      <c r="H25" s="708" cm="1">
        <f t="array" ref="H25">G25+4.95/100</f>
        <v>0.08321875570619949</v>
      </c>
      <c r="I25" s="704" cm="1">
        <f t="array" ref="I25">IF(J24=0,0,ROUND(D25*E25,0))</f>
        <v>998365</v>
      </c>
      <c r="J25" s="709" cm="1">
        <f t="array" ref="J25">J24-IF(ISBLANK(D25),0,BA25)</f>
        <v>3468.6762</v>
      </c>
      <c r="K25" s="711" cm="1">
        <f t="array" ref="K25">ROUND(J25*E25,0)</f>
        <v>137537347</v>
      </c>
      <c r="L25" s="711" cm="1">
        <f t="array" ref="L25">K25-K24</f>
        <v>-552809</v>
      </c>
      <c r="M25" s="713" cm="1">
        <f t="array" ref="M25">Q25-J25</f>
        <v>1931.3238</v>
      </c>
      <c r="N25" s="711" cm="1">
        <f t="array" ref="N25">ROUND(M25*E25,0)</f>
        <v>76579403</v>
      </c>
      <c r="O25" s="714" cm="1">
        <f t="array" ref="O25">$J$5-J25</f>
        <v>481.3238</v>
      </c>
      <c r="P25" s="711" cm="1">
        <f t="array" ref="P25">N25-N24</f>
        <v>594173</v>
      </c>
      <c r="Q25" s="714">
        <v>5400</v>
      </c>
      <c r="R25" s="711" cm="1">
        <f t="array" ref="R25">Q25*E25</f>
        <v>214116750</v>
      </c>
      <c r="S25" s="704" cm="1">
        <f t="array" ref="S25">-P25</f>
        <v>-594173</v>
      </c>
      <c r="T25" s="715"/>
      <c r="U25" s="716" cm="1">
        <f t="array" ref="U25">J24*4.95/12/100/(1-(1+4.95/12/100)^-(360-$A25))+AT25</f>
        <v>20.2520458149339</v>
      </c>
      <c r="V25" s="705" cm="1">
        <f t="array" ref="V25">IF(V$3*12&lt;=$A25,0,$J24*'depto - Departamento'!$D$8/12/(1-(1+'depto - Departamento'!$D$8/12)^-(12*V$3-$A25+3))+$AT26)</f>
        <v>22.0868138592679</v>
      </c>
      <c r="W25" s="705" cm="1">
        <f t="array" ref="W25">IF(W$3*12&lt;=$A25,0,$J24*'depto - Departamento'!$D$8/12/(1-(1+'depto - Departamento'!$D$8/12)^-(12*W$3-$A25+3))+$AT26)</f>
        <v>25.1786520204483</v>
      </c>
      <c r="X25" s="705" cm="1">
        <f t="array" ref="X25">IF(X$3*12&lt;=$A25,0,$J24*'depto - Departamento'!$D$8/12/(1-(1+'depto - Departamento'!$D$8/12)^-(12*X$3-$A25+3))+$AT26)</f>
        <v>30.7778526434447</v>
      </c>
      <c r="Y25" s="705" cm="1">
        <f t="array" ref="Y25">IF(Y$3*12&lt;=$A25,0,$J24*'depto - Departamento'!$D$8/12/(1-(1+'depto - Departamento'!$D$8/12)^-(12*Y$3-$A25+3))+$AT26)</f>
        <v>36.8472774408818</v>
      </c>
      <c r="Z25" s="705" cm="1">
        <f t="array" ref="Z25">IF(Z$3*12&lt;=$A25,0,$J24*'depto - Departamento'!$D$8/12/(1-(1+'depto - Departamento'!$D$8/12)^-(12*Z$3-$A25+3))+$AT26)</f>
        <v>43.3656034327622</v>
      </c>
      <c r="AA25" s="705" cm="1">
        <f t="array" ref="AA25">IF(AA$3*12&lt;=$A25,0,$J24*'depto - Departamento'!$D$8/12/(1-(1+'depto - Departamento'!$D$8/12)^-(12*AA$3-$A25+3))+$AT26)</f>
        <v>93.64550311653841</v>
      </c>
      <c r="AB25" s="705" cm="1">
        <f t="array" ref="AB25">AB24-(AB23-AB24)</f>
        <v>79.494</v>
      </c>
      <c r="AC25" s="705"/>
      <c r="AD25" s="717" cm="1">
        <f t="array" ref="AD25">$E25*U25</f>
        <v>803018.9316193979</v>
      </c>
      <c r="AE25" s="704" cm="1">
        <f t="array" ref="AE25">$E25*V25</f>
        <v>875769.778037296</v>
      </c>
      <c r="AF25" s="704" cm="1">
        <f t="array" ref="AF25">$E25*W25</f>
        <v>998365.025925801</v>
      </c>
      <c r="AG25" s="704" cm="1">
        <f t="array" ref="AG25">$E25*X25</f>
        <v>1220380.32962839</v>
      </c>
      <c r="AH25" s="704" cm="1">
        <f t="array" ref="AH25">$E25*Y25</f>
        <v>1461040.60962776</v>
      </c>
      <c r="AI25" s="704" cm="1">
        <f t="array" ref="AI25">$E25*Z25</f>
        <v>1719500.38311331</v>
      </c>
      <c r="AJ25" s="704" cm="1">
        <f t="array" ref="AJ25">$E25*AA25</f>
        <v>3713161.25544964</v>
      </c>
      <c r="AK25" s="704" cm="1">
        <f t="array" ref="AK25">$E25*AB25</f>
        <v>3152036.4675</v>
      </c>
      <c r="AL25" s="705"/>
      <c r="AM25" s="718" cm="1">
        <f t="array" ref="AM25">J24-J25</f>
        <v>14.6147</v>
      </c>
      <c r="AN25" s="718" cm="1">
        <f t="array" ref="AN25">D25-AM25</f>
        <v>10.5639520204483</v>
      </c>
      <c r="AO25" s="705"/>
      <c r="AP25" s="719" cm="1">
        <f t="array" ref="AP25">ROUND(AQ25*E25,0)</f>
        <v>41007</v>
      </c>
      <c r="AQ25" s="720">
        <v>1.0342</v>
      </c>
      <c r="AR25" s="719" cm="1">
        <f t="array" ref="AR25">ROUND(E25*AS25,0)</f>
        <v>3652</v>
      </c>
      <c r="AS25" s="720">
        <v>0.0921</v>
      </c>
      <c r="AT25" s="721" cm="1">
        <f t="array" ref="AT25">SUM(AQ25,AS25)</f>
        <v>1.1263</v>
      </c>
      <c r="AU25" s="719" cm="1">
        <f t="array" ref="AU25">SUM(AP25,AR25)</f>
        <v>44659</v>
      </c>
      <c r="AV25" s="722">
        <v>128367</v>
      </c>
      <c r="AW25" s="723" cm="1">
        <f t="array" ref="AW25">ROUND(AV25/$E25,4)</f>
        <v>3.2374</v>
      </c>
      <c r="AX25" s="722" cm="1">
        <f t="array" ref="AX25">I25-SUM(AU25,AV25,BB25)</f>
        <v>451126</v>
      </c>
      <c r="AY25" s="723" cm="1">
        <f t="array" ref="AY25">ROUND(AX25/$E25,4)</f>
        <v>11.3773</v>
      </c>
      <c r="AZ25" s="724" cm="1">
        <f t="array" ref="AZ25">AX25+AV25</f>
        <v>579493</v>
      </c>
      <c r="BA25" s="723" cm="1">
        <f t="array" ref="BA25">ROUND((AV25+AX25)/E25,4)</f>
        <v>14.6147</v>
      </c>
      <c r="BB25" s="725">
        <v>374213</v>
      </c>
      <c r="BC25" s="832" cm="1">
        <f t="array" ref="BC25">ROUND(BB25/$E25,4)</f>
        <v>9.4376</v>
      </c>
      <c r="BD25" s="711" cm="1">
        <f t="array" ref="BD25">K24-K25</f>
        <v>552809</v>
      </c>
      <c r="BE25" s="711" cm="1">
        <f t="array" ref="BE25">AZ25-BD25</f>
        <v>26684</v>
      </c>
      <c r="BF25" s="711" cm="1">
        <f t="array" ref="BF25">-BE25</f>
        <v>-26684</v>
      </c>
      <c r="BG25" s="711" cm="1">
        <f t="array" ref="BG25">BB25+BE25</f>
        <v>400897</v>
      </c>
      <c r="BH25" s="711" cm="1">
        <f t="array" ref="BH25">AVERAGE(BG23:BG25)</f>
        <v>636457.333333333</v>
      </c>
      <c r="BI25" s="727" cm="1">
        <f t="array" ref="BI25">BC24-BC25</f>
        <v>0.0606</v>
      </c>
      <c r="BJ25" s="714" cm="1">
        <f t="array" ref="BJ25">J24*0.0495/12-0.16</f>
        <v>14.2085749625</v>
      </c>
      <c r="BK25" s="728" cm="1">
        <f t="array" ref="BK25">(AV25+AX25)/BB25</f>
        <v>1.54856458754773</v>
      </c>
      <c r="BL25" s="728" cm="1">
        <f t="array" ref="BL25">U25-AW25</f>
        <v>17.0146458149339</v>
      </c>
      <c r="BM25" s="728" cm="1">
        <f t="array" ref="BM25">(BN$2*(1+BN$2)^BM$2*J24)/((1+BN$2)^BM$2-1)</f>
        <v>18.5927617584152</v>
      </c>
      <c r="BN25" s="728"/>
      <c r="BO25" s="704" cm="1">
        <f t="array" ref="BO25">AV25+AX25+BO24</f>
        <v>19647996</v>
      </c>
      <c r="BP25" s="704" cm="1">
        <f t="array" ref="BP25">BB25+BP24</f>
        <v>10065872</v>
      </c>
      <c r="BQ25" s="714" cm="1">
        <f t="array" ref="BQ25">BA25+BQ24</f>
        <v>514.9783</v>
      </c>
      <c r="BR25" s="714" cm="1">
        <f t="array" ref="BR25">BC25+BR24</f>
        <v>260.3413</v>
      </c>
      <c r="BS25" s="704" cm="1">
        <f t="array" ref="BS25">SUM(BE$6:BE25)</f>
        <v>10552811</v>
      </c>
      <c r="BT25" s="714"/>
      <c r="BU25" s="714"/>
      <c r="BV25" s="704" cm="1">
        <f t="array" ref="BV25">SUM(AZ$6:AZ25)</f>
        <v>19647996</v>
      </c>
      <c r="BW25" s="714"/>
      <c r="BX25" s="714"/>
    </row>
    <row r="26" ht="19.35" customHeight="1">
      <c r="A26" s="689">
        <v>23</v>
      </c>
      <c r="B26" s="675">
        <v>46062</v>
      </c>
      <c r="C26" s="247" cm="1">
        <f t="array" ref="C26">I26</f>
        <v>997790</v>
      </c>
      <c r="D26" s="597" cm="1">
        <f t="array" ref="D26">W26</f>
        <v>25.1440115013003</v>
      </c>
      <c r="E26" s="296">
        <v>39682.99</v>
      </c>
      <c r="F26" s="676" cm="1">
        <f t="array" ref="F26">ROUND((E26-E25)/E25,4)</f>
        <v>0.0008</v>
      </c>
      <c r="G26" s="676" cm="1">
        <f t="array" ref="G26">SUM(F15:F26)</f>
        <v>0.0342612441488045</v>
      </c>
      <c r="H26" s="299" cm="1">
        <f t="array" ref="H26">G26+4.95/100</f>
        <v>0.0837612441488045</v>
      </c>
      <c r="I26" s="247" cm="1">
        <f t="array" ref="I26">IF(J25=0,0,ROUND(D26*E26,0))</f>
        <v>997790</v>
      </c>
      <c r="J26" s="677" cm="1">
        <f t="array" ref="J26">IF(J25-BA26&lt;0,0,J25-BA26)</f>
        <v>3454.0511</v>
      </c>
      <c r="K26" s="679" cm="1">
        <f t="array" ref="K26">ROUND(J26*E26,0)</f>
        <v>137067075</v>
      </c>
      <c r="L26" s="679" cm="1">
        <f t="array" ref="L26">K26-K25</f>
        <v>-470272</v>
      </c>
      <c r="M26" s="681" cm="1">
        <f t="array" ref="M26">Q26-J26</f>
        <v>1945.9489</v>
      </c>
      <c r="N26" s="679" cm="1">
        <f t="array" ref="N26">ROUND(M26*E26,0)</f>
        <v>77221071</v>
      </c>
      <c r="O26" s="596" cm="1">
        <f t="array" ref="O26">$J$5-J26</f>
        <v>495.9489</v>
      </c>
      <c r="P26" s="679" cm="1">
        <f t="array" ref="P26">N26-N25</f>
        <v>641668</v>
      </c>
      <c r="Q26" s="596">
        <v>5400</v>
      </c>
      <c r="R26" s="679" cm="1">
        <f t="array" ref="R26">Q26*E26</f>
        <v>214288146</v>
      </c>
      <c r="S26" s="247" cm="1">
        <f t="array" ref="S26">-P26</f>
        <v>-641668</v>
      </c>
      <c r="T26" s="690"/>
      <c r="U26" s="682" cm="1">
        <f t="array" ref="U26">J25*4.95/12/100/(1-(1+4.95/12/100)^-(360-$A26))+AT26</f>
        <v>20.1973469450883</v>
      </c>
      <c r="V26" s="597" cm="1">
        <f t="array" ref="V26">IF(V$3*12&lt;=$A26,0,$J25*'depto - Departamento'!$D$8/12/(1-(1+'depto - Departamento'!$D$8/12)^-(12*V$3-$A26+3))+$AT27)</f>
        <v>22.0379476497594</v>
      </c>
      <c r="W26" s="597" cm="1">
        <f t="array" ref="W26">IF(W$3*12&lt;=$A26,0,$J25*'depto - Departamento'!$D$8/12/(1-(1+'depto - Departamento'!$D$8/12)^-(12*W$3-$A26+3))+$AT27)</f>
        <v>25.1440115013003</v>
      </c>
      <c r="X26" s="597" cm="1">
        <f t="array" ref="X26">IF(X$3*12&lt;=$A26,0,$J25*'depto - Departamento'!$D$8/12/(1-(1+'depto - Departamento'!$D$8/12)^-(12*X$3-$A26+3))+$AT27)</f>
        <v>30.783070806236</v>
      </c>
      <c r="Y26" s="597" cm="1">
        <f t="array" ref="Y26">IF(Y$3*12&lt;=$A26,0,$J25*'depto - Departamento'!$D$8/12/(1-(1+'depto - Departamento'!$D$8/12)^-(12*Y$3-$A26+3))+$AT27)</f>
        <v>36.9163045519959</v>
      </c>
      <c r="Z26" s="597" cm="1">
        <f t="array" ref="Z26">IF(Z$3*12&lt;=$A26,0,$J25*'depto - Departamento'!$D$8/12/(1-(1+'depto - Departamento'!$D$8/12)^-(12*Z$3-$A26+3))+$AT27)</f>
        <v>43.5271541270378</v>
      </c>
      <c r="AA26" s="597" cm="1">
        <f t="array" ref="AA26">IF(AA$3*12&lt;=$A26,0,$J25*'depto - Departamento'!$D$8/12/(1-(1+'depto - Departamento'!$D$8/12)^-(12*AA$3-$A26+3))+$AT27)</f>
        <v>95.37132622330191</v>
      </c>
      <c r="AB26" s="597" cm="1">
        <f t="array" ref="AB26">79.7802</f>
        <v>79.78019999999999</v>
      </c>
      <c r="AC26" s="597"/>
      <c r="AD26" s="696" cm="1">
        <f t="array" ref="AD26">$E26*U26</f>
        <v>801491.1168484699</v>
      </c>
      <c r="AE26" s="247" cm="1">
        <f t="array" ref="AE26">$E26*V26</f>
        <v>874531.656205926</v>
      </c>
      <c r="AF26" s="247" cm="1">
        <f t="array" ref="AF26">$E26*W26</f>
        <v>997789.556965985</v>
      </c>
      <c r="AG26" s="247" cm="1">
        <f t="array" ref="AG26">$E26*X26</f>
        <v>1221564.29097316</v>
      </c>
      <c r="AH26" s="247" cm="1">
        <f t="array" ref="AH26">$E26*Y26</f>
        <v>1464949.34437381</v>
      </c>
      <c r="AI26" s="247" cm="1">
        <f t="array" ref="AI26">$E26*Z26</f>
        <v>1727287.6219517</v>
      </c>
      <c r="AJ26" s="247" cm="1">
        <f t="array" ref="AJ26">$E26*AA26</f>
        <v>3784619.38480603</v>
      </c>
      <c r="AK26" s="247" cm="1">
        <f t="array" ref="AK26">$E26*AB26</f>
        <v>3165916.878798</v>
      </c>
      <c r="AL26" s="597"/>
      <c r="AM26" s="691" cm="1">
        <f t="array" ref="AM26">J25-J26</f>
        <v>14.6251</v>
      </c>
      <c r="AN26" s="691" cm="1">
        <f t="array" ref="AN26">D26-AM26</f>
        <v>10.5189115013003</v>
      </c>
      <c r="AO26" s="597"/>
      <c r="AP26" s="684" cm="1">
        <f t="array" ref="AP26">ROUND(AQ26*E26,0)</f>
        <v>41040</v>
      </c>
      <c r="AQ26" s="692">
        <v>1.0342</v>
      </c>
      <c r="AR26" s="684" cm="1">
        <f t="array" ref="AR26">ROUND(E26*AS26,0)</f>
        <v>3635</v>
      </c>
      <c r="AS26" s="692">
        <v>0.0916</v>
      </c>
      <c r="AT26" s="693" cm="1">
        <f t="array" ref="AT26">SUM(AQ26,AS26)</f>
        <v>1.1258</v>
      </c>
      <c r="AU26" s="684" cm="1">
        <f t="array" ref="AU26">ROUND(SUM(AQ26,AS26)*E26,0)</f>
        <v>44675</v>
      </c>
      <c r="AV26" s="685" cm="1">
        <f t="array" ref="AV26">AD26-AU26-BB26</f>
        <v>384070.11684847</v>
      </c>
      <c r="AW26" s="694" cm="1">
        <f t="array" ref="AW26">ROUND(AV26/$E26,4)</f>
        <v>9.6785</v>
      </c>
      <c r="AX26" s="685" cm="1">
        <f t="array" ref="AX26">I26-SUM(AU26,AV26,BB26)</f>
        <v>196298.88315153</v>
      </c>
      <c r="AY26" s="694" cm="1">
        <f t="array" ref="AY26">ROUND(AX26/$E26,4)</f>
        <v>4.9467</v>
      </c>
      <c r="AZ26" s="686" cm="1">
        <f t="array" ref="AZ26">AX26+AV26</f>
        <v>580369</v>
      </c>
      <c r="BA26" s="694" cm="1">
        <f t="array" ref="BA26">ROUND((AV26+AX26)/E26,4)</f>
        <v>14.6251</v>
      </c>
      <c r="BB26" s="687">
        <v>372746</v>
      </c>
      <c r="BC26" s="695" cm="1">
        <f t="array" ref="BC26">ROUND(BB26/$E26,4)</f>
        <v>9.3931</v>
      </c>
      <c r="BD26" s="679" cm="1">
        <f t="array" ref="BD26">K25-K26</f>
        <v>470272</v>
      </c>
      <c r="BE26" s="679" cm="1">
        <f t="array" ref="BE26">AZ26-BD26</f>
        <v>110097</v>
      </c>
      <c r="BF26" s="679" cm="1">
        <f t="array" ref="BF26">-BE26</f>
        <v>-110097</v>
      </c>
      <c r="BG26" s="679" cm="1">
        <f t="array" ref="BG26">BB26+BE26</f>
        <v>482843</v>
      </c>
      <c r="BH26" s="679" cm="1">
        <f t="array" ref="BH26">AVERAGE(BG24:BG26)</f>
        <v>592388.333333333</v>
      </c>
      <c r="BI26" s="699" cm="1">
        <f t="array" ref="BI26">BC25-BC26</f>
        <v>0.0445</v>
      </c>
      <c r="BJ26" s="596" cm="1">
        <f t="array" ref="BJ26">J25*0.0495/12-0.16</f>
        <v>14.148289325</v>
      </c>
      <c r="BK26" s="698" cm="1">
        <f t="array" ref="BK26">(AV26+AX26)/BB26</f>
        <v>1.5570093307507</v>
      </c>
      <c r="BL26" s="698" cm="1">
        <f t="array" ref="BL26">U26-AW26</f>
        <v>10.5188469450883</v>
      </c>
      <c r="BM26" s="698" cm="1">
        <f t="array" ref="BM26">(BN$2*(1+BN$2)^BM$2*J25)/((1+BN$2)^BM$2-1)</f>
        <v>18.5147528745546</v>
      </c>
      <c r="BN26" s="698"/>
      <c r="BO26" s="247" cm="1">
        <f t="array" ref="BO26">AV26+AX26+BO25</f>
        <v>20228365</v>
      </c>
      <c r="BP26" s="247" cm="1">
        <f t="array" ref="BP26">BB26+BP25</f>
        <v>10438618</v>
      </c>
      <c r="BQ26" s="596" cm="1">
        <f t="array" ref="BQ26">BA26+BQ25</f>
        <v>529.6034</v>
      </c>
      <c r="BR26" s="596" cm="1">
        <f t="array" ref="BR26">BC26+BR25</f>
        <v>269.7344</v>
      </c>
      <c r="BS26" s="247" cm="1">
        <f t="array" ref="BS26">SUM(BE$6:BE26)</f>
        <v>10662908</v>
      </c>
      <c r="BT26" s="596"/>
      <c r="BU26" s="596"/>
      <c r="BV26" s="247" cm="1">
        <f t="array" ref="BV26">SUM(AZ$6:AZ26)</f>
        <v>20228365</v>
      </c>
      <c r="BW26" s="596"/>
      <c r="BX26" s="596"/>
    </row>
    <row r="27" ht="19.35" customHeight="1">
      <c r="A27" s="689">
        <v>24</v>
      </c>
      <c r="B27" s="675">
        <v>46064</v>
      </c>
      <c r="C27" s="247" cm="1">
        <f t="array" ref="C27">I27</f>
        <v>996227</v>
      </c>
      <c r="D27" s="597" cm="1">
        <f t="array" ref="D27">W27</f>
        <v>25.097484471329</v>
      </c>
      <c r="E27" s="296">
        <v>39694.31</v>
      </c>
      <c r="F27" s="676" cm="1">
        <f t="array" ref="F27">ROUND((E27-E26)/E26,4)</f>
        <v>0.0003</v>
      </c>
      <c r="G27" s="676" cm="1">
        <f t="array" ref="G27">SUM(F16:F27)</f>
        <v>0.0341703859571073</v>
      </c>
      <c r="H27" s="299" cm="1">
        <f t="array" ref="H27">G27+4.95/100</f>
        <v>0.0836703859571073</v>
      </c>
      <c r="I27" s="247" cm="1">
        <f t="array" ref="I27">IF(J26=0,0,ROUND(D27*E27,0))</f>
        <v>996227</v>
      </c>
      <c r="J27" s="677" cm="1">
        <f t="array" ref="J27">IF(J26-BA27&lt;0,0,J26-BA27)</f>
        <v>3439.4156</v>
      </c>
      <c r="K27" s="679" cm="1">
        <f t="array" ref="K27">ROUND(J27*E27,0)</f>
        <v>136525229</v>
      </c>
      <c r="L27" s="679" cm="1">
        <f t="array" ref="L27">K27-K26</f>
        <v>-541846</v>
      </c>
      <c r="M27" s="681" cm="1">
        <f t="array" ref="M27">Q27-J27</f>
        <v>1960.5844</v>
      </c>
      <c r="N27" s="679" cm="1">
        <f t="array" ref="N27">ROUND(M27*E27,0)</f>
        <v>77824045</v>
      </c>
      <c r="O27" s="596" cm="1">
        <f t="array" ref="O27">$J$5-J27</f>
        <v>510.5844</v>
      </c>
      <c r="P27" s="679" cm="1">
        <f t="array" ref="P27">N27-N26</f>
        <v>602974</v>
      </c>
      <c r="Q27" s="596">
        <v>5400</v>
      </c>
      <c r="R27" s="679" cm="1">
        <f t="array" ref="R27">Q27*E27</f>
        <v>214349274</v>
      </c>
      <c r="S27" s="247" cm="1">
        <f t="array" ref="S27">-P27</f>
        <v>-602974</v>
      </c>
      <c r="T27" s="690"/>
      <c r="U27" s="682" cm="1">
        <f t="array" ref="U27">J26*4.95/12/100/(1-(1+4.95/12/100)^-(360-$A27))+AT27</f>
        <v>20.142549798179</v>
      </c>
      <c r="V27" s="597" cm="1">
        <f t="array" ref="V27">IF(V$3*12&lt;=$A27,0,$J26*'depto - Departamento'!$D$8/12/(1-(1+'depto - Departamento'!$D$8/12)^-(12*V$3-$A27+3))+$AT29)</f>
        <v>21.9770983534378</v>
      </c>
      <c r="W27" s="597" cm="1">
        <f t="array" ref="W27">IF(W$3*12&lt;=$A27,0,$J26*'depto - Departamento'!$D$8/12/(1-(1+'depto - Departamento'!$D$8/12)^-(12*W$3-$A27+3))+$AT29)</f>
        <v>25.097484471329</v>
      </c>
      <c r="X27" s="597" cm="1">
        <f t="array" ref="X27">IF(X$3*12&lt;=$A27,0,$J26*'depto - Departamento'!$D$8/12/(1-(1+'depto - Departamento'!$D$8/12)^-(12*X$3-$A27+3))+$AT29)</f>
        <v>30.7768919204537</v>
      </c>
      <c r="Y27" s="597" cm="1">
        <f t="array" ref="Y27">IF(Y$3*12&lt;=$A27,0,$J26*'depto - Departamento'!$D$8/12/(1-(1+'depto - Departamento'!$D$8/12)^-(12*Y$3-$A27+3))+$AT29)</f>
        <v>36.9751047729551</v>
      </c>
      <c r="Z27" s="597" cm="1">
        <f t="array" ref="Z27">IF(Z$3*12&lt;=$A27,0,$J26*'depto - Departamento'!$D$8/12/(1-(1+'depto - Departamento'!$D$8/12)^-(12*Z$3-$A27+3))+$AT29)</f>
        <v>43.6807399324676</v>
      </c>
      <c r="AA27" s="597" cm="1">
        <f t="array" ref="AA27">IF(AA$3*12&lt;=$A27,0,$J26*'depto - Departamento'!$D$8/12/(1-(1+'depto - Departamento'!$D$8/12)^-(12*AA$3-$A27+3))+$AT29)</f>
        <v>97.1753710616551</v>
      </c>
      <c r="AB27" s="597" cm="1">
        <f t="array" ref="AB27">79.7797</f>
        <v>79.77970000000001</v>
      </c>
      <c r="AC27" s="597"/>
      <c r="AD27" s="696" cm="1">
        <f t="array" ref="AD27">$E27*U27</f>
        <v>799544.615879355</v>
      </c>
      <c r="AE27" s="247" cm="1">
        <f t="array" ref="AE27">$E27*V27</f>
        <v>872365.75494185</v>
      </c>
      <c r="AF27" s="247" cm="1">
        <f t="array" ref="AF27">$E27*W27</f>
        <v>996227.328825119</v>
      </c>
      <c r="AG27" s="247" cm="1">
        <f t="array" ref="AG27">$E27*X27</f>
        <v>1221667.48872698</v>
      </c>
      <c r="AH27" s="247" cm="1">
        <f t="array" ref="AH27">$E27*Y27</f>
        <v>1467701.27114016</v>
      </c>
      <c r="AI27" s="247" cm="1">
        <f t="array" ref="AI27">$E27*Z27</f>
        <v>1733876.83190875</v>
      </c>
      <c r="AJ27" s="247" cm="1">
        <f t="array" ref="AJ27">$E27*AA27</f>
        <v>3857309.30328637</v>
      </c>
      <c r="AK27" s="247" cm="1">
        <f t="array" ref="AK27">$E27*AB27</f>
        <v>3166800.143507</v>
      </c>
      <c r="AL27" s="597"/>
      <c r="AM27" s="691" cm="1">
        <f t="array" ref="AM27">J26-J27</f>
        <v>14.6355</v>
      </c>
      <c r="AN27" s="691" cm="1">
        <f t="array" ref="AN27">D27-AM27</f>
        <v>10.461984471329</v>
      </c>
      <c r="AO27" s="597"/>
      <c r="AP27" s="684" cm="1">
        <f t="array" ref="AP27">ROUND(AQ27*E27,0)</f>
        <v>41052</v>
      </c>
      <c r="AQ27" s="692">
        <v>1.0342</v>
      </c>
      <c r="AR27" s="684" cm="1">
        <f t="array" ref="AR27">ROUND(E27*AS27,0)</f>
        <v>3616</v>
      </c>
      <c r="AS27" s="692">
        <v>0.0911</v>
      </c>
      <c r="AT27" s="693" cm="1">
        <f t="array" ref="AT27">SUM(AQ27,AS27)</f>
        <v>1.1253</v>
      </c>
      <c r="AU27" s="684" cm="1">
        <f t="array" ref="AU27">ROUND(SUM(AQ27,AS27)*E27,0)</f>
        <v>44668</v>
      </c>
      <c r="AV27" s="685">
        <v>128522</v>
      </c>
      <c r="AW27" s="694" cm="1">
        <f t="array" ref="AW27">ROUND(AV27/$E27,4)</f>
        <v>3.2378</v>
      </c>
      <c r="AX27" s="685" cm="1">
        <f t="array" ref="AX27">I27-SUM(AU27,AV27,BB27)</f>
        <v>452423</v>
      </c>
      <c r="AY27" s="694" cm="1">
        <f t="array" ref="AY27">ROUND(AX27/$E27,4)</f>
        <v>11.3977</v>
      </c>
      <c r="AZ27" s="686" cm="1">
        <f t="array" ref="AZ27">AX27+AV27</f>
        <v>580945</v>
      </c>
      <c r="BA27" s="694" cm="1">
        <f t="array" ref="BA27">ROUND((AV27+AX27)/E27,4)</f>
        <v>14.6355</v>
      </c>
      <c r="BB27" s="687">
        <v>370614</v>
      </c>
      <c r="BC27" s="695" cm="1">
        <f t="array" ref="BC27">ROUND(BB27/$E27,4)</f>
        <v>9.3367</v>
      </c>
      <c r="BD27" s="679" cm="1">
        <f t="array" ref="BD27">K26-K27</f>
        <v>541846</v>
      </c>
      <c r="BE27" s="679" cm="1">
        <f t="array" ref="BE27">AZ27-BD27</f>
        <v>39099</v>
      </c>
      <c r="BF27" s="679" cm="1">
        <f t="array" ref="BF27">-BE27</f>
        <v>-39099</v>
      </c>
      <c r="BG27" s="679" cm="1">
        <f t="array" ref="BG27">BB27+BE27</f>
        <v>409713</v>
      </c>
      <c r="BH27" s="679" cm="1">
        <f t="array" ref="BH27">AVERAGE(BG25:BG27)</f>
        <v>431151</v>
      </c>
      <c r="BI27" s="699" cm="1">
        <f t="array" ref="BI27">BC26-BC27</f>
        <v>0.0564</v>
      </c>
      <c r="BJ27" s="596" cm="1">
        <f t="array" ref="BJ27">J26*0.0495/12-0.16</f>
        <v>14.0879607875</v>
      </c>
      <c r="BK27" s="698" cm="1">
        <f t="array" ref="BK27">(AV27+AX27)/BB27</f>
        <v>1.56752038509069</v>
      </c>
      <c r="BL27" s="698" cm="1">
        <f t="array" ref="BL27">U27-AW27</f>
        <v>16.904749798179</v>
      </c>
      <c r="BM27" s="698" cm="1">
        <f t="array" ref="BM27">(BN$2*(1+BN$2)^BM$2*J26)/((1+BN$2)^BM$2-1)</f>
        <v>18.4366884786143</v>
      </c>
      <c r="BN27" s="698"/>
      <c r="BO27" s="247" cm="1">
        <f t="array" ref="BO27">AV27+AX27+BO26</f>
        <v>20809310</v>
      </c>
      <c r="BP27" s="247" cm="1">
        <f t="array" ref="BP27">BB27+BP26</f>
        <v>10809232</v>
      </c>
      <c r="BQ27" s="596" cm="1">
        <f t="array" ref="BQ27">BA27+BQ26</f>
        <v>544.2388999999999</v>
      </c>
      <c r="BR27" s="596" cm="1">
        <f t="array" ref="BR27">BC27+BR26</f>
        <v>279.0711</v>
      </c>
      <c r="BS27" s="247" cm="1">
        <f t="array" ref="BS27">SUM(BE$6:BE27)</f>
        <v>10702007</v>
      </c>
      <c r="BT27" s="596"/>
      <c r="BU27" s="596"/>
      <c r="BV27" s="247" cm="1">
        <f t="array" ref="BV27">SUM(AZ$6:AZ27)</f>
        <v>20809310</v>
      </c>
      <c r="BW27" s="596"/>
      <c r="BX27" s="596"/>
    </row>
    <row r="28" ht="20.35" customHeight="1">
      <c r="A28" t="s" s="700">
        <v>1019</v>
      </c>
      <c r="B28" s="675">
        <v>45726</v>
      </c>
      <c r="C28" s="247" cm="1">
        <f t="array" ref="C28">I28</f>
        <v>39841720</v>
      </c>
      <c r="D28" s="597">
        <v>1000</v>
      </c>
      <c r="E28" s="296">
        <v>39841.72</v>
      </c>
      <c r="F28" s="32"/>
      <c r="G28" s="676"/>
      <c r="H28" s="299"/>
      <c r="I28" s="247" cm="1">
        <f t="array" ref="I28">ROUND(D28*E28,0)</f>
        <v>39841720</v>
      </c>
      <c r="J28" s="677" cm="1">
        <f t="array" ref="J28">J27-BA28</f>
        <v>2441.5464</v>
      </c>
      <c r="K28" s="679" cm="1">
        <f t="array" ref="K28">ROUND(J28*E28,0)</f>
        <v>97275408</v>
      </c>
      <c r="L28" s="679" cm="1">
        <f t="array" ref="L28">K28-K27</f>
        <v>-39249821</v>
      </c>
      <c r="M28" s="681" cm="1">
        <f t="array" ref="M28">Q28-J28</f>
        <v>2958.4536</v>
      </c>
      <c r="N28" s="679" cm="1">
        <f t="array" ref="N28">ROUND(M28*E28,0)</f>
        <v>117869880</v>
      </c>
      <c r="O28" s="596" cm="1">
        <f t="array" ref="O28">$J$5-J28</f>
        <v>1508.4536</v>
      </c>
      <c r="P28" s="679" cm="1">
        <f t="array" ref="P28">N28-N27</f>
        <v>40045835</v>
      </c>
      <c r="Q28" s="596">
        <v>5400</v>
      </c>
      <c r="R28" s="679" cm="1">
        <f t="array" ref="R28">Q28*E28</f>
        <v>215145288</v>
      </c>
      <c r="S28" s="247" cm="1">
        <f t="array" ref="S28">-P28</f>
        <v>-40045835</v>
      </c>
      <c r="T28" s="690"/>
      <c r="U28" s="682"/>
      <c r="V28" s="705"/>
      <c r="W28" s="597"/>
      <c r="X28" s="597"/>
      <c r="Y28" s="597"/>
      <c r="Z28" s="597"/>
      <c r="AA28" s="597"/>
      <c r="AB28" s="597"/>
      <c r="AC28" s="701"/>
      <c r="AD28" s="696"/>
      <c r="AE28" s="705"/>
      <c r="AF28" s="705"/>
      <c r="AG28" s="597"/>
      <c r="AH28" s="247"/>
      <c r="AI28" s="597"/>
      <c r="AJ28" s="597"/>
      <c r="AK28" s="702"/>
      <c r="AL28" s="597"/>
      <c r="AM28" s="691" cm="1">
        <f t="array" ref="AM28">J27-J28</f>
        <v>997.8692</v>
      </c>
      <c r="AN28" s="691" cm="1">
        <f t="array" ref="AN28">D28-AM28</f>
        <v>2.1308</v>
      </c>
      <c r="AO28" s="597"/>
      <c r="AP28" s="684"/>
      <c r="AQ28" s="692"/>
      <c r="AR28" s="684"/>
      <c r="AS28" s="692"/>
      <c r="AT28" s="693"/>
      <c r="AU28" s="684"/>
      <c r="AV28" s="685"/>
      <c r="AW28" s="694"/>
      <c r="AX28" s="685" cm="1">
        <f t="array" ref="AX28">I28-SUM(AU28,AV28,BB28)</f>
        <v>39756827</v>
      </c>
      <c r="AY28" s="694" cm="1">
        <f t="array" ref="AY28">ROUND(AX28/$E28,4)</f>
        <v>997.8692</v>
      </c>
      <c r="AZ28" s="686" cm="1">
        <f t="array" ref="AZ28">AX28+AV28</f>
        <v>39756827</v>
      </c>
      <c r="BA28" s="694" cm="1">
        <f t="array" ref="BA28">ROUND(AW28+AY28,4)</f>
        <v>997.8692</v>
      </c>
      <c r="BB28" s="687">
        <v>84893</v>
      </c>
      <c r="BC28" s="695" cm="1">
        <f t="array" ref="BC28">TRUNC(BB28/$E28,4)</f>
        <v>2.1307</v>
      </c>
      <c r="BD28" s="679" cm="1">
        <f t="array" ref="BD28">K27-K28</f>
        <v>39249821</v>
      </c>
      <c r="BE28" s="679" cm="1">
        <f t="array" ref="BE28">AZ28-BD28</f>
        <v>507006</v>
      </c>
      <c r="BF28" s="679" cm="1">
        <f t="array" ref="BF28">-BE28</f>
        <v>-507006</v>
      </c>
      <c r="BG28" s="679" cm="1">
        <f t="array" ref="BG28">BB28+BE28</f>
        <v>591899</v>
      </c>
      <c r="BH28" s="679"/>
      <c r="BI28" s="699"/>
      <c r="BJ28" s="596"/>
      <c r="BK28" s="698"/>
      <c r="BL28" s="698"/>
      <c r="BM28" s="698" cm="1">
        <f t="array" ref="BM28">(BN$2*(1+BN$2)^BM$2*J27)/((1+BN$2)^BM$2-1)</f>
        <v>18.3585685705942</v>
      </c>
      <c r="BN28" s="690"/>
      <c r="BO28" s="247" cm="1">
        <f t="array" ref="BO28">AV28+AX28+BO27</f>
        <v>60566137</v>
      </c>
      <c r="BP28" s="247" cm="1">
        <f t="array" ref="BP28">BB28+BP27</f>
        <v>10894125</v>
      </c>
      <c r="BQ28" s="596" cm="1">
        <f t="array" ref="BQ28">BA28+BQ27</f>
        <v>1542.1081</v>
      </c>
      <c r="BR28" s="596" cm="1">
        <f t="array" ref="BR28">BC28+BR27</f>
        <v>281.2018</v>
      </c>
      <c r="BS28" s="247" cm="1">
        <f t="array" ref="BS28">SUM(BE$6:BE28)</f>
        <v>11209013</v>
      </c>
      <c r="BT28" s="596"/>
      <c r="BU28" s="247"/>
      <c r="BV28" s="247" cm="1">
        <f t="array" ref="BV28">SUM(AZ$6:AZ28)</f>
        <v>60566137</v>
      </c>
      <c r="BW28" s="247"/>
      <c r="BX28" s="247"/>
    </row>
    <row r="29" ht="19.35" customHeight="1">
      <c r="A29" s="689">
        <v>25</v>
      </c>
      <c r="B29" s="675">
        <v>46106</v>
      </c>
      <c r="C29" s="247" cm="1">
        <f t="array" ref="C29">I29</f>
        <v>721720</v>
      </c>
      <c r="D29" s="597" cm="1">
        <f t="array" ref="D29">W29</f>
        <v>18.1146796789859</v>
      </c>
      <c r="E29" s="296">
        <v>39841.72</v>
      </c>
      <c r="F29" s="676" cm="1">
        <f t="array" ref="F29">ROUND((E29-E27)/E27,4)</f>
        <v>0.0037</v>
      </c>
      <c r="G29" s="676" cm="1">
        <f t="array" ref="G29">SUM(F17:F29)</f>
        <v>0.0274</v>
      </c>
      <c r="H29" s="299" cm="1">
        <f t="array" ref="H29">G29+4.95/100</f>
        <v>0.0769</v>
      </c>
      <c r="I29" s="247" cm="1">
        <f t="array" ref="I29">IF(J28=0,0,ROUND(D29*E29,0))</f>
        <v>721720</v>
      </c>
      <c r="J29" s="677" cm="1">
        <f t="array" ref="J29">IF(J28-BA29&lt;0,0,J28-BA29)</f>
        <v>2432.6243</v>
      </c>
      <c r="K29" s="679" cm="1">
        <f t="array" ref="K29">ROUND(J29*E29,0)</f>
        <v>96919936</v>
      </c>
      <c r="L29" s="679" cm="1">
        <f t="array" ref="L29">K29-K28</f>
        <v>-355472</v>
      </c>
      <c r="M29" s="681" cm="1">
        <f t="array" ref="M29">Q29-J29</f>
        <v>2967.3757</v>
      </c>
      <c r="N29" s="679" cm="1">
        <f t="array" ref="N29">ROUND(M29*E29,0)</f>
        <v>118225352</v>
      </c>
      <c r="O29" s="596" cm="1">
        <f t="array" ref="O29">$J$5-J29</f>
        <v>1517.3757</v>
      </c>
      <c r="P29" s="679" cm="1">
        <f t="array" ref="P29">N29-N28</f>
        <v>355472</v>
      </c>
      <c r="Q29" s="596">
        <v>5400</v>
      </c>
      <c r="R29" s="679" cm="1">
        <f t="array" ref="R29">Q29*E29</f>
        <v>215145288</v>
      </c>
      <c r="S29" s="247" cm="1">
        <f t="array" ref="S29">-P29</f>
        <v>-355472</v>
      </c>
      <c r="T29" s="690"/>
      <c r="U29" s="682" cm="1">
        <f t="array" ref="U29">J28*4.95/12/100/(1-(1+4.95/12/100)^-(360-$A29))+AT29</f>
        <v>14.574107383727</v>
      </c>
      <c r="V29" s="597" cm="1">
        <f t="array" ref="V29">IF(V$3*12&lt;=$A29,0,$J27*'depto - Departamento'!$D$8/12/(1-(1+'depto - Departamento'!$D$8/12)^-(12*V$3-$A29+3))+$AT30)</f>
        <v>21.9285650268488</v>
      </c>
      <c r="W29" s="597" cm="1">
        <f t="array" ref="W29">IF(W$3*12&lt;=$A29,0,$J28*'depto - Departamento'!$D$8/12/(1-(1+'depto - Departamento'!$D$8/12)^-(12*W$3-$A29+3))+$AT31)</f>
        <v>18.1146796789859</v>
      </c>
      <c r="X29" s="597" cm="1">
        <f t="array" ref="X29">IF(X$3*12&lt;=$A29,0,$J28*'depto - Departamento'!$D$8/12/(1-(1+'depto - Departamento'!$D$8/12)^-(12*X$3-$A29+3))+$AT31)</f>
        <v>22.175330654171</v>
      </c>
      <c r="Y29" s="597" cm="1">
        <f t="array" ref="Y29">IF(Y$3*12&lt;=$A29,0,$J28*'depto - Departamento'!$D$8/12/(1-(1+'depto - Departamento'!$D$8/12)^-(12*Y$3-$A29+3))+$AT30)</f>
        <v>26.6222511206315</v>
      </c>
      <c r="Z29" s="597" cm="1">
        <f t="array" ref="Z29">IF(Z$3*12&lt;=$A29,0,$J28*'depto - Departamento'!$D$8/12/(1-(1+'depto - Departamento'!$D$8/12)^-(12*Z$3-$A29+3))+$AT30)</f>
        <v>31.4513444495187</v>
      </c>
      <c r="AA29" s="597" cm="1">
        <f t="array" ref="AA29">IF(AA$3*12&lt;=$A29,0,$J28*'depto - Departamento'!$D$8/12/(1-(1+'depto - Departamento'!$D$8/12)^-(12*AA$3-$A29+3))+$AT30)</f>
        <v>70.6634710098341</v>
      </c>
      <c r="AB29" s="597" cm="1">
        <f t="array" ref="AB29">79.7673</f>
        <v>79.76730000000001</v>
      </c>
      <c r="AC29" s="597"/>
      <c r="AD29" s="696" cm="1">
        <f t="array" ref="AD29">$E29*U29</f>
        <v>580657.505632384</v>
      </c>
      <c r="AE29" s="247" cm="1">
        <f t="array" ref="AE29">$E29*V29</f>
        <v>873671.747801502</v>
      </c>
      <c r="AF29" s="247" cm="1">
        <f t="array" ref="AF29">$E29*W29</f>
        <v>721719.995659846</v>
      </c>
      <c r="AG29" s="247" cm="1">
        <f t="array" ref="AG29">$E29*X29</f>
        <v>883503.314830898</v>
      </c>
      <c r="AH29" s="247" cm="1">
        <f t="array" ref="AH29">$E29*Y29</f>
        <v>1060676.27491789</v>
      </c>
      <c r="AI29" s="247" cm="1">
        <f t="array" ref="AI29">$E29*Z29</f>
        <v>1253075.65918128</v>
      </c>
      <c r="AJ29" s="247" cm="1">
        <f t="array" ref="AJ29">$E29*AA29</f>
        <v>2815354.22620193</v>
      </c>
      <c r="AK29" s="247" cm="1">
        <f t="array" ref="AK29">$E29*AB29</f>
        <v>3178066.431756</v>
      </c>
      <c r="AL29" s="597"/>
      <c r="AM29" s="691" cm="1">
        <f t="array" ref="AM29">J27-J29</f>
        <v>1006.7913</v>
      </c>
      <c r="AN29" s="691" cm="1">
        <f t="array" ref="AN29">D29-AM29</f>
        <v>-988.676620321014</v>
      </c>
      <c r="AO29" s="597"/>
      <c r="AP29" s="684" cm="1">
        <f t="array" ref="AP29">ROUND(AQ29*E29,0)</f>
        <v>41204</v>
      </c>
      <c r="AQ29" s="692">
        <v>1.0342</v>
      </c>
      <c r="AR29" s="684" cm="1">
        <f t="array" ref="AR29">ROUND(E29*AS29,0)</f>
        <v>3136</v>
      </c>
      <c r="AS29" s="692" cm="1">
        <f t="array" ref="AS29">0.0787</f>
        <v>0.07870000000000001</v>
      </c>
      <c r="AT29" s="693" cm="1">
        <f t="array" ref="AT29">SUM(AQ29,AS29)</f>
        <v>1.1129</v>
      </c>
      <c r="AU29" s="684" cm="1">
        <f t="array" ref="AU29">ROUND(SUM(AQ29,AS29)*E29,0)</f>
        <v>44340</v>
      </c>
      <c r="AV29" s="685">
        <v>112242</v>
      </c>
      <c r="AW29" s="694" cm="1">
        <f t="array" ref="AW29">ROUND(AV29/$E29,4)</f>
        <v>2.8172</v>
      </c>
      <c r="AX29" s="685" cm="1">
        <f t="array" ref="AX29">I29-SUM(AU29,AV29,BB29)</f>
        <v>243229</v>
      </c>
      <c r="AY29" s="694" cm="1">
        <f t="array" ref="AY29">ROUND(AX29/$E29,4)</f>
        <v>6.1049</v>
      </c>
      <c r="AZ29" s="686" cm="1">
        <f t="array" ref="AZ29">AX29+AV29</f>
        <v>355471</v>
      </c>
      <c r="BA29" s="694" cm="1">
        <f t="array" ref="BA29">ROUND((AV29+AX29)/E29,4)</f>
        <v>8.9221</v>
      </c>
      <c r="BB29" s="687">
        <v>321909</v>
      </c>
      <c r="BC29" s="695" cm="1">
        <f t="array" ref="BC29">ROUND(BB29/$E29,4)</f>
        <v>8.079700000000001</v>
      </c>
      <c r="BD29" s="679" cm="1">
        <f t="array" ref="BD29">K28-K29</f>
        <v>355472</v>
      </c>
      <c r="BE29" s="679" cm="1">
        <f t="array" ref="BE29">AZ29-BD29</f>
        <v>-1</v>
      </c>
      <c r="BF29" s="679" cm="1">
        <f t="array" ref="BF29">-BE29</f>
        <v>1</v>
      </c>
      <c r="BG29" s="679" cm="1">
        <f t="array" ref="BG29">BB29+BE29</f>
        <v>321908</v>
      </c>
      <c r="BH29" s="679" cm="1">
        <f t="array" ref="BH29">AVERAGE(BG26:BG27,BG29)</f>
        <v>404821.333333333</v>
      </c>
      <c r="BI29" s="699" cm="1">
        <f t="array" ref="BI29">BC27-BC29</f>
        <v>1.257</v>
      </c>
      <c r="BJ29" s="596" cm="1">
        <f t="array" ref="BJ29">J28*0.0495/12-0.16</f>
        <v>9.911378900000001</v>
      </c>
      <c r="BK29" s="698" cm="1">
        <f t="array" ref="BK29">(AV29+AX29)/BB29</f>
        <v>1.10425927824323</v>
      </c>
      <c r="BL29" s="698" cm="1">
        <f t="array" ref="BL29">U29-AW29</f>
        <v>11.756907383727</v>
      </c>
      <c r="BM29" s="698" cm="1">
        <f t="array" ref="BM29">(BN$2*(1+BN$2)^BM$2*J27)/((1+BN$2)^BM$2-1)</f>
        <v>18.3585685705942</v>
      </c>
      <c r="BN29" s="698"/>
      <c r="BO29" s="247" cm="1">
        <f t="array" ref="BO29">AV29+AX29+BO28</f>
        <v>60921608</v>
      </c>
      <c r="BP29" s="247" cm="1">
        <f t="array" ref="BP29">BB29+BP28</f>
        <v>11216034</v>
      </c>
      <c r="BQ29" s="596" cm="1">
        <f t="array" ref="BQ29">BA29+BQ28</f>
        <v>1551.0302</v>
      </c>
      <c r="BR29" s="596" cm="1">
        <f t="array" ref="BR29">BC29+BR28</f>
        <v>289.2815</v>
      </c>
      <c r="BS29" s="247" cm="1">
        <f t="array" ref="BS29">SUM(BE$6:BE29)</f>
        <v>11209012</v>
      </c>
      <c r="BT29" s="596"/>
      <c r="BU29" s="596"/>
      <c r="BV29" s="247" cm="1">
        <f t="array" ref="BV29">SUM(AZ$6:AZ29)</f>
        <v>60921608</v>
      </c>
      <c r="BW29" s="596"/>
      <c r="BX29" s="596"/>
    </row>
    <row r="30" ht="19.35" customHeight="1">
      <c r="A30" s="689">
        <v>26</v>
      </c>
      <c r="B30" s="675">
        <v>46123</v>
      </c>
      <c r="C30" s="247"/>
      <c r="D30" s="597" cm="1">
        <f t="array" ref="D30">W30</f>
        <v>18.1007709429251</v>
      </c>
      <c r="E30" s="833" cm="1">
        <f t="array" ref="E30">E29*(1+F30)</f>
        <v>39845.704172</v>
      </c>
      <c r="F30" s="834">
        <v>0.0001</v>
      </c>
      <c r="G30" s="676" cm="1">
        <f t="array" ref="G30">SUM(F18:F30)</f>
        <v>0.0235</v>
      </c>
      <c r="H30" s="299" cm="1">
        <f t="array" ref="H30">G30+4.95/100</f>
        <v>0.073</v>
      </c>
      <c r="I30" s="247" cm="1">
        <f t="array" ref="I30">IF(J29=0,0,ROUND(D30*E30,0))</f>
        <v>721238</v>
      </c>
      <c r="J30" s="677" cm="1">
        <f t="array" ref="J30">IF(J29-BA30&lt;0,0,J29-BA30)</f>
        <v>2423.7153</v>
      </c>
      <c r="K30" s="679" cm="1">
        <f t="array" ref="K30">ROUND(J30*E30,0)</f>
        <v>96574643</v>
      </c>
      <c r="L30" s="679" cm="1">
        <f t="array" ref="L30">K30-K29</f>
        <v>-345293</v>
      </c>
      <c r="M30" s="681" cm="1">
        <f t="array" ref="M30">Q30-J30</f>
        <v>2976.2847</v>
      </c>
      <c r="N30" s="679" cm="1">
        <f t="array" ref="N30">ROUND(M30*E30,0)</f>
        <v>118592160</v>
      </c>
      <c r="O30" s="596" cm="1">
        <f t="array" ref="O30">$J$5-J30</f>
        <v>1526.2847</v>
      </c>
      <c r="P30" s="679" cm="1">
        <f t="array" ref="P30">N30-N29</f>
        <v>366808</v>
      </c>
      <c r="Q30" s="596">
        <v>5400</v>
      </c>
      <c r="R30" s="679" cm="1">
        <f t="array" ref="R30">Q30*E30</f>
        <v>215166802.5288</v>
      </c>
      <c r="S30" s="247" cm="1">
        <f t="array" ref="S30">-P30</f>
        <v>-366808</v>
      </c>
      <c r="T30" s="690"/>
      <c r="U30" s="682" cm="1">
        <f t="array" ref="U30">J29*4.95/12/100/(1-(1+4.95/12/100)^-(360-$A30))+AT30</f>
        <v>14.5435633837831</v>
      </c>
      <c r="V30" s="597" cm="1">
        <f t="array" ref="V30">IF(V$3*12&lt;=$A30,0,$J29*'depto - Departamento'!$D$8/12/(1-(1+'depto - Departamento'!$D$8/12)^-(12*V$3-$A30+3))+$AT31)</f>
        <v>15.8637962340909</v>
      </c>
      <c r="W30" s="597" cm="1">
        <f t="array" ref="W30">IF(W$3*12&lt;=$A30,0,$J29*'depto - Departamento'!$D$8/12/(1-(1+'depto - Departamento'!$D$8/12)^-(12*W$3-$A30+3))+$AT32)</f>
        <v>18.1007709429251</v>
      </c>
      <c r="X30" s="597" cm="1">
        <f t="array" ref="X30">IF(X$3*12&lt;=$A30,0,$J29*'depto - Departamento'!$D$8/12/(1-(1+'depto - Departamento'!$D$8/12)^-(12*X$3-$A30+3))+$AT32)</f>
        <v>22.1932595414438</v>
      </c>
      <c r="Y30" s="597" cm="1">
        <f t="array" ref="Y30">IF(Y$3*12&lt;=$A30,0,$J29*'depto - Departamento'!$D$8/12/(1-(1+'depto - Departamento'!$D$8/12)^-(12*Y$3-$A30+3))+$AT31)</f>
        <v>26.6907623505625</v>
      </c>
      <c r="Z30" s="597" cm="1">
        <f t="array" ref="Z30">IF(Z$3*12&lt;=$A30,0,$J29*'depto - Departamento'!$D$8/12/(1-(1+'depto - Departamento'!$D$8/12)^-(12*Z$3-$A30+3))+$AT31)</f>
        <v>31.5934959981685</v>
      </c>
      <c r="AA30" s="597" cm="1">
        <f t="array" ref="AA30">IF(AA$3*12&lt;=$A30,0,$J29*'depto - Departamento'!$D$8/12/(1-(1+'depto - Departamento'!$D$8/12)^-(12*AA$3-$A30+3))+$AT31)</f>
        <v>72.13961518124481</v>
      </c>
      <c r="AB30" s="597" cm="1">
        <f t="array" ref="AB30">AB29-(AB27-AB29)</f>
        <v>79.75490000000001</v>
      </c>
      <c r="AC30" s="597"/>
      <c r="AD30" s="696" cm="1">
        <f t="array" ref="AD30">$E30*U30</f>
        <v>579498.524196953</v>
      </c>
      <c r="AE30" s="247" cm="1">
        <f t="array" ref="AE30">$E30*V30</f>
        <v>632104.131788474</v>
      </c>
      <c r="AF30" s="247" cm="1">
        <f t="array" ref="AF30">$E30*W30</f>
        <v>721237.9642769271</v>
      </c>
      <c r="AG30" s="247" cm="1">
        <f t="array" ref="AG30">$E30*X30</f>
        <v>884306.054300786</v>
      </c>
      <c r="AH30" s="247" cm="1">
        <f t="array" ref="AH30">$E30*Y30</f>
        <v>1063512.22074567</v>
      </c>
      <c r="AI30" s="247" cm="1">
        <f t="array" ref="AI30">$E30*Z30</f>
        <v>1258865.09530229</v>
      </c>
      <c r="AJ30" s="247" cm="1">
        <f t="array" ref="AJ30">$E30*AA30</f>
        <v>2874453.7655938</v>
      </c>
      <c r="AK30" s="247" cm="1">
        <f t="array" ref="AK30">$E30*AB30</f>
        <v>3177890.15166744</v>
      </c>
      <c r="AL30" s="597"/>
      <c r="AM30" s="691" cm="1">
        <f t="array" ref="AM30">J28-J30</f>
        <v>17.8311</v>
      </c>
      <c r="AN30" s="691" cm="1">
        <f t="array" ref="AN30">D30-AM30</f>
        <v>0.2696709429251</v>
      </c>
      <c r="AO30" s="597"/>
      <c r="AP30" s="684" cm="1">
        <f t="array" ref="AP30">ROUND(AQ30*E30,0)</f>
        <v>41208</v>
      </c>
      <c r="AQ30" s="692">
        <v>1.0342</v>
      </c>
      <c r="AR30" s="684" cm="1">
        <f t="array" ref="AR30">ROUND(E30*AS30,0)</f>
        <v>3136</v>
      </c>
      <c r="AS30" s="692" cm="1">
        <f t="array" ref="AS30">0.0787</f>
        <v>0.07870000000000001</v>
      </c>
      <c r="AT30" s="693" cm="1">
        <f t="array" ref="AT30">SUM(AQ30,AS30)</f>
        <v>1.1129</v>
      </c>
      <c r="AU30" s="684" cm="1">
        <f t="array" ref="AU30">ROUND(SUM(AQ30,AS30)*E30,0)</f>
        <v>44344</v>
      </c>
      <c r="AV30" s="685">
        <v>112242</v>
      </c>
      <c r="AW30" s="694" cm="1">
        <f t="array" ref="AW30">ROUND(AV30/$E30,4)</f>
        <v>2.8169</v>
      </c>
      <c r="AX30" s="685" cm="1">
        <f t="array" ref="AX30">I30-SUM(AU30,AV30,BB30)</f>
        <v>242743</v>
      </c>
      <c r="AY30" s="694" cm="1">
        <f t="array" ref="AY30">ROUND(AX30/$E30,4)</f>
        <v>6.0921</v>
      </c>
      <c r="AZ30" s="686" cm="1">
        <f t="array" ref="AZ30">AX30+AV30</f>
        <v>354985</v>
      </c>
      <c r="BA30" s="694" cm="1">
        <f t="array" ref="BA30">ROUND((AV30+AX30)/E30,4)</f>
        <v>8.909000000000001</v>
      </c>
      <c r="BB30" s="687">
        <v>321909</v>
      </c>
      <c r="BC30" s="695" cm="1">
        <f t="array" ref="BC30">ROUND(BB30/$E30,4)</f>
        <v>8.078900000000001</v>
      </c>
      <c r="BD30" s="679" cm="1">
        <f t="array" ref="BD30">K29-K30</f>
        <v>345293</v>
      </c>
      <c r="BE30" s="679" cm="1">
        <f t="array" ref="BE30">AZ30-BD30</f>
        <v>9692</v>
      </c>
      <c r="BF30" s="679" cm="1">
        <f t="array" ref="BF30">-BE30</f>
        <v>-9692</v>
      </c>
      <c r="BG30" s="679" cm="1">
        <f t="array" ref="BG30">BB30+BE30</f>
        <v>331601</v>
      </c>
      <c r="BH30" s="679" cm="1">
        <f t="array" ref="BH30">AVERAGE(BG27:BG28,BG30)</f>
        <v>444404.333333333</v>
      </c>
      <c r="BI30" s="699" cm="1">
        <f t="array" ref="BI30">BC28-BC30</f>
        <v>-5.9482</v>
      </c>
      <c r="BJ30" s="596" cm="1">
        <f t="array" ref="BJ30">J29*0.0495/12-0.16</f>
        <v>9.8745752375</v>
      </c>
      <c r="BK30" s="698" cm="1">
        <f t="array" ref="BK30">(AV30+AX30)/BB30</f>
        <v>1.10274953480642</v>
      </c>
      <c r="BL30" s="698" cm="1">
        <f t="array" ref="BL30">U30-AW30</f>
        <v>11.7266633837831</v>
      </c>
      <c r="BM30" s="698" cm="1">
        <f t="array" ref="BM30">(BN$2*(1+BN$2)^BM$2*J28)/((1+BN$2)^BM$2-1)</f>
        <v>13.0322421642465</v>
      </c>
      <c r="BN30" s="698"/>
      <c r="BO30" s="247" cm="1">
        <f t="array" ref="BO30">AV30+AX30+BO29</f>
        <v>61276593</v>
      </c>
      <c r="BP30" s="247" cm="1">
        <f t="array" ref="BP30">BB30+BP29</f>
        <v>11537943</v>
      </c>
      <c r="BQ30" s="596" cm="1">
        <f t="array" ref="BQ30">BA30+BQ29</f>
        <v>1559.9392</v>
      </c>
      <c r="BR30" s="596" cm="1">
        <f t="array" ref="BR30">BC30+BR29</f>
        <v>297.3604</v>
      </c>
      <c r="BS30" s="247" cm="1">
        <f t="array" ref="BS30">SUM(BE$6:BE30)</f>
        <v>11218704</v>
      </c>
      <c r="BT30" s="596"/>
      <c r="BU30" s="596"/>
      <c r="BV30" s="247" cm="1">
        <f t="array" ref="BV30">SUM(AZ$6:AZ30)</f>
        <v>61276593</v>
      </c>
      <c r="BW30" s="596"/>
      <c r="BX30" s="596"/>
    </row>
    <row r="31" ht="19.35" customHeight="1">
      <c r="A31" s="689">
        <v>27</v>
      </c>
      <c r="B31" s="675">
        <v>46153</v>
      </c>
      <c r="C31" s="247"/>
      <c r="D31" s="597" cm="1">
        <f t="array" ref="D31">W31</f>
        <v>18.0870744226221</v>
      </c>
      <c r="E31" s="731" cm="1">
        <f t="array" ref="E31">E30*(1+F31)</f>
        <v>40084.778397032</v>
      </c>
      <c r="F31" s="835">
        <v>0.006</v>
      </c>
      <c r="G31" s="676" cm="1">
        <f t="array" ref="G31">SUM(F19:F31)</f>
        <v>0.0245</v>
      </c>
      <c r="H31" s="299" cm="1">
        <f t="array" ref="H31">G31+4.95/100</f>
        <v>0.074</v>
      </c>
      <c r="I31" s="247" cm="1">
        <f t="array" ref="I31">IF(J30=0,0,ROUND(D31*E31,0))</f>
        <v>725016</v>
      </c>
      <c r="J31" s="677" cm="1">
        <f t="array" ref="J31">IF(J30-BA31&lt;0,0,J30-BA31)</f>
        <v>2414.7718</v>
      </c>
      <c r="K31" s="679" cm="1">
        <f t="array" ref="K31">ROUND(J31*E31,0)</f>
        <v>96795592</v>
      </c>
      <c r="L31" s="679" cm="1">
        <f t="array" ref="L31">K31-K30</f>
        <v>220949</v>
      </c>
      <c r="M31" s="681" cm="1">
        <f t="array" ref="M31">Q31-J31</f>
        <v>2985.2282</v>
      </c>
      <c r="N31" s="679" cm="1">
        <f t="array" ref="N31">ROUND(M31*E31,0)</f>
        <v>119662211</v>
      </c>
      <c r="O31" s="596" cm="1">
        <f t="array" ref="O31">$J$5-J31</f>
        <v>1535.2282</v>
      </c>
      <c r="P31" s="679" cm="1">
        <f t="array" ref="P31">N31-N30</f>
        <v>1070051</v>
      </c>
      <c r="Q31" s="596">
        <v>5400</v>
      </c>
      <c r="R31" s="679" cm="1">
        <f t="array" ref="R31">Q31*E31</f>
        <v>216457803.343973</v>
      </c>
      <c r="S31" s="247" cm="1">
        <f t="array" ref="S31">-P31</f>
        <v>-1070051</v>
      </c>
      <c r="T31" s="690"/>
      <c r="U31" s="682" cm="1">
        <f t="array" ref="U31">J30*4.95/12/100/(1-(1+4.95/12/100)^-(360-$A31))+AT31</f>
        <v>14.5130837182619</v>
      </c>
      <c r="V31" s="597" cm="1">
        <f t="array" ref="V31">IF(V$3*12&lt;=$A31,0,$J30*'depto - Departamento'!$D$8/12/(1-(1+'depto - Departamento'!$D$8/12)^-(12*V$3-$A31+3))+$AT32)</f>
        <v>15.8383233687859</v>
      </c>
      <c r="W31" s="597" cm="1">
        <f t="array" ref="W31">IF(W$3*12&lt;=$A31,0,$J30*'depto - Departamento'!$D$8/12/(1-(1+'depto - Departamento'!$D$8/12)^-(12*W$3-$A31+3))+$AT33)</f>
        <v>18.0870744226221</v>
      </c>
      <c r="X31" s="597" cm="1">
        <f t="array" ref="X31">IF(X$3*12&lt;=$A31,0,$J30*'depto - Departamento'!$D$8/12/(1-(1+'depto - Departamento'!$D$8/12)^-(12*X$3-$A31+3))+$AT33)</f>
        <v>22.2118607063855</v>
      </c>
      <c r="Y31" s="597" cm="1">
        <f t="array" ref="Y31">IF(Y$3*12&lt;=$A31,0,$J30*'depto - Departamento'!$D$8/12/(1-(1+'depto - Departamento'!$D$8/12)^-(12*Y$3-$A31+3))+$AT32)</f>
        <v>26.7609672306089</v>
      </c>
      <c r="Z31" s="597" cm="1">
        <f t="array" ref="Z31">IF(Z$3*12&lt;=$A31,0,$J30*'depto - Departamento'!$D$8/12/(1-(1+'depto - Departamento'!$D$8/12)^-(12*Z$3-$A31+3))+$AT32)</f>
        <v>31.7392792812098</v>
      </c>
      <c r="AA31" s="597" cm="1">
        <f t="array" ref="AA31">IF(AA$3*12&lt;=$A31,0,$J30*'depto - Departamento'!$D$8/12/(1-(1+'depto - Departamento'!$D$8/12)^-(12*AA$3-$A31+3))+$AT32)</f>
        <v>73.69942466976239</v>
      </c>
      <c r="AB31" s="597" cm="1">
        <f t="array" ref="AB31">AB30-(AB29-AB30)</f>
        <v>79.74250000000001</v>
      </c>
      <c r="AC31" s="597"/>
      <c r="AD31" s="696" cm="1">
        <f t="array" ref="AD31">$E31*U31</f>
        <v>581753.744704101</v>
      </c>
      <c r="AE31" s="247" cm="1">
        <f t="array" ref="AE31">$E31*V31</f>
        <v>634875.682418316</v>
      </c>
      <c r="AF31" s="247" cm="1">
        <f t="array" ref="AF31">$E31*W31</f>
        <v>725016.370081432</v>
      </c>
      <c r="AG31" s="247" cm="1">
        <f t="array" ref="AG31">$E31*X31</f>
        <v>890357.514201205</v>
      </c>
      <c r="AH31" s="247" cm="1">
        <f t="array" ref="AH31">$E31*Y31</f>
        <v>1072707.44112919</v>
      </c>
      <c r="AI31" s="247" cm="1">
        <f t="array" ref="AI31">$E31*Z31</f>
        <v>1272261.9764688</v>
      </c>
      <c r="AJ31" s="247" cm="1">
        <f t="array" ref="AJ31">$E31*AA31</f>
        <v>2954225.10587618</v>
      </c>
      <c r="AK31" s="247" cm="1">
        <f t="array" ref="AK31">$E31*AB31</f>
        <v>3196460.44132532</v>
      </c>
      <c r="AL31" s="597"/>
      <c r="AM31" s="691" cm="1">
        <f t="array" ref="AM31">J29-J31</f>
        <v>17.8525</v>
      </c>
      <c r="AN31" s="691" cm="1">
        <f t="array" ref="AN31">D31-AM31</f>
        <v>0.2345744226221</v>
      </c>
      <c r="AO31" s="597"/>
      <c r="AP31" s="684" cm="1">
        <f t="array" ref="AP31">ROUND(AQ31*E31,0)</f>
        <v>41456</v>
      </c>
      <c r="AQ31" s="692">
        <v>1.0342</v>
      </c>
      <c r="AR31" s="684" cm="1">
        <f t="array" ref="AR31">ROUND(E31*AS31,0)</f>
        <v>3155</v>
      </c>
      <c r="AS31" s="692" cm="1">
        <f t="array" ref="AS31">0.0787</f>
        <v>0.07870000000000001</v>
      </c>
      <c r="AT31" s="693" cm="1">
        <f t="array" ref="AT31">SUM(AQ31,AS31)</f>
        <v>1.1129</v>
      </c>
      <c r="AU31" s="684" cm="1">
        <f t="array" ref="AU31">ROUND(SUM(AQ31,AS31)*E31,0)</f>
        <v>44610</v>
      </c>
      <c r="AV31" s="685">
        <v>112242</v>
      </c>
      <c r="AW31" s="694" cm="1">
        <f t="array" ref="AW31">ROUND(AV31/$E31,4)</f>
        <v>2.8001</v>
      </c>
      <c r="AX31" s="685" cm="1">
        <f t="array" ref="AX31">I31-SUM(AU31,AV31,BB31)</f>
        <v>246255</v>
      </c>
      <c r="AY31" s="694" cm="1">
        <f t="array" ref="AY31">ROUND(AX31/$E31,4)</f>
        <v>6.1434</v>
      </c>
      <c r="AZ31" s="686" cm="1">
        <f t="array" ref="AZ31">AX31+AV31</f>
        <v>358497</v>
      </c>
      <c r="BA31" s="694" cm="1">
        <f t="array" ref="BA31">ROUND((AV31+AX31)/E31,4)</f>
        <v>8.9435</v>
      </c>
      <c r="BB31" s="687">
        <v>321909</v>
      </c>
      <c r="BC31" s="695" cm="1">
        <f t="array" ref="BC31">ROUND(BB31/$E31,4)</f>
        <v>8.0307</v>
      </c>
      <c r="BD31" s="679" cm="1">
        <f t="array" ref="BD31">K30-K31</f>
        <v>-220949</v>
      </c>
      <c r="BE31" s="679" cm="1">
        <f t="array" ref="BE31">AZ31-BD31</f>
        <v>579446</v>
      </c>
      <c r="BF31" s="679" cm="1">
        <f t="array" ref="BF31">-BE31</f>
        <v>-579446</v>
      </c>
      <c r="BG31" s="679" cm="1">
        <f t="array" ref="BG31">BB31+BE31</f>
        <v>901355</v>
      </c>
      <c r="BH31" s="679" cm="1">
        <f t="array" ref="BH31">AVERAGE(BG28:BG29,BG31)</f>
        <v>605054</v>
      </c>
      <c r="BI31" s="699" cm="1">
        <f t="array" ref="BI31">BC29-BC31</f>
        <v>0.049</v>
      </c>
      <c r="BJ31" s="596" cm="1">
        <f t="array" ref="BJ31">J30*0.0495/12-0.16</f>
        <v>9.8378256125</v>
      </c>
      <c r="BK31" s="698" cm="1">
        <f t="array" ref="BK31">(AV31+AX31)/BB31</f>
        <v>1.11365945034156</v>
      </c>
      <c r="BL31" s="698" cm="1">
        <f t="array" ref="BL31">U31-AW31</f>
        <v>11.7129837182619</v>
      </c>
      <c r="BM31" s="698" cm="1">
        <f t="array" ref="BM31">(BN$2*(1+BN$2)^BM$2*J29)/((1+BN$2)^BM$2-1)</f>
        <v>12.9846186712776</v>
      </c>
      <c r="BN31" s="698"/>
      <c r="BO31" s="247" cm="1">
        <f t="array" ref="BO31">AV31+AX31+BO30</f>
        <v>61635090</v>
      </c>
      <c r="BP31" s="247" cm="1">
        <f t="array" ref="BP31">BB31+BP30</f>
        <v>11859852</v>
      </c>
      <c r="BQ31" s="596" cm="1">
        <f t="array" ref="BQ31">BA31+BQ30</f>
        <v>1568.8827</v>
      </c>
      <c r="BR31" s="596" cm="1">
        <f t="array" ref="BR31">BC31+BR30</f>
        <v>305.3911</v>
      </c>
      <c r="BS31" s="247" cm="1">
        <f t="array" ref="BS31">SUM(BE$6:BE31)</f>
        <v>11798150</v>
      </c>
      <c r="BT31" s="596"/>
      <c r="BU31" s="596"/>
      <c r="BV31" s="247" cm="1">
        <f t="array" ref="BV31">SUM(AZ$6:AZ31)</f>
        <v>61635090</v>
      </c>
      <c r="BW31" s="596"/>
      <c r="BX31" s="596"/>
    </row>
    <row r="32" ht="19.35" customHeight="1">
      <c r="A32" s="689">
        <v>28</v>
      </c>
      <c r="B32" s="675">
        <v>46184</v>
      </c>
      <c r="C32" s="247"/>
      <c r="D32" s="597" cm="1">
        <f t="array" ref="D32">W32</f>
        <v>18.0732579666097</v>
      </c>
      <c r="E32" s="731" cm="1">
        <f t="array" ref="E32">E31*(1+F32)</f>
        <v>40405.4566242083</v>
      </c>
      <c r="F32" s="835">
        <v>0.008</v>
      </c>
      <c r="G32" s="676" cm="1">
        <f t="array" ref="G32">SUM(F20:F32)</f>
        <v>0.0305</v>
      </c>
      <c r="H32" s="299" cm="1">
        <f t="array" ref="H32">G32+4.95/100</f>
        <v>0.08</v>
      </c>
      <c r="I32" s="247" cm="1">
        <f t="array" ref="I32">IF(J31=0,0,ROUND(D32*E32,0))</f>
        <v>730258</v>
      </c>
      <c r="J32" s="677" cm="1">
        <f t="array" ref="J32">IF(J31-BA32&lt;0,0,J31-BA32)</f>
        <v>2405.7784</v>
      </c>
      <c r="K32" s="679" cm="1">
        <f t="array" ref="K32">ROUND(J32*E32,0)</f>
        <v>97206575</v>
      </c>
      <c r="L32" s="679" cm="1">
        <f t="array" ref="L32">K32-K31</f>
        <v>410983</v>
      </c>
      <c r="M32" s="681" cm="1">
        <f t="array" ref="M32">Q32-J32</f>
        <v>2994.2216</v>
      </c>
      <c r="N32" s="679" cm="1">
        <f t="array" ref="N32">ROUND(M32*E32,0)</f>
        <v>120982891</v>
      </c>
      <c r="O32" s="596" cm="1">
        <f t="array" ref="O32">$J$5-J32</f>
        <v>1544.2216</v>
      </c>
      <c r="P32" s="679" cm="1">
        <f t="array" ref="P32">N32-N31</f>
        <v>1320680</v>
      </c>
      <c r="Q32" s="596">
        <v>5400</v>
      </c>
      <c r="R32" s="679" cm="1">
        <f t="array" ref="R32">Q32*E32</f>
        <v>218189465.770725</v>
      </c>
      <c r="S32" s="247" cm="1">
        <f t="array" ref="S32">-P32</f>
        <v>-1320680</v>
      </c>
      <c r="T32" s="690"/>
      <c r="U32" s="682" cm="1">
        <f t="array" ref="U32">J31*4.95/12/100/(1-(1+4.95/12/100)^-(360-$A32))+AT32</f>
        <v>14.4824049088789</v>
      </c>
      <c r="V32" s="597" cm="1">
        <f t="array" ref="V32">IF(V$3*12&lt;=$A32,0,$J31*'depto - Departamento'!$D$8/12/(1-(1+'depto - Departamento'!$D$8/12)^-(12*V$3-$A32+3))+$AT33)</f>
        <v>15.8126593501708</v>
      </c>
      <c r="W32" s="597" cm="1">
        <f t="array" ref="W32">IF(W$3*12&lt;=$A32,0,$J31*'depto - Departamento'!$D$8/12/(1-(1+'depto - Departamento'!$D$8/12)^-(12*W$3-$A32+3))+$AT34)</f>
        <v>18.0732579666097</v>
      </c>
      <c r="X32" s="597" cm="1">
        <f t="array" ref="X32">IF(X$3*12&lt;=$A32,0,$J31*'depto - Departamento'!$D$8/12/(1-(1+'depto - Departamento'!$D$8/12)^-(12*X$3-$A32+3))+$AT34)</f>
        <v>22.2307298064375</v>
      </c>
      <c r="Y32" s="597" cm="1">
        <f t="array" ref="Y32">IF(Y$3*12&lt;=$A32,0,$J31*'depto - Departamento'!$D$8/12/(1-(1+'depto - Departamento'!$D$8/12)^-(12*Y$3-$A32+3))+$AT33)</f>
        <v>26.8324000846843</v>
      </c>
      <c r="Z32" s="597" cm="1">
        <f t="array" ref="Z32">IF(Z$3*12&lt;=$A32,0,$J31*'depto - Departamento'!$D$8/12/(1-(1+'depto - Departamento'!$D$8/12)^-(12*Z$3-$A32+3))+$AT33)</f>
        <v>31.8882006158747</v>
      </c>
      <c r="AA32" s="597" cm="1">
        <f t="array" ref="AA32">IF(AA$3*12&lt;=$A32,0,$J31*'depto - Departamento'!$D$8/12/(1-(1+'depto - Departamento'!$D$8/12)^-(12*AA$3-$A32+3))+$AT33)</f>
        <v>75.3486028896975</v>
      </c>
      <c r="AB32" s="597" cm="1">
        <f t="array" ref="AB32">AB31-(AB30-AB31)</f>
        <v>79.73009999999999</v>
      </c>
      <c r="AC32" s="597"/>
      <c r="AD32" s="696" cm="1">
        <f t="array" ref="AD32">$E32*U32</f>
        <v>585168.183359928</v>
      </c>
      <c r="AE32" s="247" cm="1">
        <f t="array" ref="AE32">$E32*V32</f>
        <v>638917.721486708</v>
      </c>
      <c r="AF32" s="247" cm="1">
        <f t="array" ref="AF32">$E32*W32</f>
        <v>730258.240827975</v>
      </c>
      <c r="AG32" s="247" cm="1">
        <f t="array" ref="AG32">$E32*X32</f>
        <v>898242.788918505</v>
      </c>
      <c r="AH32" s="247" cm="1">
        <f t="array" ref="AH32">$E32*Y32</f>
        <v>1084175.37774511</v>
      </c>
      <c r="AI32" s="247" cm="1">
        <f t="array" ref="AI32">$E32*Z32</f>
        <v>1288457.30680878</v>
      </c>
      <c r="AJ32" s="247" cm="1">
        <f t="array" ref="AJ32">$E32*AA32</f>
        <v>3044494.70575437</v>
      </c>
      <c r="AK32" s="247" cm="1">
        <f t="array" ref="AK32">$E32*AB32</f>
        <v>3221531.09719379</v>
      </c>
      <c r="AL32" s="597"/>
      <c r="AM32" s="691" cm="1">
        <f t="array" ref="AM32">J30-J32</f>
        <v>17.9369</v>
      </c>
      <c r="AN32" s="691" cm="1">
        <f t="array" ref="AN32">D32-AM32</f>
        <v>0.1363579666097</v>
      </c>
      <c r="AO32" s="597"/>
      <c r="AP32" s="684" cm="1">
        <f t="array" ref="AP32">ROUND(AQ32*E32,0)</f>
        <v>41787</v>
      </c>
      <c r="AQ32" s="692">
        <v>1.0342</v>
      </c>
      <c r="AR32" s="684" cm="1">
        <f t="array" ref="AR32">ROUND(E32*AS32,0)</f>
        <v>3180</v>
      </c>
      <c r="AS32" s="692" cm="1">
        <f t="array" ref="AS32">0.0787</f>
        <v>0.07870000000000001</v>
      </c>
      <c r="AT32" s="693" cm="1">
        <f t="array" ref="AT32">SUM(AQ32,AS32)</f>
        <v>1.1129</v>
      </c>
      <c r="AU32" s="684" cm="1">
        <f t="array" ref="AU32">ROUND(SUM(AQ32,AS32)*E32,0)</f>
        <v>44967</v>
      </c>
      <c r="AV32" s="685">
        <v>112242</v>
      </c>
      <c r="AW32" s="694" cm="1">
        <f t="array" ref="AW32">ROUND(AV32/$E32,4)</f>
        <v>2.7779</v>
      </c>
      <c r="AX32" s="685" cm="1">
        <f t="array" ref="AX32">I32-SUM(AU32,AV32,BB32)</f>
        <v>251140</v>
      </c>
      <c r="AY32" s="694" cm="1">
        <f t="array" ref="AY32">ROUND(AX32/$E32,4)</f>
        <v>6.2155</v>
      </c>
      <c r="AZ32" s="686" cm="1">
        <f t="array" ref="AZ32">AX32+AV32</f>
        <v>363382</v>
      </c>
      <c r="BA32" s="694" cm="1">
        <f t="array" ref="BA32">ROUND((AV32+AX32)/E32,4)</f>
        <v>8.993399999999999</v>
      </c>
      <c r="BB32" s="687">
        <v>321909</v>
      </c>
      <c r="BC32" s="695" cm="1">
        <f t="array" ref="BC32">ROUND(BB32/$E32,4)</f>
        <v>7.967</v>
      </c>
      <c r="BD32" s="679" cm="1">
        <f t="array" ref="BD32">K31-K32</f>
        <v>-410983</v>
      </c>
      <c r="BE32" s="679" cm="1">
        <f t="array" ref="BE32">AZ32-BD32</f>
        <v>774365</v>
      </c>
      <c r="BF32" s="679" cm="1">
        <f t="array" ref="BF32">-BE32</f>
        <v>-774365</v>
      </c>
      <c r="BG32" s="679" cm="1">
        <f t="array" ref="BG32">BB32+BE32</f>
        <v>1096274</v>
      </c>
      <c r="BH32" s="679" cm="1">
        <f t="array" ref="BH32">AVERAGE(BG29:BG30,BG32)</f>
        <v>583261</v>
      </c>
      <c r="BI32" s="699" cm="1">
        <f t="array" ref="BI32">BC30-BC32</f>
        <v>0.1119</v>
      </c>
      <c r="BJ32" s="596" cm="1">
        <f t="array" ref="BJ32">J31*0.0495/12-0.16</f>
        <v>9.800933675</v>
      </c>
      <c r="BK32" s="698" cm="1">
        <f t="array" ref="BK32">(AV32+AX32)/BB32</f>
        <v>1.12883454640908</v>
      </c>
      <c r="BL32" s="698" cm="1">
        <f t="array" ref="BL32">U32-AW32</f>
        <v>11.7045049088789</v>
      </c>
      <c r="BM32" s="698" cm="1">
        <f t="array" ref="BM32">(BN$2*(1+BN$2)^BM$2*J30)/((1+BN$2)^BM$2-1)</f>
        <v>12.9370651021785</v>
      </c>
      <c r="BN32" s="698"/>
      <c r="BO32" s="247" cm="1">
        <f t="array" ref="BO32">AV32+AX32+BO31</f>
        <v>61998472</v>
      </c>
      <c r="BP32" s="247" cm="1">
        <f t="array" ref="BP32">BB32+BP31</f>
        <v>12181761</v>
      </c>
      <c r="BQ32" s="596" cm="1">
        <f t="array" ref="BQ32">BA32+BQ31</f>
        <v>1577.8761</v>
      </c>
      <c r="BR32" s="596" cm="1">
        <f t="array" ref="BR32">BC32+BR31</f>
        <v>313.3581</v>
      </c>
      <c r="BS32" s="247" cm="1">
        <f t="array" ref="BS32">SUM(BE$6:BE32)</f>
        <v>12572515</v>
      </c>
      <c r="BT32" s="596"/>
      <c r="BU32" s="596"/>
      <c r="BV32" s="247" cm="1">
        <f t="array" ref="BV32">SUM(AZ$6:AZ32)</f>
        <v>61998472</v>
      </c>
      <c r="BW32" s="596"/>
      <c r="BX32" s="596"/>
    </row>
    <row r="33" ht="19.35" customHeight="1">
      <c r="A33" s="689">
        <v>29</v>
      </c>
      <c r="B33" s="675">
        <v>46214</v>
      </c>
      <c r="C33" s="247"/>
      <c r="D33" s="597" cm="1">
        <f t="array" ref="D33">W33</f>
        <v>18.0592123939749</v>
      </c>
      <c r="E33" s="731" cm="1">
        <f t="array" ref="E33">E32*(1+F33)</f>
        <v>40385.2538958962</v>
      </c>
      <c r="F33" s="835" cm="1">
        <f t="array" ref="F33">G33-SUM(F21:F32)</f>
        <v>-0.0005</v>
      </c>
      <c r="G33" s="676">
        <v>0.028</v>
      </c>
      <c r="H33" s="299" cm="1">
        <f t="array" ref="H33">G33+4.95/100</f>
        <v>0.0775</v>
      </c>
      <c r="I33" s="247" cm="1">
        <f t="array" ref="I33">IF(J32=0,0,ROUND(D33*E33,0))</f>
        <v>729326</v>
      </c>
      <c r="J33" s="677" cm="1">
        <f t="array" ref="J33">IF(J32-BA33&lt;0,0,J32-BA33)</f>
        <v>2396.803</v>
      </c>
      <c r="K33" s="679" cm="1">
        <f t="array" ref="K33">ROUND(J33*E33,0)</f>
        <v>96795498</v>
      </c>
      <c r="L33" s="679" cm="1">
        <f t="array" ref="L33">K33-K32</f>
        <v>-411077</v>
      </c>
      <c r="M33" s="681" cm="1">
        <f t="array" ref="M33">Q33-J33</f>
        <v>3003.197</v>
      </c>
      <c r="N33" s="679" cm="1">
        <f t="array" ref="N33">ROUND(M33*E33,0)</f>
        <v>121284873</v>
      </c>
      <c r="O33" s="596" cm="1">
        <f t="array" ref="O33">$J$5-J33</f>
        <v>1553.197</v>
      </c>
      <c r="P33" s="679" cm="1">
        <f t="array" ref="P33">N33-N32</f>
        <v>301982</v>
      </c>
      <c r="Q33" s="596">
        <v>5400</v>
      </c>
      <c r="R33" s="679" cm="1">
        <f t="array" ref="R33">Q33*E33</f>
        <v>218080371.037839</v>
      </c>
      <c r="S33" s="247" cm="1">
        <f t="array" ref="S33">-P33</f>
        <v>-301982</v>
      </c>
      <c r="T33" s="690"/>
      <c r="U33" s="682" cm="1">
        <f t="array" ref="U33">J32*4.95/12/100/(1-(1+4.95/12/100)^-(360-$A33))+AT33</f>
        <v>14.4514405171551</v>
      </c>
      <c r="V33" s="597" cm="1">
        <f t="array" ref="V33">IF(V$3*12&lt;=$A33,0,$J32*'depto - Departamento'!$D$8/12/(1-(1+'depto - Departamento'!$D$8/12)^-(12*V$3-$A33+3))+$AT34)</f>
        <v>15.7867089920725</v>
      </c>
      <c r="W33" s="597" cm="1">
        <f t="array" ref="W33">IF(W$3*12&lt;=$A33,0,$J32*'depto - Departamento'!$D$8/12/(1-(1+'depto - Departamento'!$D$8/12)^-(12*W$3-$A33+3))+$AT35)</f>
        <v>18.0592123939749</v>
      </c>
      <c r="X33" s="597" cm="1">
        <f t="array" ref="X33">IF(X$3*12&lt;=$A33,0,$J32*'depto - Departamento'!$D$8/12/(1-(1+'depto - Departamento'!$D$8/12)^-(12*X$3-$A33+3))+$AT35)</f>
        <v>22.2497379857499</v>
      </c>
      <c r="Y33" s="597" cm="1">
        <f t="array" ref="Y33">IF(Y$3*12&lt;=$A33,0,$J32*'depto - Departamento'!$D$8/12/(1-(1+'depto - Departamento'!$D$8/12)^-(12*Y$3-$A33+3))+$AT34)</f>
        <v>26.9049285291341</v>
      </c>
      <c r="Z33" s="597" cm="1">
        <f t="array" ref="Z33">IF(Z$3*12&lt;=$A33,0,$J32*'depto - Departamento'!$D$8/12/(1-(1+'depto - Departamento'!$D$8/12)^-(12*Z$3-$A33+3))+$AT34)</f>
        <v>32.0401639741834</v>
      </c>
      <c r="AA33" s="597" cm="1">
        <f t="array" ref="AA33">IF(AA$3*12&lt;=$A33,0,$J32*'depto - Departamento'!$D$8/12/(1-(1+'depto - Departamento'!$D$8/12)^-(12*AA$3-$A33+3))+$AT34)</f>
        <v>77.0945533191634</v>
      </c>
      <c r="AB33" s="597" cm="1">
        <f t="array" ref="AB33">AB32-(AB31-AB32)</f>
        <v>79.71769999999999</v>
      </c>
      <c r="AC33" s="597"/>
      <c r="AD33" s="696" cm="1">
        <f t="array" ref="AD33">$E33*U33</f>
        <v>583625.09444675</v>
      </c>
      <c r="AE33" s="247" cm="1">
        <f t="array" ref="AE33">$E33*V33</f>
        <v>637550.250825476</v>
      </c>
      <c r="AF33" s="247" cm="1">
        <f t="array" ref="AF33">$E33*W33</f>
        <v>729325.877690592</v>
      </c>
      <c r="AG33" s="247" cm="1">
        <f t="array" ref="AG33">$E33*X33</f>
        <v>898561.317671676</v>
      </c>
      <c r="AH33" s="247" cm="1">
        <f t="array" ref="AH33">$E33*Y33</f>
        <v>1086562.36970002</v>
      </c>
      <c r="AI33" s="247" cm="1">
        <f t="array" ref="AI33">$E33*Z33</f>
        <v>1293950.15696354</v>
      </c>
      <c r="AJ33" s="247" cm="1">
        <f t="array" ref="AJ33">$E33*AA33</f>
        <v>3113483.10978512</v>
      </c>
      <c r="AK33" s="247" cm="1">
        <f t="array" ref="AK33">$E33*AB33</f>
        <v>3219419.55449688</v>
      </c>
      <c r="AL33" s="597"/>
      <c r="AM33" s="691" cm="1">
        <f t="array" ref="AM33">J31-J33</f>
        <v>17.9688</v>
      </c>
      <c r="AN33" s="691" cm="1">
        <f t="array" ref="AN33">D33-AM33</f>
        <v>0.0904123939749</v>
      </c>
      <c r="AO33" s="597"/>
      <c r="AP33" s="684" cm="1">
        <f t="array" ref="AP33">ROUND(AQ33*E33,0)</f>
        <v>41766</v>
      </c>
      <c r="AQ33" s="692">
        <v>1.0342</v>
      </c>
      <c r="AR33" s="684" cm="1">
        <f t="array" ref="AR33">ROUND(E33*AS33,0)</f>
        <v>3178</v>
      </c>
      <c r="AS33" s="692" cm="1">
        <f t="array" ref="AS33">0.0787</f>
        <v>0.07870000000000001</v>
      </c>
      <c r="AT33" s="693" cm="1">
        <f t="array" ref="AT33">SUM(AQ33,AS33)</f>
        <v>1.1129</v>
      </c>
      <c r="AU33" s="684" cm="1">
        <f t="array" ref="AU33">ROUND(SUM(AQ33,AS33)*E33,0)</f>
        <v>44945</v>
      </c>
      <c r="AV33" s="685">
        <v>112242</v>
      </c>
      <c r="AW33" s="694" cm="1">
        <f t="array" ref="AW33">ROUND(AV33/$E33,4)</f>
        <v>2.7793</v>
      </c>
      <c r="AX33" s="685" cm="1">
        <f t="array" ref="AX33">I33-SUM(AU33,AV33,BB33)</f>
        <v>250230</v>
      </c>
      <c r="AY33" s="694" cm="1">
        <f t="array" ref="AY33">ROUND(AX33/$E33,4)</f>
        <v>6.1961</v>
      </c>
      <c r="AZ33" s="686" cm="1">
        <f t="array" ref="AZ33">AX33+AV33</f>
        <v>362472</v>
      </c>
      <c r="BA33" s="694" cm="1">
        <f t="array" ref="BA33">ROUND((AV33+AX33)/E33,4)</f>
        <v>8.9754</v>
      </c>
      <c r="BB33" s="687">
        <v>321909</v>
      </c>
      <c r="BC33" s="695" cm="1">
        <f t="array" ref="BC33">ROUND(BB33/$E33,4)</f>
        <v>7.971</v>
      </c>
      <c r="BD33" s="679" cm="1">
        <f t="array" ref="BD33">K32-K33</f>
        <v>411077</v>
      </c>
      <c r="BE33" s="679" cm="1">
        <f t="array" ref="BE33">AZ33-BD33</f>
        <v>-48605</v>
      </c>
      <c r="BF33" s="679" cm="1">
        <f t="array" ref="BF33">-BE33</f>
        <v>48605</v>
      </c>
      <c r="BG33" s="679" cm="1">
        <f t="array" ref="BG33">BB33+BE33</f>
        <v>273304</v>
      </c>
      <c r="BH33" s="679" cm="1">
        <f t="array" ref="BH33">AVERAGE(BG30:BG31,BG33)</f>
        <v>502086.666666667</v>
      </c>
      <c r="BI33" s="699" cm="1">
        <f t="array" ref="BI33">BC31-BC33</f>
        <v>0.0597</v>
      </c>
      <c r="BJ33" s="596" cm="1">
        <f t="array" ref="BJ33">J32*0.0495/12-0.16</f>
        <v>9.7638359</v>
      </c>
      <c r="BK33" s="698" cm="1">
        <f t="array" ref="BK33">(AV33+AX33)/BB33</f>
        <v>1.12600766055003</v>
      </c>
      <c r="BL33" s="698" cm="1">
        <f t="array" ref="BL33">U33-AW33</f>
        <v>11.6721405171551</v>
      </c>
      <c r="BM33" s="698" cm="1">
        <f t="array" ref="BM33">(BN$2*(1+BN$2)^BM$2*J31)/((1+BN$2)^BM$2-1)</f>
        <v>12.8893273824301</v>
      </c>
      <c r="BN33" s="698"/>
      <c r="BO33" s="247" cm="1">
        <f t="array" ref="BO33">AV33+AX33+BO32</f>
        <v>62360944</v>
      </c>
      <c r="BP33" s="247" cm="1">
        <f t="array" ref="BP33">BB33+BP32</f>
        <v>12503670</v>
      </c>
      <c r="BQ33" s="596" cm="1">
        <f t="array" ref="BQ33">BA33+BQ32</f>
        <v>1586.8515</v>
      </c>
      <c r="BR33" s="596" cm="1">
        <f t="array" ref="BR33">BC33+BR32</f>
        <v>321.3291</v>
      </c>
      <c r="BS33" s="247" cm="1">
        <f t="array" ref="BS33">SUM(BE$6:BE33)</f>
        <v>12523910</v>
      </c>
      <c r="BT33" s="596"/>
      <c r="BU33" s="596"/>
      <c r="BV33" s="247" cm="1">
        <f t="array" ref="BV33">SUM(AZ$6:AZ33)</f>
        <v>62360944</v>
      </c>
      <c r="BW33" s="596"/>
      <c r="BX33" s="596"/>
    </row>
    <row r="34" ht="19.35" customHeight="1">
      <c r="A34" s="689">
        <v>30</v>
      </c>
      <c r="B34" s="675">
        <v>46245</v>
      </c>
      <c r="C34" s="247"/>
      <c r="D34" s="597" cm="1">
        <f t="array" ref="D34">W34</f>
        <v>18.0454157206701</v>
      </c>
      <c r="E34" s="731" cm="1">
        <f t="array" ref="E34">E33*(1+F34)</f>
        <v>41152.5737199182</v>
      </c>
      <c r="F34" s="835" cm="1">
        <f t="array" ref="F34">G34-SUM(F22:F33)</f>
        <v>0.019</v>
      </c>
      <c r="G34" s="676" cm="1">
        <f t="array" ref="G34">'depto - Table 5'!$F$2</f>
        <v>0.05</v>
      </c>
      <c r="H34" s="299" cm="1">
        <f t="array" ref="H34">G34+4.95/100</f>
        <v>0.09950000000000001</v>
      </c>
      <c r="I34" s="247" cm="1">
        <f t="array" ref="I34">IF(J33=0,0,ROUND(D34*E34,0))</f>
        <v>742615</v>
      </c>
      <c r="J34" s="677" cm="1">
        <f t="array" ref="J34">IF(J33-BA34&lt;0,0,J33-BA34)</f>
        <v>2387.6928</v>
      </c>
      <c r="K34" s="679" cm="1">
        <f t="array" ref="K34">ROUND(J34*E34,0)</f>
        <v>98259704</v>
      </c>
      <c r="L34" s="679" cm="1">
        <f t="array" ref="L34">K34-K33</f>
        <v>1464206</v>
      </c>
      <c r="M34" s="681" cm="1">
        <f t="array" ref="M34">Q34-J34</f>
        <v>3012.3072</v>
      </c>
      <c r="N34" s="679" cm="1">
        <f t="array" ref="N34">ROUND(M34*E34,0)</f>
        <v>123964194</v>
      </c>
      <c r="O34" s="596" cm="1">
        <f t="array" ref="O34">$J$5-J34</f>
        <v>1562.3072</v>
      </c>
      <c r="P34" s="679" cm="1">
        <f t="array" ref="P34">N34-N33</f>
        <v>2679321</v>
      </c>
      <c r="Q34" s="596">
        <v>5400</v>
      </c>
      <c r="R34" s="679" cm="1">
        <f t="array" ref="R34">Q34*E34</f>
        <v>222223898.087558</v>
      </c>
      <c r="S34" s="247" cm="1">
        <f t="array" ref="S34">-P34</f>
        <v>-2679321</v>
      </c>
      <c r="T34" s="690"/>
      <c r="U34" s="682" cm="1">
        <f t="array" ref="U34">J33*4.95/12/100/(1-(1+4.95/12/100)^-(360-$A34))+AT34</f>
        <v>14.420566107585</v>
      </c>
      <c r="V34" s="597" cm="1">
        <f t="array" ref="V34">IF(V$3*12&lt;=$A34,0,$J33*'depto - Departamento'!$D$8/12/(1-(1+'depto - Departamento'!$D$8/12)^-(12*V$3-$A34+3))+$AT35)</f>
        <v>15.7608854296931</v>
      </c>
      <c r="W34" s="597" cm="1">
        <f t="array" ref="W34">IF(W$3*12&lt;=$A34,0,$J33*'depto - Departamento'!$D$8/12/(1-(1+'depto - Departamento'!$D$8/12)^-(12*W$3-$A34+3))+$AT36)</f>
        <v>18.0454157206701</v>
      </c>
      <c r="X34" s="597" cm="1">
        <f t="array" ref="X34">IF(X$3*12&lt;=$A34,0,$J33*'depto - Departamento'!$D$8/12/(1-(1+'depto - Departamento'!$D$8/12)^-(12*X$3-$A34+3))+$AT36)</f>
        <v>22.2694893079749</v>
      </c>
      <c r="Y34" s="597" cm="1">
        <f t="array" ref="Y34">IF(Y$3*12&lt;=$A34,0,$J33*'depto - Departamento'!$D$8/12/(1-(1+'depto - Departamento'!$D$8/12)^-(12*Y$3-$A34+3))+$AT35)</f>
        <v>26.9793158862774</v>
      </c>
      <c r="Z34" s="597" cm="1">
        <f t="array" ref="Z34">IF(Z$3*12&lt;=$A34,0,$J33*'depto - Departamento'!$D$8/12/(1-(1+'depto - Departamento'!$D$8/12)^-(12*Z$3-$A34+3))+$AT35)</f>
        <v>32.1961510185454</v>
      </c>
      <c r="AA34" s="597" cm="1">
        <f t="array" ref="AA34">IF(AA$3*12&lt;=$A34,0,$J33*'depto - Departamento'!$D$8/12/(1-(1+'depto - Departamento'!$D$8/12)^-(12*AA$3-$A34+3))+$AT35)</f>
        <v>78.9482859756408</v>
      </c>
      <c r="AB34" s="597" cm="1">
        <f t="array" ref="AB34">AB33-(AB32-AB33)</f>
        <v>79.70529999999999</v>
      </c>
      <c r="AC34" s="597"/>
      <c r="AD34" s="696" cm="1">
        <f t="array" ref="AD34">$E34*U34</f>
        <v>593443.409825346</v>
      </c>
      <c r="AE34" s="247" cm="1">
        <f t="array" ref="AE34">$E34*V34</f>
        <v>648600.99953663</v>
      </c>
      <c r="AF34" s="247" cm="1">
        <f t="array" ref="AF34">$E34*W34</f>
        <v>742615.300751447</v>
      </c>
      <c r="AG34" s="247" cm="1">
        <f t="array" ref="AG34">$E34*X34</f>
        <v>916446.800451367</v>
      </c>
      <c r="AH34" s="247" cm="1">
        <f t="array" ref="AH34">$E34*Y34</f>
        <v>1110268.28592299</v>
      </c>
      <c r="AI34" s="247" cm="1">
        <f t="array" ref="AI34">$E34*Z34</f>
        <v>1324954.47828831</v>
      </c>
      <c r="AJ34" s="247" cm="1">
        <f t="array" ref="AJ34">$E34*AA34</f>
        <v>3248925.15867374</v>
      </c>
      <c r="AK34" s="247" cm="1">
        <f t="array" ref="AK34">$E34*AB34</f>
        <v>3280078.2341182</v>
      </c>
      <c r="AL34" s="597"/>
      <c r="AM34" s="691" cm="1">
        <f t="array" ref="AM34">J32-J34</f>
        <v>18.0856</v>
      </c>
      <c r="AN34" s="691" cm="1">
        <f t="array" ref="AN34">D34-AM34</f>
        <v>-0.0401842793299</v>
      </c>
      <c r="AO34" s="597"/>
      <c r="AP34" s="684" cm="1">
        <f t="array" ref="AP34">ROUND(AQ34*E34,0)</f>
        <v>42560</v>
      </c>
      <c r="AQ34" s="692">
        <v>1.0342</v>
      </c>
      <c r="AR34" s="684" cm="1">
        <f t="array" ref="AR34">ROUND(E34*AS34,0)</f>
        <v>3239</v>
      </c>
      <c r="AS34" s="692" cm="1">
        <f t="array" ref="AS34">0.0787</f>
        <v>0.07870000000000001</v>
      </c>
      <c r="AT34" s="693" cm="1">
        <f t="array" ref="AT34">SUM(AQ34,AS34)</f>
        <v>1.1129</v>
      </c>
      <c r="AU34" s="684" cm="1">
        <f t="array" ref="AU34">ROUND(SUM(AQ34,AS34)*E34,0)</f>
        <v>45799</v>
      </c>
      <c r="AV34" s="685">
        <v>112242</v>
      </c>
      <c r="AW34" s="694" cm="1">
        <f t="array" ref="AW34">ROUND(AV34/$E34,4)</f>
        <v>2.7275</v>
      </c>
      <c r="AX34" s="685" cm="1">
        <f t="array" ref="AX34">I34-SUM(AU34,AV34,BB34)</f>
        <v>262665</v>
      </c>
      <c r="AY34" s="694" cm="1">
        <f t="array" ref="AY34">ROUND(AX34/$E34,4)</f>
        <v>6.3827</v>
      </c>
      <c r="AZ34" s="686" cm="1">
        <f t="array" ref="AZ34">AX34+AV34</f>
        <v>374907</v>
      </c>
      <c r="BA34" s="694" cm="1">
        <f t="array" ref="BA34">ROUND((AV34+AX34)/E34,4)</f>
        <v>9.110200000000001</v>
      </c>
      <c r="BB34" s="687">
        <v>321909</v>
      </c>
      <c r="BC34" s="695" cm="1">
        <f t="array" ref="BC34">ROUND(BB34/$E34,4)</f>
        <v>7.8223</v>
      </c>
      <c r="BD34" s="679" cm="1">
        <f t="array" ref="BD34">K33-K34</f>
        <v>-1464206</v>
      </c>
      <c r="BE34" s="679" cm="1">
        <f t="array" ref="BE34">AZ34-BD34</f>
        <v>1839113</v>
      </c>
      <c r="BF34" s="679" cm="1">
        <f t="array" ref="BF34">-BE34</f>
        <v>-1839113</v>
      </c>
      <c r="BG34" s="679" cm="1">
        <f t="array" ref="BG34">BB34+BE34</f>
        <v>2161022</v>
      </c>
      <c r="BH34" s="679" cm="1">
        <f t="array" ref="BH34">AVERAGE(BG31:BG32,BG34)</f>
        <v>1386217</v>
      </c>
      <c r="BI34" s="699" cm="1">
        <f t="array" ref="BI34">BC32-BC34</f>
        <v>0.1447</v>
      </c>
      <c r="BJ34" s="596" cm="1">
        <f t="array" ref="BJ34">J33*0.0495/12-0.16</f>
        <v>9.726812375</v>
      </c>
      <c r="BK34" s="698" cm="1">
        <f t="array" ref="BK34">(AV34+AX34)/BB34</f>
        <v>1.16463658984371</v>
      </c>
      <c r="BL34" s="698" cm="1">
        <f t="array" ref="BL34">U34-AW34</f>
        <v>11.693066107585</v>
      </c>
      <c r="BM34" s="698" cm="1">
        <f t="array" ref="BM34">(BN$2*(1+BN$2)^BM$2*J32)/((1+BN$2)^BM$2-1)</f>
        <v>12.8413233114528</v>
      </c>
      <c r="BN34" s="698"/>
      <c r="BO34" s="247" cm="1">
        <f t="array" ref="BO34">AV34+AX34+BO33</f>
        <v>62735851</v>
      </c>
      <c r="BP34" s="247" cm="1">
        <f t="array" ref="BP34">BB34+BP33</f>
        <v>12825579</v>
      </c>
      <c r="BQ34" s="596" cm="1">
        <f t="array" ref="BQ34">BA34+BQ33</f>
        <v>1595.9617</v>
      </c>
      <c r="BR34" s="596" cm="1">
        <f t="array" ref="BR34">BC34+BR33</f>
        <v>329.1514</v>
      </c>
      <c r="BS34" s="247" cm="1">
        <f t="array" ref="BS34">SUM(BE$6:BE34)</f>
        <v>14363023</v>
      </c>
      <c r="BT34" s="596"/>
      <c r="BU34" s="596"/>
      <c r="BV34" s="247" cm="1">
        <f t="array" ref="BV34">SUM(AZ$6:AZ34)</f>
        <v>62735851</v>
      </c>
      <c r="BW34" s="596"/>
      <c r="BX34" s="596"/>
    </row>
    <row r="35" ht="19.35" customHeight="1">
      <c r="A35" s="689">
        <v>31</v>
      </c>
      <c r="B35" s="675">
        <v>46276</v>
      </c>
      <c r="C35" s="247"/>
      <c r="D35" s="597" cm="1">
        <f t="array" ref="D35">W35</f>
        <v>18.0307878243127</v>
      </c>
      <c r="E35" s="731" cm="1">
        <f t="array" ref="E35">E34*(1+F35)</f>
        <v>41498.2553391655</v>
      </c>
      <c r="F35" s="835" cm="1">
        <f t="array" ref="F35">G35-SUM(F23:F34)</f>
        <v>0.008399999999999999</v>
      </c>
      <c r="G35" s="676" cm="1">
        <f t="array" ref="G35">'depto - Table 5'!$F$2</f>
        <v>0.05</v>
      </c>
      <c r="H35" s="299" cm="1">
        <f t="array" ref="H35">G35+4.95/100</f>
        <v>0.09950000000000001</v>
      </c>
      <c r="I35" s="247" cm="1">
        <f t="array" ref="I35">IF(J34=0,0,ROUND(D35*E35,0))</f>
        <v>748246</v>
      </c>
      <c r="J35" s="677" cm="1">
        <f t="array" ref="J35">IF(J34-BA35&lt;0,0,J34-BA35)</f>
        <v>2378.5321</v>
      </c>
      <c r="K35" s="679" cm="1">
        <f t="array" ref="K35">ROUND(J35*E35,0)</f>
        <v>98704932</v>
      </c>
      <c r="L35" s="679" cm="1">
        <f t="array" ref="L35">K35-K34</f>
        <v>445228</v>
      </c>
      <c r="M35" s="681" cm="1">
        <f t="array" ref="M35">Q35-J35</f>
        <v>3021.4679</v>
      </c>
      <c r="N35" s="679" cm="1">
        <f t="array" ref="N35">ROUND(M35*E35,0)</f>
        <v>125385646</v>
      </c>
      <c r="O35" s="596" cm="1">
        <f t="array" ref="O35">$J$5-J35</f>
        <v>1571.4679</v>
      </c>
      <c r="P35" s="679" cm="1">
        <f t="array" ref="P35">N35-N34</f>
        <v>1421452</v>
      </c>
      <c r="Q35" s="596">
        <v>5400</v>
      </c>
      <c r="R35" s="679" cm="1">
        <f t="array" ref="R35">Q35*E35</f>
        <v>224090578.831494</v>
      </c>
      <c r="S35" s="247" cm="1">
        <f t="array" ref="S35">-P35</f>
        <v>-1421452</v>
      </c>
      <c r="T35" s="690"/>
      <c r="U35" s="682" cm="1">
        <f t="array" ref="U35">J34*4.95/12/100/(1-(1+4.95/12/100)^-(360-$A35))+AT35</f>
        <v>14.3889322455979</v>
      </c>
      <c r="V35" s="597" cm="1">
        <f t="array" ref="V35">IF(V$3*12&lt;=$A35,0,$J34*'depto - Departamento'!$D$8/12/(1-(1+'depto - Departamento'!$D$8/12)^-(12*V$3-$A35+3))+$AT36)</f>
        <v>15.7342535862987</v>
      </c>
      <c r="W35" s="597" cm="1">
        <f t="array" ref="W35">IF(W$3*12&lt;=$A35,0,$J34*'depto - Departamento'!$D$8/12/(1-(1+'depto - Departamento'!$D$8/12)^-(12*W$3-$A35+3))+$AT37)</f>
        <v>18.0307878243127</v>
      </c>
      <c r="X35" s="597" cm="1">
        <f t="array" ref="X35">IF(X$3*12&lt;=$A35,0,$J34*'depto - Departamento'!$D$8/12/(1-(1+'depto - Departamento'!$D$8/12)^-(12*X$3-$A35+3))+$AT37)</f>
        <v>22.2886419577088</v>
      </c>
      <c r="Y35" s="597" cm="1">
        <f t="array" ref="Y35">IF(Y$3*12&lt;=$A35,0,$J34*'depto - Departamento'!$D$8/12/(1-(1+'depto - Departamento'!$D$8/12)^-(12*Y$3-$A35+3))+$AT36)</f>
        <v>27.0539484055879</v>
      </c>
      <c r="Z35" s="597" cm="1">
        <f t="array" ref="Z35">IF(Z$3*12&lt;=$A35,0,$J34*'depto - Departamento'!$D$8/12/(1-(1+'depto - Departamento'!$D$8/12)^-(12*Z$3-$A35+3))+$AT36)</f>
        <v>32.3542915102153</v>
      </c>
      <c r="AA35" s="597" cm="1">
        <f t="array" ref="AA35">IF(AA$3*12&lt;=$A35,0,$J34*'depto - Departamento'!$D$8/12/(1-(1+'depto - Departamento'!$D$8/12)^-(12*AA$3-$A35+3))+$AT36)</f>
        <v>80.914792541045</v>
      </c>
      <c r="AB35" s="597" cm="1">
        <f t="array" ref="AB35">AB34-(AB33-AB34)</f>
        <v>79.69289999999999</v>
      </c>
      <c r="AC35" s="597"/>
      <c r="AD35" s="696" cm="1">
        <f t="array" ref="AD35">$E35*U35</f>
        <v>597115.584385774</v>
      </c>
      <c r="AE35" s="247" cm="1">
        <f t="array" ref="AE35">$E35*V35</f>
        <v>652944.072895404</v>
      </c>
      <c r="AF35" s="247" cm="1">
        <f t="array" ref="AF35">$E35*W35</f>
        <v>748246.237099645</v>
      </c>
      <c r="AG35" s="247" cm="1">
        <f t="array" ref="AG35">$E35*X35</f>
        <v>924939.755124237</v>
      </c>
      <c r="AH35" s="247" cm="1">
        <f t="array" ref="AH35">$E35*Y35</f>
        <v>1122691.6588677</v>
      </c>
      <c r="AI35" s="247" cm="1">
        <f t="array" ref="AI35">$E35*Z35</f>
        <v>1342646.65040871</v>
      </c>
      <c r="AJ35" s="247" cm="1">
        <f t="array" ref="AJ35">$E35*AA35</f>
        <v>3357822.72158389</v>
      </c>
      <c r="AK35" s="247" cm="1">
        <f t="array" ref="AK35">$E35*AB35</f>
        <v>3307116.31291858</v>
      </c>
      <c r="AL35" s="597"/>
      <c r="AM35" s="691" cm="1">
        <f t="array" ref="AM35">J33-J35</f>
        <v>18.2709</v>
      </c>
      <c r="AN35" s="691" cm="1">
        <f t="array" ref="AN35">D35-AM35</f>
        <v>-0.2401121756873</v>
      </c>
      <c r="AO35" s="597"/>
      <c r="AP35" s="684" cm="1">
        <f t="array" ref="AP35">ROUND(AQ35*E35,0)</f>
        <v>42917</v>
      </c>
      <c r="AQ35" s="692">
        <v>1.0342</v>
      </c>
      <c r="AR35" s="684" cm="1">
        <f t="array" ref="AR35">ROUND(E35*AS35,0)</f>
        <v>3266</v>
      </c>
      <c r="AS35" s="692" cm="1">
        <f t="array" ref="AS35">0.0787</f>
        <v>0.07870000000000001</v>
      </c>
      <c r="AT35" s="693" cm="1">
        <f t="array" ref="AT35">SUM(AQ35,AS35)</f>
        <v>1.1129</v>
      </c>
      <c r="AU35" s="684" cm="1">
        <f t="array" ref="AU35">ROUND(SUM(AQ35,AS35)*E35,0)</f>
        <v>46183</v>
      </c>
      <c r="AV35" s="685">
        <v>112242</v>
      </c>
      <c r="AW35" s="694" cm="1">
        <f t="array" ref="AW35">ROUND(AV35/$E35,4)</f>
        <v>2.7047</v>
      </c>
      <c r="AX35" s="685" cm="1">
        <f t="array" ref="AX35">I35-SUM(AU35,AV35,BB35)</f>
        <v>267912</v>
      </c>
      <c r="AY35" s="694" cm="1">
        <f t="array" ref="AY35">ROUND(AX35/$E35,4)</f>
        <v>6.456</v>
      </c>
      <c r="AZ35" s="686" cm="1">
        <f t="array" ref="AZ35">AX35+AV35</f>
        <v>380154</v>
      </c>
      <c r="BA35" s="694" cm="1">
        <f t="array" ref="BA35">ROUND((AV35+AX35)/E35,4)</f>
        <v>9.1607</v>
      </c>
      <c r="BB35" s="687">
        <v>321909</v>
      </c>
      <c r="BC35" s="695" cm="1">
        <f t="array" ref="BC35">ROUND(BB35/$E35,4)</f>
        <v>7.7572</v>
      </c>
      <c r="BD35" s="679" cm="1">
        <f t="array" ref="BD35">K34-K35</f>
        <v>-445228</v>
      </c>
      <c r="BE35" s="679" cm="1">
        <f t="array" ref="BE35">AZ35-BD35</f>
        <v>825382</v>
      </c>
      <c r="BF35" s="679" cm="1">
        <f t="array" ref="BF35">-BE35</f>
        <v>-825382</v>
      </c>
      <c r="BG35" s="679" cm="1">
        <f t="array" ref="BG35">BB35+BE35</f>
        <v>1147291</v>
      </c>
      <c r="BH35" s="679" cm="1">
        <f t="array" ref="BH35">AVERAGE(BG32:BG33,BG35)</f>
        <v>838956.333333333</v>
      </c>
      <c r="BI35" s="699" cm="1">
        <f t="array" ref="BI35">BC33-BC35</f>
        <v>0.2138</v>
      </c>
      <c r="BJ35" s="596" cm="1">
        <f t="array" ref="BJ35">J34*0.0495/12-0.16</f>
        <v>9.689232799999999</v>
      </c>
      <c r="BK35" s="698" cm="1">
        <f t="array" ref="BK35">(AV35+AX35)/BB35</f>
        <v>1.1809362273189</v>
      </c>
      <c r="BL35" s="698" cm="1">
        <f t="array" ref="BL35">U35-AW35</f>
        <v>11.6842322455979</v>
      </c>
      <c r="BM35" s="698" cm="1">
        <f t="array" ref="BM35">(BN$2*(1+BN$2)^BM$2*J33)/((1+BN$2)^BM$2-1)</f>
        <v>12.7934153190751</v>
      </c>
      <c r="BN35" s="698"/>
      <c r="BO35" s="247" cm="1">
        <f t="array" ref="BO35">AV35+AX35+BO34</f>
        <v>63116005</v>
      </c>
      <c r="BP35" s="247" cm="1">
        <f t="array" ref="BP35">BB35+BP34</f>
        <v>13147488</v>
      </c>
      <c r="BQ35" s="596" cm="1">
        <f t="array" ref="BQ35">BA35+BQ34</f>
        <v>1605.1224</v>
      </c>
      <c r="BR35" s="596" cm="1">
        <f t="array" ref="BR35">BC35+BR34</f>
        <v>336.9086</v>
      </c>
      <c r="BS35" s="247" cm="1">
        <f t="array" ref="BS35">SUM(BE$6:BE35)</f>
        <v>15188405</v>
      </c>
      <c r="BT35" s="596"/>
      <c r="BU35" s="596"/>
      <c r="BV35" s="247" cm="1">
        <f t="array" ref="BV35">SUM(AZ$6:AZ35)</f>
        <v>63116005</v>
      </c>
      <c r="BW35" s="596"/>
      <c r="BX35" s="596"/>
    </row>
    <row r="36" ht="19.35" customHeight="1">
      <c r="A36" s="689">
        <v>32</v>
      </c>
      <c r="B36" s="675">
        <v>46306</v>
      </c>
      <c r="C36" s="247"/>
      <c r="D36" s="597" cm="1">
        <f t="array" ref="D36">W36</f>
        <v>18.015920722214</v>
      </c>
      <c r="E36" s="731" cm="1">
        <f t="array" ref="E36">E35*(1+F36)</f>
        <v>41510.7048157672</v>
      </c>
      <c r="F36" s="835" cm="1">
        <f t="array" ref="F36">G36-SUM(F24:F35)</f>
        <v>0.0003</v>
      </c>
      <c r="G36" s="676" cm="1">
        <f t="array" ref="G36">'depto - Table 5'!$F$2</f>
        <v>0.05</v>
      </c>
      <c r="H36" s="299" cm="1">
        <f t="array" ref="H36">G36+4.95/100</f>
        <v>0.09950000000000001</v>
      </c>
      <c r="I36" s="247" cm="1">
        <f t="array" ref="I36">IF(J35=0,0,ROUND(D36*E36,0))</f>
        <v>747854</v>
      </c>
      <c r="J36" s="677" cm="1">
        <f t="array" ref="J36">IF(J35-BA36&lt;0,0,J35-BA36)</f>
        <v>2369.3839</v>
      </c>
      <c r="K36" s="679" cm="1">
        <f t="array" ref="K36">ROUND(J36*E36,0)</f>
        <v>98354796</v>
      </c>
      <c r="L36" s="679" cm="1">
        <f t="array" ref="L36">K36-K35</f>
        <v>-350136</v>
      </c>
      <c r="M36" s="681" cm="1">
        <f t="array" ref="M36">Q36-J36</f>
        <v>3030.6161</v>
      </c>
      <c r="N36" s="679" cm="1">
        <f t="array" ref="N36">ROUND(M36*E36,0)</f>
        <v>125803010</v>
      </c>
      <c r="O36" s="596" cm="1">
        <f t="array" ref="O36">$J$5-J36</f>
        <v>1580.6161</v>
      </c>
      <c r="P36" s="679" cm="1">
        <f t="array" ref="P36">N36-N35</f>
        <v>417364</v>
      </c>
      <c r="Q36" s="596">
        <v>5400</v>
      </c>
      <c r="R36" s="679" cm="1">
        <f t="array" ref="R36">Q36*E36</f>
        <v>224157806.005143</v>
      </c>
      <c r="S36" s="247" cm="1">
        <f t="array" ref="S36">-P36</f>
        <v>-417364</v>
      </c>
      <c r="T36" s="690"/>
      <c r="U36" s="682" cm="1">
        <f t="array" ref="U36">J35*4.95/12/100/(1-(1+4.95/12/100)^-(360-$A36))+AT36</f>
        <v>14.3570048311922</v>
      </c>
      <c r="V36" s="597" cm="1">
        <f t="array" ref="V36">IF(V$3*12&lt;=$A36,0,$J35*'depto - Departamento'!$D$8/12/(1-(1+'depto - Departamento'!$D$8/12)^-(12*V$3-$A36+3))+$AT37)</f>
        <v>15.7073257204302</v>
      </c>
      <c r="W36" s="597" cm="1">
        <f t="array" ref="W36">IF(W$3*12&lt;=$A36,0,$J35*'depto - Departamento'!$D$8/12/(1-(1+'depto - Departamento'!$D$8/12)^-(12*W$3-$A36+3))+$AT38)</f>
        <v>18.015920722214</v>
      </c>
      <c r="X36" s="597" cm="1">
        <f t="array" ref="X36">IF(X$3*12&lt;=$A36,0,$J35*'depto - Departamento'!$D$8/12/(1-(1+'depto - Departamento'!$D$8/12)^-(12*X$3-$A36+3))+$AT38)</f>
        <v>22.3079414301975</v>
      </c>
      <c r="Y36" s="597" cm="1">
        <f t="array" ref="Y36">IF(Y$3*12&lt;=$A36,0,$J35*'depto - Departamento'!$D$8/12/(1-(1+'depto - Departamento'!$D$8/12)^-(12*Y$3-$A36+3))+$AT37)</f>
        <v>27.1297623416641</v>
      </c>
      <c r="Z36" s="597" cm="1">
        <f t="array" ref="Z36">IF(Z$3*12&lt;=$A36,0,$J35*'depto - Departamento'!$D$8/12/(1-(1+'depto - Departamento'!$D$8/12)^-(12*Z$3-$A36+3))+$AT37)</f>
        <v>32.5157789322441</v>
      </c>
      <c r="AA36" s="597" cm="1">
        <f t="array" ref="AA36">IF(AA$3*12&lt;=$A36,0,$J35*'depto - Departamento'!$D$8/12/(1-(1+'depto - Departamento'!$D$8/12)^-(12*AA$3-$A36+3))+$AT37)</f>
        <v>83.00791478298549</v>
      </c>
      <c r="AB36" s="597" cm="1">
        <f t="array" ref="AB36">AB35-(AB34-AB35)</f>
        <v>79.68049999999999</v>
      </c>
      <c r="AC36" s="597"/>
      <c r="AD36" s="696" cm="1">
        <f t="array" ref="AD36">$E36*U36</f>
        <v>595969.389586163</v>
      </c>
      <c r="AE36" s="247" cm="1">
        <f t="array" ref="AE36">$E36*V36</f>
        <v>652022.161425886</v>
      </c>
      <c r="AF36" s="247" cm="1">
        <f t="array" ref="AF36">$E36*W36</f>
        <v>747853.567084089</v>
      </c>
      <c r="AG36" s="247" cm="1">
        <f t="array" ref="AG36">$E36*X36</f>
        <v>926018.371756352</v>
      </c>
      <c r="AH36" s="247" cm="1">
        <f t="array" ref="AH36">$E36*Y36</f>
        <v>1126175.55628674</v>
      </c>
      <c r="AI36" s="247" cm="1">
        <f t="array" ref="AI36">$E36*Z36</f>
        <v>1349752.90111113</v>
      </c>
      <c r="AJ36" s="247" cm="1">
        <f t="array" ref="AJ36">$E36*AA36</f>
        <v>3445717.04792887</v>
      </c>
      <c r="AK36" s="247" cm="1">
        <f t="array" ref="AK36">$E36*AB36</f>
        <v>3307593.71507274</v>
      </c>
      <c r="AL36" s="597"/>
      <c r="AM36" s="691" cm="1">
        <f t="array" ref="AM36">J34-J36</f>
        <v>18.3089</v>
      </c>
      <c r="AN36" s="691" cm="1">
        <f t="array" ref="AN36">D36-AM36</f>
        <v>-0.292979277786</v>
      </c>
      <c r="AO36" s="597"/>
      <c r="AP36" s="684" cm="1">
        <f t="array" ref="AP36">ROUND(AQ36*E36,0)</f>
        <v>42930</v>
      </c>
      <c r="AQ36" s="692">
        <v>1.0342</v>
      </c>
      <c r="AR36" s="684" cm="1">
        <f t="array" ref="AR36">ROUND(E36*AS36,0)</f>
        <v>3267</v>
      </c>
      <c r="AS36" s="692" cm="1">
        <f t="array" ref="AS36">0.0787</f>
        <v>0.07870000000000001</v>
      </c>
      <c r="AT36" s="693" cm="1">
        <f t="array" ref="AT36">SUM(AQ36,AS36)</f>
        <v>1.1129</v>
      </c>
      <c r="AU36" s="684" cm="1">
        <f t="array" ref="AU36">ROUND(SUM(AQ36,AS36)*E36,0)</f>
        <v>46197</v>
      </c>
      <c r="AV36" s="685">
        <v>112242</v>
      </c>
      <c r="AW36" s="694" cm="1">
        <f t="array" ref="AW36">ROUND(AV36/$E36,4)</f>
        <v>2.7039</v>
      </c>
      <c r="AX36" s="685" cm="1">
        <f t="array" ref="AX36">I36-SUM(AU36,AV36,BB36)</f>
        <v>267506</v>
      </c>
      <c r="AY36" s="694" cm="1">
        <f t="array" ref="AY36">ROUND(AX36/$E36,4)</f>
        <v>6.4443</v>
      </c>
      <c r="AZ36" s="686" cm="1">
        <f t="array" ref="AZ36">AX36+AV36</f>
        <v>379748</v>
      </c>
      <c r="BA36" s="694" cm="1">
        <f t="array" ref="BA36">ROUND((AV36+AX36)/E36,4)</f>
        <v>9.148199999999999</v>
      </c>
      <c r="BB36" s="687">
        <v>321909</v>
      </c>
      <c r="BC36" s="695" cm="1">
        <f t="array" ref="BC36">ROUND(BB36/$E36,4)</f>
        <v>7.7548</v>
      </c>
      <c r="BD36" s="679" cm="1">
        <f t="array" ref="BD36">K35-K36</f>
        <v>350136</v>
      </c>
      <c r="BE36" s="679" cm="1">
        <f t="array" ref="BE36">AZ36-BD36</f>
        <v>29612</v>
      </c>
      <c r="BF36" s="679" cm="1">
        <f t="array" ref="BF36">-BE36</f>
        <v>-29612</v>
      </c>
      <c r="BG36" s="679" cm="1">
        <f t="array" ref="BG36">BB36+BE36</f>
        <v>351521</v>
      </c>
      <c r="BH36" s="679" cm="1">
        <f t="array" ref="BH36">AVERAGE(BG33:BG34,BG36)</f>
        <v>928615.666666667</v>
      </c>
      <c r="BI36" s="699" cm="1">
        <f t="array" ref="BI36">BC34-BC36</f>
        <v>0.0675</v>
      </c>
      <c r="BJ36" s="596" cm="1">
        <f t="array" ref="BJ36">J35*0.0495/12-0.16</f>
        <v>9.651444912500001</v>
      </c>
      <c r="BK36" s="698" cm="1">
        <f t="array" ref="BK36">(AV36+AX36)/BB36</f>
        <v>1.17967500132025</v>
      </c>
      <c r="BL36" s="698" cm="1">
        <f t="array" ref="BL36">U36-AW36</f>
        <v>11.6531048311922</v>
      </c>
      <c r="BM36" s="698" cm="1">
        <f t="array" ref="BM36">(BN$2*(1+BN$2)^BM$2*J34)/((1+BN$2)^BM$2-1)</f>
        <v>12.7447878047404</v>
      </c>
      <c r="BN36" s="698"/>
      <c r="BO36" s="247" cm="1">
        <f t="array" ref="BO36">AV36+AX36+BO35</f>
        <v>63495753</v>
      </c>
      <c r="BP36" s="247" cm="1">
        <f t="array" ref="BP36">BB36+BP35</f>
        <v>13469397</v>
      </c>
      <c r="BQ36" s="596" cm="1">
        <f t="array" ref="BQ36">BA36+BQ35</f>
        <v>1614.2706</v>
      </c>
      <c r="BR36" s="596" cm="1">
        <f t="array" ref="BR36">BC36+BR35</f>
        <v>344.6634</v>
      </c>
      <c r="BS36" s="247" cm="1">
        <f t="array" ref="BS36">SUM(BE$6:BE36)</f>
        <v>15218017</v>
      </c>
      <c r="BT36" s="596"/>
      <c r="BU36" s="596"/>
      <c r="BV36" s="247" cm="1">
        <f t="array" ref="BV36">SUM(AZ$6:AZ36)</f>
        <v>63495753</v>
      </c>
      <c r="BW36" s="596"/>
      <c r="BX36" s="596"/>
    </row>
    <row r="37" ht="19.35" customHeight="1">
      <c r="A37" s="689">
        <v>33</v>
      </c>
      <c r="B37" s="675">
        <v>46337</v>
      </c>
      <c r="C37" s="247"/>
      <c r="D37" s="597" cm="1">
        <f t="array" ref="D37">W37</f>
        <v>18.0012616316943</v>
      </c>
      <c r="E37" s="731" cm="1">
        <f t="array" ref="E37">E36*(1+F37)</f>
        <v>41664.2944235855</v>
      </c>
      <c r="F37" s="835" cm="1">
        <f t="array" ref="F37">G37-SUM(F25:F36)</f>
        <v>0.0037</v>
      </c>
      <c r="G37" s="676" cm="1">
        <f t="array" ref="G37">'depto - Table 5'!$F$2</f>
        <v>0.05</v>
      </c>
      <c r="H37" s="299" cm="1">
        <f t="array" ref="H37">G37+4.95/100</f>
        <v>0.09950000000000001</v>
      </c>
      <c r="I37" s="247" cm="1">
        <f t="array" ref="I37">IF(J36=0,0,ROUND(D37*E37,0))</f>
        <v>750010</v>
      </c>
      <c r="J37" s="677" cm="1">
        <f t="array" ref="J37">IF(J36-BA37&lt;0,0,J36-BA37)</f>
        <v>2360.2218</v>
      </c>
      <c r="K37" s="679" cm="1">
        <f t="array" ref="K37">ROUND(J37*E37,0)</f>
        <v>98336976</v>
      </c>
      <c r="L37" s="679" cm="1">
        <f t="array" ref="L37">K37-K36</f>
        <v>-17820</v>
      </c>
      <c r="M37" s="681" cm="1">
        <f t="array" ref="M37">Q37-J37</f>
        <v>3039.7782</v>
      </c>
      <c r="N37" s="679" cm="1">
        <f t="array" ref="N37">ROUND(M37*E37,0)</f>
        <v>126650214</v>
      </c>
      <c r="O37" s="596" cm="1">
        <f t="array" ref="O37">$J$5-J37</f>
        <v>1589.7782</v>
      </c>
      <c r="P37" s="679" cm="1">
        <f t="array" ref="P37">N37-N36</f>
        <v>847204</v>
      </c>
      <c r="Q37" s="596">
        <v>5400</v>
      </c>
      <c r="R37" s="679" cm="1">
        <f t="array" ref="R37">Q37*E37</f>
        <v>224987189.887362</v>
      </c>
      <c r="S37" s="247" cm="1">
        <f t="array" ref="S37">-P37</f>
        <v>-847204</v>
      </c>
      <c r="T37" s="690"/>
      <c r="U37" s="682" cm="1">
        <f t="array" ref="U37">J36*4.95/12/100/(1-(1+4.95/12/100)^-(360-$A37))+AT37</f>
        <v>14.3251336553053</v>
      </c>
      <c r="V37" s="597" cm="1">
        <f t="array" ref="V37">IF(V$3*12&lt;=$A37,0,$J36*'depto - Departamento'!$D$8/12/(1-(1+'depto - Departamento'!$D$8/12)^-(12*V$3-$A37+3))+$AT38)</f>
        <v>15.6804872197913</v>
      </c>
      <c r="W37" s="597" cm="1">
        <f t="array" ref="W37">IF(W$3*12&lt;=$A37,0,$J36*'depto - Departamento'!$D$8/12/(1-(1+'depto - Departamento'!$D$8/12)^-(12*W$3-$A37+3))+$AT39)</f>
        <v>18.0012616316943</v>
      </c>
      <c r="X37" s="597" cm="1">
        <f t="array" ref="X37">IF(X$3*12&lt;=$A37,0,$J36*'depto - Departamento'!$D$8/12/(1-(1+'depto - Departamento'!$D$8/12)^-(12*X$3-$A37+3))+$AT39)</f>
        <v>22.3279567869594</v>
      </c>
      <c r="Y37" s="597" cm="1">
        <f t="array" ref="Y37">IF(Y$3*12&lt;=$A37,0,$J36*'depto - Departamento'!$D$8/12/(1-(1+'depto - Departamento'!$D$8/12)^-(12*Y$3-$A37+3))+$AT38)</f>
        <v>27.2074851459335</v>
      </c>
      <c r="Z37" s="597" cm="1">
        <f t="array" ref="Z37">IF(Z$3*12&lt;=$A37,0,$J36*'depto - Departamento'!$D$8/12/(1-(1+'depto - Departamento'!$D$8/12)^-(12*Z$3-$A37+3))+$AT38)</f>
        <v>32.6815673108349</v>
      </c>
      <c r="AA37" s="597" cm="1">
        <f t="array" ref="AA37">IF(AA$3*12&lt;=$A37,0,$J36*'depto - Departamento'!$D$8/12/(1-(1+'depto - Departamento'!$D$8/12)^-(12*AA$3-$A37+3))+$AT38)</f>
        <v>85.24255950997031</v>
      </c>
      <c r="AB37" s="597" cm="1">
        <f t="array" ref="AB37">AB36-(AB35-AB36)</f>
        <v>79.6681</v>
      </c>
      <c r="AC37" s="597"/>
      <c r="AD37" s="696" cm="1">
        <f t="array" ref="AD37">$E37*U37</f>
        <v>596846.586271854</v>
      </c>
      <c r="AE37" s="247" cm="1">
        <f t="array" ref="AE37">$E37*V37</f>
        <v>653316.436230654</v>
      </c>
      <c r="AF37" s="247" cm="1">
        <f t="array" ref="AF37">$E37*W37</f>
        <v>750009.864618904</v>
      </c>
      <c r="AG37" s="247" cm="1">
        <f t="array" ref="AG37">$E37*X37</f>
        <v>930278.565448971</v>
      </c>
      <c r="AH37" s="247" cm="1">
        <f t="array" ref="AH37">$E37*Y37</f>
        <v>1133580.6716455</v>
      </c>
      <c r="AI37" s="247" cm="1">
        <f t="array" ref="AI37">$E37*Z37</f>
        <v>1361654.44266285</v>
      </c>
      <c r="AJ37" s="247" cm="1">
        <f t="array" ref="AJ37">$E37*AA37</f>
        <v>3551571.09684341</v>
      </c>
      <c r="AK37" s="247" cm="1">
        <f t="array" ref="AK37">$E37*AB37</f>
        <v>3319315.17456765</v>
      </c>
      <c r="AL37" s="597"/>
      <c r="AM37" s="691" cm="1">
        <f t="array" ref="AM37">J35-J37</f>
        <v>18.3103</v>
      </c>
      <c r="AN37" s="691" cm="1">
        <f t="array" ref="AN37">D37-AM37</f>
        <v>-0.3090383683057</v>
      </c>
      <c r="AO37" s="597"/>
      <c r="AP37" s="684" cm="1">
        <f t="array" ref="AP37">ROUND(AQ37*E37,0)</f>
        <v>43089</v>
      </c>
      <c r="AQ37" s="692">
        <v>1.0342</v>
      </c>
      <c r="AR37" s="684" cm="1">
        <f t="array" ref="AR37">ROUND(E37*AS37,0)</f>
        <v>3279</v>
      </c>
      <c r="AS37" s="692" cm="1">
        <f t="array" ref="AS37">0.0787</f>
        <v>0.07870000000000001</v>
      </c>
      <c r="AT37" s="693" cm="1">
        <f t="array" ref="AT37">SUM(AQ37,AS37)</f>
        <v>1.1129</v>
      </c>
      <c r="AU37" s="684" cm="1">
        <f t="array" ref="AU37">ROUND(SUM(AQ37,AS37)*E37,0)</f>
        <v>46368</v>
      </c>
      <c r="AV37" s="685">
        <v>112242</v>
      </c>
      <c r="AW37" s="694" cm="1">
        <f t="array" ref="AW37">ROUND(AV37/$E37,4)</f>
        <v>2.694</v>
      </c>
      <c r="AX37" s="685" cm="1">
        <f t="array" ref="AX37">I37-SUM(AU37,AV37,BB37)</f>
        <v>269491</v>
      </c>
      <c r="AY37" s="694" cm="1">
        <f t="array" ref="AY37">ROUND(AX37/$E37,4)</f>
        <v>6.4682</v>
      </c>
      <c r="AZ37" s="686" cm="1">
        <f t="array" ref="AZ37">AX37+AV37</f>
        <v>381733</v>
      </c>
      <c r="BA37" s="694" cm="1">
        <f t="array" ref="BA37">ROUND((AV37+AX37)/E37,4)</f>
        <v>9.162100000000001</v>
      </c>
      <c r="BB37" s="687">
        <v>321909</v>
      </c>
      <c r="BC37" s="695" cm="1">
        <f t="array" ref="BC37">ROUND(BB37/$E37,4)</f>
        <v>7.7263</v>
      </c>
      <c r="BD37" s="679" cm="1">
        <f t="array" ref="BD37">K36-K37</f>
        <v>17820</v>
      </c>
      <c r="BE37" s="679" cm="1">
        <f t="array" ref="BE37">AZ37-BD37</f>
        <v>363913</v>
      </c>
      <c r="BF37" s="679" cm="1">
        <f t="array" ref="BF37">-BE37</f>
        <v>-363913</v>
      </c>
      <c r="BG37" s="679" cm="1">
        <f t="array" ref="BG37">BB37+BE37</f>
        <v>685822</v>
      </c>
      <c r="BH37" s="679" cm="1">
        <f t="array" ref="BH37">AVERAGE(BG34:BG35,BG37)</f>
        <v>1331378.33333333</v>
      </c>
      <c r="BI37" s="699" cm="1">
        <f t="array" ref="BI37">BC35-BC37</f>
        <v>0.0309</v>
      </c>
      <c r="BJ37" s="596" cm="1">
        <f t="array" ref="BJ37">J36*0.0495/12-0.16</f>
        <v>9.6137085875</v>
      </c>
      <c r="BK37" s="698" cm="1">
        <f t="array" ref="BK37">(AV37+AX37)/BB37</f>
        <v>1.18584134025454</v>
      </c>
      <c r="BL37" s="698" cm="1">
        <f t="array" ref="BL37">U37-AW37</f>
        <v>11.6311336553053</v>
      </c>
      <c r="BM37" s="698" cm="1">
        <f t="array" ref="BM37">(BN$2*(1+BN$2)^BM$2*J35)/((1+BN$2)^BM$2-1)</f>
        <v>12.6958907365569</v>
      </c>
      <c r="BN37" s="698"/>
      <c r="BO37" s="247" cm="1">
        <f t="array" ref="BO37">AV37+AX37+BO36</f>
        <v>63877486</v>
      </c>
      <c r="BP37" s="247" cm="1">
        <f t="array" ref="BP37">BB37+BP36</f>
        <v>13791306</v>
      </c>
      <c r="BQ37" s="596" cm="1">
        <f t="array" ref="BQ37">BA37+BQ36</f>
        <v>1623.4327</v>
      </c>
      <c r="BR37" s="596" cm="1">
        <f t="array" ref="BR37">BC37+BR36</f>
        <v>352.3897</v>
      </c>
      <c r="BS37" s="247" cm="1">
        <f t="array" ref="BS37">SUM(BE$6:BE37)</f>
        <v>15581930</v>
      </c>
      <c r="BT37" s="596"/>
      <c r="BU37" s="596"/>
      <c r="BV37" s="247" cm="1">
        <f t="array" ref="BV37">SUM(AZ$6:AZ37)</f>
        <v>63877486</v>
      </c>
      <c r="BW37" s="596"/>
      <c r="BX37" s="596"/>
    </row>
    <row r="38" ht="19.35" customHeight="1">
      <c r="A38" s="689">
        <v>34</v>
      </c>
      <c r="B38" s="675">
        <v>46367</v>
      </c>
      <c r="C38" s="247"/>
      <c r="D38" s="597" cm="1">
        <f t="array" ref="D38">W38</f>
        <v>17.9866240010957</v>
      </c>
      <c r="E38" s="731" cm="1">
        <f t="array" ref="E38">E37*(1+F38)</f>
        <v>41672.6272824702</v>
      </c>
      <c r="F38" s="835" cm="1">
        <f t="array" ref="F38">G38-SUM(F26:F37)</f>
        <v>0.0002</v>
      </c>
      <c r="G38" s="676" cm="1">
        <f t="array" ref="G38">'depto - Table 5'!$F$2</f>
        <v>0.05</v>
      </c>
      <c r="H38" s="299" cm="1">
        <f t="array" ref="H38">G38+0.0495</f>
        <v>0.09950000000000001</v>
      </c>
      <c r="I38" s="247" cm="1">
        <f t="array" ref="I38">IF(J37=0,0,ROUND(D38*E38,0))</f>
        <v>749550</v>
      </c>
      <c r="J38" s="677" cm="1">
        <f t="array" ref="J38">IF(J37-BA38&lt;0,0,J37-BA38)</f>
        <v>2351.0728</v>
      </c>
      <c r="K38" s="679" cm="1">
        <f t="array" ref="K38">ROUND(J38*E38,0)</f>
        <v>97975381</v>
      </c>
      <c r="L38" s="679" cm="1">
        <f t="array" ref="L38">K38-K37</f>
        <v>-361595</v>
      </c>
      <c r="M38" s="681" cm="1">
        <f t="array" ref="M38">Q38-J38</f>
        <v>3048.9272</v>
      </c>
      <c r="N38" s="679" cm="1">
        <f t="array" ref="N38">ROUND(M38*E38,0)</f>
        <v>127056807</v>
      </c>
      <c r="O38" s="596" cm="1">
        <f t="array" ref="O38">$J$5-J38</f>
        <v>1598.9272</v>
      </c>
      <c r="P38" s="679" cm="1">
        <f t="array" ref="P38">N38-N37</f>
        <v>406593</v>
      </c>
      <c r="Q38" s="596">
        <v>5400</v>
      </c>
      <c r="R38" s="679" cm="1">
        <f t="array" ref="R38">Q38*E38</f>
        <v>225032187.325339</v>
      </c>
      <c r="S38" s="247" cm="1">
        <f t="array" ref="S38">-P38</f>
        <v>-406593</v>
      </c>
      <c r="T38" s="690"/>
      <c r="U38" s="682" cm="1">
        <f t="array" ref="U38">J37*4.95/12/100/(1-(1+4.95/12/100)^-(360-$A38))+AT38</f>
        <v>14.2931712904303</v>
      </c>
      <c r="V38" s="597" cm="1">
        <f t="array" ref="V38">IF(V$3*12&lt;=$A38,0,$J37*'depto - Departamento'!$D$8/12/(1-(1+'depto - Departamento'!$D$8/12)^-(12*V$3-$A38+3))+$AT39)</f>
        <v>15.6535758122346</v>
      </c>
      <c r="W38" s="597" cm="1">
        <f t="array" ref="W38">IF(W$3*12&lt;=$A38,0,$J37*'depto - Departamento'!$D$8/12/(1-(1+'depto - Departamento'!$D$8/12)^-(12*W$3-$A38+3))+$AT40)</f>
        <v>17.9866240010957</v>
      </c>
      <c r="X38" s="597" cm="1">
        <f t="array" ref="X38">IF(X$3*12&lt;=$A38,0,$J37*'depto - Departamento'!$D$8/12/(1-(1+'depto - Departamento'!$D$8/12)^-(12*X$3-$A38+3))+$AT40)</f>
        <v>22.3484638090436</v>
      </c>
      <c r="Y38" s="597" cm="1">
        <f t="array" ref="Y38">IF(Y$3*12&lt;=$A38,0,$J37*'depto - Departamento'!$D$8/12/(1-(1+'depto - Departamento'!$D$8/12)^-(12*Y$3-$A38+3))+$AT39)</f>
        <v>27.2868732892105</v>
      </c>
      <c r="Z38" s="597" cm="1">
        <f t="array" ref="Z38">IF(Z$3*12&lt;=$A38,0,$J37*'depto - Departamento'!$D$8/12/(1-(1+'depto - Departamento'!$D$8/12)^-(12*Z$3-$A38+3))+$AT39)</f>
        <v>32.8514447996958</v>
      </c>
      <c r="AA38" s="597" cm="1">
        <f t="array" ref="AA38">IF(AA$3*12&lt;=$A38,0,$J37*'depto - Departamento'!$D$8/12/(1-(1+'depto - Departamento'!$D$8/12)^-(12*AA$3-$A38+3))+$AT39)</f>
        <v>87.6323937960651</v>
      </c>
      <c r="AB38" s="597" cm="1">
        <f t="array" ref="AB38">AB37-(AB36-AB37)</f>
        <v>79.6557</v>
      </c>
      <c r="AC38" s="597"/>
      <c r="AD38" s="696" cm="1">
        <f t="array" ref="AD38">$E38*U38</f>
        <v>595633.999870606</v>
      </c>
      <c r="AE38" s="247" cm="1">
        <f t="array" ref="AE38">$E38*V38</f>
        <v>652325.630461143</v>
      </c>
      <c r="AF38" s="247" cm="1">
        <f t="array" ref="AF38">$E38*W38</f>
        <v>749549.878067594</v>
      </c>
      <c r="AG38" s="247" cm="1">
        <f t="array" ref="AG38">$E38*X38</f>
        <v>931319.202650048</v>
      </c>
      <c r="AH38" s="247" cm="1">
        <f t="array" ref="AH38">$E38*Y38</f>
        <v>1137115.70028526</v>
      </c>
      <c r="AI38" s="247" cm="1">
        <f t="array" ref="AI38">$E38*Z38</f>
        <v>1369006.01482837</v>
      </c>
      <c r="AJ38" s="247" cm="1">
        <f t="array" ref="AJ38">$E38*AA38</f>
        <v>3651872.08453407</v>
      </c>
      <c r="AK38" s="247" cm="1">
        <f t="array" ref="AK38">$E38*AB38</f>
        <v>3319462.29702426</v>
      </c>
      <c r="AL38" s="597"/>
      <c r="AM38" s="691" cm="1">
        <f t="array" ref="AM38">J36-J38</f>
        <v>18.3111</v>
      </c>
      <c r="AN38" s="691" cm="1">
        <f t="array" ref="AN38">D38-AM38</f>
        <v>-0.3244759989043</v>
      </c>
      <c r="AO38" s="597"/>
      <c r="AP38" s="684" cm="1">
        <f t="array" ref="AP38">ROUND(AQ38*E38,0)</f>
        <v>43098</v>
      </c>
      <c r="AQ38" s="692">
        <v>1.0342</v>
      </c>
      <c r="AR38" s="684" cm="1">
        <f t="array" ref="AR38">ROUND(E38*AS38,0)</f>
        <v>3280</v>
      </c>
      <c r="AS38" s="692" cm="1">
        <f t="array" ref="AS38">0.0787</f>
        <v>0.07870000000000001</v>
      </c>
      <c r="AT38" s="693" cm="1">
        <f t="array" ref="AT38">SUM(AQ38,AS38)</f>
        <v>1.1129</v>
      </c>
      <c r="AU38" s="684" cm="1">
        <f t="array" ref="AU38">ROUND(SUM(AQ38,AS38)*E38,0)</f>
        <v>46377</v>
      </c>
      <c r="AV38" s="685">
        <v>112242</v>
      </c>
      <c r="AW38" s="694" cm="1">
        <f t="array" ref="AW38">ROUND(AV38/$E38,4)</f>
        <v>2.6934</v>
      </c>
      <c r="AX38" s="685" cm="1">
        <f t="array" ref="AX38">I38-SUM(AU38,AV38,BB38)</f>
        <v>269022</v>
      </c>
      <c r="AY38" s="694" cm="1">
        <f t="array" ref="AY38">ROUND(AX38/$E38,4)</f>
        <v>6.4556</v>
      </c>
      <c r="AZ38" s="686" cm="1">
        <f t="array" ref="AZ38">AX38+AV38</f>
        <v>381264</v>
      </c>
      <c r="BA38" s="694" cm="1">
        <f t="array" ref="BA38">ROUND((AV38+AX38)/E38,4)</f>
        <v>9.148999999999999</v>
      </c>
      <c r="BB38" s="687">
        <v>321909</v>
      </c>
      <c r="BC38" s="695" cm="1">
        <f t="array" ref="BC38">ROUND(BB38/$E38,4)</f>
        <v>7.7247</v>
      </c>
      <c r="BD38" s="679" cm="1">
        <f t="array" ref="BD38">K37-K38</f>
        <v>361595</v>
      </c>
      <c r="BE38" s="679" cm="1">
        <f t="array" ref="BE38">AZ38-BD38</f>
        <v>19669</v>
      </c>
      <c r="BF38" s="679" cm="1">
        <f t="array" ref="BF38">-BE38</f>
        <v>-19669</v>
      </c>
      <c r="BG38" s="679" cm="1">
        <f t="array" ref="BG38">BB38+BE38</f>
        <v>341578</v>
      </c>
      <c r="BH38" s="679" cm="1">
        <f t="array" ref="BH38">AVERAGE(BG35:BG36,BG38)</f>
        <v>613463.333333333</v>
      </c>
      <c r="BI38" s="699" cm="1">
        <f t="array" ref="BI38">BC36-BC38</f>
        <v>0.0301</v>
      </c>
      <c r="BJ38" s="596" cm="1">
        <f t="array" ref="BJ38">J37*0.0495/12-0.16</f>
        <v>9.575914924999999</v>
      </c>
      <c r="BK38" s="698" cm="1">
        <f t="array" ref="BK38">(AV38+AX38)/BB38</f>
        <v>1.18438440677334</v>
      </c>
      <c r="BL38" s="698" cm="1">
        <f t="array" ref="BL38">U38-AW38</f>
        <v>11.5997712904303</v>
      </c>
      <c r="BM38" s="698" cm="1">
        <f t="array" ref="BM38">(BN$2*(1+BN$2)^BM$2*J36)/((1+BN$2)^BM$2-1)</f>
        <v>12.6470603896231</v>
      </c>
      <c r="BN38" s="698"/>
      <c r="BO38" s="247" cm="1">
        <f t="array" ref="BO38">AV38+AX38+BO37</f>
        <v>64258750</v>
      </c>
      <c r="BP38" s="247" cm="1">
        <f t="array" ref="BP38">BB38+BP37</f>
        <v>14113215</v>
      </c>
      <c r="BQ38" s="596" cm="1">
        <f t="array" ref="BQ38">BA38+BQ37</f>
        <v>1632.5817</v>
      </c>
      <c r="BR38" s="596" cm="1">
        <f t="array" ref="BR38">BC38+BR37</f>
        <v>360.1144</v>
      </c>
      <c r="BS38" s="247" cm="1">
        <f t="array" ref="BS38">SUM(BE$6:BE38)</f>
        <v>15601599</v>
      </c>
      <c r="BT38" s="596"/>
      <c r="BU38" s="596"/>
      <c r="BV38" s="247" cm="1">
        <f t="array" ref="BV38">SUM(AZ$6:AZ38)</f>
        <v>64258750</v>
      </c>
      <c r="BW38" s="596"/>
      <c r="BX38" s="596"/>
    </row>
    <row r="39" ht="19.35" customHeight="1">
      <c r="A39" s="689">
        <v>35</v>
      </c>
      <c r="B39" s="703">
        <v>46398</v>
      </c>
      <c r="C39" s="704"/>
      <c r="D39" s="705" cm="1">
        <f t="array" ref="D39">W39</f>
        <v>17.9722019572186</v>
      </c>
      <c r="E39" s="836" cm="1">
        <f t="array" ref="E39">E38*(1+F39)</f>
        <v>41705.9653842962</v>
      </c>
      <c r="F39" s="837" cm="1">
        <f t="array" ref="F39">G39-SUM(F27:F38)</f>
        <v>0.0008</v>
      </c>
      <c r="G39" s="706" cm="1">
        <f t="array" ref="G39">'depto - Table 5'!$G$2</f>
        <v>0.05</v>
      </c>
      <c r="H39" s="706" cm="1">
        <f t="array" ref="H39">G39+4.95/100</f>
        <v>0.09950000000000001</v>
      </c>
      <c r="I39" s="247" cm="1">
        <f t="array" ref="I39">IF(J38=0,0,ROUND(D39*E39,0))</f>
        <v>749548</v>
      </c>
      <c r="J39" s="677" cm="1">
        <f t="array" ref="J39">IF(J38-BA39&lt;0,0,J38-BA39)</f>
        <v>2341.932</v>
      </c>
      <c r="K39" s="679" cm="1">
        <f t="array" ref="K39">ROUND(J39*E39,0)</f>
        <v>97672535</v>
      </c>
      <c r="L39" s="679" cm="1">
        <f t="array" ref="L39">K39-K38</f>
        <v>-302846</v>
      </c>
      <c r="M39" s="681" cm="1">
        <f t="array" ref="M39">Q39-J39</f>
        <v>3058.068</v>
      </c>
      <c r="N39" s="679" cm="1">
        <f t="array" ref="N39">ROUND(M39*E39,0)</f>
        <v>127539678</v>
      </c>
      <c r="O39" s="596" cm="1">
        <f t="array" ref="O39">$J$5-J39</f>
        <v>1608.068</v>
      </c>
      <c r="P39" s="679" cm="1">
        <f t="array" ref="P39">N39-N38</f>
        <v>482871</v>
      </c>
      <c r="Q39" s="596">
        <v>5400</v>
      </c>
      <c r="R39" s="679" cm="1">
        <f t="array" ref="R39">Q39*E39</f>
        <v>225212213.075199</v>
      </c>
      <c r="S39" s="247" cm="1">
        <f t="array" ref="S39">-P39</f>
        <v>-482871</v>
      </c>
      <c r="T39" s="690"/>
      <c r="U39" s="716" cm="1">
        <f t="array" ref="U39">J38*4.95/12/100/(1-(1+4.95/12/100)^-(360-$A39+3))+AT39</f>
        <v>14.2041063911034</v>
      </c>
      <c r="V39" s="705" cm="1">
        <f t="array" ref="V39">IF(V$3*12&lt;=$A39,0,$J38*'depto - Departamento'!$D$8/12/(1-(1+'depto - Departamento'!$D$8/12)^-(12*V$3-$A39+3))+$AT40)</f>
        <v>15.6267575581673</v>
      </c>
      <c r="W39" s="597" cm="1">
        <f t="array" ref="W39">IF(W$3*12&lt;=$A39,0,$J38*'depto - Departamento'!$D$8/12/(1-(1+'depto - Departamento'!$D$8/12)^-(12*W$3-$A39+3))+$AT41)</f>
        <v>17.9722019572186</v>
      </c>
      <c r="X39" s="597" cm="1">
        <f t="array" ref="X39">IF(X$3*12&lt;=$A39,0,$J38*'depto - Departamento'!$D$8/12/(1-(1+'depto - Departamento'!$D$8/12)^-(12*X$3-$A39+3))+$AT41)</f>
        <v>22.3697167930741</v>
      </c>
      <c r="Y39" s="597" cm="1">
        <f t="array" ref="Y39">IF(Y$3*12&lt;=$A39,0,$J38*'depto - Departamento'!$D$8/12/(1-(1+'depto - Departamento'!$D$8/12)^-(12*Y$3-$A39+3))+$AT40)</f>
        <v>27.3682731280861</v>
      </c>
      <c r="Z39" s="597" cm="1">
        <f t="array" ref="Z39">IF(Z$3*12&lt;=$A39,0,$J38*'depto - Departamento'!$D$8/12/(1-(1+'depto - Departamento'!$D$8/12)^-(12*Z$3-$A39+3))+$AT40)</f>
        <v>33.0259175406728</v>
      </c>
      <c r="AA39" s="597" cm="1">
        <f t="array" ref="AA39">IF(AA$3*12&lt;=$A39,0,$J38*'depto - Departamento'!$D$8/12/(1-(1+'depto - Departamento'!$D$8/12)^-(12*AA$3-$A39+3))+$AT40)</f>
        <v>90.1950685699599</v>
      </c>
      <c r="AB39" s="705" cm="1">
        <f t="array" ref="AB39">AB38-(AB37-AB38)</f>
        <v>79.6433</v>
      </c>
      <c r="AC39" s="597"/>
      <c r="AD39" s="717" cm="1">
        <f t="array" ref="AD39">$E39*U39</f>
        <v>592395.969462219</v>
      </c>
      <c r="AE39" s="704" cm="1">
        <f t="array" ref="AE39">$E39*V39</f>
        <v>651729.009789714</v>
      </c>
      <c r="AF39" s="247" cm="1">
        <f t="array" ref="AF39">$E39*W39</f>
        <v>749548.032707339</v>
      </c>
      <c r="AG39" s="247" cm="1">
        <f t="array" ref="AG39">$E39*X39</f>
        <v>932950.634228458</v>
      </c>
      <c r="AH39" s="247" cm="1">
        <f t="array" ref="AH39">$E39*Y39</f>
        <v>1141420.25170792</v>
      </c>
      <c r="AI39" s="247" cm="1">
        <f t="array" ref="AI39">$E39*Z39</f>
        <v>1377377.77373592</v>
      </c>
      <c r="AJ39" s="247" cm="1">
        <f t="array" ref="AJ39">$E39*AA39</f>
        <v>3761672.40761297</v>
      </c>
      <c r="AK39" s="704" cm="1">
        <f t="array" ref="AK39">$E39*AB39</f>
        <v>3321600.71289112</v>
      </c>
      <c r="AL39" s="597"/>
      <c r="AM39" s="691" cm="1">
        <f t="array" ref="AM39">J37-J39</f>
        <v>18.2898</v>
      </c>
      <c r="AN39" s="691" cm="1">
        <f t="array" ref="AN39">D39-AM39</f>
        <v>-0.3175980427814</v>
      </c>
      <c r="AO39" s="597"/>
      <c r="AP39" s="684" cm="1">
        <f t="array" ref="AP39">ROUND(AQ39*E39,0)</f>
        <v>43132</v>
      </c>
      <c r="AQ39" s="692">
        <v>1.0342</v>
      </c>
      <c r="AR39" s="684" cm="1">
        <f t="array" ref="AR39">ROUND(E39*AS39,0)</f>
        <v>3282</v>
      </c>
      <c r="AS39" s="692" cm="1">
        <f t="array" ref="AS39">0.0787</f>
        <v>0.07870000000000001</v>
      </c>
      <c r="AT39" s="693" cm="1">
        <f t="array" ref="AT39">SUM(AQ39,AS39)</f>
        <v>1.1129</v>
      </c>
      <c r="AU39" s="684" cm="1">
        <f t="array" ref="AU39">ROUND(SUM(AQ39,AS39)*E39,0)</f>
        <v>46415</v>
      </c>
      <c r="AV39" s="685">
        <v>112242</v>
      </c>
      <c r="AW39" s="694" cm="1">
        <f t="array" ref="AW39">ROUND(AV39/$E39,4)</f>
        <v>2.6913</v>
      </c>
      <c r="AX39" s="685" cm="1">
        <f t="array" ref="AX39">I39-SUM(AU39,AV39,BB39)</f>
        <v>268982</v>
      </c>
      <c r="AY39" s="694" cm="1">
        <f t="array" ref="AY39">ROUND(AX39/$E39,4)</f>
        <v>6.4495</v>
      </c>
      <c r="AZ39" s="686" cm="1">
        <f t="array" ref="AZ39">AX39+AV39</f>
        <v>381224</v>
      </c>
      <c r="BA39" s="694" cm="1">
        <f t="array" ref="BA39">ROUND((AV39+AX39)/E39,4)</f>
        <v>9.1408</v>
      </c>
      <c r="BB39" s="687">
        <v>321909</v>
      </c>
      <c r="BC39" s="695" cm="1">
        <f t="array" ref="BC39">ROUND(BB39/$E39,4)</f>
        <v>7.7185</v>
      </c>
      <c r="BD39" s="679" cm="1">
        <f t="array" ref="BD39">K38-K39</f>
        <v>302846</v>
      </c>
      <c r="BE39" s="679" cm="1">
        <f t="array" ref="BE39">AZ39-BD39</f>
        <v>78378</v>
      </c>
      <c r="BF39" s="679" cm="1">
        <f t="array" ref="BF39">-BE39</f>
        <v>-78378</v>
      </c>
      <c r="BG39" s="679" cm="1">
        <f t="array" ref="BG39">BB39+BE39</f>
        <v>400287</v>
      </c>
      <c r="BH39" s="679" cm="1">
        <f t="array" ref="BH39">AVERAGE(BG36:BG37,BG39)</f>
        <v>479210</v>
      </c>
      <c r="BI39" s="699" cm="1">
        <f t="array" ref="BI39">BC37-BC39</f>
        <v>0.0078</v>
      </c>
      <c r="BJ39" s="596" cm="1">
        <f t="array" ref="BJ39">J38*0.0495/12-0.16</f>
        <v>9.538175300000001</v>
      </c>
      <c r="BK39" s="698" cm="1">
        <f t="array" ref="BK39">(AV39+AX39)/BB39</f>
        <v>1.18426014805426</v>
      </c>
      <c r="BL39" s="698" cm="1">
        <f t="array" ref="BL39">U39-AW39</f>
        <v>11.5128063911034</v>
      </c>
      <c r="BM39" s="698" cm="1">
        <f t="array" ref="BM39">(BN$2*(1+BN$2)^BM$2*J37)/((1+BN$2)^BM$2-1)</f>
        <v>12.5981558486596</v>
      </c>
      <c r="BN39" s="698"/>
      <c r="BO39" s="247" cm="1">
        <f t="array" ref="BO39">AV39+AX39+BO38</f>
        <v>64639974</v>
      </c>
      <c r="BP39" s="247" cm="1">
        <f t="array" ref="BP39">BB39+BP38</f>
        <v>14435124</v>
      </c>
      <c r="BQ39" s="596" cm="1">
        <f t="array" ref="BQ39">BA39+BQ38</f>
        <v>1641.7225</v>
      </c>
      <c r="BR39" s="596" cm="1">
        <f t="array" ref="BR39">BC39+BR38</f>
        <v>367.8329</v>
      </c>
      <c r="BS39" s="247" cm="1">
        <f t="array" ref="BS39">SUM(BE$6:BE39)</f>
        <v>15679977</v>
      </c>
      <c r="BT39" s="596"/>
      <c r="BU39" s="596"/>
      <c r="BV39" s="247" cm="1">
        <f t="array" ref="BV39">SUM(AZ$6:AZ39)</f>
        <v>64639974</v>
      </c>
      <c r="BW39" s="596"/>
      <c r="BX39" s="596"/>
    </row>
    <row r="40" ht="19.35" customHeight="1">
      <c r="A40" s="689">
        <v>36</v>
      </c>
      <c r="B40" s="703">
        <v>46429</v>
      </c>
      <c r="C40" s="704"/>
      <c r="D40" s="705" cm="1">
        <f t="array" ref="D40">W40</f>
        <v>17.9579625509124</v>
      </c>
      <c r="E40" s="836" cm="1">
        <f t="array" ref="E40">E39*(1+F40)</f>
        <v>41718.4771739115</v>
      </c>
      <c r="F40" s="837" cm="1">
        <f t="array" ref="F40">G40-SUM(F29:F39)</f>
        <v>0.0003</v>
      </c>
      <c r="G40" s="706" cm="1">
        <f t="array" ref="G40">'depto - Table 5'!$G$2</f>
        <v>0.05</v>
      </c>
      <c r="H40" s="706" cm="1">
        <f t="array" ref="H40">G40+4.95/100</f>
        <v>0.09950000000000001</v>
      </c>
      <c r="I40" s="247" cm="1">
        <f t="array" ref="I40">IF(J39=0,0,ROUND(D40*E40,0))</f>
        <v>749179</v>
      </c>
      <c r="J40" s="677" cm="1">
        <f t="array" ref="J40">IF(J39-BA40&lt;0,0,J39-BA40)</f>
        <v>2332.8031</v>
      </c>
      <c r="K40" s="679" cm="1">
        <f t="array" ref="K40">ROUND(J40*E40,0)</f>
        <v>97320993</v>
      </c>
      <c r="L40" s="679" cm="1">
        <f t="array" ref="L40">K40-K39</f>
        <v>-351542</v>
      </c>
      <c r="M40" s="681" cm="1">
        <f t="array" ref="M40">Q40-J40</f>
        <v>3067.1969</v>
      </c>
      <c r="N40" s="679" cm="1">
        <f t="array" ref="N40">ROUND(M40*E40,0)</f>
        <v>127958784</v>
      </c>
      <c r="O40" s="596" cm="1">
        <f t="array" ref="O40">$J$5-J40</f>
        <v>1617.1969</v>
      </c>
      <c r="P40" s="679" cm="1">
        <f t="array" ref="P40">N40-N39</f>
        <v>419106</v>
      </c>
      <c r="Q40" s="596">
        <v>5400</v>
      </c>
      <c r="R40" s="679" cm="1">
        <f t="array" ref="R40">Q40*E40</f>
        <v>225279776.739122</v>
      </c>
      <c r="S40" s="247" cm="1">
        <f t="array" ref="S40">-P40</f>
        <v>-419106</v>
      </c>
      <c r="T40" s="690"/>
      <c r="U40" s="716" cm="1">
        <f t="array" ref="U40">J39*4.95/12/100/(1-(1+4.95/12/100)^-(360-$A40+3))+AT40</f>
        <v>14.1720554998058</v>
      </c>
      <c r="V40" s="705" cm="1">
        <f t="array" ref="V40">IF(V$3*12&lt;=$A40,0,$J39*'depto - Departamento'!$D$8/12/(1-(1+'depto - Departamento'!$D$8/12)^-(12*V$3-$A40+3))+$AT41)</f>
        <v>15.6000025438286</v>
      </c>
      <c r="W40" s="597" cm="1">
        <f t="array" ref="W40">IF(W$3*12&lt;=$A40,0,$J39*'depto - Departamento'!$D$8/12/(1-(1+'depto - Departamento'!$D$8/12)^-(12*W$3-$A40+3))+$AT42)</f>
        <v>17.9579625509124</v>
      </c>
      <c r="X40" s="597" cm="1">
        <f t="array" ref="X40">IF(X$3*12&lt;=$A40,0,$J39*'depto - Departamento'!$D$8/12/(1-(1+'depto - Departamento'!$D$8/12)^-(12*X$3-$A40+3))+$AT42)</f>
        <v>22.3916852917327</v>
      </c>
      <c r="Y40" s="597" cm="1">
        <f t="array" ref="Y40">IF(Y$3*12&lt;=$A40,0,$J39*'depto - Departamento'!$D$8/12/(1-(1+'depto - Departamento'!$D$8/12)^-(12*Y$3-$A40+3))+$AT41)</f>
        <v>27.4516824195303</v>
      </c>
      <c r="Z40" s="597" cm="1">
        <f t="array" ref="Z40">IF(Z$3*12&lt;=$A40,0,$J39*'depto - Departamento'!$D$8/12/(1-(1+'depto - Departamento'!$D$8/12)^-(12*Z$3-$A40+3))+$AT41)</f>
        <v>33.2050749418204</v>
      </c>
      <c r="AA40" s="597" cm="1">
        <f t="array" ref="AA40">IF(AA$3*12&lt;=$A40,0,$J39*'depto - Departamento'!$D$8/12/(1-(1+'depto - Departamento'!$D$8/12)^-(12*AA$3-$A40+3))+$AT41)</f>
        <v>92.94959021272579</v>
      </c>
      <c r="AB40" s="705" cm="1">
        <f t="array" ref="AB40">AB39-(AB38-AB39)</f>
        <v>79.6309</v>
      </c>
      <c r="AC40" s="597"/>
      <c r="AD40" s="717" cm="1">
        <f t="array" ref="AD40">$E40*U40</f>
        <v>591236.573876055</v>
      </c>
      <c r="AE40" s="704" cm="1">
        <f t="array" ref="AE40">$E40*V40</f>
        <v>650808.350037675</v>
      </c>
      <c r="AF40" s="247" cm="1">
        <f t="array" ref="AF40">$E40*W40</f>
        <v>749178.8507701959</v>
      </c>
      <c r="AG40" s="247" cm="1">
        <f t="array" ref="AG40">$E40*X40</f>
        <v>934147.011728561</v>
      </c>
      <c r="AH40" s="247" cm="1">
        <f t="array" ref="AH40">$E40*Y40</f>
        <v>1145242.38640464</v>
      </c>
      <c r="AI40" s="247" cm="1">
        <f t="array" ref="AI40">$E40*Z40</f>
        <v>1385265.16101836</v>
      </c>
      <c r="AJ40" s="247" cm="1">
        <f t="array" ref="AJ40">$E40*AA40</f>
        <v>3877715.35761403</v>
      </c>
      <c r="AK40" s="704" cm="1">
        <f t="array" ref="AK40">$E40*AB40</f>
        <v>3322079.88398803</v>
      </c>
      <c r="AL40" s="597"/>
      <c r="AM40" s="691" cm="1">
        <f t="array" ref="AM40">J38-J40</f>
        <v>18.2697</v>
      </c>
      <c r="AN40" s="691" cm="1">
        <f t="array" ref="AN40">D40-AM40</f>
        <v>-0.3117374490876</v>
      </c>
      <c r="AO40" s="597"/>
      <c r="AP40" s="684" cm="1">
        <f t="array" ref="AP40">ROUND(AQ40*E40,0)</f>
        <v>43145</v>
      </c>
      <c r="AQ40" s="692">
        <v>1.0342</v>
      </c>
      <c r="AR40" s="684" cm="1">
        <f t="array" ref="AR40">ROUND(E40*AS40,0)</f>
        <v>3283</v>
      </c>
      <c r="AS40" s="692" cm="1">
        <f t="array" ref="AS40">0.0787</f>
        <v>0.07870000000000001</v>
      </c>
      <c r="AT40" s="693" cm="1">
        <f t="array" ref="AT40">SUM(AQ40,AS40)</f>
        <v>1.1129</v>
      </c>
      <c r="AU40" s="684" cm="1">
        <f t="array" ref="AU40">ROUND(SUM(AQ40,AS40)*E40,0)</f>
        <v>46428</v>
      </c>
      <c r="AV40" s="685">
        <v>112242</v>
      </c>
      <c r="AW40" s="694" cm="1">
        <f t="array" ref="AW40">ROUND(AV40/$E40,4)</f>
        <v>2.6905</v>
      </c>
      <c r="AX40" s="685" cm="1">
        <f t="array" ref="AX40">I40-SUM(AU40,AV40,BB40)</f>
        <v>268600</v>
      </c>
      <c r="AY40" s="694" cm="1">
        <f t="array" ref="AY40">ROUND(AX40/$E40,4)</f>
        <v>6.4384</v>
      </c>
      <c r="AZ40" s="686" cm="1">
        <f t="array" ref="AZ40">AX40+AV40</f>
        <v>380842</v>
      </c>
      <c r="BA40" s="694" cm="1">
        <f t="array" ref="BA40">ROUND((AV40+AX40)/E40,4)</f>
        <v>9.1289</v>
      </c>
      <c r="BB40" s="687">
        <v>321909</v>
      </c>
      <c r="BC40" s="695" cm="1">
        <f t="array" ref="BC40">ROUND(BB40/$E40,4)</f>
        <v>7.7162</v>
      </c>
      <c r="BD40" s="679" cm="1">
        <f t="array" ref="BD40">K39-K40</f>
        <v>351542</v>
      </c>
      <c r="BE40" s="679" cm="1">
        <f t="array" ref="BE40">AZ40-BD40</f>
        <v>29300</v>
      </c>
      <c r="BF40" s="679" cm="1">
        <f t="array" ref="BF40">-BE40</f>
        <v>-29300</v>
      </c>
      <c r="BG40" s="679" cm="1">
        <f t="array" ref="BG40">BB40+BE40</f>
        <v>351209</v>
      </c>
      <c r="BH40" s="679" cm="1">
        <f t="array" ref="BH40">AVERAGE(BG37:BG38,BG40)</f>
        <v>459536.333333333</v>
      </c>
      <c r="BI40" s="699" cm="1">
        <f t="array" ref="BI40">BC38-BC40</f>
        <v>0.008500000000000001</v>
      </c>
      <c r="BJ40" s="596" cm="1">
        <f t="array" ref="BJ40">J39*0.0495/12-0.16</f>
        <v>9.500469499999999</v>
      </c>
      <c r="BK40" s="698" cm="1">
        <f t="array" ref="BK40">(AV40+AX40)/BB40</f>
        <v>1.18307347728706</v>
      </c>
      <c r="BL40" s="698" cm="1">
        <f t="array" ref="BL40">U40-AW40</f>
        <v>11.4815554998058</v>
      </c>
      <c r="BM40" s="698" cm="1">
        <f t="array" ref="BM40">(BN$2*(1+BN$2)^BM$2*J38)/((1+BN$2)^BM$2-1)</f>
        <v>12.5493212315659</v>
      </c>
      <c r="BN40" s="698"/>
      <c r="BO40" s="247" cm="1">
        <f t="array" ref="BO40">AV40+AX40+BO39</f>
        <v>65020816</v>
      </c>
      <c r="BP40" s="247" cm="1">
        <f t="array" ref="BP40">BB40+BP39</f>
        <v>14757033</v>
      </c>
      <c r="BQ40" s="596" cm="1">
        <f t="array" ref="BQ40">BA40+BQ39</f>
        <v>1650.8514</v>
      </c>
      <c r="BR40" s="596" cm="1">
        <f t="array" ref="BR40">BC40+BR39</f>
        <v>375.5491</v>
      </c>
      <c r="BS40" s="247" cm="1">
        <f t="array" ref="BS40">SUM(BE$6:BE40)</f>
        <v>15709277</v>
      </c>
      <c r="BT40" s="596"/>
      <c r="BU40" s="596"/>
      <c r="BV40" s="247" cm="1">
        <f t="array" ref="BV40">SUM(AZ$6:AZ40)</f>
        <v>65020816</v>
      </c>
      <c r="BW40" s="596"/>
      <c r="BX40" s="596"/>
    </row>
    <row r="41" ht="19.35" customHeight="1">
      <c r="A41" s="689">
        <v>37</v>
      </c>
      <c r="B41" s="703">
        <v>46457</v>
      </c>
      <c r="C41" s="704"/>
      <c r="D41" s="705" cm="1">
        <f t="array" ref="D41">W41</f>
        <v>17.9439344928544</v>
      </c>
      <c r="E41" s="836" cm="1">
        <f t="array" ref="E41">E40*(1+F41)</f>
        <v>41872.835539455</v>
      </c>
      <c r="F41" s="837" cm="1">
        <f t="array" ref="F41">G41-SUM(F30:F40)</f>
        <v>0.0037</v>
      </c>
      <c r="G41" s="706" cm="1">
        <f t="array" ref="G41">'depto - Table 5'!$G$2</f>
        <v>0.05</v>
      </c>
      <c r="H41" s="706" cm="1">
        <f t="array" ref="H41">G41+4.95/100</f>
        <v>0.09950000000000001</v>
      </c>
      <c r="I41" s="247" cm="1">
        <f t="array" ref="I41">IF(J40=0,0,ROUND(D41*E41,0))</f>
        <v>751363</v>
      </c>
      <c r="J41" s="677" cm="1">
        <f t="array" ref="J41">IF(J40-BA41&lt;0,0,J40-BA41)</f>
        <v>2323.6598</v>
      </c>
      <c r="K41" s="679" cm="1">
        <f t="array" ref="K41">ROUND(J41*E41,0)</f>
        <v>97298225</v>
      </c>
      <c r="L41" s="679" cm="1">
        <f t="array" ref="L41">K41-K40</f>
        <v>-22768</v>
      </c>
      <c r="M41" s="681" cm="1">
        <f t="array" ref="M41">Q41-J41</f>
        <v>3076.3402</v>
      </c>
      <c r="N41" s="679" cm="1">
        <f t="array" ref="N41">ROUND(M41*E41,0)</f>
        <v>128815087</v>
      </c>
      <c r="O41" s="596" cm="1">
        <f t="array" ref="O41">$J$5-J41</f>
        <v>1626.3402</v>
      </c>
      <c r="P41" s="679" cm="1">
        <f t="array" ref="P41">N41-N40</f>
        <v>856303</v>
      </c>
      <c r="Q41" s="596">
        <v>5400</v>
      </c>
      <c r="R41" s="679" cm="1">
        <f t="array" ref="R41">Q41*E41</f>
        <v>226113311.913057</v>
      </c>
      <c r="S41" s="247" cm="1">
        <f t="array" ref="S41">-P41</f>
        <v>-856303</v>
      </c>
      <c r="T41" s="690"/>
      <c r="U41" s="716" cm="1">
        <f t="array" ref="U41">J40*4.95/12/100/(1-(1+4.95/12/100)^-(360-$A41+3))+AT41</f>
        <v>14.1400560601452</v>
      </c>
      <c r="V41" s="705" cm="1">
        <f t="array" ref="V41">IF(V$3*12&lt;=$A41,0,$J40*'depto - Departamento'!$D$8/12/(1-(1+'depto - Departamento'!$D$8/12)^-(12*V$3-$A41+3))+$AT42)</f>
        <v>15.5733339205624</v>
      </c>
      <c r="W41" s="597" cm="1">
        <f t="array" ref="W41">IF(W$3*12&lt;=$A41,0,$J40*'depto - Departamento'!$D$8/12/(1-(1+'depto - Departamento'!$D$8/12)^-(12*W$3-$A41+3))+$AT43)</f>
        <v>17.9439344928544</v>
      </c>
      <c r="X41" s="597" cm="1">
        <f t="array" ref="X41">IF(X$3*12&lt;=$A41,0,$J40*'depto - Departamento'!$D$8/12/(1-(1+'depto - Departamento'!$D$8/12)^-(12*X$3-$A41+3))+$AT43)</f>
        <v>22.4144168855491</v>
      </c>
      <c r="Y41" s="597" cm="1">
        <f t="array" ref="Y41">IF(Y$3*12&lt;=$A41,0,$J40*'depto - Departamento'!$D$8/12/(1-(1+'depto - Departamento'!$D$8/12)^-(12*Y$3-$A41+3))+$AT42)</f>
        <v>27.5371966777756</v>
      </c>
      <c r="Z41" s="597" cm="1">
        <f t="array" ref="Z41">IF(Z$3*12&lt;=$A41,0,$J40*'depto - Departamento'!$D$8/12/(1-(1+'depto - Departamento'!$D$8/12)^-(12*Z$3-$A41+3))+$AT42)</f>
        <v>33.3891300852741</v>
      </c>
      <c r="AA41" s="597" cm="1">
        <f t="array" ref="AA41">IF(AA$3*12&lt;=$A41,0,$J40*'depto - Departamento'!$D$8/12/(1-(1+'depto - Departamento'!$D$8/12)^-(12*AA$3-$A41+3))+$AT42)</f>
        <v>95.918240287505</v>
      </c>
      <c r="AB41" s="705" cm="1">
        <f t="array" ref="AB41">AB40-(AB39-AB40)</f>
        <v>79.6185</v>
      </c>
      <c r="AC41" s="597"/>
      <c r="AD41" s="717" cm="1">
        <f t="array" ref="AD41">$E41*U41</f>
        <v>592084.241925134</v>
      </c>
      <c r="AE41" s="704" cm="1">
        <f t="array" ref="AE41">$E41*V41</f>
        <v>652099.650056725</v>
      </c>
      <c r="AF41" s="247" cm="1">
        <f t="array" ref="AF41">$E41*W41</f>
        <v>751363.417950046</v>
      </c>
      <c r="AG41" s="247" cm="1">
        <f t="array" ref="AG41">$E41*X41</f>
        <v>938555.191961381</v>
      </c>
      <c r="AH41" s="247" cm="1">
        <f t="array" ref="AH41">$E41*Y41</f>
        <v>1153060.50770612</v>
      </c>
      <c r="AI41" s="247" cm="1">
        <f t="array" ref="AI41">$E41*Z41</f>
        <v>1398097.55286615</v>
      </c>
      <c r="AJ41" s="247" cm="1">
        <f t="array" ref="AJ41">$E41*AA41</f>
        <v>4016368.70079262</v>
      </c>
      <c r="AK41" s="704" cm="1">
        <f t="array" ref="AK41">$E41*AB41</f>
        <v>3333852.3563981</v>
      </c>
      <c r="AL41" s="597"/>
      <c r="AM41" s="691" cm="1">
        <f t="array" ref="AM41">J39-J41</f>
        <v>18.2722</v>
      </c>
      <c r="AN41" s="691" cm="1">
        <f t="array" ref="AN41">D41-AM41</f>
        <v>-0.3282655071456</v>
      </c>
      <c r="AO41" s="597"/>
      <c r="AP41" s="684" cm="1">
        <f t="array" ref="AP41">ROUND(AQ41*E41,0)</f>
        <v>43305</v>
      </c>
      <c r="AQ41" s="692">
        <v>1.0342</v>
      </c>
      <c r="AR41" s="684" cm="1">
        <f t="array" ref="AR41">ROUND(E41*AS41,0)</f>
        <v>3295</v>
      </c>
      <c r="AS41" s="692" cm="1">
        <f t="array" ref="AS41">0.0787</f>
        <v>0.07870000000000001</v>
      </c>
      <c r="AT41" s="693" cm="1">
        <f t="array" ref="AT41">SUM(AQ41,AS41)</f>
        <v>1.1129</v>
      </c>
      <c r="AU41" s="684" cm="1">
        <f t="array" ref="AU41">ROUND(SUM(AQ41,AS41)*E41,0)</f>
        <v>46600</v>
      </c>
      <c r="AV41" s="685">
        <v>112242</v>
      </c>
      <c r="AW41" s="694" cm="1">
        <f t="array" ref="AW41">ROUND(AV41/$E41,4)</f>
        <v>2.6805</v>
      </c>
      <c r="AX41" s="685" cm="1">
        <f t="array" ref="AX41">I41-SUM(AU41,AV41,BB41)</f>
        <v>270612</v>
      </c>
      <c r="AY41" s="694" cm="1">
        <f t="array" ref="AY41">ROUND(AX41/$E41,4)</f>
        <v>6.4627</v>
      </c>
      <c r="AZ41" s="686" cm="1">
        <f t="array" ref="AZ41">AX41+AV41</f>
        <v>382854</v>
      </c>
      <c r="BA41" s="694" cm="1">
        <f t="array" ref="BA41">ROUND((AV41+AX41)/E41,4)</f>
        <v>9.1433</v>
      </c>
      <c r="BB41" s="687">
        <v>321909</v>
      </c>
      <c r="BC41" s="695" cm="1">
        <f t="array" ref="BC41">ROUND(BB41/$E41,4)</f>
        <v>7.6878</v>
      </c>
      <c r="BD41" s="679" cm="1">
        <f t="array" ref="BD41">K40-K41</f>
        <v>22768</v>
      </c>
      <c r="BE41" s="679" cm="1">
        <f t="array" ref="BE41">AZ41-BD41</f>
        <v>360086</v>
      </c>
      <c r="BF41" s="679" cm="1">
        <f t="array" ref="BF41">-BE41</f>
        <v>-360086</v>
      </c>
      <c r="BG41" s="679" cm="1">
        <f t="array" ref="BG41">BB41+BE41</f>
        <v>681995</v>
      </c>
      <c r="BH41" s="679" cm="1">
        <f t="array" ref="BH41">AVERAGE(BG38:BG39,BG41)</f>
        <v>474620</v>
      </c>
      <c r="BI41" s="699" cm="1">
        <f t="array" ref="BI41">BC39-BC41</f>
        <v>0.0307</v>
      </c>
      <c r="BJ41" s="596" cm="1">
        <f t="array" ref="BJ41">J40*0.0495/12-0.16</f>
        <v>9.462812787500001</v>
      </c>
      <c r="BK41" s="698" cm="1">
        <f t="array" ref="BK41">(AV41+AX41)/BB41</f>
        <v>1.18932369085673</v>
      </c>
      <c r="BL41" s="698" cm="1">
        <f t="array" ref="BL41">U41-AW41</f>
        <v>11.4595560601452</v>
      </c>
      <c r="BM41" s="698" cm="1">
        <f t="array" ref="BM41">(BN$2*(1+BN$2)^BM$2*J39)/((1+BN$2)^BM$2-1)</f>
        <v>12.5005303836119</v>
      </c>
      <c r="BN41" s="698"/>
      <c r="BO41" s="247" cm="1">
        <f t="array" ref="BO41">AV41+AX41+BO40</f>
        <v>65403670</v>
      </c>
      <c r="BP41" s="247" cm="1">
        <f t="array" ref="BP41">BB41+BP40</f>
        <v>15078942</v>
      </c>
      <c r="BQ41" s="596" cm="1">
        <f t="array" ref="BQ41">BA41+BQ40</f>
        <v>1659.9947</v>
      </c>
      <c r="BR41" s="596" cm="1">
        <f t="array" ref="BR41">BC41+BR40</f>
        <v>383.2369</v>
      </c>
      <c r="BS41" s="247" cm="1">
        <f t="array" ref="BS41">SUM(BE$6:BE41)</f>
        <v>16069363</v>
      </c>
      <c r="BT41" s="596"/>
      <c r="BU41" s="596"/>
      <c r="BV41" s="247" cm="1">
        <f t="array" ref="BV41">SUM(AZ$6:AZ41)</f>
        <v>65403670</v>
      </c>
      <c r="BW41" s="596"/>
      <c r="BX41" s="596"/>
    </row>
    <row r="42" ht="19.35" customHeight="1">
      <c r="A42" s="689">
        <v>38</v>
      </c>
      <c r="B42" s="703">
        <v>46488</v>
      </c>
      <c r="C42" s="704"/>
      <c r="D42" s="705" cm="1">
        <f t="array" ref="D42">W42</f>
        <v>17.9299297451541</v>
      </c>
      <c r="E42" s="836" cm="1">
        <f t="array" ref="E42">E41*(1+F42)</f>
        <v>41877.0228230089</v>
      </c>
      <c r="F42" s="837" cm="1">
        <f t="array" ref="F42">G42-SUM(F31:F41)</f>
        <v>0.0001</v>
      </c>
      <c r="G42" s="706" cm="1">
        <f t="array" ref="G42">'depto - Table 5'!$G$2</f>
        <v>0.05</v>
      </c>
      <c r="H42" s="706" cm="1">
        <f t="array" ref="H42">G42+4.95/100</f>
        <v>0.09950000000000001</v>
      </c>
      <c r="I42" s="247" cm="1">
        <f t="array" ref="I42">IF(J41=0,0,ROUND(D42*E42,0))</f>
        <v>750852</v>
      </c>
      <c r="J42" s="677" cm="1">
        <f t="array" ref="J42">IF(J41-BA42&lt;0,0,J41-BA42)</f>
        <v>2314.5298</v>
      </c>
      <c r="K42" s="679" cm="1">
        <f t="array" ref="K42">ROUND(J42*E42,0)</f>
        <v>96925617</v>
      </c>
      <c r="L42" s="679" cm="1">
        <f t="array" ref="L42">K42-K41</f>
        <v>-372608</v>
      </c>
      <c r="M42" s="681" cm="1">
        <f t="array" ref="M42">Q42-J42</f>
        <v>3085.4702</v>
      </c>
      <c r="N42" s="679" cm="1">
        <f t="array" ref="N42">ROUND(M42*E42,0)</f>
        <v>129210306</v>
      </c>
      <c r="O42" s="596" cm="1">
        <f t="array" ref="O42">$J$5-J42</f>
        <v>1635.4702</v>
      </c>
      <c r="P42" s="679" cm="1">
        <f t="array" ref="P42">N42-N41</f>
        <v>395219</v>
      </c>
      <c r="Q42" s="596">
        <v>5400</v>
      </c>
      <c r="R42" s="679" cm="1">
        <f t="array" ref="R42">Q42*E42</f>
        <v>226135923.244248</v>
      </c>
      <c r="S42" s="247" cm="1">
        <f t="array" ref="S42">-P42</f>
        <v>-395219</v>
      </c>
      <c r="T42" s="690"/>
      <c r="U42" s="716" cm="1">
        <f t="array" ref="U42">J41*4.95/12/100/(1-(1+4.95/12/100)^-(360-$A42+3))+AT42</f>
        <v>14.1079609606292</v>
      </c>
      <c r="V42" s="705" cm="1">
        <f t="array" ref="V42">IF(V$3*12&lt;=$A42,0,$J41*'depto - Departamento'!$D$8/12/(1-(1+'depto - Departamento'!$D$8/12)^-(12*V$3-$A42+3))+$AT43)</f>
        <v>15.546588685161</v>
      </c>
      <c r="W42" s="597" cm="1">
        <f t="array" ref="W42">IF(W$3*12&lt;=$A42,0,$J41*'depto - Departamento'!$D$8/12/(1-(1+'depto - Departamento'!$D$8/12)^-(12*W$3-$A42+3))+$AT44)</f>
        <v>17.9299297451541</v>
      </c>
      <c r="X42" s="597" cm="1">
        <f t="array" ref="X42">IF(X$3*12&lt;=$A42,0,$J41*'depto - Departamento'!$D$8/12/(1-(1+'depto - Departamento'!$D$8/12)^-(12*X$3-$A42+3))+$AT44)</f>
        <v>22.4376848988023</v>
      </c>
      <c r="Y42" s="597" cm="1">
        <f t="array" ref="Y42">IF(Y$3*12&lt;=$A42,0,$J41*'depto - Departamento'!$D$8/12/(1-(1+'depto - Departamento'!$D$8/12)^-(12*Y$3-$A42+3))+$AT43)</f>
        <v>27.6245723176378</v>
      </c>
      <c r="Z42" s="597" cm="1">
        <f t="array" ref="Z42">IF(Z$3*12&lt;=$A42,0,$J41*'depto - Departamento'!$D$8/12/(1-(1+'depto - Departamento'!$D$8/12)^-(12*Z$3-$A42+3))+$AT43)</f>
        <v>33.5778865358397</v>
      </c>
      <c r="AA42" s="597" cm="1">
        <f t="array" ref="AA42">IF(AA$3*12&lt;=$A42,0,$J41*'depto - Departamento'!$D$8/12/(1-(1+'depto - Departamento'!$D$8/12)^-(12*AA$3-$A42+3))+$AT43)</f>
        <v>99.12559873872191</v>
      </c>
      <c r="AB42" s="705" cm="1">
        <f t="array" ref="AB42">AB41-(AB40-AB41)</f>
        <v>79.6061</v>
      </c>
      <c r="AC42" s="597"/>
      <c r="AD42" s="717" cm="1">
        <f t="array" ref="AD42">$E42*U42</f>
        <v>590799.403134388</v>
      </c>
      <c r="AE42" s="704" cm="1">
        <f t="array" ref="AE42">$E42*V42</f>
        <v>651044.8491884189</v>
      </c>
      <c r="AF42" s="247" cm="1">
        <f t="array" ref="AF42">$E42*W42</f>
        <v>750852.077152764</v>
      </c>
      <c r="AG42" s="247" cm="1">
        <f t="array" ref="AG42">$E42*X42</f>
        <v>939623.442602626</v>
      </c>
      <c r="AH42" s="247" cm="1">
        <f t="array" ref="AH42">$E42*Y42</f>
        <v>1156834.84542158</v>
      </c>
      <c r="AI42" s="247" cm="1">
        <f t="array" ref="AI42">$E42*Z42</f>
        <v>1406141.92080976</v>
      </c>
      <c r="AJ42" s="247" cm="1">
        <f t="array" ref="AJ42">$E42*AA42</f>
        <v>4151084.96072588</v>
      </c>
      <c r="AK42" s="704" cm="1">
        <f t="array" ref="AK42">$E42*AB42</f>
        <v>3333666.46655073</v>
      </c>
      <c r="AL42" s="597"/>
      <c r="AM42" s="691" cm="1">
        <f t="array" ref="AM42">J40-J42</f>
        <v>18.2733</v>
      </c>
      <c r="AN42" s="691" cm="1">
        <f t="array" ref="AN42">D42-AM42</f>
        <v>-0.3433702548459</v>
      </c>
      <c r="AO42" s="597"/>
      <c r="AP42" s="684" cm="1">
        <f t="array" ref="AP42">ROUND(AQ42*E42,0)</f>
        <v>43309</v>
      </c>
      <c r="AQ42" s="692">
        <v>1.0342</v>
      </c>
      <c r="AR42" s="684" cm="1">
        <f t="array" ref="AR42">ROUND(E42*AS42,0)</f>
        <v>3296</v>
      </c>
      <c r="AS42" s="692" cm="1">
        <f t="array" ref="AS42">0.0787</f>
        <v>0.07870000000000001</v>
      </c>
      <c r="AT42" s="693" cm="1">
        <f t="array" ref="AT42">SUM(AQ42,AS42)</f>
        <v>1.1129</v>
      </c>
      <c r="AU42" s="684" cm="1">
        <f t="array" ref="AU42">ROUND(SUM(AQ42,AS42)*E42,0)</f>
        <v>46605</v>
      </c>
      <c r="AV42" s="685">
        <v>112242</v>
      </c>
      <c r="AW42" s="694" cm="1">
        <f t="array" ref="AW42">ROUND(AV42/$E42,4)</f>
        <v>2.6803</v>
      </c>
      <c r="AX42" s="685" cm="1">
        <f t="array" ref="AX42">I42-SUM(AU42,AV42,BB42)</f>
        <v>270096</v>
      </c>
      <c r="AY42" s="694" cm="1">
        <f t="array" ref="AY42">ROUND(AX42/$E42,4)</f>
        <v>6.4497</v>
      </c>
      <c r="AZ42" s="686" cm="1">
        <f t="array" ref="AZ42">AX42+AV42</f>
        <v>382338</v>
      </c>
      <c r="BA42" s="694" cm="1">
        <f t="array" ref="BA42">ROUND((AV42+AX42)/E42,4)</f>
        <v>9.130000000000001</v>
      </c>
      <c r="BB42" s="687">
        <v>321909</v>
      </c>
      <c r="BC42" s="695" cm="1">
        <f t="array" ref="BC42">ROUND(BB42/$E42,4)</f>
        <v>7.687</v>
      </c>
      <c r="BD42" s="679" cm="1">
        <f t="array" ref="BD42">K41-K42</f>
        <v>372608</v>
      </c>
      <c r="BE42" s="679" cm="1">
        <f t="array" ref="BE42">AZ42-BD42</f>
        <v>9730</v>
      </c>
      <c r="BF42" s="679" cm="1">
        <f t="array" ref="BF42">-BE42</f>
        <v>-9730</v>
      </c>
      <c r="BG42" s="679" cm="1">
        <f t="array" ref="BG42">BB42+BE42</f>
        <v>331639</v>
      </c>
      <c r="BH42" s="679" cm="1">
        <f t="array" ref="BH42">AVERAGE(BG39:BG40,BG42)</f>
        <v>361045</v>
      </c>
      <c r="BI42" s="699" cm="1">
        <f t="array" ref="BI42">BC40-BC42</f>
        <v>0.0292</v>
      </c>
      <c r="BJ42" s="596" cm="1">
        <f t="array" ref="BJ42">J41*0.0495/12-0.16</f>
        <v>9.425096675000001</v>
      </c>
      <c r="BK42" s="698" cm="1">
        <f t="array" ref="BK42">(AV42+AX42)/BB42</f>
        <v>1.18772075338061</v>
      </c>
      <c r="BL42" s="698" cm="1">
        <f t="array" ref="BL42">U42-AW42</f>
        <v>11.4276609606292</v>
      </c>
      <c r="BM42" s="698" cm="1">
        <f t="array" ref="BM42">(BN$2*(1+BN$2)^BM$2*J40)/((1+BN$2)^BM$2-1)</f>
        <v>12.4518030542877</v>
      </c>
      <c r="BN42" s="698"/>
      <c r="BO42" s="247" cm="1">
        <f t="array" ref="BO42">AV42+AX42+BO41</f>
        <v>65786008</v>
      </c>
      <c r="BP42" s="247" cm="1">
        <f t="array" ref="BP42">BB42+BP41</f>
        <v>15400851</v>
      </c>
      <c r="BQ42" s="596" cm="1">
        <f t="array" ref="BQ42">BA42+BQ41</f>
        <v>1669.1247</v>
      </c>
      <c r="BR42" s="596" cm="1">
        <f t="array" ref="BR42">BC42+BR41</f>
        <v>390.9239</v>
      </c>
      <c r="BS42" s="247" cm="1">
        <f t="array" ref="BS42">SUM(BE$6:BE42)</f>
        <v>16079093</v>
      </c>
      <c r="BT42" s="596"/>
      <c r="BU42" s="596"/>
      <c r="BV42" s="247" cm="1">
        <f t="array" ref="BV42">SUM(AZ$6:AZ42)</f>
        <v>65786008</v>
      </c>
      <c r="BW42" s="596"/>
      <c r="BX42" s="596"/>
    </row>
    <row r="43" ht="19.35" customHeight="1">
      <c r="A43" s="689">
        <v>39</v>
      </c>
      <c r="B43" s="703">
        <v>46518</v>
      </c>
      <c r="C43" s="704"/>
      <c r="D43" s="705" cm="1">
        <f t="array" ref="D43">W43</f>
        <v>17.9161499730864</v>
      </c>
      <c r="E43" s="836" cm="1">
        <f t="array" ref="E43">E42*(1+F43)</f>
        <v>42128.284959947</v>
      </c>
      <c r="F43" s="837" cm="1">
        <f t="array" ref="F43">G43-SUM(F32:F42)</f>
        <v>0.006</v>
      </c>
      <c r="G43" s="706" cm="1">
        <f t="array" ref="G43">'depto - Table 5'!$G$2</f>
        <v>0.05</v>
      </c>
      <c r="H43" s="706" cm="1">
        <f t="array" ref="H43">G43+4.95/100</f>
        <v>0.09950000000000001</v>
      </c>
      <c r="I43" s="247" cm="1">
        <f t="array" ref="I43">IF(J42=0,0,ROUND(D43*E43,0))</f>
        <v>754777</v>
      </c>
      <c r="J43" s="677" cm="1">
        <f t="array" ref="J43">IF(J42-BA43&lt;0,0,J42-BA43)</f>
        <v>2305.3677</v>
      </c>
      <c r="K43" s="679" cm="1">
        <f t="array" ref="K43">ROUND(J43*E43,0)</f>
        <v>97121187</v>
      </c>
      <c r="L43" s="679" cm="1">
        <f t="array" ref="L43">K43-K42</f>
        <v>195570</v>
      </c>
      <c r="M43" s="681" cm="1">
        <f t="array" ref="M43">Q43-J43</f>
        <v>3094.6323</v>
      </c>
      <c r="N43" s="679" cm="1">
        <f t="array" ref="N43">ROUND(M43*E43,0)</f>
        <v>130371551</v>
      </c>
      <c r="O43" s="596" cm="1">
        <f t="array" ref="O43">$J$5-J43</f>
        <v>1644.6323</v>
      </c>
      <c r="P43" s="679" cm="1">
        <f t="array" ref="P43">N43-N42</f>
        <v>1161245</v>
      </c>
      <c r="Q43" s="596">
        <v>5400</v>
      </c>
      <c r="R43" s="679" cm="1">
        <f t="array" ref="R43">Q43*E43</f>
        <v>227492738.783714</v>
      </c>
      <c r="S43" s="247" cm="1">
        <f t="array" ref="S43">-P43</f>
        <v>-1161245</v>
      </c>
      <c r="T43" s="690"/>
      <c r="U43" s="716" cm="1">
        <f t="array" ref="U43">J42*4.95/12/100/(1-(1+4.95/12/100)^-(360-$A43+3))+AT43</f>
        <v>14.075924663649</v>
      </c>
      <c r="V43" s="705" cm="1">
        <f t="array" ref="V43">IF(V$3*12&lt;=$A43,0,$J42*'depto - Departamento'!$D$8/12/(1-(1+'depto - Departamento'!$D$8/12)^-(12*V$3-$A43+3))+$AT44)</f>
        <v>15.5199386026331</v>
      </c>
      <c r="W43" s="597" cm="1">
        <f t="array" ref="W43">IF(W$3*12&lt;=$A43,0,$J42*'depto - Departamento'!$D$8/12/(1-(1+'depto - Departamento'!$D$8/12)^-(12*W$3-$A43+3))+$AT45)</f>
        <v>17.9161499730864</v>
      </c>
      <c r="X43" s="597" cm="1">
        <f t="array" ref="X43">IF(X$3*12&lt;=$A43,0,$J42*'depto - Departamento'!$D$8/12/(1-(1+'depto - Departamento'!$D$8/12)^-(12*X$3-$A43+3))+$AT45)</f>
        <v>22.4617562495995</v>
      </c>
      <c r="Y43" s="597" cm="1">
        <f t="array" ref="Y43">IF(Y$3*12&lt;=$A43,0,$J42*'depto - Departamento'!$D$8/12/(1-(1+'depto - Departamento'!$D$8/12)^-(12*Y$3-$A43+3))+$AT44)</f>
        <v>27.7141796707789</v>
      </c>
      <c r="Z43" s="597" cm="1">
        <f t="array" ref="Z43">IF(Z$3*12&lt;=$A43,0,$J42*'depto - Departamento'!$D$8/12/(1-(1+'depto - Departamento'!$D$8/12)^-(12*Z$3-$A43+3))+$AT44)</f>
        <v>33.7719033504138</v>
      </c>
      <c r="AA43" s="597" cm="1">
        <f t="array" ref="AA43">IF(AA$3*12&lt;=$A43,0,$J42*'depto - Departamento'!$D$8/12/(1-(1+'depto - Departamento'!$D$8/12)^-(12*AA$3-$A43+3))+$AT44)</f>
        <v>102.602719365810</v>
      </c>
      <c r="AB43" s="705" cm="1">
        <f t="array" ref="AB43">AB42-(AB41-AB42)</f>
        <v>79.5937</v>
      </c>
      <c r="AC43" s="597"/>
      <c r="AD43" s="717" cm="1">
        <f t="array" ref="AD43">$E43*U43</f>
        <v>592994.565304951</v>
      </c>
      <c r="AE43" s="704" cm="1">
        <f t="array" ref="AE43">$E43*V43</f>
        <v>653828.396012609</v>
      </c>
      <c r="AF43" s="247" cm="1">
        <f t="array" ref="AF43">$E43*W43</f>
        <v>754776.671451331</v>
      </c>
      <c r="AG43" s="247" cm="1">
        <f t="array" ref="AG43">$E43*X43</f>
        <v>946275.2679839981</v>
      </c>
      <c r="AH43" s="247" cm="1">
        <f t="array" ref="AH43">$E43*Y43</f>
        <v>1167550.85860174</v>
      </c>
      <c r="AI43" s="247" cm="1">
        <f t="array" ref="AI43">$E43*Z43</f>
        <v>1422752.36798602</v>
      </c>
      <c r="AJ43" s="247" cm="1">
        <f t="array" ref="AJ43">$E43*AA43</f>
        <v>4322476.59910832</v>
      </c>
      <c r="AK43" s="704" cm="1">
        <f t="array" ref="AK43">$E43*AB43</f>
        <v>3353146.07461653</v>
      </c>
      <c r="AL43" s="597"/>
      <c r="AM43" s="691" cm="1">
        <f t="array" ref="AM43">J41-J43</f>
        <v>18.2921</v>
      </c>
      <c r="AN43" s="691" cm="1">
        <f t="array" ref="AN43">D43-AM43</f>
        <v>-0.3759500269136</v>
      </c>
      <c r="AO43" s="597"/>
      <c r="AP43" s="684" cm="1">
        <f t="array" ref="AP43">ROUND(AQ43*E43,0)</f>
        <v>43569</v>
      </c>
      <c r="AQ43" s="692">
        <v>1.0342</v>
      </c>
      <c r="AR43" s="684" cm="1">
        <f t="array" ref="AR43">ROUND(E43*AS43,0)</f>
        <v>3315</v>
      </c>
      <c r="AS43" s="692" cm="1">
        <f t="array" ref="AS43">0.0787</f>
        <v>0.07870000000000001</v>
      </c>
      <c r="AT43" s="693" cm="1">
        <f t="array" ref="AT43">SUM(AQ43,AS43)</f>
        <v>1.1129</v>
      </c>
      <c r="AU43" s="684" cm="1">
        <f t="array" ref="AU43">ROUND(SUM(AQ43,AS43)*E43,0)</f>
        <v>46885</v>
      </c>
      <c r="AV43" s="685">
        <v>112242</v>
      </c>
      <c r="AW43" s="694" cm="1">
        <f t="array" ref="AW43">ROUND(AV43/$E43,4)</f>
        <v>2.6643</v>
      </c>
      <c r="AX43" s="685" cm="1">
        <f t="array" ref="AX43">I43-SUM(AU43,AV43,BB43)</f>
        <v>273741</v>
      </c>
      <c r="AY43" s="694" cm="1">
        <f t="array" ref="AY43">ROUND(AX43/$E43,4)</f>
        <v>6.4978</v>
      </c>
      <c r="AZ43" s="686" cm="1">
        <f t="array" ref="AZ43">AX43+AV43</f>
        <v>385983</v>
      </c>
      <c r="BA43" s="694" cm="1">
        <f t="array" ref="BA43">ROUND((AV43+AX43)/E43,4)</f>
        <v>9.162100000000001</v>
      </c>
      <c r="BB43" s="687">
        <v>321909</v>
      </c>
      <c r="BC43" s="695" cm="1">
        <f t="array" ref="BC43">ROUND(BB43/$E43,4)</f>
        <v>7.6412</v>
      </c>
      <c r="BD43" s="679" cm="1">
        <f t="array" ref="BD43">K42-K43</f>
        <v>-195570</v>
      </c>
      <c r="BE43" s="679" cm="1">
        <f t="array" ref="BE43">AZ43-BD43</f>
        <v>581553</v>
      </c>
      <c r="BF43" s="679" cm="1">
        <f t="array" ref="BF43">-BE43</f>
        <v>-581553</v>
      </c>
      <c r="BG43" s="679" cm="1">
        <f t="array" ref="BG43">BB43+BE43</f>
        <v>903462</v>
      </c>
      <c r="BH43" s="679" cm="1">
        <f t="array" ref="BH43">AVERAGE(BG40:BG41,BG43)</f>
        <v>645555.333333333</v>
      </c>
      <c r="BI43" s="699" cm="1">
        <f t="array" ref="BI43">BC41-BC43</f>
        <v>0.0466</v>
      </c>
      <c r="BJ43" s="596" cm="1">
        <f t="array" ref="BJ43">J42*0.0495/12-0.16</f>
        <v>9.387435425</v>
      </c>
      <c r="BK43" s="698" cm="1">
        <f t="array" ref="BK43">(AV43+AX43)/BB43</f>
        <v>1.19904382915669</v>
      </c>
      <c r="BL43" s="698" cm="1">
        <f t="array" ref="BL43">U43-AW43</f>
        <v>11.411624663649</v>
      </c>
      <c r="BM43" s="698" cm="1">
        <f t="array" ref="BM43">(BN$2*(1+BN$2)^BM$2*J41)/((1+BN$2)^BM$2-1)</f>
        <v>12.4029988620838</v>
      </c>
      <c r="BN43" s="698"/>
      <c r="BO43" s="247" cm="1">
        <f t="array" ref="BO43">AV43+AX43+BO42</f>
        <v>66171991</v>
      </c>
      <c r="BP43" s="247" cm="1">
        <f t="array" ref="BP43">BB43+BP42</f>
        <v>15722760</v>
      </c>
      <c r="BQ43" s="596" cm="1">
        <f t="array" ref="BQ43">BA43+BQ42</f>
        <v>1678.2868</v>
      </c>
      <c r="BR43" s="596" cm="1">
        <f t="array" ref="BR43">BC43+BR42</f>
        <v>398.5651</v>
      </c>
      <c r="BS43" s="247" cm="1">
        <f t="array" ref="BS43">SUM(BE$6:BE43)</f>
        <v>16660646</v>
      </c>
      <c r="BT43" s="596"/>
      <c r="BU43" s="596"/>
      <c r="BV43" s="247" cm="1">
        <f t="array" ref="BV43">SUM(AZ$6:AZ43)</f>
        <v>66171991</v>
      </c>
      <c r="BW43" s="596"/>
      <c r="BX43" s="596"/>
    </row>
    <row r="44" ht="19.35" customHeight="1">
      <c r="A44" s="689">
        <v>40</v>
      </c>
      <c r="B44" s="703">
        <v>46549</v>
      </c>
      <c r="C44" s="704"/>
      <c r="D44" s="705" cm="1">
        <f t="array" ref="D44">W44</f>
        <v>17.9022670137281</v>
      </c>
      <c r="E44" s="836" cm="1">
        <f t="array" ref="E44">E43*(1+F44)</f>
        <v>42465.3112396266</v>
      </c>
      <c r="F44" s="837" cm="1">
        <f t="array" ref="F44">G44-SUM(F33:F43)</f>
        <v>0.008</v>
      </c>
      <c r="G44" s="706" cm="1">
        <f t="array" ref="G44">'depto - Table 5'!$G$2</f>
        <v>0.05</v>
      </c>
      <c r="H44" s="706" cm="1">
        <f t="array" ref="H44">G44+4.95/100</f>
        <v>0.09950000000000001</v>
      </c>
      <c r="I44" s="247" cm="1">
        <f t="array" ref="I44">IF(J43=0,0,ROUND(D44*E44,0))</f>
        <v>760225</v>
      </c>
      <c r="J44" s="677" cm="1">
        <f t="array" ref="J44">IF(J43-BA44&lt;0,0,J43-BA44)</f>
        <v>2296.1589</v>
      </c>
      <c r="K44" s="679" cm="1">
        <f t="array" ref="K44">ROUND(J44*E44,0)</f>
        <v>97507102</v>
      </c>
      <c r="L44" s="679" cm="1">
        <f t="array" ref="L44">K44-K43</f>
        <v>385915</v>
      </c>
      <c r="M44" s="681" cm="1">
        <f t="array" ref="M44">Q44-J44</f>
        <v>3103.8411</v>
      </c>
      <c r="N44" s="679" cm="1">
        <f t="array" ref="N44">ROUND(M44*E44,0)</f>
        <v>131805578</v>
      </c>
      <c r="O44" s="596" cm="1">
        <f t="array" ref="O44">$J$5-J44</f>
        <v>1653.8411</v>
      </c>
      <c r="P44" s="679" cm="1">
        <f t="array" ref="P44">N44-N43</f>
        <v>1434027</v>
      </c>
      <c r="Q44" s="596">
        <v>5400</v>
      </c>
      <c r="R44" s="679" cm="1">
        <f t="array" ref="R44">Q44*E44</f>
        <v>229312680.693984</v>
      </c>
      <c r="S44" s="247" cm="1">
        <f t="array" ref="S44">-P44</f>
        <v>-1434027</v>
      </c>
      <c r="T44" s="690"/>
      <c r="U44" s="716" cm="1">
        <f t="array" ref="U44">J43*4.95/12/100/(1-(1+4.95/12/100)^-(360-$A44+3))+AT44</f>
        <v>14.0436925219476</v>
      </c>
      <c r="V44" s="705" cm="1">
        <f t="array" ref="V44">IF(V$3*12&lt;=$A44,0,$J43*'depto - Departamento'!$D$8/12/(1-(1+'depto - Departamento'!$D$8/12)^-(12*V$3-$A44+3))+$AT45)</f>
        <v>15.4931009017818</v>
      </c>
      <c r="W44" s="597" cm="1">
        <f t="array" ref="W44">IF(W$3*12&lt;=$A44,0,$J43*'depto - Departamento'!$D$8/12/(1-(1+'depto - Departamento'!$D$8/12)^-(12*W$3-$A44+3))+$AT46)</f>
        <v>17.9022670137281</v>
      </c>
      <c r="X44" s="597" cm="1">
        <f t="array" ref="X44">IF(X$3*12&lt;=$A44,0,$J43*'depto - Departamento'!$D$8/12/(1-(1+'depto - Departamento'!$D$8/12)^-(12*X$3-$A44+3))+$AT46)</f>
        <v>22.4862256926265</v>
      </c>
      <c r="Y44" s="597" cm="1">
        <f t="array" ref="Y44">IF(Y$3*12&lt;=$A44,0,$J43*'depto - Departamento'!$D$8/12/(1-(1+'depto - Departamento'!$D$8/12)^-(12*Y$3-$A44+3))+$AT45)</f>
        <v>27.8055540746095</v>
      </c>
      <c r="Z44" s="597" cm="1">
        <f t="array" ref="Z44">IF(Z$3*12&lt;=$A44,0,$J43*'depto - Departamento'!$D$8/12/(1-(1+'depto - Departamento'!$D$8/12)^-(12*Z$3-$A44+3))+$AT45)</f>
        <v>33.970721581558</v>
      </c>
      <c r="AA44" s="597" cm="1">
        <f t="array" ref="AA44">IF(AA$3*12&lt;=$A44,0,$J43*'depto - Departamento'!$D$8/12/(1-(1+'depto - Departamento'!$D$8/12)^-(12*AA$3-$A44+3))+$AT45)</f>
        <v>106.382708401786</v>
      </c>
      <c r="AB44" s="705" cm="1">
        <f t="array" ref="AB44">AB43-(AB42-AB43)</f>
        <v>79.5813</v>
      </c>
      <c r="AC44" s="597"/>
      <c r="AD44" s="717" cm="1">
        <f t="array" ref="AD44">$E44*U44</f>
        <v>596369.773898121</v>
      </c>
      <c r="AE44" s="704" cm="1">
        <f t="array" ref="AE44">$E44*V44</f>
        <v>657919.351861104</v>
      </c>
      <c r="AF44" s="247" cm="1">
        <f t="array" ref="AF44">$E44*W44</f>
        <v>760225.340632864</v>
      </c>
      <c r="AG44" s="247" cm="1">
        <f t="array" ref="AG44">$E44*X44</f>
        <v>954884.572641873</v>
      </c>
      <c r="AH44" s="247" cm="1">
        <f t="array" ref="AH44">$E44*Y44</f>
        <v>1180771.50796856</v>
      </c>
      <c r="AI44" s="247" cm="1">
        <f t="array" ref="AI44">$E44*Z44</f>
        <v>1442577.26499556</v>
      </c>
      <c r="AJ44" s="247" cm="1">
        <f t="array" ref="AJ44">$E44*AA44</f>
        <v>4517574.82279628</v>
      </c>
      <c r="AK44" s="704" cm="1">
        <f t="array" ref="AK44">$E44*AB44</f>
        <v>3379444.6733541</v>
      </c>
      <c r="AL44" s="597"/>
      <c r="AM44" s="691" cm="1">
        <f t="array" ref="AM44">J42-J44</f>
        <v>18.3709</v>
      </c>
      <c r="AN44" s="691" cm="1">
        <f t="array" ref="AN44">D44-AM44</f>
        <v>-0.4686329862719</v>
      </c>
      <c r="AO44" s="597"/>
      <c r="AP44" s="684" cm="1">
        <f t="array" ref="AP44">ROUND(AQ44*E44,0)</f>
        <v>43918</v>
      </c>
      <c r="AQ44" s="692">
        <v>1.0342</v>
      </c>
      <c r="AR44" s="684" cm="1">
        <f t="array" ref="AR44">ROUND(E44*AS44,0)</f>
        <v>3342</v>
      </c>
      <c r="AS44" s="692" cm="1">
        <f t="array" ref="AS44">0.0787</f>
        <v>0.07870000000000001</v>
      </c>
      <c r="AT44" s="693" cm="1">
        <f t="array" ref="AT44">SUM(AQ44,AS44)</f>
        <v>1.1129</v>
      </c>
      <c r="AU44" s="684" cm="1">
        <f t="array" ref="AU44">ROUND(SUM(AQ44,AS44)*E44,0)</f>
        <v>47260</v>
      </c>
      <c r="AV44" s="685">
        <v>112242</v>
      </c>
      <c r="AW44" s="694" cm="1">
        <f t="array" ref="AW44">ROUND(AV44/$E44,4)</f>
        <v>2.6431</v>
      </c>
      <c r="AX44" s="685" cm="1">
        <f t="array" ref="AX44">I44-SUM(AU44,AV44,BB44)</f>
        <v>278814</v>
      </c>
      <c r="AY44" s="694" cm="1">
        <f t="array" ref="AY44">ROUND(AX44/$E44,4)</f>
        <v>6.5657</v>
      </c>
      <c r="AZ44" s="686" cm="1">
        <f t="array" ref="AZ44">AX44+AV44</f>
        <v>391056</v>
      </c>
      <c r="BA44" s="694" cm="1">
        <f t="array" ref="BA44">ROUND((AV44+AX44)/E44,4)</f>
        <v>9.2088</v>
      </c>
      <c r="BB44" s="687">
        <v>321909</v>
      </c>
      <c r="BC44" s="695" cm="1">
        <f t="array" ref="BC44">ROUND(BB44/$E44,4)</f>
        <v>7.5805</v>
      </c>
      <c r="BD44" s="679" cm="1">
        <f t="array" ref="BD44">K43-K44</f>
        <v>-385915</v>
      </c>
      <c r="BE44" s="679" cm="1">
        <f t="array" ref="BE44">AZ44-BD44</f>
        <v>776971</v>
      </c>
      <c r="BF44" s="679" cm="1">
        <f t="array" ref="BF44">-BE44</f>
        <v>-776971</v>
      </c>
      <c r="BG44" s="679" cm="1">
        <f t="array" ref="BG44">BB44+BE44</f>
        <v>1098880</v>
      </c>
      <c r="BH44" s="679" cm="1">
        <f t="array" ref="BH44">AVERAGE(BG41:BG42,BG44)</f>
        <v>704171.333333333</v>
      </c>
      <c r="BI44" s="699" cm="1">
        <f t="array" ref="BI44">BC42-BC44</f>
        <v>0.1065</v>
      </c>
      <c r="BJ44" s="596" cm="1">
        <f t="array" ref="BJ44">J43*0.0495/12-0.16</f>
        <v>9.349641762499999</v>
      </c>
      <c r="BK44" s="698" cm="1">
        <f t="array" ref="BK44">(AV44+AX44)/BB44</f>
        <v>1.21480294120388</v>
      </c>
      <c r="BL44" s="698" cm="1">
        <f t="array" ref="BL44">U44-AW44</f>
        <v>11.4005925219476</v>
      </c>
      <c r="BM44" s="698" cm="1">
        <f t="array" ref="BM44">(BN$2*(1+BN$2)^BM$2*J42)/((1+BN$2)^BM$2-1)</f>
        <v>12.3542656612895</v>
      </c>
      <c r="BN44" s="698"/>
      <c r="BO44" s="247" cm="1">
        <f t="array" ref="BO44">AV44+AX44+BO43</f>
        <v>66563047</v>
      </c>
      <c r="BP44" s="247" cm="1">
        <f t="array" ref="BP44">BB44+BP43</f>
        <v>16044669</v>
      </c>
      <c r="BQ44" s="596" cm="1">
        <f t="array" ref="BQ44">BA44+BQ43</f>
        <v>1687.4956</v>
      </c>
      <c r="BR44" s="596" cm="1">
        <f t="array" ref="BR44">BC44+BR43</f>
        <v>406.1456</v>
      </c>
      <c r="BS44" s="247" cm="1">
        <f t="array" ref="BS44">SUM(BE$6:BE44)</f>
        <v>17437617</v>
      </c>
      <c r="BT44" s="596"/>
      <c r="BU44" s="596"/>
      <c r="BV44" s="247" cm="1">
        <f t="array" ref="BV44">SUM(AZ$6:AZ44)</f>
        <v>66563047</v>
      </c>
      <c r="BW44" s="596"/>
      <c r="BX44" s="596"/>
    </row>
    <row r="45" ht="19.35" customHeight="1">
      <c r="A45" s="689">
        <v>41</v>
      </c>
      <c r="B45" s="703">
        <v>46579</v>
      </c>
      <c r="C45" s="704"/>
      <c r="D45" s="705" cm="1">
        <f t="array" ref="D45">W45</f>
        <v>17.8881735828804</v>
      </c>
      <c r="E45" s="836" cm="1">
        <f t="array" ref="E45">E44*(1+F45)</f>
        <v>42444.0785840068</v>
      </c>
      <c r="F45" s="837" cm="1">
        <f t="array" ref="F45">G45-SUM(F34:F44)</f>
        <v>-0.0005</v>
      </c>
      <c r="G45" s="706" cm="1">
        <f t="array" ref="G45">'depto - Table 5'!$G$2</f>
        <v>0.05</v>
      </c>
      <c r="H45" s="706" cm="1">
        <f t="array" ref="H45">G45+4.95/100</f>
        <v>0.09950000000000001</v>
      </c>
      <c r="I45" s="247" cm="1">
        <f t="array" ref="I45">IF(J44=0,0,ROUND(D45*E45,0))</f>
        <v>759247</v>
      </c>
      <c r="J45" s="677" cm="1">
        <f t="array" ref="J45">IF(J44-BA45&lt;0,0,J44-BA45)</f>
        <v>2286.9679</v>
      </c>
      <c r="K45" s="679" cm="1">
        <f t="array" ref="K45">ROUND(J45*E45,0)</f>
        <v>97068245</v>
      </c>
      <c r="L45" s="679" cm="1">
        <f t="array" ref="L45">K45-K44</f>
        <v>-438857</v>
      </c>
      <c r="M45" s="681" cm="1">
        <f t="array" ref="M45">Q45-J45</f>
        <v>3113.0321</v>
      </c>
      <c r="N45" s="679" cm="1">
        <f t="array" ref="N45">ROUND(M45*E45,0)</f>
        <v>132129779</v>
      </c>
      <c r="O45" s="596" cm="1">
        <f t="array" ref="O45">$J$5-J45</f>
        <v>1663.0321</v>
      </c>
      <c r="P45" s="679" cm="1">
        <f t="array" ref="P45">N45-N44</f>
        <v>324201</v>
      </c>
      <c r="Q45" s="596">
        <v>5400</v>
      </c>
      <c r="R45" s="679" cm="1">
        <f t="array" ref="R45">Q45*E45</f>
        <v>229198024.353637</v>
      </c>
      <c r="S45" s="247" cm="1">
        <f t="array" ref="S45">-P45</f>
        <v>-324201</v>
      </c>
      <c r="T45" s="690"/>
      <c r="U45" s="716" cm="1">
        <f t="array" ref="U45">J44*4.95/12/100/(1-(1+4.95/12/100)^-(360-$A45+3))+AT45</f>
        <v>14.0111813884705</v>
      </c>
      <c r="V45" s="705" cm="1">
        <f t="array" ref="V45">IF(V$3*12&lt;=$A45,0,$J44*'depto - Departamento'!$D$8/12/(1-(1+'depto - Departamento'!$D$8/12)^-(12*V$3-$A45+3))+$AT46)</f>
        <v>15.4659829480016</v>
      </c>
      <c r="W45" s="597" cm="1">
        <f t="array" ref="W45">IF(W$3*12&lt;=$A45,0,$J44*'depto - Departamento'!$D$8/12/(1-(1+'depto - Departamento'!$D$8/12)^-(12*W$3-$A45+3))+$AT47)</f>
        <v>17.8881735828804</v>
      </c>
      <c r="X45" s="597" cm="1">
        <f t="array" ref="X45">IF(X$3*12&lt;=$A45,0,$J44*'depto - Departamento'!$D$8/12/(1-(1+'depto - Departamento'!$D$8/12)^-(12*X$3-$A45+3))+$AT47)</f>
        <v>22.5109667432273</v>
      </c>
      <c r="Y45" s="597" cm="1">
        <f t="array" ref="Y45">IF(Y$3*12&lt;=$A45,0,$J44*'depto - Departamento'!$D$8/12/(1-(1+'depto - Departamento'!$D$8/12)^-(12*Y$3-$A45+3))+$AT46)</f>
        <v>27.8985766754118</v>
      </c>
      <c r="Z45" s="597" cm="1">
        <f t="array" ref="Z45">IF(Z$3*12&lt;=$A45,0,$J44*'depto - Departamento'!$D$8/12/(1-(1+'depto - Departamento'!$D$8/12)^-(12*Z$3-$A45+3))+$AT46)</f>
        <v>34.1743084550531</v>
      </c>
      <c r="AA45" s="597" cm="1">
        <f t="array" ref="AA45">IF(AA$3*12&lt;=$A45,0,$J44*'depto - Departamento'!$D$8/12/(1-(1+'depto - Departamento'!$D$8/12)^-(12*AA$3-$A45+3))+$AT46)</f>
        <v>110.506176323337</v>
      </c>
      <c r="AB45" s="705" cm="1">
        <f t="array" ref="AB45">AB44-(AB43-AB44)</f>
        <v>79.5689</v>
      </c>
      <c r="AC45" s="597"/>
      <c r="AD45" s="717" cm="1">
        <f t="array" ref="AD45">$E45*U45</f>
        <v>594691.683907015</v>
      </c>
      <c r="AE45" s="704" cm="1">
        <f t="array" ref="AE45">$E45*V45</f>
        <v>656439.3956238891</v>
      </c>
      <c r="AF45" s="247" cm="1">
        <f t="array" ref="AF45">$E45*W45</f>
        <v>759247.04527613</v>
      </c>
      <c r="AG45" s="247" cm="1">
        <f t="array" ref="AG45">$E45*X45</f>
        <v>955457.241451503</v>
      </c>
      <c r="AH45" s="247" cm="1">
        <f t="array" ref="AH45">$E45*Y45</f>
        <v>1184129.38079312</v>
      </c>
      <c r="AI45" s="247" cm="1">
        <f t="array" ref="AI45">$E45*Z45</f>
        <v>1450497.03362036</v>
      </c>
      <c r="AJ45" s="247" cm="1">
        <f t="array" ref="AJ45">$E45*AA45</f>
        <v>4690332.83188583</v>
      </c>
      <c r="AK45" s="704" cm="1">
        <f t="array" ref="AK45">$E45*AB45</f>
        <v>3377228.64444298</v>
      </c>
      <c r="AL45" s="597"/>
      <c r="AM45" s="691" cm="1">
        <f t="array" ref="AM45">J43-J45</f>
        <v>18.3998</v>
      </c>
      <c r="AN45" s="691" cm="1">
        <f t="array" ref="AN45">D45-AM45</f>
        <v>-0.5116264171196</v>
      </c>
      <c r="AO45" s="597"/>
      <c r="AP45" s="684" cm="1">
        <f t="array" ref="AP45">ROUND(AQ45*E45,0)</f>
        <v>43896</v>
      </c>
      <c r="AQ45" s="692">
        <v>1.0342</v>
      </c>
      <c r="AR45" s="684" cm="1">
        <f t="array" ref="AR45">ROUND(E45*AS45,0)</f>
        <v>3340</v>
      </c>
      <c r="AS45" s="692" cm="1">
        <f t="array" ref="AS45">0.0787</f>
        <v>0.07870000000000001</v>
      </c>
      <c r="AT45" s="693" cm="1">
        <f t="array" ref="AT45">SUM(AQ45,AS45)</f>
        <v>1.1129</v>
      </c>
      <c r="AU45" s="684" cm="1">
        <f t="array" ref="AU45">ROUND(SUM(AQ45,AS45)*E45,0)</f>
        <v>47236</v>
      </c>
      <c r="AV45" s="685">
        <v>112242</v>
      </c>
      <c r="AW45" s="694" cm="1">
        <f t="array" ref="AW45">ROUND(AV45/$E45,4)</f>
        <v>2.6445</v>
      </c>
      <c r="AX45" s="685" cm="1">
        <f t="array" ref="AX45">I45-SUM(AU45,AV45,BB45)</f>
        <v>277860</v>
      </c>
      <c r="AY45" s="694" cm="1">
        <f t="array" ref="AY45">ROUND(AX45/$E45,4)</f>
        <v>6.5465</v>
      </c>
      <c r="AZ45" s="686" cm="1">
        <f t="array" ref="AZ45">AX45+AV45</f>
        <v>390102</v>
      </c>
      <c r="BA45" s="694" cm="1">
        <f t="array" ref="BA45">ROUND((AV45+AX45)/E45,4)</f>
        <v>9.191000000000001</v>
      </c>
      <c r="BB45" s="687">
        <v>321909</v>
      </c>
      <c r="BC45" s="695" cm="1">
        <f t="array" ref="BC45">ROUND(BB45/$E45,4)</f>
        <v>7.5843</v>
      </c>
      <c r="BD45" s="679" cm="1">
        <f t="array" ref="BD45">K44-K45</f>
        <v>438857</v>
      </c>
      <c r="BE45" s="679" cm="1">
        <f t="array" ref="BE45">AZ45-BD45</f>
        <v>-48755</v>
      </c>
      <c r="BF45" s="679" cm="1">
        <f t="array" ref="BF45">-BE45</f>
        <v>48755</v>
      </c>
      <c r="BG45" s="679" cm="1">
        <f t="array" ref="BG45">BB45+BE45</f>
        <v>273154</v>
      </c>
      <c r="BH45" s="679" cm="1">
        <f t="array" ref="BH45">AVERAGE(BG42:BG43,BG45)</f>
        <v>502751.666666667</v>
      </c>
      <c r="BI45" s="699" cm="1">
        <f t="array" ref="BI45">BC43-BC45</f>
        <v>0.0569</v>
      </c>
      <c r="BJ45" s="596" cm="1">
        <f t="array" ref="BJ45">J44*0.0495/12-0.16</f>
        <v>9.311655462499999</v>
      </c>
      <c r="BK45" s="698" cm="1">
        <f t="array" ref="BK45">(AV45+AX45)/BB45</f>
        <v>1.21183937075385</v>
      </c>
      <c r="BL45" s="698" cm="1">
        <f t="array" ref="BL45">U45-AW45</f>
        <v>11.3666813884705</v>
      </c>
      <c r="BM45" s="698" cm="1">
        <f t="array" ref="BM45">(BN$2*(1+BN$2)^BM$2*J43)/((1+BN$2)^BM$2-1)</f>
        <v>12.3053611203261</v>
      </c>
      <c r="BN45" s="698"/>
      <c r="BO45" s="247" cm="1">
        <f t="array" ref="BO45">AV45+AX45+BO44</f>
        <v>66953149</v>
      </c>
      <c r="BP45" s="247" cm="1">
        <f t="array" ref="BP45">BB45+BP44</f>
        <v>16366578</v>
      </c>
      <c r="BQ45" s="596" cm="1">
        <f t="array" ref="BQ45">BA45+BQ44</f>
        <v>1696.6866</v>
      </c>
      <c r="BR45" s="596" cm="1">
        <f t="array" ref="BR45">BC45+BR44</f>
        <v>413.7299</v>
      </c>
      <c r="BS45" s="247" cm="1">
        <f t="array" ref="BS45">SUM(BE$6:BE45)</f>
        <v>17388862</v>
      </c>
      <c r="BT45" s="596"/>
      <c r="BU45" s="596"/>
      <c r="BV45" s="247" cm="1">
        <f t="array" ref="BV45">SUM(AZ$6:AZ45)</f>
        <v>66953149</v>
      </c>
      <c r="BW45" s="596"/>
      <c r="BX45" s="596"/>
    </row>
    <row r="46" ht="19.35" customHeight="1">
      <c r="A46" s="689">
        <v>42</v>
      </c>
      <c r="B46" s="703">
        <v>46610</v>
      </c>
      <c r="C46" s="704"/>
      <c r="D46" s="705" cm="1">
        <f t="array" ref="D46">W46</f>
        <v>17.8743407522787</v>
      </c>
      <c r="E46" s="836" cm="1">
        <f t="array" ref="E46">E45*(1+F46)</f>
        <v>43250.5160771029</v>
      </c>
      <c r="F46" s="837" cm="1">
        <f t="array" ref="F46">G46-SUM(F35:F45)</f>
        <v>0.019</v>
      </c>
      <c r="G46" s="706" cm="1">
        <f t="array" ref="G46">'depto - Table 5'!$G$2</f>
        <v>0.05</v>
      </c>
      <c r="H46" s="706" cm="1">
        <f t="array" ref="H46">G46+4.95/100</f>
        <v>0.09950000000000001</v>
      </c>
      <c r="I46" s="247" cm="1">
        <f t="array" ref="I46">IF(J45=0,0,ROUND(D46*E46,0))</f>
        <v>773074</v>
      </c>
      <c r="J46" s="677" cm="1">
        <f t="array" ref="J46">IF(J45-BA46&lt;0,0,J45-BA46)</f>
        <v>2277.6494</v>
      </c>
      <c r="K46" s="679" cm="1">
        <f t="array" ref="K46">ROUND(J46*E46,0)</f>
        <v>98509512</v>
      </c>
      <c r="L46" s="679" cm="1">
        <f t="array" ref="L46">K46-K45</f>
        <v>1441267</v>
      </c>
      <c r="M46" s="681" cm="1">
        <f t="array" ref="M46">Q46-J46</f>
        <v>3122.3506</v>
      </c>
      <c r="N46" s="679" cm="1">
        <f t="array" ref="N46">ROUND(M46*E46,0)</f>
        <v>135043275</v>
      </c>
      <c r="O46" s="596" cm="1">
        <f t="array" ref="O46">$J$5-J46</f>
        <v>1672.3506</v>
      </c>
      <c r="P46" s="679" cm="1">
        <f t="array" ref="P46">N46-N45</f>
        <v>2913496</v>
      </c>
      <c r="Q46" s="596">
        <v>5400</v>
      </c>
      <c r="R46" s="679" cm="1">
        <f t="array" ref="R46">Q46*E46</f>
        <v>233552786.816356</v>
      </c>
      <c r="S46" s="247" cm="1">
        <f t="array" ref="S46">-P46</f>
        <v>-2913496</v>
      </c>
      <c r="T46" s="690"/>
      <c r="U46" s="716" cm="1">
        <f t="array" ref="U46">J45*4.95/12/100/(1-(1+4.95/12/100)^-(360-$A46+3))+AT46</f>
        <v>13.9787526048415</v>
      </c>
      <c r="V46" s="705" cm="1">
        <f t="array" ref="V46">IF(V$3*12&lt;=$A46,0,$J45*'depto - Departamento'!$D$8/12/(1-(1+'depto - Departamento'!$D$8/12)^-(12*V$3-$A46+3))+$AT47)</f>
        <v>15.4389868061056</v>
      </c>
      <c r="W46" s="597" cm="1">
        <f t="array" ref="W46">IF(W$3*12&lt;=$A46,0,$J45*'depto - Departamento'!$D$8/12/(1-(1+'depto - Departamento'!$D$8/12)^-(12*W$3-$A46+3))+$AT48)</f>
        <v>17.8743407522787</v>
      </c>
      <c r="X46" s="597" cm="1">
        <f t="array" ref="X46">IF(X$3*12&lt;=$A46,0,$J45*'depto - Departamento'!$D$8/12/(1-(1+'depto - Departamento'!$D$8/12)^-(12*X$3-$A46+3))+$AT48)</f>
        <v>22.5365913297982</v>
      </c>
      <c r="Y46" s="597" cm="1">
        <f t="array" ref="Y46">IF(Y$3*12&lt;=$A46,0,$J45*'depto - Departamento'!$D$8/12/(1-(1+'depto - Departamento'!$D$8/12)^-(12*Y$3-$A46+3))+$AT47)</f>
        <v>27.9940551442896</v>
      </c>
      <c r="Z46" s="597" cm="1">
        <f t="array" ref="Z46">IF(Z$3*12&lt;=$A46,0,$J45*'depto - Departamento'!$D$8/12/(1-(1+'depto - Departamento'!$D$8/12)^-(12*Z$3-$A46+3))+$AT47)</f>
        <v>34.3837819729688</v>
      </c>
      <c r="AA46" s="597" cm="1">
        <f t="array" ref="AA46">IF(AA$3*12&lt;=$A46,0,$J45*'depto - Departamento'!$D$8/12/(1-(1+'depto - Departamento'!$D$8/12)^-(12*AA$3-$A46+3))+$AT47)</f>
        <v>115.025414737643</v>
      </c>
      <c r="AB46" s="705" cm="1">
        <f t="array" ref="AB46">AB45-(AB44-AB45)</f>
        <v>79.5565</v>
      </c>
      <c r="AC46" s="597"/>
      <c r="AD46" s="717" cm="1">
        <f t="array" ref="AD46">$E46*U46</f>
        <v>604588.264273541</v>
      </c>
      <c r="AE46" s="704" cm="1">
        <f t="array" ref="AE46">$E46*V46</f>
        <v>667744.14707165</v>
      </c>
      <c r="AF46" s="247" cm="1">
        <f t="array" ref="AF46">$E46*W46</f>
        <v>773074.462074045</v>
      </c>
      <c r="AG46" s="247" cm="1">
        <f t="array" ref="AG46">$E46*X46</f>
        <v>974719.205632535</v>
      </c>
      <c r="AH46" s="247" cm="1">
        <f t="array" ref="AH46">$E46*Y46</f>
        <v>1210757.3320814</v>
      </c>
      <c r="AI46" s="247" cm="1">
        <f t="array" ref="AI46">$E46*Z46</f>
        <v>1487116.31501349</v>
      </c>
      <c r="AJ46" s="247" cm="1">
        <f t="array" ref="AJ46">$E46*AA46</f>
        <v>4974908.54938586</v>
      </c>
      <c r="AK46" s="704" cm="1">
        <f t="array" ref="AK46">$E46*AB46</f>
        <v>3440859.68228804</v>
      </c>
      <c r="AL46" s="597"/>
      <c r="AM46" s="691" cm="1">
        <f t="array" ref="AM46">J44-J46</f>
        <v>18.5095</v>
      </c>
      <c r="AN46" s="691" cm="1">
        <f t="array" ref="AN46">D46-AM46</f>
        <v>-0.6351592477212999</v>
      </c>
      <c r="AO46" s="597"/>
      <c r="AP46" s="684" cm="1">
        <f t="array" ref="AP46">ROUND(AQ46*E46,0)</f>
        <v>44730</v>
      </c>
      <c r="AQ46" s="692">
        <v>1.0342</v>
      </c>
      <c r="AR46" s="684" cm="1">
        <f t="array" ref="AR46">ROUND(E46*AS46,0)</f>
        <v>3404</v>
      </c>
      <c r="AS46" s="692" cm="1">
        <f t="array" ref="AS46">0.0787</f>
        <v>0.07870000000000001</v>
      </c>
      <c r="AT46" s="693" cm="1">
        <f t="array" ref="AT46">SUM(AQ46,AS46)</f>
        <v>1.1129</v>
      </c>
      <c r="AU46" s="684" cm="1">
        <f t="array" ref="AU46">ROUND(SUM(AQ46,AS46)*E46,0)</f>
        <v>48133</v>
      </c>
      <c r="AV46" s="685">
        <v>112242</v>
      </c>
      <c r="AW46" s="694" cm="1">
        <f t="array" ref="AW46">ROUND(AV46/$E46,4)</f>
        <v>2.5952</v>
      </c>
      <c r="AX46" s="685" cm="1">
        <f t="array" ref="AX46">I46-SUM(AU46,AV46,BB46)</f>
        <v>290790</v>
      </c>
      <c r="AY46" s="694" cm="1">
        <f t="array" ref="AY46">ROUND(AX46/$E46,4)</f>
        <v>6.7234</v>
      </c>
      <c r="AZ46" s="686" cm="1">
        <f t="array" ref="AZ46">AX46+AV46</f>
        <v>403032</v>
      </c>
      <c r="BA46" s="694" cm="1">
        <f t="array" ref="BA46">ROUND((AV46+AX46)/E46,4)</f>
        <v>9.3185</v>
      </c>
      <c r="BB46" s="687">
        <v>321909</v>
      </c>
      <c r="BC46" s="695" cm="1">
        <f t="array" ref="BC46">ROUND(BB46/$E46,4)</f>
        <v>7.4429</v>
      </c>
      <c r="BD46" s="679" cm="1">
        <f t="array" ref="BD46">K45-K46</f>
        <v>-1441267</v>
      </c>
      <c r="BE46" s="679" cm="1">
        <f t="array" ref="BE46">AZ46-BD46</f>
        <v>1844299</v>
      </c>
      <c r="BF46" s="679" cm="1">
        <f t="array" ref="BF46">-BE46</f>
        <v>-1844299</v>
      </c>
      <c r="BG46" s="679" cm="1">
        <f t="array" ref="BG46">BB46+BE46</f>
        <v>2166208</v>
      </c>
      <c r="BH46" s="679" cm="1">
        <f t="array" ref="BH46">AVERAGE(BG43:BG44,BG46)</f>
        <v>1389516.66666667</v>
      </c>
      <c r="BI46" s="699" cm="1">
        <f t="array" ref="BI46">BC44-BC46</f>
        <v>0.1376</v>
      </c>
      <c r="BJ46" s="596" cm="1">
        <f t="array" ref="BJ46">J45*0.0495/12-0.16</f>
        <v>9.273742587499999</v>
      </c>
      <c r="BK46" s="698" cm="1">
        <f t="array" ref="BK46">(AV46+AX46)/BB46</f>
        <v>1.25200600169613</v>
      </c>
      <c r="BL46" s="698" cm="1">
        <f t="array" ref="BL46">U46-AW46</f>
        <v>11.3835526048415</v>
      </c>
      <c r="BM46" s="698" cm="1">
        <f t="array" ref="BM46">(BN$2*(1+BN$2)^BM$2*J44)/((1+BN$2)^BM$2-1)</f>
        <v>12.2562073087736</v>
      </c>
      <c r="BN46" s="698"/>
      <c r="BO46" s="247" cm="1">
        <f t="array" ref="BO46">AV46+AX46+BO45</f>
        <v>67356181</v>
      </c>
      <c r="BP46" s="247" cm="1">
        <f t="array" ref="BP46">BB46+BP45</f>
        <v>16688487</v>
      </c>
      <c r="BQ46" s="596" cm="1">
        <f t="array" ref="BQ46">BA46+BQ45</f>
        <v>1706.0051</v>
      </c>
      <c r="BR46" s="596" cm="1">
        <f t="array" ref="BR46">BC46+BR45</f>
        <v>421.1728</v>
      </c>
      <c r="BS46" s="247" cm="1">
        <f t="array" ref="BS46">SUM(BE$6:BE46)</f>
        <v>19233161</v>
      </c>
      <c r="BT46" s="596"/>
      <c r="BU46" s="596"/>
      <c r="BV46" s="247" cm="1">
        <f t="array" ref="BV46">SUM(AZ$6:AZ46)</f>
        <v>67356181</v>
      </c>
      <c r="BW46" s="596"/>
      <c r="BX46" s="596"/>
    </row>
    <row r="47" ht="19.35" customHeight="1">
      <c r="A47" s="689">
        <v>43</v>
      </c>
      <c r="B47" s="703">
        <v>46641</v>
      </c>
      <c r="C47" s="704"/>
      <c r="D47" s="705" cm="1">
        <f t="array" ref="D47">W47</f>
        <v>17.8597030445458</v>
      </c>
      <c r="E47" s="836" cm="1">
        <f t="array" ref="E47">E46*(1+F47)</f>
        <v>43613.8204121506</v>
      </c>
      <c r="F47" s="837" cm="1">
        <f t="array" ref="F47">G47-SUM(F36:F46)</f>
        <v>0.008399999999999999</v>
      </c>
      <c r="G47" s="706" cm="1">
        <f t="array" ref="G47">'depto - Table 5'!$G$2</f>
        <v>0.05</v>
      </c>
      <c r="H47" s="706" cm="1">
        <f t="array" ref="H47">G47+4.95/100</f>
        <v>0.09950000000000001</v>
      </c>
      <c r="I47" s="247" cm="1">
        <f t="array" ref="I47">IF(J46=0,0,ROUND(D47*E47,0))</f>
        <v>778930</v>
      </c>
      <c r="J47" s="677" cm="1">
        <f t="array" ref="J47">IF(J46-BA47&lt;0,0,J46-BA47)</f>
        <v>2268.2835</v>
      </c>
      <c r="K47" s="679" cm="1">
        <f t="array" ref="K47">ROUND(J47*E47,0)</f>
        <v>98928509</v>
      </c>
      <c r="L47" s="679" cm="1">
        <f t="array" ref="L47">K47-K46</f>
        <v>418997</v>
      </c>
      <c r="M47" s="681" cm="1">
        <f t="array" ref="M47">Q47-J47</f>
        <v>3131.7165</v>
      </c>
      <c r="N47" s="679" cm="1">
        <f t="array" ref="N47">ROUND(M47*E47,0)</f>
        <v>136586121</v>
      </c>
      <c r="O47" s="596" cm="1">
        <f t="array" ref="O47">$J$5-J47</f>
        <v>1681.7165</v>
      </c>
      <c r="P47" s="679" cm="1">
        <f t="array" ref="P47">N47-N46</f>
        <v>1542846</v>
      </c>
      <c r="Q47" s="596">
        <v>5400</v>
      </c>
      <c r="R47" s="679" cm="1">
        <f t="array" ref="R47">Q47*E47</f>
        <v>235514630.225613</v>
      </c>
      <c r="S47" s="247" cm="1">
        <f t="array" ref="S47">-P47</f>
        <v>-1542846</v>
      </c>
      <c r="T47" s="690"/>
      <c r="U47" s="716" cm="1">
        <f t="array" ref="U47">J46*4.95/12/100/(1-(1+4.95/12/100)^-(360-$A47+3))+AT47</f>
        <v>13.9455876217378</v>
      </c>
      <c r="V47" s="705" cm="1">
        <f t="array" ref="V47">IF(V$3*12&lt;=$A47,0,$J46*'depto - Departamento'!$D$8/12/(1-(1+'depto - Departamento'!$D$8/12)^-(12*V$3-$A47+3))+$AT48)</f>
        <v>15.4112009197965</v>
      </c>
      <c r="W47" s="597" cm="1">
        <f t="array" ref="W47">IF(W$3*12&lt;=$A47,0,$J46*'depto - Departamento'!$D$8/12/(1-(1+'depto - Departamento'!$D$8/12)^-(12*W$3-$A47+3))+$AT49)</f>
        <v>17.8597030445458</v>
      </c>
      <c r="X47" s="597" cm="1">
        <f t="array" ref="X47">IF(X$3*12&lt;=$A47,0,$J46*'depto - Departamento'!$D$8/12/(1-(1+'depto - Departamento'!$D$8/12)^-(12*X$3-$A47+3))+$AT49)</f>
        <v>22.5617486255982</v>
      </c>
      <c r="Y47" s="597" cm="1">
        <f t="array" ref="Y47">IF(Y$3*12&lt;=$A47,0,$J46*'depto - Departamento'!$D$8/12/(1-(1+'depto - Departamento'!$D$8/12)^-(12*Y$3-$A47+3))+$AT48)</f>
        <v>28.0903374033846</v>
      </c>
      <c r="Z47" s="597" cm="1">
        <f t="array" ref="Z47">IF(Z$3*12&lt;=$A47,0,$J46*'depto - Departamento'!$D$8/12/(1-(1+'depto - Departamento'!$D$8/12)^-(12*Z$3-$A47+3))+$AT48)</f>
        <v>34.5972243183288</v>
      </c>
      <c r="AA47" s="597" cm="1">
        <f t="array" ref="AA47">IF(AA$3*12&lt;=$A47,0,$J46*'depto - Departamento'!$D$8/12/(1-(1+'depto - Departamento'!$D$8/12)^-(12*AA$3-$A47+3))+$AT48)</f>
        <v>119.992195907555</v>
      </c>
      <c r="AB47" s="705" cm="1">
        <f t="array" ref="AB47">AB46-(AB45-AB46)</f>
        <v>79.5441</v>
      </c>
      <c r="AC47" s="597"/>
      <c r="AD47" s="717" cm="1">
        <f t="array" ref="AD47">$E47*U47</f>
        <v>608220.3540763831</v>
      </c>
      <c r="AE47" s="704" cm="1">
        <f t="array" ref="AE47">$E47*V47</f>
        <v>672141.349251575</v>
      </c>
      <c r="AF47" s="247" cm="1">
        <f t="array" ref="AF47">$E47*W47</f>
        <v>778929.88119916</v>
      </c>
      <c r="AG47" s="247" cm="1">
        <f t="array" ref="AG47">$E47*X47</f>
        <v>984004.052740926</v>
      </c>
      <c r="AH47" s="247" cm="1">
        <f t="array" ref="AH47">$E47*Y47</f>
        <v>1225126.93082793</v>
      </c>
      <c r="AI47" s="247" cm="1">
        <f t="array" ref="AI47">$E47*Z47</f>
        <v>1508917.12817848</v>
      </c>
      <c r="AJ47" s="247" cm="1">
        <f t="array" ref="AJ47">$E47*AA47</f>
        <v>5233318.0831717</v>
      </c>
      <c r="AK47" s="704" cm="1">
        <f t="array" ref="AK47">$E47*AB47</f>
        <v>3469222.09224615</v>
      </c>
      <c r="AL47" s="597"/>
      <c r="AM47" s="691" cm="1">
        <f t="array" ref="AM47">J45-J47</f>
        <v>18.6844</v>
      </c>
      <c r="AN47" s="691" cm="1">
        <f t="array" ref="AN47">D47-AM47</f>
        <v>-0.8246969554542</v>
      </c>
      <c r="AO47" s="597"/>
      <c r="AP47" s="684" cm="1">
        <f t="array" ref="AP47">ROUND(AQ47*E47,0)</f>
        <v>45105</v>
      </c>
      <c r="AQ47" s="692">
        <v>1.0342</v>
      </c>
      <c r="AR47" s="684" cm="1">
        <f t="array" ref="AR47">ROUND(E47*AS47,0)</f>
        <v>3432</v>
      </c>
      <c r="AS47" s="692" cm="1">
        <f t="array" ref="AS47">0.0787</f>
        <v>0.07870000000000001</v>
      </c>
      <c r="AT47" s="693" cm="1">
        <f t="array" ref="AT47">SUM(AQ47,AS47)</f>
        <v>1.1129</v>
      </c>
      <c r="AU47" s="684" cm="1">
        <f t="array" ref="AU47">ROUND(SUM(AQ47,AS47)*E47,0)</f>
        <v>48538</v>
      </c>
      <c r="AV47" s="685">
        <v>112242</v>
      </c>
      <c r="AW47" s="694" cm="1">
        <f t="array" ref="AW47">ROUND(AV47/$E47,4)</f>
        <v>2.5735</v>
      </c>
      <c r="AX47" s="685" cm="1">
        <f t="array" ref="AX47">I47-SUM(AU47,AV47,BB47)</f>
        <v>296241</v>
      </c>
      <c r="AY47" s="694" cm="1">
        <f t="array" ref="AY47">ROUND(AX47/$E47,4)</f>
        <v>6.7924</v>
      </c>
      <c r="AZ47" s="686" cm="1">
        <f t="array" ref="AZ47">AX47+AV47</f>
        <v>408483</v>
      </c>
      <c r="BA47" s="694" cm="1">
        <f t="array" ref="BA47">ROUND((AV47+AX47)/E47,4)</f>
        <v>9.3659</v>
      </c>
      <c r="BB47" s="687">
        <v>321909</v>
      </c>
      <c r="BC47" s="695" cm="1">
        <f t="array" ref="BC47">ROUND(BB47/$E47,4)</f>
        <v>7.3809</v>
      </c>
      <c r="BD47" s="679" cm="1">
        <f t="array" ref="BD47">K46-K47</f>
        <v>-418997</v>
      </c>
      <c r="BE47" s="679" cm="1">
        <f t="array" ref="BE47">AZ47-BD47</f>
        <v>827480</v>
      </c>
      <c r="BF47" s="679" cm="1">
        <f t="array" ref="BF47">-BE47</f>
        <v>-827480</v>
      </c>
      <c r="BG47" s="679" cm="1">
        <f t="array" ref="BG47">BB47+BE47</f>
        <v>1149389</v>
      </c>
      <c r="BH47" s="679" cm="1">
        <f t="array" ref="BH47">AVERAGE(BG44:BG45,BG47)</f>
        <v>840474.333333333</v>
      </c>
      <c r="BI47" s="699" cm="1">
        <f t="array" ref="BI47">BC45-BC47</f>
        <v>0.2034</v>
      </c>
      <c r="BJ47" s="596" cm="1">
        <f t="array" ref="BJ47">J46*0.0495/12-0.16</f>
        <v>9.235303775</v>
      </c>
      <c r="BK47" s="698" cm="1">
        <f t="array" ref="BK47">(AV47+AX47)/BB47</f>
        <v>1.26893935863862</v>
      </c>
      <c r="BL47" s="698" cm="1">
        <f t="array" ref="BL47">U47-AW47</f>
        <v>11.3720876217378</v>
      </c>
      <c r="BM47" s="698" cm="1">
        <f t="array" ref="BM47">(BN$2*(1+BN$2)^BM$2*J45)/((1+BN$2)^BM$2-1)</f>
        <v>12.2071485082808</v>
      </c>
      <c r="BN47" s="698"/>
      <c r="BO47" s="247" cm="1">
        <f t="array" ref="BO47">AV47+AX47+BO46</f>
        <v>67764664</v>
      </c>
      <c r="BP47" s="247" cm="1">
        <f t="array" ref="BP47">BB47+BP46</f>
        <v>17010396</v>
      </c>
      <c r="BQ47" s="596" cm="1">
        <f t="array" ref="BQ47">BA47+BQ46</f>
        <v>1715.371</v>
      </c>
      <c r="BR47" s="596" cm="1">
        <f t="array" ref="BR47">BC47+BR46</f>
        <v>428.5537</v>
      </c>
      <c r="BS47" s="247" cm="1">
        <f t="array" ref="BS47">SUM(BE$6:BE47)</f>
        <v>20060641</v>
      </c>
      <c r="BT47" s="596"/>
      <c r="BU47" s="596"/>
      <c r="BV47" s="247" cm="1">
        <f t="array" ref="BV47">SUM(AZ$6:AZ47)</f>
        <v>67764664</v>
      </c>
      <c r="BW47" s="596"/>
      <c r="BX47" s="596"/>
    </row>
    <row r="48" ht="19.35" customHeight="1">
      <c r="A48" s="689">
        <v>44</v>
      </c>
      <c r="B48" s="703">
        <v>46671</v>
      </c>
      <c r="C48" s="704"/>
      <c r="D48" s="705" cm="1">
        <f t="array" ref="D48">W48</f>
        <v>17.8448438614074</v>
      </c>
      <c r="E48" s="836" cm="1">
        <f t="array" ref="E48">E47*(1+F48)</f>
        <v>43626.9045582742</v>
      </c>
      <c r="F48" s="837" cm="1">
        <f t="array" ref="F48">G48-SUM(F37:F47)</f>
        <v>0.0003</v>
      </c>
      <c r="G48" s="706" cm="1">
        <f t="array" ref="G48">'depto - Table 5'!$G$2</f>
        <v>0.05</v>
      </c>
      <c r="H48" s="706" cm="1">
        <f t="array" ref="H48">G48+4.95/100</f>
        <v>0.09950000000000001</v>
      </c>
      <c r="I48" s="247" cm="1">
        <f t="array" ref="I48">IF(J47=0,0,ROUND(D48*E48,0))</f>
        <v>778515</v>
      </c>
      <c r="J48" s="677" cm="1">
        <f t="array" ref="J48">IF(J47-BA48&lt;0,0,J47-BA48)</f>
        <v>2258.9302</v>
      </c>
      <c r="K48" s="679" cm="1">
        <f t="array" ref="K48">ROUND(J48*E48,0)</f>
        <v>98550132</v>
      </c>
      <c r="L48" s="679" cm="1">
        <f t="array" ref="L48">K48-K47</f>
        <v>-378377</v>
      </c>
      <c r="M48" s="681" cm="1">
        <f t="array" ref="M48">Q48-J48</f>
        <v>3141.0698</v>
      </c>
      <c r="N48" s="679" cm="1">
        <f t="array" ref="N48">ROUND(M48*E48,0)</f>
        <v>137035152</v>
      </c>
      <c r="O48" s="596" cm="1">
        <f t="array" ref="O48">$J$5-J48</f>
        <v>1691.0698</v>
      </c>
      <c r="P48" s="679" cm="1">
        <f t="array" ref="P48">N48-N47</f>
        <v>449031</v>
      </c>
      <c r="Q48" s="596">
        <v>5400</v>
      </c>
      <c r="R48" s="679" cm="1">
        <f t="array" ref="R48">Q48*E48</f>
        <v>235585284.614681</v>
      </c>
      <c r="S48" s="247" cm="1">
        <f t="array" ref="S48">-P48</f>
        <v>-449031</v>
      </c>
      <c r="T48" s="690"/>
      <c r="U48" s="716" cm="1">
        <f t="array" ref="U48">J47*4.95/12/100/(1-(1+4.95/12/100)^-(360-$A48+3))+AT48</f>
        <v>13.9121348058548</v>
      </c>
      <c r="V48" s="705" cm="1">
        <f t="array" ref="V48">IF(V$3*12&lt;=$A48,0,$J47*'depto - Departamento'!$D$8/12/(1-(1+'depto - Departamento'!$D$8/12)^-(12*V$3-$A48+3))+$AT49)</f>
        <v>15.3831239078082</v>
      </c>
      <c r="W48" s="597" cm="1">
        <f t="array" ref="W48">IF(W$3*12&lt;=$A48,0,$J47*'depto - Departamento'!$D$8/12/(1-(1+'depto - Departamento'!$D$8/12)^-(12*W$3-$A48+3))+$AT50)</f>
        <v>17.8448438614074</v>
      </c>
      <c r="X48" s="597" cm="1">
        <f t="array" ref="X48">IF(X$3*12&lt;=$A48,0,$J47*'depto - Departamento'!$D$8/12/(1-(1+'depto - Departamento'!$D$8/12)^-(12*X$3-$A48+3))+$AT50)</f>
        <v>22.5871930963889</v>
      </c>
      <c r="Y48" s="597" cm="1">
        <f t="array" ref="Y48">IF(Y$3*12&lt;=$A48,0,$J47*'depto - Departamento'!$D$8/12/(1-(1+'depto - Departamento'!$D$8/12)^-(12*Y$3-$A48+3))+$AT49)</f>
        <v>28.1884110013254</v>
      </c>
      <c r="Z48" s="597" cm="1">
        <f t="array" ref="Z48">IF(Z$3*12&lt;=$A48,0,$J47*'depto - Departamento'!$D$8/12/(1-(1+'depto - Departamento'!$D$8/12)^-(12*Z$3-$A48+3))+$AT49)</f>
        <v>34.815986481413</v>
      </c>
      <c r="AA48" s="597" cm="1">
        <f t="array" ref="AA48">IF(AA$3*12&lt;=$A48,0,$J47*'depto - Departamento'!$D$8/12/(1-(1+'depto - Departamento'!$D$8/12)^-(12*AA$3-$A48+3))+$AT49)</f>
        <v>125.481614868460</v>
      </c>
      <c r="AB48" s="705" cm="1">
        <f t="array" ref="AB48">AB47-(AB46-AB47)</f>
        <v>79.5317</v>
      </c>
      <c r="AC48" s="597"/>
      <c r="AD48" s="717" cm="1">
        <f t="array" ref="AD48">$E48*U48</f>
        <v>606943.377376872</v>
      </c>
      <c r="AE48" s="704" cm="1">
        <f t="array" ref="AE48">$E48*V48</f>
        <v>671118.078534054</v>
      </c>
      <c r="AF48" s="247" cm="1">
        <f t="array" ref="AF48">$E48*W48</f>
        <v>778515.299998926</v>
      </c>
      <c r="AG48" s="247" cm="1">
        <f t="array" ref="AG48">$E48*X48</f>
        <v>985409.317455468</v>
      </c>
      <c r="AH48" s="247" cm="1">
        <f t="array" ref="AH48">$E48*Y48</f>
        <v>1229773.11640423</v>
      </c>
      <c r="AI48" s="247" cm="1">
        <f t="array" ref="AI48">$E48*Z48</f>
        <v>1518913.71932677</v>
      </c>
      <c r="AJ48" s="247" cm="1">
        <f t="array" ref="AJ48">$E48*AA48</f>
        <v>5474374.43568443</v>
      </c>
      <c r="AK48" s="704" cm="1">
        <f t="array" ref="AK48">$E48*AB48</f>
        <v>3469721.8852573</v>
      </c>
      <c r="AL48" s="597"/>
      <c r="AM48" s="691" cm="1">
        <f t="array" ref="AM48">J46-J48</f>
        <v>18.7192</v>
      </c>
      <c r="AN48" s="691" cm="1">
        <f t="array" ref="AN48">D48-AM48</f>
        <v>-0.8743561385926</v>
      </c>
      <c r="AO48" s="597"/>
      <c r="AP48" s="684" cm="1">
        <f t="array" ref="AP48">ROUND(AQ48*E48,0)</f>
        <v>45119</v>
      </c>
      <c r="AQ48" s="692">
        <v>1.0342</v>
      </c>
      <c r="AR48" s="684" cm="1">
        <f t="array" ref="AR48">ROUND(E48*AS48,0)</f>
        <v>3433</v>
      </c>
      <c r="AS48" s="692" cm="1">
        <f t="array" ref="AS48">0.0787</f>
        <v>0.07870000000000001</v>
      </c>
      <c r="AT48" s="693" cm="1">
        <f t="array" ref="AT48">SUM(AQ48,AS48)</f>
        <v>1.1129</v>
      </c>
      <c r="AU48" s="684" cm="1">
        <f t="array" ref="AU48">ROUND(SUM(AQ48,AS48)*E48,0)</f>
        <v>48552</v>
      </c>
      <c r="AV48" s="685">
        <v>112242</v>
      </c>
      <c r="AW48" s="694" cm="1">
        <f t="array" ref="AW48">ROUND(AV48/$E48,4)</f>
        <v>2.5728</v>
      </c>
      <c r="AX48" s="685" cm="1">
        <f t="array" ref="AX48">I48-SUM(AU48,AV48,BB48)</f>
        <v>295812</v>
      </c>
      <c r="AY48" s="694" cm="1">
        <f t="array" ref="AY48">ROUND(AX48/$E48,4)</f>
        <v>6.7805</v>
      </c>
      <c r="AZ48" s="686" cm="1">
        <f t="array" ref="AZ48">AX48+AV48</f>
        <v>408054</v>
      </c>
      <c r="BA48" s="694" cm="1">
        <f t="array" ref="BA48">ROUND((AV48+AX48)/E48,4)</f>
        <v>9.353300000000001</v>
      </c>
      <c r="BB48" s="687">
        <v>321909</v>
      </c>
      <c r="BC48" s="695" cm="1">
        <f t="array" ref="BC48">ROUND(BB48/$E48,4)</f>
        <v>7.3787</v>
      </c>
      <c r="BD48" s="679" cm="1">
        <f t="array" ref="BD48">K47-K48</f>
        <v>378377</v>
      </c>
      <c r="BE48" s="679" cm="1">
        <f t="array" ref="BE48">AZ48-BD48</f>
        <v>29677</v>
      </c>
      <c r="BF48" s="679" cm="1">
        <f t="array" ref="BF48">-BE48</f>
        <v>-29677</v>
      </c>
      <c r="BG48" s="679" cm="1">
        <f t="array" ref="BG48">BB48+BE48</f>
        <v>351586</v>
      </c>
      <c r="BH48" s="679" cm="1">
        <f t="array" ref="BH48">AVERAGE(BG45:BG46,BG48)</f>
        <v>930316</v>
      </c>
      <c r="BI48" s="699" cm="1">
        <f t="array" ref="BI48">BC46-BC48</f>
        <v>0.06419999999999999</v>
      </c>
      <c r="BJ48" s="596" cm="1">
        <f t="array" ref="BJ48">J47*0.0495/12-0.16</f>
        <v>9.196669437500001</v>
      </c>
      <c r="BK48" s="698" cm="1">
        <f t="array" ref="BK48">(AV48+AX48)/BB48</f>
        <v>1.2676066838765</v>
      </c>
      <c r="BL48" s="698" cm="1">
        <f t="array" ref="BL48">U48-AW48</f>
        <v>11.3393348058548</v>
      </c>
      <c r="BM48" s="698" cm="1">
        <f t="array" ref="BM48">(BN$2*(1+BN$2)^BM$2*J46)/((1+BN$2)^BM$2-1)</f>
        <v>12.1574091510408</v>
      </c>
      <c r="BN48" s="698"/>
      <c r="BO48" s="247" cm="1">
        <f t="array" ref="BO48">AV48+AX48+BO47</f>
        <v>68172718</v>
      </c>
      <c r="BP48" s="247" cm="1">
        <f t="array" ref="BP48">BB48+BP47</f>
        <v>17332305</v>
      </c>
      <c r="BQ48" s="596" cm="1">
        <f t="array" ref="BQ48">BA48+BQ47</f>
        <v>1724.7243</v>
      </c>
      <c r="BR48" s="596" cm="1">
        <f t="array" ref="BR48">BC48+BR47</f>
        <v>435.9324</v>
      </c>
      <c r="BS48" s="247" cm="1">
        <f t="array" ref="BS48">SUM(BE$6:BE48)</f>
        <v>20090318</v>
      </c>
      <c r="BT48" s="596"/>
      <c r="BU48" s="596"/>
      <c r="BV48" s="247" cm="1">
        <f t="array" ref="BV48">SUM(AZ$6:AZ48)</f>
        <v>68172718</v>
      </c>
      <c r="BW48" s="596"/>
      <c r="BX48" s="596"/>
    </row>
    <row r="49" ht="19.35" customHeight="1">
      <c r="A49" s="689">
        <v>45</v>
      </c>
      <c r="B49" s="703">
        <v>46702</v>
      </c>
      <c r="C49" s="704"/>
      <c r="D49" s="705" cm="1">
        <f t="array" ref="D49">W49</f>
        <v>17.8302054021718</v>
      </c>
      <c r="E49" s="836" cm="1">
        <f t="array" ref="E49">E48*(1+F49)</f>
        <v>43788.3241051398</v>
      </c>
      <c r="F49" s="837" cm="1">
        <f t="array" ref="F49">G49-SUM(F38:F48)</f>
        <v>0.0037</v>
      </c>
      <c r="G49" s="706" cm="1">
        <f t="array" ref="G49">'depto - Table 5'!$G$2</f>
        <v>0.05</v>
      </c>
      <c r="H49" s="706" cm="1">
        <f t="array" ref="H49">G49+4.95/100</f>
        <v>0.09950000000000001</v>
      </c>
      <c r="I49" s="247" cm="1">
        <f t="array" ref="I49">IF(J48=0,0,ROUND(D49*E49,0))</f>
        <v>780755</v>
      </c>
      <c r="J49" s="677" cm="1">
        <f t="array" ref="J49">IF(J48-BA49&lt;0,0,J48-BA49)</f>
        <v>2249.5644</v>
      </c>
      <c r="K49" s="679" cm="1">
        <f t="array" ref="K49">ROUND(J49*E49,0)</f>
        <v>98504655</v>
      </c>
      <c r="L49" s="679" cm="1">
        <f t="array" ref="L49">K49-K48</f>
        <v>-45477</v>
      </c>
      <c r="M49" s="681" cm="1">
        <f t="array" ref="M49">Q49-J49</f>
        <v>3150.4356</v>
      </c>
      <c r="N49" s="679" cm="1">
        <f t="array" ref="N49">ROUND(M49*E49,0)</f>
        <v>137952295</v>
      </c>
      <c r="O49" s="596" cm="1">
        <f t="array" ref="O49">$J$5-J49</f>
        <v>1700.4356</v>
      </c>
      <c r="P49" s="679" cm="1">
        <f t="array" ref="P49">N49-N48</f>
        <v>917143</v>
      </c>
      <c r="Q49" s="596">
        <v>5400</v>
      </c>
      <c r="R49" s="679" cm="1">
        <f t="array" ref="R49">Q49*E49</f>
        <v>236456950.167755</v>
      </c>
      <c r="S49" s="247" cm="1">
        <f t="array" ref="S49">-P49</f>
        <v>-917143</v>
      </c>
      <c r="T49" s="690"/>
      <c r="U49" s="716" cm="1">
        <f t="array" ref="U49">J48*4.95/12/100/(1-(1+4.95/12/100)^-(360-$A49+3))+AT49</f>
        <v>13.8787316298221</v>
      </c>
      <c r="V49" s="705" cm="1">
        <f t="array" ref="V49">IF(V$3*12&lt;=$A49,0,$J48*'depto - Departamento'!$D$8/12/(1-(1+'depto - Departamento'!$D$8/12)^-(12*V$3-$A49+3))+$AT50)</f>
        <v>15.3551319470032</v>
      </c>
      <c r="W49" s="597" cm="1">
        <f t="array" ref="W49">IF(W$3*12&lt;=$A49,0,$J48*'depto - Departamento'!$D$8/12/(1-(1+'depto - Departamento'!$D$8/12)^-(12*W$3-$A49+3))+$AT51)</f>
        <v>17.8302054021718</v>
      </c>
      <c r="X49" s="597" cm="1">
        <f t="array" ref="X49">IF(X$3*12&lt;=$A49,0,$J48*'depto - Departamento'!$D$8/12/(1-(1+'depto - Departamento'!$D$8/12)^-(12*X$3-$A49+3))+$AT51)</f>
        <v>22.6135040591983</v>
      </c>
      <c r="Y49" s="597" cm="1">
        <f t="array" ref="Y49">IF(Y$3*12&lt;=$A49,0,$J48*'depto - Departamento'!$D$8/12/(1-(1+'depto - Departamento'!$D$8/12)^-(12*Y$3-$A49+3))+$AT50)</f>
        <v>28.2890529943445</v>
      </c>
      <c r="Z49" s="597" cm="1">
        <f t="array" ref="Z49">IF(Z$3*12&lt;=$A49,0,$J48*'depto - Departamento'!$D$8/12/(1-(1+'depto - Departamento'!$D$8/12)^-(12*Z$3-$A49+3))+$AT50)</f>
        <v>35.0411774300341</v>
      </c>
      <c r="AA49" s="597" cm="1">
        <f t="array" ref="AA49">IF(AA$3*12&lt;=$A49,0,$J48*'depto - Departamento'!$D$8/12/(1-(1+'depto - Departamento'!$D$8/12)^-(12*AA$3-$A49+3))+$AT50)</f>
        <v>131.584255738926</v>
      </c>
      <c r="AB49" s="705" cm="1">
        <f t="array" ref="AB49">AB48-(AB47-AB48)</f>
        <v>79.5193</v>
      </c>
      <c r="AC49" s="597"/>
      <c r="AD49" s="717" cm="1">
        <f t="array" ref="AD49">$E49*U49</f>
        <v>607726.398774905</v>
      </c>
      <c r="AE49" s="704" cm="1">
        <f t="array" ref="AE49">$E49*V49</f>
        <v>672375.494372562</v>
      </c>
      <c r="AF49" s="247" cm="1">
        <f t="array" ref="AF49">$E49*W49</f>
        <v>780754.813011513</v>
      </c>
      <c r="AG49" s="247" cm="1">
        <f t="array" ref="AG49">$E49*X49</f>
        <v>990207.4448970699</v>
      </c>
      <c r="AH49" s="247" cm="1">
        <f t="array" ref="AH49">$E49*Y49</f>
        <v>1238730.22114383</v>
      </c>
      <c r="AI49" s="247" cm="1">
        <f t="array" ref="AI49">$E49*Z49</f>
        <v>1534394.43433204</v>
      </c>
      <c r="AJ49" s="247" cm="1">
        <f t="array" ref="AJ49">$E49*AA49</f>
        <v>5761854.03742969</v>
      </c>
      <c r="AK49" s="704" cm="1">
        <f t="array" ref="AK49">$E49*AB49</f>
        <v>3482016.88101384</v>
      </c>
      <c r="AL49" s="597"/>
      <c r="AM49" s="691" cm="1">
        <f t="array" ref="AM49">J47-J49</f>
        <v>18.7191</v>
      </c>
      <c r="AN49" s="691" cm="1">
        <f t="array" ref="AN49">D49-AM49</f>
        <v>-0.8888945978282</v>
      </c>
      <c r="AO49" s="597"/>
      <c r="AP49" s="684" cm="1">
        <f t="array" ref="AP49">ROUND(AQ49*E49,0)</f>
        <v>45286</v>
      </c>
      <c r="AQ49" s="692">
        <v>1.0342</v>
      </c>
      <c r="AR49" s="684" cm="1">
        <f t="array" ref="AR49">ROUND(E49*AS49,0)</f>
        <v>3446</v>
      </c>
      <c r="AS49" s="692" cm="1">
        <f t="array" ref="AS49">0.0787</f>
        <v>0.07870000000000001</v>
      </c>
      <c r="AT49" s="693" cm="1">
        <f t="array" ref="AT49">SUM(AQ49,AS49)</f>
        <v>1.1129</v>
      </c>
      <c r="AU49" s="684" cm="1">
        <f t="array" ref="AU49">ROUND(SUM(AQ49,AS49)*E49,0)</f>
        <v>48732</v>
      </c>
      <c r="AV49" s="685">
        <v>112242</v>
      </c>
      <c r="AW49" s="694" cm="1">
        <f t="array" ref="AW49">ROUND(AV49/$E49,4)</f>
        <v>2.5633</v>
      </c>
      <c r="AX49" s="685" cm="1">
        <f t="array" ref="AX49">I49-SUM(AU49,AV49,BB49)</f>
        <v>297872</v>
      </c>
      <c r="AY49" s="694" cm="1">
        <f t="array" ref="AY49">ROUND(AX49/$E49,4)</f>
        <v>6.8025</v>
      </c>
      <c r="AZ49" s="686" cm="1">
        <f t="array" ref="AZ49">AX49+AV49</f>
        <v>410114</v>
      </c>
      <c r="BA49" s="694" cm="1">
        <f t="array" ref="BA49">ROUND((AV49+AX49)/E49,4)</f>
        <v>9.3658</v>
      </c>
      <c r="BB49" s="687">
        <v>321909</v>
      </c>
      <c r="BC49" s="695" cm="1">
        <f t="array" ref="BC49">ROUND(BB49/$E49,4)</f>
        <v>7.3515</v>
      </c>
      <c r="BD49" s="679" cm="1">
        <f t="array" ref="BD49">K48-K49</f>
        <v>45477</v>
      </c>
      <c r="BE49" s="679" cm="1">
        <f t="array" ref="BE49">AZ49-BD49</f>
        <v>364637</v>
      </c>
      <c r="BF49" s="679" cm="1">
        <f t="array" ref="BF49">-BE49</f>
        <v>-364637</v>
      </c>
      <c r="BG49" s="679" cm="1">
        <f t="array" ref="BG49">BB49+BE49</f>
        <v>686546</v>
      </c>
      <c r="BH49" s="679" cm="1">
        <f t="array" ref="BH49">AVERAGE(BG46:BG47,BG49)</f>
        <v>1334047.66666667</v>
      </c>
      <c r="BI49" s="699" cm="1">
        <f t="array" ref="BI49">BC47-BC49</f>
        <v>0.0294</v>
      </c>
      <c r="BJ49" s="596" cm="1">
        <f t="array" ref="BJ49">J48*0.0495/12-0.16</f>
        <v>9.158087074999999</v>
      </c>
      <c r="BK49" s="698" cm="1">
        <f t="array" ref="BK49">(AV49+AX49)/BB49</f>
        <v>1.27400600790907</v>
      </c>
      <c r="BL49" s="698" cm="1">
        <f t="array" ref="BL49">U49-AW49</f>
        <v>11.3154316298221</v>
      </c>
      <c r="BM49" s="698" cm="1">
        <f t="array" ref="BM49">(BN$2*(1+BN$2)^BM$2*J47)/((1+BN$2)^BM$2-1)</f>
        <v>12.107416786822</v>
      </c>
      <c r="BN49" s="698"/>
      <c r="BO49" s="247" cm="1">
        <f t="array" ref="BO49">AV49+AX49+BO48</f>
        <v>68582832</v>
      </c>
      <c r="BP49" s="247" cm="1">
        <f t="array" ref="BP49">BB49+BP48</f>
        <v>17654214</v>
      </c>
      <c r="BQ49" s="596" cm="1">
        <f t="array" ref="BQ49">BA49+BQ48</f>
        <v>1734.0901</v>
      </c>
      <c r="BR49" s="596" cm="1">
        <f t="array" ref="BR49">BC49+BR48</f>
        <v>443.2839</v>
      </c>
      <c r="BS49" s="247" cm="1">
        <f t="array" ref="BS49">SUM(BE$6:BE49)</f>
        <v>20454955</v>
      </c>
      <c r="BT49" s="596"/>
      <c r="BU49" s="596"/>
      <c r="BV49" s="247" cm="1">
        <f t="array" ref="BV49">SUM(AZ$6:AZ49)</f>
        <v>68582832</v>
      </c>
      <c r="BW49" s="596"/>
      <c r="BX49" s="596"/>
    </row>
    <row r="50" ht="19.35" customHeight="1">
      <c r="A50" s="689">
        <v>46</v>
      </c>
      <c r="B50" s="703">
        <v>46732</v>
      </c>
      <c r="C50" s="704"/>
      <c r="D50" s="705" cm="1">
        <f t="array" ref="D50">W50</f>
        <v>17.8156038058844</v>
      </c>
      <c r="E50" s="836" cm="1">
        <f t="array" ref="E50">E49*(1+F50)</f>
        <v>43797.0817699608</v>
      </c>
      <c r="F50" s="837" cm="1">
        <f t="array" ref="F50">G50-SUM(F39:F49)</f>
        <v>0.0002</v>
      </c>
      <c r="G50" s="706" cm="1">
        <f t="array" ref="G50">'depto - Table 5'!$G$2</f>
        <v>0.05</v>
      </c>
      <c r="H50" s="706" cm="1">
        <f t="array" ref="H50">G50+4.95/100</f>
        <v>0.09950000000000001</v>
      </c>
      <c r="I50" s="247" cm="1">
        <f t="array" ref="I50">IF(J49=0,0,ROUND(D50*E50,0))</f>
        <v>780271</v>
      </c>
      <c r="J50" s="677" cm="1">
        <f t="array" ref="J50">IF(J49-BA50&lt;0,0,J49-BA50)</f>
        <v>2240.2117</v>
      </c>
      <c r="K50" s="679" cm="1">
        <f t="array" ref="K50">ROUND(J50*E50,0)</f>
        <v>98114735</v>
      </c>
      <c r="L50" s="679" cm="1">
        <f t="array" ref="L50">K50-K49</f>
        <v>-389920</v>
      </c>
      <c r="M50" s="681" cm="1">
        <f t="array" ref="M50">Q50-J50</f>
        <v>3159.7883</v>
      </c>
      <c r="N50" s="679" cm="1">
        <f t="array" ref="N50">ROUND(M50*E50,0)</f>
        <v>138389507</v>
      </c>
      <c r="O50" s="596" cm="1">
        <f t="array" ref="O50">$J$5-J50</f>
        <v>1709.7883</v>
      </c>
      <c r="P50" s="679" cm="1">
        <f t="array" ref="P50">N50-N49</f>
        <v>437212</v>
      </c>
      <c r="Q50" s="596">
        <v>5400</v>
      </c>
      <c r="R50" s="679" cm="1">
        <f t="array" ref="R50">Q50*E50</f>
        <v>236504241.557788</v>
      </c>
      <c r="S50" s="247" cm="1">
        <f t="array" ref="S50">-P50</f>
        <v>-437212</v>
      </c>
      <c r="T50" s="690"/>
      <c r="U50" s="716" cm="1">
        <f t="array" ref="U50">J49*4.95/12/100/(1-(1+4.95/12/100)^-(360-$A50+3))+AT50</f>
        <v>13.8452359583277</v>
      </c>
      <c r="V50" s="705" cm="1">
        <f t="array" ref="V50">IF(V$3*12&lt;=$A50,0,$J49*'depto - Departamento'!$D$8/12/(1-(1+'depto - Departamento'!$D$8/12)^-(12*V$3-$A50+3))+$AT51)</f>
        <v>15.3270667683771</v>
      </c>
      <c r="W50" s="597" cm="1">
        <f t="array" ref="W50">IF(W$3*12&lt;=$A50,0,$J49*'depto - Departamento'!$D$8/12/(1-(1+'depto - Departamento'!$D$8/12)^-(12*W$3-$A50+3))+$AT52)</f>
        <v>17.8156038058844</v>
      </c>
      <c r="X50" s="597" cm="1">
        <f t="array" ref="X50">IF(X$3*12&lt;=$A50,0,$J49*'depto - Departamento'!$D$8/12/(1-(1+'depto - Departamento'!$D$8/12)^-(12*X$3-$A50+3))+$AT52)</f>
        <v>22.6404590738098</v>
      </c>
      <c r="Y50" s="597" cm="1">
        <f t="array" ref="Y50">IF(Y$3*12&lt;=$A50,0,$J49*'depto - Departamento'!$D$8/12/(1-(1+'depto - Departamento'!$D$8/12)^-(12*Y$3-$A50+3))+$AT51)</f>
        <v>28.3920336679172</v>
      </c>
      <c r="Z50" s="597" cm="1">
        <f t="array" ref="Z50">IF(Z$3*12&lt;=$A50,0,$J49*'depto - Departamento'!$D$8/12/(1-(1+'depto - Departamento'!$D$8/12)^-(12*Z$3-$A50+3))+$AT51)</f>
        <v>35.272664371468</v>
      </c>
      <c r="AA50" s="597" cm="1">
        <f t="array" ref="AA50">IF(AA$3*12&lt;=$A50,0,$J49*'depto - Departamento'!$D$8/12/(1-(1+'depto - Departamento'!$D$8/12)^-(12*AA$3-$A50+3))+$AT51)</f>
        <v>138.406792916409</v>
      </c>
      <c r="AB50" s="705" cm="1">
        <f t="array" ref="AB50">AB49-(AB48-AB49)</f>
        <v>79.5069</v>
      </c>
      <c r="AC50" s="597"/>
      <c r="AD50" s="717" cm="1">
        <f t="array" ref="AD50">$E50*U50</f>
        <v>606380.93139128</v>
      </c>
      <c r="AE50" s="704" cm="1">
        <f t="array" ref="AE50">$E50*V50</f>
        <v>671280.796548261</v>
      </c>
      <c r="AF50" s="247" cm="1">
        <f t="array" ref="AF50">$E50*W50</f>
        <v>780271.456667544</v>
      </c>
      <c r="AG50" s="247" cm="1">
        <f t="array" ref="AG50">$E50*X50</f>
        <v>991586.0373650989</v>
      </c>
      <c r="AH50" s="247" cm="1">
        <f t="array" ref="AH50">$E50*Y50</f>
        <v>1243488.22016925</v>
      </c>
      <c r="AI50" s="247" cm="1">
        <f t="array" ref="AI50">$E50*Z50</f>
        <v>1544839.76572157</v>
      </c>
      <c r="AJ50" s="247" cm="1">
        <f t="array" ref="AJ50">$E50*AA50</f>
        <v>6061813.626878</v>
      </c>
      <c r="AK50" s="704" cm="1">
        <f t="array" ref="AK50">$E50*AB50</f>
        <v>3482170.2005761</v>
      </c>
      <c r="AL50" s="597"/>
      <c r="AM50" s="691" cm="1">
        <f t="array" ref="AM50">J48-J50</f>
        <v>18.7185</v>
      </c>
      <c r="AN50" s="691" cm="1">
        <f t="array" ref="AN50">D50-AM50</f>
        <v>-0.9028961941156</v>
      </c>
      <c r="AO50" s="597"/>
      <c r="AP50" s="684" cm="1">
        <f t="array" ref="AP50">ROUND(AQ50*E50,0)</f>
        <v>45295</v>
      </c>
      <c r="AQ50" s="692">
        <v>1.0342</v>
      </c>
      <c r="AR50" s="684" cm="1">
        <f t="array" ref="AR50">ROUND(E50*AS50,0)</f>
        <v>3447</v>
      </c>
      <c r="AS50" s="692" cm="1">
        <f t="array" ref="AS50">0.0787</f>
        <v>0.07870000000000001</v>
      </c>
      <c r="AT50" s="693" cm="1">
        <f t="array" ref="AT50">SUM(AQ50,AS50)</f>
        <v>1.1129</v>
      </c>
      <c r="AU50" s="684" cm="1">
        <f t="array" ref="AU50">ROUND(SUM(AQ50,AS50)*E50,0)</f>
        <v>48742</v>
      </c>
      <c r="AV50" s="685">
        <v>112242</v>
      </c>
      <c r="AW50" s="694" cm="1">
        <f t="array" ref="AW50">ROUND(AV50/$E50,4)</f>
        <v>2.5628</v>
      </c>
      <c r="AX50" s="685" cm="1">
        <f t="array" ref="AX50">I50-SUM(AU50,AV50,BB50)</f>
        <v>297378</v>
      </c>
      <c r="AY50" s="694" cm="1">
        <f t="array" ref="AY50">ROUND(AX50/$E50,4)</f>
        <v>6.7899</v>
      </c>
      <c r="AZ50" s="686" cm="1">
        <f t="array" ref="AZ50">AX50+AV50</f>
        <v>409620</v>
      </c>
      <c r="BA50" s="694" cm="1">
        <f t="array" ref="BA50">ROUND((AV50+AX50)/E50,4)</f>
        <v>9.3527</v>
      </c>
      <c r="BB50" s="687">
        <v>321909</v>
      </c>
      <c r="BC50" s="695" cm="1">
        <f t="array" ref="BC50">ROUND(BB50/$E50,4)</f>
        <v>7.35</v>
      </c>
      <c r="BD50" s="679" cm="1">
        <f t="array" ref="BD50">K49-K50</f>
        <v>389920</v>
      </c>
      <c r="BE50" s="679" cm="1">
        <f t="array" ref="BE50">AZ50-BD50</f>
        <v>19700</v>
      </c>
      <c r="BF50" s="679" cm="1">
        <f t="array" ref="BF50">-BE50</f>
        <v>-19700</v>
      </c>
      <c r="BG50" s="679" cm="1">
        <f t="array" ref="BG50">BB50+BE50</f>
        <v>341609</v>
      </c>
      <c r="BH50" s="679" cm="1">
        <f t="array" ref="BH50">AVERAGE(BG47:BG48,BG50)</f>
        <v>614194.666666667</v>
      </c>
      <c r="BI50" s="699" cm="1">
        <f t="array" ref="BI50">BC48-BC50</f>
        <v>0.0287</v>
      </c>
      <c r="BJ50" s="596" cm="1">
        <f t="array" ref="BJ50">J49*0.0495/12-0.16</f>
        <v>9.11945315</v>
      </c>
      <c r="BK50" s="698" cm="1">
        <f t="array" ref="BK50">(AV50+AX50)/BB50</f>
        <v>1.27247141272844</v>
      </c>
      <c r="BL50" s="698" cm="1">
        <f t="array" ref="BL50">U50-AW50</f>
        <v>11.2824359583277</v>
      </c>
      <c r="BM50" s="698" cm="1">
        <f t="array" ref="BM50">(BN$2*(1+BN$2)^BM$2*J48)/((1+BN$2)^BM$2-1)</f>
        <v>12.0574916776228</v>
      </c>
      <c r="BN50" s="698"/>
      <c r="BO50" s="247" cm="1">
        <f t="array" ref="BO50">AV50+AX50+BO49</f>
        <v>68992452</v>
      </c>
      <c r="BP50" s="247" cm="1">
        <f t="array" ref="BP50">BB50+BP49</f>
        <v>17976123</v>
      </c>
      <c r="BQ50" s="596" cm="1">
        <f t="array" ref="BQ50">BA50+BQ49</f>
        <v>1743.4428</v>
      </c>
      <c r="BR50" s="596" cm="1">
        <f t="array" ref="BR50">BC50+BR49</f>
        <v>450.6339</v>
      </c>
      <c r="BS50" s="247" cm="1">
        <f t="array" ref="BS50">SUM(BE$6:BE50)</f>
        <v>20474655</v>
      </c>
      <c r="BT50" s="596"/>
      <c r="BU50" s="596"/>
      <c r="BV50" s="247" cm="1">
        <f t="array" ref="BV50">SUM(AZ$6:AZ50)</f>
        <v>68992452</v>
      </c>
      <c r="BW50" s="596"/>
      <c r="BX50" s="596"/>
    </row>
    <row r="51" ht="19.35" customHeight="1">
      <c r="A51" s="689">
        <v>47</v>
      </c>
      <c r="B51" s="675">
        <v>46763</v>
      </c>
      <c r="C51" s="247"/>
      <c r="D51" s="597" cm="1">
        <f t="array" ref="D51">W51</f>
        <v>17.8012304820137</v>
      </c>
      <c r="E51" s="731" cm="1">
        <f t="array" ref="E51">E50*(1+F51)</f>
        <v>43832.1194353768</v>
      </c>
      <c r="F51" s="835" cm="1">
        <f t="array" ref="F51">G51-SUM(F40:F50)</f>
        <v>0.0008</v>
      </c>
      <c r="G51" s="676" cm="1">
        <f t="array" ref="G51">'depto - Table 5'!$G$2</f>
        <v>0.05</v>
      </c>
      <c r="H51" s="676" cm="1">
        <f t="array" ref="H51">G51+4.95/100</f>
        <v>0.09950000000000001</v>
      </c>
      <c r="I51" s="247" cm="1">
        <f t="array" ref="I51">IF(J50=0,0,ROUND(D51*E51,0))</f>
        <v>780266</v>
      </c>
      <c r="J51" s="677" cm="1">
        <f t="array" ref="J51">IF(J50-BA51&lt;0,0,J50-BA51)</f>
        <v>2230.8675</v>
      </c>
      <c r="K51" s="679" cm="1">
        <f t="array" ref="K51">ROUND(J51*E51,0)</f>
        <v>97783651</v>
      </c>
      <c r="L51" s="679" cm="1">
        <f t="array" ref="L51">K51-K50</f>
        <v>-331084</v>
      </c>
      <c r="M51" s="681" cm="1">
        <f t="array" ref="M51">Q51-J51</f>
        <v>3169.1325</v>
      </c>
      <c r="N51" s="679" cm="1">
        <f t="array" ref="N51">ROUND(M51*E51,0)</f>
        <v>138909794</v>
      </c>
      <c r="O51" s="596" cm="1">
        <f t="array" ref="O51">$J$5-J51</f>
        <v>1719.1325</v>
      </c>
      <c r="P51" s="679" cm="1">
        <f t="array" ref="P51">N51-N50</f>
        <v>520287</v>
      </c>
      <c r="Q51" s="596">
        <v>5400</v>
      </c>
      <c r="R51" s="679" cm="1">
        <f t="array" ref="R51">Q51*E51</f>
        <v>236693444.951035</v>
      </c>
      <c r="S51" s="247" cm="1">
        <f t="array" ref="S51">-P51</f>
        <v>-520287</v>
      </c>
      <c r="T51" s="690"/>
      <c r="U51" s="682" cm="1">
        <f t="array" ref="U51">J50*4.95/12/100/(1-(1+4.95/12/100)^-(360-$A51+3))+AT51</f>
        <v>13.8117921804911</v>
      </c>
      <c r="V51" s="597" cm="1">
        <f t="array" ref="V51">IF(V$3*12&lt;=$A51,0,$J50*'depto - Departamento'!$D$8/12/(1-(1+'depto - Departamento'!$D$8/12)^-(12*V$3-$A51+3))+$AT52)</f>
        <v>15.2990897726215</v>
      </c>
      <c r="W51" s="597" cm="1">
        <f t="array" ref="W51">IF(W$3*12&lt;=$A51,0,$J50*'depto - Departamento'!$D$8/12/(1-(1+'depto - Departamento'!$D$8/12)^-(12*W$3-$A51+3))+$AT53)</f>
        <v>17.8012304820137</v>
      </c>
      <c r="X51" s="597" cm="1">
        <f t="array" ref="X51">IF(X$3*12&lt;=$A51,0,$J50*'depto - Departamento'!$D$8/12/(1-(1+'depto - Departamento'!$D$8/12)^-(12*X$3-$A51+3))+$AT53)</f>
        <v>22.6683188012129</v>
      </c>
      <c r="Y51" s="597" cm="1">
        <f t="array" ref="Y51">IF(Y$3*12&lt;=$A51,0,$J50*'depto - Departamento'!$D$8/12/(1-(1+'depto - Departamento'!$D$8/12)^-(12*Y$3-$A51+3))+$AT52)</f>
        <v>28.4977362430264</v>
      </c>
      <c r="Z51" s="597" cm="1">
        <f t="array" ref="Z51">IF(Z$3*12&lt;=$A51,0,$J50*'depto - Departamento'!$D$8/12/(1-(1+'depto - Departamento'!$D$8/12)^-(12*Z$3-$A51+3))+$AT52)</f>
        <v>35.5110890283676</v>
      </c>
      <c r="AA51" s="597" cm="1">
        <f t="array" ref="AA51">IF(AA$3*12&lt;=$A51,0,$J50*'depto - Departamento'!$D$8/12/(1-(1+'depto - Departamento'!$D$8/12)^-(12*AA$3-$A51+3))+$AT52)</f>
        <v>146.085863642120</v>
      </c>
      <c r="AB51" s="597" cm="1">
        <f t="array" ref="AB51">AB50-(AB49-AB50)</f>
        <v>79.4945</v>
      </c>
      <c r="AC51" s="597"/>
      <c r="AD51" s="696" cm="1">
        <f t="array" ref="AD51">$E51*U51</f>
        <v>605400.124471889</v>
      </c>
      <c r="AE51" s="247" cm="1">
        <f t="array" ref="AE51">$E51*V51</f>
        <v>670591.530166097</v>
      </c>
      <c r="AF51" s="247" cm="1">
        <f t="array" ref="AF51">$E51*W51</f>
        <v>780265.6605842951</v>
      </c>
      <c r="AG51" s="247" cm="1">
        <f t="array" ref="AG51">$E51*X51</f>
        <v>993600.457093961</v>
      </c>
      <c r="AH51" s="247" cm="1">
        <f t="array" ref="AH51">$E51*Y51</f>
        <v>1249116.1786422</v>
      </c>
      <c r="AI51" s="247" cm="1">
        <f t="array" ref="AI51">$E51*Z51</f>
        <v>1556526.29557171</v>
      </c>
      <c r="AJ51" s="247" cm="1">
        <f t="array" ref="AJ51">$E51*AA51</f>
        <v>6403253.02298157</v>
      </c>
      <c r="AK51" s="247" cm="1">
        <f t="array" ref="AK51">$E51*AB51</f>
        <v>3484412.41845556</v>
      </c>
      <c r="AL51" s="597"/>
      <c r="AM51" s="691" cm="1">
        <f t="array" ref="AM51">J49-J51</f>
        <v>18.6969</v>
      </c>
      <c r="AN51" s="691" cm="1">
        <f t="array" ref="AN51">D51-AM51</f>
        <v>-0.8956695179863</v>
      </c>
      <c r="AO51" s="597"/>
      <c r="AP51" s="684" cm="1">
        <f t="array" ref="AP51">ROUND(AQ51*E51,0)</f>
        <v>45331</v>
      </c>
      <c r="AQ51" s="692">
        <v>1.0342</v>
      </c>
      <c r="AR51" s="684" cm="1">
        <f t="array" ref="AR51">ROUND(E51*AS51,0)</f>
        <v>3450</v>
      </c>
      <c r="AS51" s="692" cm="1">
        <f t="array" ref="AS51">0.0787</f>
        <v>0.07870000000000001</v>
      </c>
      <c r="AT51" s="693" cm="1">
        <f t="array" ref="AT51">SUM(AQ51,AS51)</f>
        <v>1.1129</v>
      </c>
      <c r="AU51" s="684" cm="1">
        <f t="array" ref="AU51">ROUND(SUM(AQ51,AS51)*E51,0)</f>
        <v>48781</v>
      </c>
      <c r="AV51" s="685">
        <v>112242</v>
      </c>
      <c r="AW51" s="694" cm="1">
        <f t="array" ref="AW51">ROUND(AV51/$E51,4)</f>
        <v>2.5607</v>
      </c>
      <c r="AX51" s="685" cm="1">
        <f t="array" ref="AX51">I51-SUM(AU51,AV51,BB51)</f>
        <v>297334</v>
      </c>
      <c r="AY51" s="694" cm="1">
        <f t="array" ref="AY51">ROUND(AX51/$E51,4)</f>
        <v>6.7835</v>
      </c>
      <c r="AZ51" s="686" cm="1">
        <f t="array" ref="AZ51">AX51+AV51</f>
        <v>409576</v>
      </c>
      <c r="BA51" s="694" cm="1">
        <f t="array" ref="BA51">ROUND((AV51+AX51)/E51,4)</f>
        <v>9.344200000000001</v>
      </c>
      <c r="BB51" s="687">
        <v>321909</v>
      </c>
      <c r="BC51" s="695" cm="1">
        <f t="array" ref="BC51">ROUND(BB51/$E51,4)</f>
        <v>7.3441</v>
      </c>
      <c r="BD51" s="679" cm="1">
        <f t="array" ref="BD51">K50-K51</f>
        <v>331084</v>
      </c>
      <c r="BE51" s="679" cm="1">
        <f t="array" ref="BE51">AZ51-BD51</f>
        <v>78492</v>
      </c>
      <c r="BF51" s="679" cm="1">
        <f t="array" ref="BF51">-BE51</f>
        <v>-78492</v>
      </c>
      <c r="BG51" s="679" cm="1">
        <f t="array" ref="BG51">BB51+BE51</f>
        <v>400401</v>
      </c>
      <c r="BH51" s="679" cm="1">
        <f t="array" ref="BH51">AVERAGE(BG48:BG49,BG51)</f>
        <v>479511</v>
      </c>
      <c r="BI51" s="699" cm="1">
        <f t="array" ref="BI51">BC49-BC51</f>
        <v>0.0074</v>
      </c>
      <c r="BJ51" s="596" cm="1">
        <f t="array" ref="BJ51">J50*0.0495/12-0.16</f>
        <v>9.080873262500001</v>
      </c>
      <c r="BK51" s="698" cm="1">
        <f t="array" ref="BK51">(AV51+AX51)/BB51</f>
        <v>1.27233472813745</v>
      </c>
      <c r="BL51" s="698" cm="1">
        <f t="array" ref="BL51">U51-AW51</f>
        <v>11.2510921804911</v>
      </c>
      <c r="BM51" s="698" cm="1">
        <f t="array" ref="BM51">(BN$2*(1+BN$2)^BM$2*J49)/((1+BN$2)^BM$2-1)</f>
        <v>12.0074998471739</v>
      </c>
      <c r="BN51" s="698"/>
      <c r="BO51" s="247" cm="1">
        <f t="array" ref="BO51">AV51+AX51+BO50</f>
        <v>69402028</v>
      </c>
      <c r="BP51" s="247" cm="1">
        <f t="array" ref="BP51">BB51+BP50</f>
        <v>18298032</v>
      </c>
      <c r="BQ51" s="596" cm="1">
        <f t="array" ref="BQ51">BA51+BQ50</f>
        <v>1752.787</v>
      </c>
      <c r="BR51" s="596" cm="1">
        <f t="array" ref="BR51">BC51+BR50</f>
        <v>457.978</v>
      </c>
      <c r="BS51" s="247" cm="1">
        <f t="array" ref="BS51">SUM(BE$6:BE51)</f>
        <v>20553147</v>
      </c>
      <c r="BT51" s="596"/>
      <c r="BU51" s="596"/>
      <c r="BV51" s="247" cm="1">
        <f t="array" ref="BV51">SUM(AZ$6:AZ51)</f>
        <v>69402028</v>
      </c>
      <c r="BW51" s="596"/>
      <c r="BX51" s="596"/>
    </row>
    <row r="52" ht="19.35" customHeight="1">
      <c r="A52" s="689">
        <v>48</v>
      </c>
      <c r="B52" s="675">
        <v>46794</v>
      </c>
      <c r="C52" s="247"/>
      <c r="D52" s="597" cm="1">
        <f t="array" ref="D52">W52</f>
        <v>17.7870536738431</v>
      </c>
      <c r="E52" s="731" cm="1">
        <f t="array" ref="E52">E51*(1+F52)</f>
        <v>43845.2690712074</v>
      </c>
      <c r="F52" s="835" cm="1">
        <f t="array" ref="F52">G52-SUM(F41:F51)</f>
        <v>0.0003</v>
      </c>
      <c r="G52" s="676" cm="1">
        <f t="array" ref="G52">'depto - Table 5'!$G$2</f>
        <v>0.05</v>
      </c>
      <c r="H52" s="676" cm="1">
        <f t="array" ref="H52">G52+4.95/100</f>
        <v>0.09950000000000001</v>
      </c>
      <c r="I52" s="247" cm="1">
        <f t="array" ref="I52">IF(J51=0,0,ROUND(D52*E52,0))</f>
        <v>779878</v>
      </c>
      <c r="J52" s="677" cm="1">
        <f t="array" ref="J52">IF(J51-BA52&lt;0,0,J51-BA52)</f>
        <v>2221.5353</v>
      </c>
      <c r="K52" s="679" cm="1">
        <f t="array" ref="K52">ROUND(J52*E52,0)</f>
        <v>97403813</v>
      </c>
      <c r="L52" s="679" cm="1">
        <f t="array" ref="L52">K52-K51</f>
        <v>-379838</v>
      </c>
      <c r="M52" s="681" cm="1">
        <f t="array" ref="M52">Q52-J52</f>
        <v>3178.4647</v>
      </c>
      <c r="N52" s="679" cm="1">
        <f t="array" ref="N52">ROUND(M52*E52,0)</f>
        <v>139360640</v>
      </c>
      <c r="O52" s="596" cm="1">
        <f t="array" ref="O52">$J$5-J52</f>
        <v>1728.4647</v>
      </c>
      <c r="P52" s="679" cm="1">
        <f t="array" ref="P52">N52-N51</f>
        <v>450846</v>
      </c>
      <c r="Q52" s="596">
        <v>5400</v>
      </c>
      <c r="R52" s="679" cm="1">
        <f t="array" ref="R52">Q52*E52</f>
        <v>236764452.98452</v>
      </c>
      <c r="S52" s="247" cm="1">
        <f t="array" ref="S52">-P52</f>
        <v>-450846</v>
      </c>
      <c r="T52" s="690"/>
      <c r="U52" s="682" cm="1">
        <f t="array" ref="U52">J51*4.95/12/100/(1-(1+4.95/12/100)^-(360-$A52+3))+AT52</f>
        <v>13.7783741159329</v>
      </c>
      <c r="V52" s="597" cm="1">
        <f t="array" ref="V52">IF(V$3*12&lt;=$A52,0,$J51*'depto - Departamento'!$D$8/12/(1-(1+'depto - Departamento'!$D$8/12)^-(12*V$3-$A52+3))+$AT53)</f>
        <v>15.2711721175107</v>
      </c>
      <c r="W52" s="597" cm="1">
        <f t="array" ref="W52">IF(W$3*12&lt;=$A52,0,$J51*'depto - Departamento'!$D$8/12/(1-(1+'depto - Departamento'!$D$8/12)^-(12*W$3-$A52+3))+$AT54)</f>
        <v>17.7870536738431</v>
      </c>
      <c r="X52" s="597" cm="1">
        <f t="array" ref="X52">IF(X$3*12&lt;=$A52,0,$J51*'depto - Departamento'!$D$8/12/(1-(1+'depto - Departamento'!$D$8/12)^-(12*X$3-$A52+3))+$AT54)</f>
        <v>22.6970575793666</v>
      </c>
      <c r="Y52" s="597" cm="1">
        <f t="array" ref="Y52">IF(Y$3*12&lt;=$A52,0,$J51*'depto - Departamento'!$D$8/12/(1-(1+'depto - Departamento'!$D$8/12)^-(12*Y$3-$A52+3))+$AT53)</f>
        <v>28.6061848128808</v>
      </c>
      <c r="Z52" s="597" cm="1">
        <f t="array" ref="Z52">IF(Z$3*12&lt;=$A52,0,$J51*'depto - Departamento'!$D$8/12/(1-(1+'depto - Departamento'!$D$8/12)^-(12*Z$3-$A52+3))+$AT53)</f>
        <v>35.7566552542415</v>
      </c>
      <c r="AA52" s="597" cm="1">
        <f t="array" ref="AA52">IF(AA$3*12&lt;=$A52,0,$J51*'depto - Departamento'!$D$8/12/(1-(1+'depto - Departamento'!$D$8/12)^-(12*AA$3-$A52+3))+$AT53)</f>
        <v>154.792446948058</v>
      </c>
      <c r="AB52" s="597" cm="1">
        <f t="array" ref="AB52">AB51-(AB50-AB51)</f>
        <v>79.4821</v>
      </c>
      <c r="AC52" s="597"/>
      <c r="AD52" s="696" cm="1">
        <f t="array" ref="AD52">$E52*U52</f>
        <v>604116.5204768369</v>
      </c>
      <c r="AE52" s="247" cm="1">
        <f t="array" ref="AE52">$E52*V52</f>
        <v>669568.650524977</v>
      </c>
      <c r="AF52" s="247" cm="1">
        <f t="array" ref="AF52">$E52*W52</f>
        <v>779878.1543136589</v>
      </c>
      <c r="AG52" s="247" cm="1">
        <f t="array" ref="AG52">$E52*X52</f>
        <v>995158.596692016</v>
      </c>
      <c r="AH52" s="247" cm="1">
        <f t="array" ref="AH52">$E52*Y52</f>
        <v>1254245.87022145</v>
      </c>
      <c r="AI52" s="247" cm="1">
        <f t="array" ref="AI52">$E52*Z52</f>
        <v>1567760.17070862</v>
      </c>
      <c r="AJ52" s="247" cm="1">
        <f t="array" ref="AJ52">$E52*AA52</f>
        <v>6786916.4866282</v>
      </c>
      <c r="AK52" s="247" cm="1">
        <f t="array" ref="AK52">$E52*AB52</f>
        <v>3484914.06084461</v>
      </c>
      <c r="AL52" s="597"/>
      <c r="AM52" s="691" cm="1">
        <f t="array" ref="AM52">J50-J52</f>
        <v>18.6764</v>
      </c>
      <c r="AN52" s="691" cm="1">
        <f t="array" ref="AN52">D52-AM52</f>
        <v>-0.8893463261569</v>
      </c>
      <c r="AO52" s="597"/>
      <c r="AP52" s="684" cm="1">
        <f t="array" ref="AP52">ROUND(AQ52*E52,0)</f>
        <v>45345</v>
      </c>
      <c r="AQ52" s="692">
        <v>1.0342</v>
      </c>
      <c r="AR52" s="684" cm="1">
        <f t="array" ref="AR52">ROUND(E52*AS52,0)</f>
        <v>3451</v>
      </c>
      <c r="AS52" s="692" cm="1">
        <f t="array" ref="AS52">0.0787</f>
        <v>0.07870000000000001</v>
      </c>
      <c r="AT52" s="693" cm="1">
        <f t="array" ref="AT52">SUM(AQ52,AS52)</f>
        <v>1.1129</v>
      </c>
      <c r="AU52" s="684" cm="1">
        <f t="array" ref="AU52">ROUND(SUM(AQ52,AS52)*E52,0)</f>
        <v>48795</v>
      </c>
      <c r="AV52" s="685">
        <v>112242</v>
      </c>
      <c r="AW52" s="694" cm="1">
        <f t="array" ref="AW52">ROUND(AV52/$E52,4)</f>
        <v>2.56</v>
      </c>
      <c r="AX52" s="685" cm="1">
        <f t="array" ref="AX52">I52-SUM(AU52,AV52,BB52)</f>
        <v>296932</v>
      </c>
      <c r="AY52" s="694" cm="1">
        <f t="array" ref="AY52">ROUND(AX52/$E52,4)</f>
        <v>6.7723</v>
      </c>
      <c r="AZ52" s="686" cm="1">
        <f t="array" ref="AZ52">AX52+AV52</f>
        <v>409174</v>
      </c>
      <c r="BA52" s="694" cm="1">
        <f t="array" ref="BA52">ROUND((AV52+AX52)/E52,4)</f>
        <v>9.3322</v>
      </c>
      <c r="BB52" s="687">
        <v>321909</v>
      </c>
      <c r="BC52" s="695" cm="1">
        <f t="array" ref="BC52">ROUND(BB52/$E52,4)</f>
        <v>7.3419</v>
      </c>
      <c r="BD52" s="679" cm="1">
        <f t="array" ref="BD52">K51-K52</f>
        <v>379838</v>
      </c>
      <c r="BE52" s="679" cm="1">
        <f t="array" ref="BE52">AZ52-BD52</f>
        <v>29336</v>
      </c>
      <c r="BF52" s="679" cm="1">
        <f t="array" ref="BF52">-BE52</f>
        <v>-29336</v>
      </c>
      <c r="BG52" s="679" cm="1">
        <f t="array" ref="BG52">BB52+BE52</f>
        <v>351245</v>
      </c>
      <c r="BH52" s="679" cm="1">
        <f t="array" ref="BH52">AVERAGE(BG49:BG50,BG52)</f>
        <v>459800</v>
      </c>
      <c r="BI52" s="699" cm="1">
        <f t="array" ref="BI52">BC50-BC52</f>
        <v>0.0081</v>
      </c>
      <c r="BJ52" s="596" cm="1">
        <f t="array" ref="BJ52">J51*0.0495/12-0.16</f>
        <v>9.0423284375</v>
      </c>
      <c r="BK52" s="698" cm="1">
        <f t="array" ref="BK52">(AV52+AX52)/BB52</f>
        <v>1.27108592801071</v>
      </c>
      <c r="BL52" s="698" cm="1">
        <f t="array" ref="BL52">U52-AW52</f>
        <v>11.2183741159329</v>
      </c>
      <c r="BM52" s="698" cm="1">
        <f t="array" ref="BM52">(BN$2*(1+BN$2)^BM$2*J50)/((1+BN$2)^BM$2-1)</f>
        <v>11.9575779405947</v>
      </c>
      <c r="BN52" s="698"/>
      <c r="BO52" s="247" cm="1">
        <f t="array" ref="BO52">AV52+AX52+BO51</f>
        <v>69811202</v>
      </c>
      <c r="BP52" s="247" cm="1">
        <f t="array" ref="BP52">BB52+BP51</f>
        <v>18619941</v>
      </c>
      <c r="BQ52" s="596" cm="1">
        <f t="array" ref="BQ52">BA52+BQ51</f>
        <v>1762.1192</v>
      </c>
      <c r="BR52" s="596" cm="1">
        <f t="array" ref="BR52">BC52+BR51</f>
        <v>465.3199</v>
      </c>
      <c r="BS52" s="247" cm="1">
        <f t="array" ref="BS52">SUM(BE$6:BE52)</f>
        <v>20582483</v>
      </c>
      <c r="BT52" s="596"/>
      <c r="BU52" s="596"/>
      <c r="BV52" s="247" cm="1">
        <f t="array" ref="BV52">SUM(AZ$6:AZ52)</f>
        <v>69811202</v>
      </c>
      <c r="BW52" s="596"/>
      <c r="BX52" s="596"/>
    </row>
    <row r="53" ht="19.35" customHeight="1">
      <c r="A53" s="689">
        <v>49</v>
      </c>
      <c r="B53" s="675">
        <v>46823</v>
      </c>
      <c r="C53" s="247"/>
      <c r="D53" s="597" cm="1">
        <f t="array" ref="D53">W53</f>
        <v>17.773101962480</v>
      </c>
      <c r="E53" s="731" cm="1">
        <f t="array" ref="E53">E52*(1+F53)</f>
        <v>44007.4965667709</v>
      </c>
      <c r="F53" s="835" cm="1">
        <f t="array" ref="F53">G53-SUM(F42:F52)</f>
        <v>0.0037</v>
      </c>
      <c r="G53" s="676" cm="1">
        <f t="array" ref="G53">'depto - Table 5'!$G$2</f>
        <v>0.05</v>
      </c>
      <c r="H53" s="676" cm="1">
        <f t="array" ref="H53">G53+4.95/100</f>
        <v>0.09950000000000001</v>
      </c>
      <c r="I53" s="247" cm="1">
        <f t="array" ref="I53">IF(J52=0,0,ROUND(D53*E53,0))</f>
        <v>782150</v>
      </c>
      <c r="J53" s="677" cm="1">
        <f t="array" ref="J53">IF(J52-BA53&lt;0,0,J52-BA53)</f>
        <v>2212.19</v>
      </c>
      <c r="K53" s="679" cm="1">
        <f t="array" ref="K53">ROUND(J53*E53,0)</f>
        <v>97352944</v>
      </c>
      <c r="L53" s="679" cm="1">
        <f t="array" ref="L53">K53-K52</f>
        <v>-50869</v>
      </c>
      <c r="M53" s="681" cm="1">
        <f t="array" ref="M53">Q53-J53</f>
        <v>3187.81</v>
      </c>
      <c r="N53" s="679" cm="1">
        <f t="array" ref="N53">ROUND(M53*E53,0)</f>
        <v>140287538</v>
      </c>
      <c r="O53" s="596" cm="1">
        <f t="array" ref="O53">$J$5-J53</f>
        <v>1737.81</v>
      </c>
      <c r="P53" s="679" cm="1">
        <f t="array" ref="P53">N53-N52</f>
        <v>926898</v>
      </c>
      <c r="Q53" s="596">
        <v>5400</v>
      </c>
      <c r="R53" s="679" cm="1">
        <f t="array" ref="R53">Q53*E53</f>
        <v>237640481.460563</v>
      </c>
      <c r="S53" s="247" cm="1">
        <f t="array" ref="S53">-P53</f>
        <v>-926898</v>
      </c>
      <c r="T53" s="690"/>
      <c r="U53" s="682" cm="1">
        <f t="array" ref="U53">J52*4.95/12/100/(1-(1+4.95/12/100)^-(360-$A53+3))+AT53</f>
        <v>13.7450014795498</v>
      </c>
      <c r="V53" s="597" cm="1">
        <f t="array" ref="V53">IF(V$3*12&lt;=$A53,0,$J52*'depto - Departamento'!$D$8/12/(1-(1+'depto - Departamento'!$D$8/12)^-(12*V$3-$A53+3))+$AT54)</f>
        <v>15.2433362281383</v>
      </c>
      <c r="W53" s="597" cm="1">
        <f t="array" ref="W53">IF(W$3*12&lt;=$A53,0,$J52*'depto - Departamento'!$D$8/12/(1-(1+'depto - Departamento'!$D$8/12)^-(12*W$3-$A53+3))+$AT55)</f>
        <v>17.773101962480</v>
      </c>
      <c r="X53" s="597" cm="1">
        <f t="array" ref="X53">IF(X$3*12&lt;=$A53,0,$J52*'depto - Departamento'!$D$8/12/(1-(1+'depto - Departamento'!$D$8/12)^-(12*X$3-$A53+3))+$AT55)</f>
        <v>22.7267281230267</v>
      </c>
      <c r="Y53" s="597" cm="1">
        <f t="array" ref="Y53">IF(Y$3*12&lt;=$A53,0,$J52*'depto - Departamento'!$D$8/12/(1-(1+'depto - Departamento'!$D$8/12)^-(12*Y$3-$A53+3))+$AT54)</f>
        <v>28.7175055449509</v>
      </c>
      <c r="Z53" s="597" cm="1">
        <f t="array" ref="Z53">IF(Z$3*12&lt;=$A53,0,$J52*'depto - Departamento'!$D$8/12/(1-(1+'depto - Departamento'!$D$8/12)^-(12*Z$3-$A53+3))+$AT54)</f>
        <v>36.009705727327</v>
      </c>
      <c r="AA53" s="597" cm="1">
        <f t="array" ref="AA53">IF(AA$3*12&lt;=$A53,0,$J52*'depto - Departamento'!$D$8/12/(1-(1+'depto - Departamento'!$D$8/12)^-(12*AA$3-$A53+3))+$AT54)</f>
        <v>164.746972427425</v>
      </c>
      <c r="AB53" s="597" cm="1">
        <f t="array" ref="AB53">AB52-(AB51-AB52)</f>
        <v>79.4697</v>
      </c>
      <c r="AC53" s="597"/>
      <c r="AD53" s="696" cm="1">
        <f t="array" ref="AD53">$E53*U53</f>
        <v>604883.1054215489</v>
      </c>
      <c r="AE53" s="247" cm="1">
        <f t="array" ref="AE53">$E53*V53</f>
        <v>670821.066725931</v>
      </c>
      <c r="AF53" s="247" cm="1">
        <f t="array" ref="AF53">$E53*W53</f>
        <v>782149.723594708</v>
      </c>
      <c r="AG53" s="247" cm="1">
        <f t="array" ref="AG53">$E53*X53</f>
        <v>1000146.40984803</v>
      </c>
      <c r="AH53" s="247" cm="1">
        <f t="array" ref="AH53">$E53*Y53</f>
        <v>1263785.52667565</v>
      </c>
      <c r="AI53" s="247" cm="1">
        <f t="array" ref="AI53">$E53*Z53</f>
        <v>1584697.00116577</v>
      </c>
      <c r="AJ53" s="247" cm="1">
        <f t="array" ref="AJ53">$E53*AA53</f>
        <v>7250101.82348581</v>
      </c>
      <c r="AK53" s="247" cm="1">
        <f t="array" ref="AK53">$E53*AB53</f>
        <v>3497262.54991231</v>
      </c>
      <c r="AL53" s="597"/>
      <c r="AM53" s="691" cm="1">
        <f t="array" ref="AM53">J51-J53</f>
        <v>18.6775</v>
      </c>
      <c r="AN53" s="691" cm="1">
        <f t="array" ref="AN53">D53-AM53</f>
        <v>-0.904398037520</v>
      </c>
      <c r="AO53" s="597"/>
      <c r="AP53" s="684" cm="1">
        <f t="array" ref="AP53">ROUND(AQ53*E53,0)</f>
        <v>45513</v>
      </c>
      <c r="AQ53" s="692">
        <v>1.0342</v>
      </c>
      <c r="AR53" s="684" cm="1">
        <f t="array" ref="AR53">ROUND(E53*AS53,0)</f>
        <v>3463</v>
      </c>
      <c r="AS53" s="692" cm="1">
        <f t="array" ref="AS53">0.0787</f>
        <v>0.07870000000000001</v>
      </c>
      <c r="AT53" s="693" cm="1">
        <f t="array" ref="AT53">SUM(AQ53,AS53)</f>
        <v>1.1129</v>
      </c>
      <c r="AU53" s="684" cm="1">
        <f t="array" ref="AU53">ROUND(SUM(AQ53,AS53)*E53,0)</f>
        <v>48976</v>
      </c>
      <c r="AV53" s="685">
        <v>112242</v>
      </c>
      <c r="AW53" s="694" cm="1">
        <f t="array" ref="AW53">ROUND(AV53/$E53,4)</f>
        <v>2.5505</v>
      </c>
      <c r="AX53" s="685" cm="1">
        <f t="array" ref="AX53">I53-SUM(AU53,AV53,BB53)</f>
        <v>299023</v>
      </c>
      <c r="AY53" s="694" cm="1">
        <f t="array" ref="AY53">ROUND(AX53/$E53,4)</f>
        <v>6.7948</v>
      </c>
      <c r="AZ53" s="686" cm="1">
        <f t="array" ref="AZ53">AX53+AV53</f>
        <v>411265</v>
      </c>
      <c r="BA53" s="694" cm="1">
        <f t="array" ref="BA53">ROUND((AV53+AX53)/E53,4)</f>
        <v>9.3453</v>
      </c>
      <c r="BB53" s="687">
        <v>321909</v>
      </c>
      <c r="BC53" s="695" cm="1">
        <f t="array" ref="BC53">ROUND(BB53/$E53,4)</f>
        <v>7.3149</v>
      </c>
      <c r="BD53" s="679" cm="1">
        <f t="array" ref="BD53">K52-K53</f>
        <v>50869</v>
      </c>
      <c r="BE53" s="679" cm="1">
        <f t="array" ref="BE53">AZ53-BD53</f>
        <v>360396</v>
      </c>
      <c r="BF53" s="679" cm="1">
        <f t="array" ref="BF53">-BE53</f>
        <v>-360396</v>
      </c>
      <c r="BG53" s="679" cm="1">
        <f t="array" ref="BG53">BB53+BE53</f>
        <v>682305</v>
      </c>
      <c r="BH53" s="679" cm="1">
        <f t="array" ref="BH53">AVERAGE(BG50:BG51,BG53)</f>
        <v>474771.666666667</v>
      </c>
      <c r="BI53" s="699" cm="1">
        <f t="array" ref="BI53">BC51-BC53</f>
        <v>0.0292</v>
      </c>
      <c r="BJ53" s="596" cm="1">
        <f t="array" ref="BJ53">J52*0.0495/12-0.16</f>
        <v>9.003833112500001</v>
      </c>
      <c r="BK53" s="698" cm="1">
        <f t="array" ref="BK53">(AV53+AX53)/BB53</f>
        <v>1.27758155255057</v>
      </c>
      <c r="BL53" s="698" cm="1">
        <f t="array" ref="BL53">U53-AW53</f>
        <v>11.1945014795498</v>
      </c>
      <c r="BM53" s="698" cm="1">
        <f t="array" ref="BM53">(BN$2*(1+BN$2)^BM$2*J51)/((1+BN$2)^BM$2-1)</f>
        <v>11.9077014044653</v>
      </c>
      <c r="BN53" s="698"/>
      <c r="BO53" s="247" cm="1">
        <f t="array" ref="BO53">AV53+AX53+BO52</f>
        <v>70222467</v>
      </c>
      <c r="BP53" s="247" cm="1">
        <f t="array" ref="BP53">BB53+BP52</f>
        <v>18941850</v>
      </c>
      <c r="BQ53" s="596" cm="1">
        <f t="array" ref="BQ53">BA53+BQ52</f>
        <v>1771.4645</v>
      </c>
      <c r="BR53" s="596" cm="1">
        <f t="array" ref="BR53">BC53+BR52</f>
        <v>472.6348</v>
      </c>
      <c r="BS53" s="247" cm="1">
        <f t="array" ref="BS53">SUM(BE$6:BE53)</f>
        <v>20942879</v>
      </c>
      <c r="BT53" s="596"/>
      <c r="BU53" s="596"/>
      <c r="BV53" s="247" cm="1">
        <f t="array" ref="BV53">SUM(AZ$6:AZ53)</f>
        <v>70222467</v>
      </c>
      <c r="BW53" s="596"/>
      <c r="BX53" s="596"/>
    </row>
    <row r="54" ht="19.35" customHeight="1">
      <c r="A54" s="689">
        <v>50</v>
      </c>
      <c r="B54" s="675">
        <v>46854</v>
      </c>
      <c r="C54" s="247"/>
      <c r="D54" s="597" cm="1">
        <f t="array" ref="D54">W54</f>
        <v>17.759189123848</v>
      </c>
      <c r="E54" s="731" cm="1">
        <f t="array" ref="E54">E53*(1+F54)</f>
        <v>44011.8973164276</v>
      </c>
      <c r="F54" s="835" cm="1">
        <f t="array" ref="F54">G54-SUM(F43:F53)</f>
        <v>0.0001</v>
      </c>
      <c r="G54" s="676" cm="1">
        <f t="array" ref="G54">'depto - Table 5'!$G$2</f>
        <v>0.05</v>
      </c>
      <c r="H54" s="676" cm="1">
        <f t="array" ref="H54">G54+4.95/100</f>
        <v>0.09950000000000001</v>
      </c>
      <c r="I54" s="247" cm="1">
        <f t="array" ref="I54">IF(J53=0,0,ROUND(D54*E54,0))</f>
        <v>781616</v>
      </c>
      <c r="J54" s="677" cm="1">
        <f t="array" ref="J54">IF(J53-BA54&lt;0,0,J53-BA54)</f>
        <v>2202.8578</v>
      </c>
      <c r="K54" s="679" cm="1">
        <f t="array" ref="K54">ROUND(J54*E54,0)</f>
        <v>96951951</v>
      </c>
      <c r="L54" s="679" cm="1">
        <f t="array" ref="L54">K54-K53</f>
        <v>-400993</v>
      </c>
      <c r="M54" s="681" cm="1">
        <f t="array" ref="M54">Q54-J54</f>
        <v>3197.1422</v>
      </c>
      <c r="N54" s="679" cm="1">
        <f t="array" ref="N54">ROUND(M54*E54,0)</f>
        <v>140712294</v>
      </c>
      <c r="O54" s="596" cm="1">
        <f t="array" ref="O54">$J$5-J54</f>
        <v>1747.1422</v>
      </c>
      <c r="P54" s="679" cm="1">
        <f t="array" ref="P54">N54-N53</f>
        <v>424756</v>
      </c>
      <c r="Q54" s="596">
        <v>5400</v>
      </c>
      <c r="R54" s="679" cm="1">
        <f t="array" ref="R54">Q54*E54</f>
        <v>237664245.508709</v>
      </c>
      <c r="S54" s="247" cm="1">
        <f t="array" ref="S54">-P54</f>
        <v>-424756</v>
      </c>
      <c r="T54" s="690"/>
      <c r="U54" s="682" cm="1">
        <f t="array" ref="U54">J53*4.95/12/100/(1-(1+4.95/12/100)^-(360-$A54+3))+AT54</f>
        <v>13.711531228684</v>
      </c>
      <c r="V54" s="597" cm="1">
        <f t="array" ref="V54">IF(V$3*12&lt;=$A54,0,$J53*'depto - Departamento'!$D$8/12/(1-(1+'depto - Departamento'!$D$8/12)^-(12*V$3-$A54+3))+$AT55)</f>
        <v>15.2154224092822</v>
      </c>
      <c r="W54" s="597" cm="1">
        <f t="array" ref="W54">IF(W$3*12&lt;=$A54,0,$J53*'depto - Departamento'!$D$8/12/(1-(1+'depto - Departamento'!$D$8/12)^-(12*W$3-$A54+3))+$AT56)</f>
        <v>17.759189123848</v>
      </c>
      <c r="X54" s="597" cm="1">
        <f t="array" ref="X54">IF(X$3*12&lt;=$A54,0,$J53*'depto - Departamento'!$D$8/12/(1-(1+'depto - Departamento'!$D$8/12)^-(12*X$3-$A54+3))+$AT56)</f>
        <v>22.7571046522537</v>
      </c>
      <c r="Y54" s="597" cm="1">
        <f t="array" ref="Y54">IF(Y$3*12&lt;=$A54,0,$J53*'depto - Departamento'!$D$8/12/(1-(1+'depto - Departamento'!$D$8/12)^-(12*Y$3-$A54+3))+$AT55)</f>
        <v>28.8314711172861</v>
      </c>
      <c r="Z54" s="597" cm="1">
        <f t="array" ref="Z54">IF(Z$3*12&lt;=$A54,0,$J53*'depto - Departamento'!$D$8/12/(1-(1+'depto - Departamento'!$D$8/12)^-(12*Z$3-$A54+3))+$AT55)</f>
        <v>36.2701469430186</v>
      </c>
      <c r="AA54" s="597" cm="1">
        <f t="array" ref="AA54">IF(AA$3*12&lt;=$A54,0,$J53*'depto - Departamento'!$D$8/12/(1-(1+'depto - Departamento'!$D$8/12)^-(12*AA$3-$A54+3))+$AT55)</f>
        <v>176.235427862404</v>
      </c>
      <c r="AB54" s="597" cm="1">
        <f t="array" ref="AB54">AB53-(AB52-AB53)</f>
        <v>79.4573</v>
      </c>
      <c r="AC54" s="597"/>
      <c r="AD54" s="696" cm="1">
        <f t="array" ref="AD54">$E54*U54</f>
        <v>603470.504487831</v>
      </c>
      <c r="AE54" s="247" cm="1">
        <f t="array" ref="AE54">$E54*V54</f>
        <v>669659.6087034</v>
      </c>
      <c r="AF54" s="247" cm="1">
        <f t="array" ref="AF54">$E54*W54</f>
        <v>781615.608141816</v>
      </c>
      <c r="AG54" s="247" cm="1">
        <f t="array" ref="AG54">$E54*X54</f>
        <v>1001583.35317419</v>
      </c>
      <c r="AH54" s="247" cm="1">
        <f t="array" ref="AH54">$E54*Y54</f>
        <v>1268927.74629554</v>
      </c>
      <c r="AI54" s="247" cm="1">
        <f t="array" ref="AI54">$E54*Z54</f>
        <v>1596317.98290788</v>
      </c>
      <c r="AJ54" s="247" cm="1">
        <f t="array" ref="AJ54">$E54*AA54</f>
        <v>7756455.55459681</v>
      </c>
      <c r="AK54" s="247" cm="1">
        <f t="array" ref="AK54">$E54*AB54</f>
        <v>3497066.52864058</v>
      </c>
      <c r="AL54" s="597"/>
      <c r="AM54" s="691" cm="1">
        <f t="array" ref="AM54">J52-J54</f>
        <v>18.6775</v>
      </c>
      <c r="AN54" s="691" cm="1">
        <f t="array" ref="AN54">D54-AM54</f>
        <v>-0.918310876152</v>
      </c>
      <c r="AO54" s="597"/>
      <c r="AP54" s="684" cm="1">
        <f t="array" ref="AP54">ROUND(AQ54*E54,0)</f>
        <v>45517</v>
      </c>
      <c r="AQ54" s="692">
        <v>1.0342</v>
      </c>
      <c r="AR54" s="684" cm="1">
        <f t="array" ref="AR54">ROUND(E54*AS54,0)</f>
        <v>3464</v>
      </c>
      <c r="AS54" s="692" cm="1">
        <f t="array" ref="AS54">0.0787</f>
        <v>0.07870000000000001</v>
      </c>
      <c r="AT54" s="693" cm="1">
        <f t="array" ref="AT54">SUM(AQ54,AS54)</f>
        <v>1.1129</v>
      </c>
      <c r="AU54" s="684" cm="1">
        <f t="array" ref="AU54">ROUND(SUM(AQ54,AS54)*E54,0)</f>
        <v>48981</v>
      </c>
      <c r="AV54" s="685">
        <v>112242</v>
      </c>
      <c r="AW54" s="694" cm="1">
        <f t="array" ref="AW54">ROUND(AV54/$E54,4)</f>
        <v>2.5503</v>
      </c>
      <c r="AX54" s="685" cm="1">
        <f t="array" ref="AX54">I54-SUM(AU54,AV54,BB54)</f>
        <v>298484</v>
      </c>
      <c r="AY54" s="694" cm="1">
        <f t="array" ref="AY54">ROUND(AX54/$E54,4)</f>
        <v>6.7819</v>
      </c>
      <c r="AZ54" s="686" cm="1">
        <f t="array" ref="AZ54">AX54+AV54</f>
        <v>410726</v>
      </c>
      <c r="BA54" s="694" cm="1">
        <f t="array" ref="BA54">ROUND((AV54+AX54)/E54,4)</f>
        <v>9.3322</v>
      </c>
      <c r="BB54" s="687">
        <v>321909</v>
      </c>
      <c r="BC54" s="695" cm="1">
        <f t="array" ref="BC54">ROUND(BB54/$E54,4)</f>
        <v>7.3141</v>
      </c>
      <c r="BD54" s="679" cm="1">
        <f t="array" ref="BD54">K53-K54</f>
        <v>400993</v>
      </c>
      <c r="BE54" s="679" cm="1">
        <f t="array" ref="BE54">AZ54-BD54</f>
        <v>9733</v>
      </c>
      <c r="BF54" s="679" cm="1">
        <f t="array" ref="BF54">-BE54</f>
        <v>-9733</v>
      </c>
      <c r="BG54" s="679" cm="1">
        <f t="array" ref="BG54">BB54+BE54</f>
        <v>331642</v>
      </c>
      <c r="BH54" s="679" cm="1">
        <f t="array" ref="BH54">AVERAGE(BG51:BG52,BG54)</f>
        <v>361096</v>
      </c>
      <c r="BI54" s="699" cm="1">
        <f t="array" ref="BI54">BC52-BC54</f>
        <v>0.0278</v>
      </c>
      <c r="BJ54" s="596" cm="1">
        <f t="array" ref="BJ54">J53*0.0495/12-0.16</f>
        <v>8.965283749999999</v>
      </c>
      <c r="BK54" s="698" cm="1">
        <f t="array" ref="BK54">(AV54+AX54)/BB54</f>
        <v>1.27590716631098</v>
      </c>
      <c r="BL54" s="698" cm="1">
        <f t="array" ref="BL54">U54-AW54</f>
        <v>11.161231228684</v>
      </c>
      <c r="BM54" s="698" cm="1">
        <f t="array" ref="BM54">(BN$2*(1+BN$2)^BM$2*J52)/((1+BN$2)^BM$2-1)</f>
        <v>11.8578889207357</v>
      </c>
      <c r="BN54" s="698"/>
      <c r="BO54" s="247" cm="1">
        <f t="array" ref="BO54">AV54+AX54+BO53</f>
        <v>70633193</v>
      </c>
      <c r="BP54" s="247" cm="1">
        <f t="array" ref="BP54">BB54+BP53</f>
        <v>19263759</v>
      </c>
      <c r="BQ54" s="596" cm="1">
        <f t="array" ref="BQ54">BA54+BQ53</f>
        <v>1780.7967</v>
      </c>
      <c r="BR54" s="596" cm="1">
        <f t="array" ref="BR54">BC54+BR53</f>
        <v>479.9489</v>
      </c>
      <c r="BS54" s="247" cm="1">
        <f t="array" ref="BS54">SUM(BE$6:BE54)</f>
        <v>20952612</v>
      </c>
      <c r="BT54" s="596"/>
      <c r="BU54" s="596"/>
      <c r="BV54" s="247" cm="1">
        <f t="array" ref="BV54">SUM(AZ$6:AZ54)</f>
        <v>70633193</v>
      </c>
      <c r="BW54" s="596"/>
      <c r="BX54" s="596"/>
    </row>
    <row r="55" ht="19.35" customHeight="1">
      <c r="A55" s="689">
        <v>51</v>
      </c>
      <c r="B55" s="675">
        <v>46884</v>
      </c>
      <c r="C55" s="247"/>
      <c r="D55" s="597" cm="1">
        <f t="array" ref="D55">W55</f>
        <v>17.7455137514996</v>
      </c>
      <c r="E55" s="731" cm="1">
        <f t="array" ref="E55">E54*(1+F55)</f>
        <v>44275.9687003262</v>
      </c>
      <c r="F55" s="835" cm="1">
        <f t="array" ref="F55">G55-SUM(F44:F54)</f>
        <v>0.006</v>
      </c>
      <c r="G55" s="676" cm="1">
        <f t="array" ref="G55">'depto - Table 5'!$G$2</f>
        <v>0.05</v>
      </c>
      <c r="H55" s="676" cm="1">
        <f t="array" ref="H55">G55+4.95/100</f>
        <v>0.09950000000000001</v>
      </c>
      <c r="I55" s="247" cm="1">
        <f t="array" ref="I55">IF(J54=0,0,ROUND(D55*E55,0))</f>
        <v>785700</v>
      </c>
      <c r="J55" s="677" cm="1">
        <f t="array" ref="J55">IF(J54-BA55&lt;0,0,J54-BA55)</f>
        <v>2193.4957</v>
      </c>
      <c r="K55" s="679" cm="1">
        <f t="array" ref="K55">ROUND(J55*E55,0)</f>
        <v>97119147</v>
      </c>
      <c r="L55" s="679" cm="1">
        <f t="array" ref="L55">K55-K54</f>
        <v>167196</v>
      </c>
      <c r="M55" s="681" cm="1">
        <f t="array" ref="M55">Q55-J55</f>
        <v>3206.5043</v>
      </c>
      <c r="N55" s="679" cm="1">
        <f t="array" ref="N55">ROUND(M55*E55,0)</f>
        <v>141971084</v>
      </c>
      <c r="O55" s="596" cm="1">
        <f t="array" ref="O55">$J$5-J55</f>
        <v>1756.5043</v>
      </c>
      <c r="P55" s="679" cm="1">
        <f t="array" ref="P55">N55-N54</f>
        <v>1258790</v>
      </c>
      <c r="Q55" s="596">
        <v>5400</v>
      </c>
      <c r="R55" s="679" cm="1">
        <f t="array" ref="R55">Q55*E55</f>
        <v>239090230.981761</v>
      </c>
      <c r="S55" s="247" cm="1">
        <f t="array" ref="S55">-P55</f>
        <v>-1258790</v>
      </c>
      <c r="T55" s="690"/>
      <c r="U55" s="682" cm="1">
        <f t="array" ref="U55">J54*4.95/12/100/(1-(1+4.95/12/100)^-(360-$A55+3))+AT55</f>
        <v>13.678112038289</v>
      </c>
      <c r="V55" s="597" cm="1">
        <f t="array" ref="V55">IF(V$3*12&lt;=$A55,0,$J54*'depto - Departamento'!$D$8/12/(1-(1+'depto - Departamento'!$D$8/12)^-(12*V$3-$A55+3))+$AT56)</f>
        <v>15.1875972983665</v>
      </c>
      <c r="W55" s="597" cm="1">
        <f t="array" ref="W55">IF(W$3*12&lt;=$A55,0,$J54*'depto - Departamento'!$D$8/12/(1-(1+'depto - Departamento'!$D$8/12)^-(12*W$3-$A55+3))+$AT57)</f>
        <v>17.7455137514996</v>
      </c>
      <c r="X55" s="597" cm="1">
        <f t="array" ref="X55">IF(X$3*12&lt;=$A55,0,$J54*'depto - Departamento'!$D$8/12/(1-(1+'depto - Departamento'!$D$8/12)^-(12*X$3-$A55+3))+$AT57)</f>
        <v>22.7884611764329</v>
      </c>
      <c r="Y55" s="597" cm="1">
        <f t="array" ref="Y55">IF(Y$3*12&lt;=$A55,0,$J54*'depto - Departamento'!$D$8/12/(1-(1+'depto - Departamento'!$D$8/12)^-(12*Y$3-$A55+3))+$AT56)</f>
        <v>28.9484954122876</v>
      </c>
      <c r="Z55" s="597" cm="1">
        <f t="array" ref="Z55">IF(Z$3*12&lt;=$A55,0,$J54*'depto - Departamento'!$D$8/12/(1-(1+'depto - Departamento'!$D$8/12)^-(12*Z$3-$A55+3))+$AT56)</f>
        <v>36.5387083592484</v>
      </c>
      <c r="AA55" s="597" cm="1">
        <f t="array" ref="AA55">IF(AA$3*12&lt;=$A55,0,$J54*'depto - Departamento'!$D$8/12/(1-(1+'depto - Departamento'!$D$8/12)^-(12*AA$3-$A55+3))+$AT56)</f>
        <v>189.643538351359</v>
      </c>
      <c r="AB55" s="597" cm="1">
        <f t="array" ref="AB55">AB54-(AB53-AB54)</f>
        <v>79.4449</v>
      </c>
      <c r="AC55" s="597"/>
      <c r="AD55" s="696" cm="1">
        <f t="array" ref="AD55">$E55*U55</f>
        <v>605611.660486839</v>
      </c>
      <c r="AE55" s="247" cm="1">
        <f t="array" ref="AE55">$E55*V55</f>
        <v>672445.582615634</v>
      </c>
      <c r="AF55" s="247" cm="1">
        <f t="array" ref="AF55">$E55*W55</f>
        <v>785699.811432604</v>
      </c>
      <c r="AG55" s="247" cm="1">
        <f t="array" ref="AG55">$E55*X55</f>
        <v>1008981.19377634</v>
      </c>
      <c r="AH55" s="247" cm="1">
        <f t="array" ref="AH55">$E55*Y55</f>
        <v>1281722.67679598</v>
      </c>
      <c r="AI55" s="247" cm="1">
        <f t="array" ref="AI55">$E55*Z55</f>
        <v>1617786.70766443</v>
      </c>
      <c r="AJ55" s="247" cm="1">
        <f t="array" ref="AJ55">$E55*AA55</f>
        <v>8396651.36826388</v>
      </c>
      <c r="AK55" s="247" cm="1">
        <f t="array" ref="AK55">$E55*AB55</f>
        <v>3517499.90580054</v>
      </c>
      <c r="AL55" s="597"/>
      <c r="AM55" s="691" cm="1">
        <f t="array" ref="AM55">J53-J55</f>
        <v>18.6943</v>
      </c>
      <c r="AN55" s="691" cm="1">
        <f t="array" ref="AN55">D55-AM55</f>
        <v>-0.9487862485004001</v>
      </c>
      <c r="AO55" s="597"/>
      <c r="AP55" s="684" cm="1">
        <f t="array" ref="AP55">ROUND(AQ55*E55,0)</f>
        <v>45790</v>
      </c>
      <c r="AQ55" s="692">
        <v>1.0342</v>
      </c>
      <c r="AR55" s="684" cm="1">
        <f t="array" ref="AR55">ROUND(E55*AS55,0)</f>
        <v>3485</v>
      </c>
      <c r="AS55" s="692" cm="1">
        <f t="array" ref="AS55">0.0787</f>
        <v>0.07870000000000001</v>
      </c>
      <c r="AT55" s="693" cm="1">
        <f t="array" ref="AT55">SUM(AQ55,AS55)</f>
        <v>1.1129</v>
      </c>
      <c r="AU55" s="684" cm="1">
        <f t="array" ref="AU55">ROUND(SUM(AQ55,AS55)*E55,0)</f>
        <v>49275</v>
      </c>
      <c r="AV55" s="685">
        <v>112242</v>
      </c>
      <c r="AW55" s="694" cm="1">
        <f t="array" ref="AW55">ROUND(AV55/$E55,4)</f>
        <v>2.5351</v>
      </c>
      <c r="AX55" s="685" cm="1">
        <f t="array" ref="AX55">I55-SUM(AU55,AV55,BB55)</f>
        <v>302274</v>
      </c>
      <c r="AY55" s="694" cm="1">
        <f t="array" ref="AY55">ROUND(AX55/$E55,4)</f>
        <v>6.827</v>
      </c>
      <c r="AZ55" s="686" cm="1">
        <f t="array" ref="AZ55">AX55+AV55</f>
        <v>414516</v>
      </c>
      <c r="BA55" s="694" cm="1">
        <f t="array" ref="BA55">ROUND((AV55+AX55)/E55,4)</f>
        <v>9.3621</v>
      </c>
      <c r="BB55" s="687">
        <v>321909</v>
      </c>
      <c r="BC55" s="695" cm="1">
        <f t="array" ref="BC55">ROUND(BB55/$E55,4)</f>
        <v>7.2705</v>
      </c>
      <c r="BD55" s="679" cm="1">
        <f t="array" ref="BD55">K54-K55</f>
        <v>-167196</v>
      </c>
      <c r="BE55" s="679" cm="1">
        <f t="array" ref="BE55">AZ55-BD55</f>
        <v>581712</v>
      </c>
      <c r="BF55" s="679" cm="1">
        <f t="array" ref="BF55">-BE55</f>
        <v>-581712</v>
      </c>
      <c r="BG55" s="679" cm="1">
        <f t="array" ref="BG55">BB55+BE55</f>
        <v>903621</v>
      </c>
      <c r="BH55" s="679" cm="1">
        <f t="array" ref="BH55">AVERAGE(BG52:BG53,BG55)</f>
        <v>645723.666666667</v>
      </c>
      <c r="BI55" s="699" cm="1">
        <f t="array" ref="BI55">BC53-BC55</f>
        <v>0.0444</v>
      </c>
      <c r="BJ55" s="596" cm="1">
        <f t="array" ref="BJ55">J54*0.0495/12-0.16</f>
        <v>8.926788425</v>
      </c>
      <c r="BK55" s="698" cm="1">
        <f t="array" ref="BK55">(AV55+AX55)/BB55</f>
        <v>1.28768067994371</v>
      </c>
      <c r="BL55" s="698" cm="1">
        <f t="array" ref="BL55">U55-AW55</f>
        <v>11.143012038289</v>
      </c>
      <c r="BM55" s="698" cm="1">
        <f t="array" ref="BM55">(BN$2*(1+BN$2)^BM$2*J53)/((1+BN$2)^BM$2-1)</f>
        <v>11.8080065131363</v>
      </c>
      <c r="BN55" s="698"/>
      <c r="BO55" s="247" cm="1">
        <f t="array" ref="BO55">AV55+AX55+BO54</f>
        <v>71047709</v>
      </c>
      <c r="BP55" s="247" cm="1">
        <f t="array" ref="BP55">BB55+BP54</f>
        <v>19585668</v>
      </c>
      <c r="BQ55" s="596" cm="1">
        <f t="array" ref="BQ55">BA55+BQ54</f>
        <v>1790.1588</v>
      </c>
      <c r="BR55" s="596" cm="1">
        <f t="array" ref="BR55">BC55+BR54</f>
        <v>487.2194</v>
      </c>
      <c r="BS55" s="247" cm="1">
        <f t="array" ref="BS55">SUM(BE$6:BE55)</f>
        <v>21534324</v>
      </c>
      <c r="BT55" s="596"/>
      <c r="BU55" s="596"/>
      <c r="BV55" s="247" cm="1">
        <f t="array" ref="BV55">SUM(AZ$6:AZ55)</f>
        <v>71047709</v>
      </c>
      <c r="BW55" s="596"/>
      <c r="BX55" s="596"/>
    </row>
    <row r="56" ht="19.35" customHeight="1">
      <c r="A56" s="689">
        <v>52</v>
      </c>
      <c r="B56" s="675">
        <v>46915</v>
      </c>
      <c r="C56" s="247"/>
      <c r="D56" s="597" cm="1">
        <f t="array" ref="D56">W56</f>
        <v>17.7317528849533</v>
      </c>
      <c r="E56" s="731" cm="1">
        <f t="array" ref="E56">E55*(1+F56)</f>
        <v>44630.1764499288</v>
      </c>
      <c r="F56" s="835" cm="1">
        <f t="array" ref="F56">G56-SUM(F45:F55)</f>
        <v>0.008</v>
      </c>
      <c r="G56" s="676" cm="1">
        <f t="array" ref="G56">'depto - Table 5'!$G$2</f>
        <v>0.05</v>
      </c>
      <c r="H56" s="676" cm="1">
        <f t="array" ref="H56">G56+4.95/100</f>
        <v>0.09950000000000001</v>
      </c>
      <c r="I56" s="247" cm="1">
        <f t="array" ref="I56">IF(J55=0,0,ROUND(D56*E56,0))</f>
        <v>791371</v>
      </c>
      <c r="J56" s="677" cm="1">
        <f t="array" ref="J56">IF(J55-BA56&lt;0,0,J55-BA56)</f>
        <v>2184.0897</v>
      </c>
      <c r="K56" s="679" cm="1">
        <f t="array" ref="K56">ROUND(J56*E56,0)</f>
        <v>97476309</v>
      </c>
      <c r="L56" s="679" cm="1">
        <f t="array" ref="L56">K56-K55</f>
        <v>357162</v>
      </c>
      <c r="M56" s="681" cm="1">
        <f t="array" ref="M56">Q56-J56</f>
        <v>3215.9103</v>
      </c>
      <c r="N56" s="679" cm="1">
        <f t="array" ref="N56">ROUND(M56*E56,0)</f>
        <v>143526644</v>
      </c>
      <c r="O56" s="596" cm="1">
        <f t="array" ref="O56">$J$5-J56</f>
        <v>1765.9103</v>
      </c>
      <c r="P56" s="679" cm="1">
        <f t="array" ref="P56">N56-N55</f>
        <v>1555560</v>
      </c>
      <c r="Q56" s="596">
        <v>5400</v>
      </c>
      <c r="R56" s="679" cm="1">
        <f t="array" ref="R56">Q56*E56</f>
        <v>241002952.829616</v>
      </c>
      <c r="S56" s="247" cm="1">
        <f t="array" ref="S56">-P56</f>
        <v>-1555560</v>
      </c>
      <c r="T56" s="690"/>
      <c r="U56" s="682" cm="1">
        <f t="array" ref="U56">J55*4.95/12/100/(1-(1+4.95/12/100)^-(360-$A56+3))+AT56</f>
        <v>13.6444981733244</v>
      </c>
      <c r="V56" s="597" cm="1">
        <f t="array" ref="V56">IF(V$3*12&lt;=$A56,0,$J55*'depto - Departamento'!$D$8/12/(1-(1+'depto - Departamento'!$D$8/12)^-(12*V$3-$A56+3))+$AT57)</f>
        <v>15.1595858968358</v>
      </c>
      <c r="W56" s="597" cm="1">
        <f t="array" ref="W56">IF(W$3*12&lt;=$A56,0,$J55*'depto - Departamento'!$D$8/12/(1-(1+'depto - Departamento'!$D$8/12)^-(12*W$3-$A56+3))+$AT58)</f>
        <v>17.7317528849533</v>
      </c>
      <c r="X56" s="597" cm="1">
        <f t="array" ref="X56">IF(X$3*12&lt;=$A56,0,$J55*'depto - Departamento'!$D$8/12/(1-(1+'depto - Departamento'!$D$8/12)^-(12*X$3-$A56+3))+$AT58)</f>
        <v>22.8203933006377</v>
      </c>
      <c r="Y56" s="597" cm="1">
        <f t="array" ref="Y56">IF(Y$3*12&lt;=$A56,0,$J55*'depto - Departamento'!$D$8/12/(1-(1+'depto - Departamento'!$D$8/12)^-(12*Y$3-$A56+3))+$AT57)</f>
        <v>29.0681252378997</v>
      </c>
      <c r="Z56" s="597" cm="1">
        <f t="array" ref="Z56">IF(Z$3*12&lt;=$A56,0,$J55*'depto - Departamento'!$D$8/12/(1-(1+'depto - Departamento'!$D$8/12)^-(12*Z$3-$A56+3))+$AT57)</f>
        <v>36.815030859945</v>
      </c>
      <c r="AA56" s="597" cm="1">
        <f t="array" ref="AA56">IF(AA$3*12&lt;=$A56,0,$J55*'depto - Departamento'!$D$8/12/(1-(1+'depto - Departamento'!$D$8/12)^-(12*AA$3-$A56+3))+$AT57)</f>
        <v>205.490825004870</v>
      </c>
      <c r="AB56" s="597" cm="1">
        <f t="array" ref="AB56">AB55-(AB54-AB55)</f>
        <v>79.4325</v>
      </c>
      <c r="AC56" s="597"/>
      <c r="AD56" s="696" cm="1">
        <f t="array" ref="AD56">$E56*U56</f>
        <v>608956.361046199</v>
      </c>
      <c r="AE56" s="247" cm="1">
        <f t="array" ref="AE56">$E56*V56</f>
        <v>676574.993483634</v>
      </c>
      <c r="AF56" s="247" cm="1">
        <f t="array" ref="AF56">$E56*W56</f>
        <v>791371.2600219999</v>
      </c>
      <c r="AG56" s="247" cm="1">
        <f t="array" ref="AG56">$E56*X56</f>
        <v>1018478.17966423</v>
      </c>
      <c r="AH56" s="247" cm="1">
        <f t="array" ref="AH56">$E56*Y56</f>
        <v>1297315.55843609</v>
      </c>
      <c r="AI56" s="247" cm="1">
        <f t="array" ref="AI56">$E56*Z56</f>
        <v>1643061.32328892</v>
      </c>
      <c r="AJ56" s="247" cm="1">
        <f t="array" ref="AJ56">$E56*AA56</f>
        <v>9171091.778808789</v>
      </c>
      <c r="AK56" s="247" cm="1">
        <f t="array" ref="AK56">$E56*AB56</f>
        <v>3545086.49085897</v>
      </c>
      <c r="AL56" s="597"/>
      <c r="AM56" s="691" cm="1">
        <f t="array" ref="AM56">J54-J56</f>
        <v>18.7681</v>
      </c>
      <c r="AN56" s="691" cm="1">
        <f t="array" ref="AN56">D56-AM56</f>
        <v>-1.0363471150467</v>
      </c>
      <c r="AO56" s="597"/>
      <c r="AP56" s="684" cm="1">
        <f t="array" ref="AP56">ROUND(AQ56*E56,0)</f>
        <v>46157</v>
      </c>
      <c r="AQ56" s="692">
        <v>1.0342</v>
      </c>
      <c r="AR56" s="684" cm="1">
        <f t="array" ref="AR56">ROUND(E56*AS56,0)</f>
        <v>3512</v>
      </c>
      <c r="AS56" s="692" cm="1">
        <f t="array" ref="AS56">0.0787</f>
        <v>0.07870000000000001</v>
      </c>
      <c r="AT56" s="693" cm="1">
        <f t="array" ref="AT56">SUM(AQ56,AS56)</f>
        <v>1.1129</v>
      </c>
      <c r="AU56" s="684" cm="1">
        <f t="array" ref="AU56">ROUND(SUM(AQ56,AS56)*E56,0)</f>
        <v>49669</v>
      </c>
      <c r="AV56" s="685">
        <v>112242</v>
      </c>
      <c r="AW56" s="694" cm="1">
        <f t="array" ref="AW56">ROUND(AV56/$E56,4)</f>
        <v>2.5149</v>
      </c>
      <c r="AX56" s="685" cm="1">
        <f t="array" ref="AX56">I56-SUM(AU56,AV56,BB56)</f>
        <v>307551</v>
      </c>
      <c r="AY56" s="694" cm="1">
        <f t="array" ref="AY56">ROUND(AX56/$E56,4)</f>
        <v>6.8911</v>
      </c>
      <c r="AZ56" s="686" cm="1">
        <f t="array" ref="AZ56">AX56+AV56</f>
        <v>419793</v>
      </c>
      <c r="BA56" s="694" cm="1">
        <f t="array" ref="BA56">ROUND((AV56+AX56)/E56,4)</f>
        <v>9.406000000000001</v>
      </c>
      <c r="BB56" s="687">
        <v>321909</v>
      </c>
      <c r="BC56" s="695" cm="1">
        <f t="array" ref="BC56">ROUND(BB56/$E56,4)</f>
        <v>7.2128</v>
      </c>
      <c r="BD56" s="679" cm="1">
        <f t="array" ref="BD56">K55-K56</f>
        <v>-357162</v>
      </c>
      <c r="BE56" s="679" cm="1">
        <f t="array" ref="BE56">AZ56-BD56</f>
        <v>776955</v>
      </c>
      <c r="BF56" s="679" cm="1">
        <f t="array" ref="BF56">-BE56</f>
        <v>-776955</v>
      </c>
      <c r="BG56" s="679" cm="1">
        <f t="array" ref="BG56">BB56+BE56</f>
        <v>1098864</v>
      </c>
      <c r="BH56" s="679" cm="1">
        <f t="array" ref="BH56">AVERAGE(BG53:BG54,BG56)</f>
        <v>704270.333333333</v>
      </c>
      <c r="BI56" s="699" cm="1">
        <f t="array" ref="BI56">BC54-BC56</f>
        <v>0.1013</v>
      </c>
      <c r="BJ56" s="596" cm="1">
        <f t="array" ref="BJ56">J55*0.0495/12-0.16</f>
        <v>8.8881697625</v>
      </c>
      <c r="BK56" s="698" cm="1">
        <f t="array" ref="BK56">(AV56+AX56)/BB56</f>
        <v>1.30407351145821</v>
      </c>
      <c r="BL56" s="698" cm="1">
        <f t="array" ref="BL56">U56-AW56</f>
        <v>11.1295981733244</v>
      </c>
      <c r="BM56" s="698" cm="1">
        <f t="array" ref="BM56">(BN$2*(1+BN$2)^BM$2*J54)/((1+BN$2)^BM$2-1)</f>
        <v>11.7581940294067</v>
      </c>
      <c r="BN56" s="698"/>
      <c r="BO56" s="247" cm="1">
        <f t="array" ref="BO56">AV56+AX56+BO55</f>
        <v>71467502</v>
      </c>
      <c r="BP56" s="247" cm="1">
        <f t="array" ref="BP56">BB56+BP55</f>
        <v>19907577</v>
      </c>
      <c r="BQ56" s="596" cm="1">
        <f t="array" ref="BQ56">BA56+BQ55</f>
        <v>1799.5648</v>
      </c>
      <c r="BR56" s="596" cm="1">
        <f t="array" ref="BR56">BC56+BR55</f>
        <v>494.4322</v>
      </c>
      <c r="BS56" s="247" cm="1">
        <f t="array" ref="BS56">SUM(BE$6:BE56)</f>
        <v>22311279</v>
      </c>
      <c r="BT56" s="596"/>
      <c r="BU56" s="596"/>
      <c r="BV56" s="247" cm="1">
        <f t="array" ref="BV56">SUM(AZ$6:AZ56)</f>
        <v>71467502</v>
      </c>
      <c r="BW56" s="596"/>
      <c r="BX56" s="596"/>
    </row>
    <row r="57" ht="19.35" customHeight="1">
      <c r="A57" s="689">
        <v>53</v>
      </c>
      <c r="B57" s="675">
        <v>46945</v>
      </c>
      <c r="C57" s="247"/>
      <c r="D57" s="597" cm="1">
        <f t="array" ref="D57">W57</f>
        <v>17.7177995878596</v>
      </c>
      <c r="E57" s="731" cm="1">
        <f t="array" ref="E57">E56*(1+F57)</f>
        <v>44607.8613617038</v>
      </c>
      <c r="F57" s="835" cm="1">
        <f t="array" ref="F57">G57-SUM(F46:F56)</f>
        <v>-0.0005</v>
      </c>
      <c r="G57" s="676" cm="1">
        <f t="array" ref="G57">'depto - Table 5'!$G$2</f>
        <v>0.05</v>
      </c>
      <c r="H57" s="676" cm="1">
        <f t="array" ref="H57">G57+4.95/100</f>
        <v>0.09950000000000001</v>
      </c>
      <c r="I57" s="247" cm="1">
        <f t="array" ref="I57">IF(J56=0,0,ROUND(D57*E57,0))</f>
        <v>790353</v>
      </c>
      <c r="J57" s="677" cm="1">
        <f t="array" ref="J57">IF(J56-BA57&lt;0,0,J56-BA57)</f>
        <v>2174.7012</v>
      </c>
      <c r="K57" s="679" cm="1">
        <f t="array" ref="K57">ROUND(J57*E57,0)</f>
        <v>97008770</v>
      </c>
      <c r="L57" s="679" cm="1">
        <f t="array" ref="L57">K57-K56</f>
        <v>-467539</v>
      </c>
      <c r="M57" s="681" cm="1">
        <f t="array" ref="M57">Q57-J57</f>
        <v>3225.2988</v>
      </c>
      <c r="N57" s="679" cm="1">
        <f t="array" ref="N57">ROUND(M57*E57,0)</f>
        <v>143873682</v>
      </c>
      <c r="O57" s="596" cm="1">
        <f t="array" ref="O57">$J$5-J57</f>
        <v>1775.2988</v>
      </c>
      <c r="P57" s="679" cm="1">
        <f t="array" ref="P57">N57-N56</f>
        <v>347038</v>
      </c>
      <c r="Q57" s="596">
        <v>5400</v>
      </c>
      <c r="R57" s="679" cm="1">
        <f t="array" ref="R57">Q57*E57</f>
        <v>240882451.353201</v>
      </c>
      <c r="S57" s="247" cm="1">
        <f t="array" ref="S57">-P57</f>
        <v>-347038</v>
      </c>
      <c r="T57" s="690"/>
      <c r="U57" s="682" cm="1">
        <f t="array" ref="U57">J56*4.95/12/100/(1-(1+4.95/12/100)^-(360-$A57+3))+AT57</f>
        <v>13.6106082776964</v>
      </c>
      <c r="V57" s="597" cm="1">
        <f t="array" ref="V57">IF(V$3*12&lt;=$A57,0,$J56*'depto - Departamento'!$D$8/12/(1-(1+'depto - Departamento'!$D$8/12)^-(12*V$3-$A57+3))+$AT58)</f>
        <v>15.131296830753</v>
      </c>
      <c r="W57" s="597" cm="1">
        <f t="array" ref="W57">IF(W$3*12&lt;=$A57,0,$J56*'depto - Departamento'!$D$8/12/(1-(1+'depto - Departamento'!$D$8/12)^-(12*W$3-$A57+3))+$AT59)</f>
        <v>17.7177995878596</v>
      </c>
      <c r="X57" s="597" cm="1">
        <f t="array" ref="X57">IF(X$3*12&lt;=$A57,0,$J56*'depto - Departamento'!$D$8/12/(1-(1+'depto - Departamento'!$D$8/12)^-(12*X$3-$A57+3))+$AT59)</f>
        <v>22.8527760596889</v>
      </c>
      <c r="Y57" s="597" cm="1">
        <f t="array" ref="Y57">IF(Y$3*12&lt;=$A57,0,$J56*'depto - Departamento'!$D$8/12/(1-(1+'depto - Departamento'!$D$8/12)^-(12*Y$3-$A57+3))+$AT58)</f>
        <v>29.1902651867499</v>
      </c>
      <c r="Z57" s="597" cm="1">
        <f t="array" ref="Z57">IF(Z$3*12&lt;=$A57,0,$J56*'depto - Departamento'!$D$8/12/(1-(1+'depto - Departamento'!$D$8/12)^-(12*Z$3-$A57+3))+$AT58)</f>
        <v>37.099218188033</v>
      </c>
      <c r="AA57" s="597" cm="1">
        <f t="array" ref="AA57">IF(AA$3*12&lt;=$A57,0,$J56*'depto - Departamento'!$D$8/12/(1-(1+'depto - Departamento'!$D$8/12)^-(12*AA$3-$A57+3))+$AT58)</f>
        <v>224.507619583539</v>
      </c>
      <c r="AB57" s="597" cm="1">
        <f t="array" ref="AB57">AB56-(AB55-AB56)</f>
        <v>79.42010000000001</v>
      </c>
      <c r="AC57" s="597"/>
      <c r="AD57" s="696" cm="1">
        <f t="array" ref="AD57">$E57*U57</f>
        <v>607140.127099939</v>
      </c>
      <c r="AE57" s="247" cm="1">
        <f t="array" ref="AE57">$E57*V57</f>
        <v>674974.791249018</v>
      </c>
      <c r="AF57" s="247" cm="1">
        <f t="array" ref="AF57">$E57*W57</f>
        <v>790353.147649694</v>
      </c>
      <c r="AG57" s="247" cm="1">
        <f t="array" ref="AG57">$E57*X57</f>
        <v>1019413.46620067</v>
      </c>
      <c r="AH57" s="247" cm="1">
        <f t="array" ref="AH57">$E57*Y57</f>
        <v>1302115.30256191</v>
      </c>
      <c r="AI57" s="247" cm="1">
        <f t="array" ref="AI57">$E57*Z57</f>
        <v>1654916.78155938</v>
      </c>
      <c r="AJ57" s="247" cm="1">
        <f t="array" ref="AJ57">$E57*AA57</f>
        <v>10014804.7690286</v>
      </c>
      <c r="AK57" s="247" cm="1">
        <f t="array" ref="AK57">$E57*AB57</f>
        <v>3542760.81013265</v>
      </c>
      <c r="AL57" s="597"/>
      <c r="AM57" s="691" cm="1">
        <f t="array" ref="AM57">J55-J57</f>
        <v>18.7945</v>
      </c>
      <c r="AN57" s="691" cm="1">
        <f t="array" ref="AN57">D57-AM57</f>
        <v>-1.0767004121404</v>
      </c>
      <c r="AO57" s="597"/>
      <c r="AP57" s="684" cm="1">
        <f t="array" ref="AP57">ROUND(AQ57*E57,0)</f>
        <v>46133</v>
      </c>
      <c r="AQ57" s="692">
        <v>1.0342</v>
      </c>
      <c r="AR57" s="684" cm="1">
        <f t="array" ref="AR57">ROUND(E57*AS57,0)</f>
        <v>3511</v>
      </c>
      <c r="AS57" s="692" cm="1">
        <f t="array" ref="AS57">0.0787</f>
        <v>0.07870000000000001</v>
      </c>
      <c r="AT57" s="693" cm="1">
        <f t="array" ref="AT57">SUM(AQ57,AS57)</f>
        <v>1.1129</v>
      </c>
      <c r="AU57" s="684" cm="1">
        <f t="array" ref="AU57">ROUND(SUM(AQ57,AS57)*E57,0)</f>
        <v>49644</v>
      </c>
      <c r="AV57" s="685">
        <v>112242</v>
      </c>
      <c r="AW57" s="694" cm="1">
        <f t="array" ref="AW57">ROUND(AV57/$E57,4)</f>
        <v>2.5162</v>
      </c>
      <c r="AX57" s="685" cm="1">
        <f t="array" ref="AX57">I57-SUM(AU57,AV57,BB57)</f>
        <v>306558</v>
      </c>
      <c r="AY57" s="694" cm="1">
        <f t="array" ref="AY57">ROUND(AX57/$E57,4)</f>
        <v>6.8723</v>
      </c>
      <c r="AZ57" s="686" cm="1">
        <f t="array" ref="AZ57">AX57+AV57</f>
        <v>418800</v>
      </c>
      <c r="BA57" s="694" cm="1">
        <f t="array" ref="BA57">ROUND((AV57+AX57)/E57,4)</f>
        <v>9.388500000000001</v>
      </c>
      <c r="BB57" s="687">
        <v>321909</v>
      </c>
      <c r="BC57" s="695" cm="1">
        <f t="array" ref="BC57">ROUND(BB57/$E57,4)</f>
        <v>7.2164</v>
      </c>
      <c r="BD57" s="679" cm="1">
        <f t="array" ref="BD57">K56-K57</f>
        <v>467539</v>
      </c>
      <c r="BE57" s="679" cm="1">
        <f t="array" ref="BE57">AZ57-BD57</f>
        <v>-48739</v>
      </c>
      <c r="BF57" s="679" cm="1">
        <f t="array" ref="BF57">-BE57</f>
        <v>48739</v>
      </c>
      <c r="BG57" s="679" cm="1">
        <f t="array" ref="BG57">BB57+BE57</f>
        <v>273170</v>
      </c>
      <c r="BH57" s="679" cm="1">
        <f t="array" ref="BH57">AVERAGE(BG54:BG55,BG57)</f>
        <v>502811</v>
      </c>
      <c r="BI57" s="699" cm="1">
        <f t="array" ref="BI57">BC55-BC57</f>
        <v>0.0541</v>
      </c>
      <c r="BJ57" s="596" cm="1">
        <f t="array" ref="BJ57">J56*0.0495/12-0.16</f>
        <v>8.8493700125</v>
      </c>
      <c r="BK57" s="698" cm="1">
        <f t="array" ref="BK57">(AV57+AX57)/BB57</f>
        <v>1.30098878875707</v>
      </c>
      <c r="BL57" s="698" cm="1">
        <f t="array" ref="BL57">U57-AW57</f>
        <v>11.0944082776964</v>
      </c>
      <c r="BM57" s="698" cm="1">
        <f t="array" ref="BM57">(BN$2*(1+BN$2)^BM$2*J55)/((1+BN$2)^BM$2-1)</f>
        <v>11.7082219484477</v>
      </c>
      <c r="BN57" s="698"/>
      <c r="BO57" s="247" cm="1">
        <f t="array" ref="BO57">AV57+AX57+BO56</f>
        <v>71886302</v>
      </c>
      <c r="BP57" s="247" cm="1">
        <f t="array" ref="BP57">BB57+BP56</f>
        <v>20229486</v>
      </c>
      <c r="BQ57" s="596" cm="1">
        <f t="array" ref="BQ57">BA57+BQ56</f>
        <v>1808.9533</v>
      </c>
      <c r="BR57" s="596" cm="1">
        <f t="array" ref="BR57">BC57+BR56</f>
        <v>501.6486</v>
      </c>
      <c r="BS57" s="247" cm="1">
        <f t="array" ref="BS57">SUM(BE$6:BE57)</f>
        <v>22262540</v>
      </c>
      <c r="BT57" s="596"/>
      <c r="BU57" s="596"/>
      <c r="BV57" s="247" cm="1">
        <f t="array" ref="BV57">SUM(AZ$6:AZ57)</f>
        <v>71886302</v>
      </c>
      <c r="BW57" s="596"/>
      <c r="BX57" s="596"/>
    </row>
    <row r="58" ht="19.35" customHeight="1">
      <c r="A58" s="689">
        <v>54</v>
      </c>
      <c r="B58" s="675">
        <v>46976</v>
      </c>
      <c r="C58" s="247"/>
      <c r="D58" s="597" cm="1">
        <f t="array" ref="D58">W58</f>
        <v>17.7041206659172</v>
      </c>
      <c r="E58" s="731" cm="1">
        <f t="array" ref="E58">E57*(1+F58)</f>
        <v>45455.4107275762</v>
      </c>
      <c r="F58" s="835" cm="1">
        <f t="array" ref="F58">G58-SUM(F47:F57)</f>
        <v>0.019</v>
      </c>
      <c r="G58" s="676" cm="1">
        <f t="array" ref="G58">'depto - Table 5'!$G$2</f>
        <v>0.05</v>
      </c>
      <c r="H58" s="676" cm="1">
        <f t="array" ref="H58">G58+4.95/100</f>
        <v>0.09950000000000001</v>
      </c>
      <c r="I58" s="247" cm="1">
        <f t="array" ref="I58">IF(J57=0,0,ROUND(D58*E58,0))</f>
        <v>804748</v>
      </c>
      <c r="J58" s="677" cm="1">
        <f t="array" ref="J58">IF(J57-BA58&lt;0,0,J57-BA58)</f>
        <v>2165.1918</v>
      </c>
      <c r="K58" s="679" cm="1">
        <f t="array" ref="K58">ROUND(J58*E58,0)</f>
        <v>98419683</v>
      </c>
      <c r="L58" s="679" cm="1">
        <f t="array" ref="L58">K58-K57</f>
        <v>1410913</v>
      </c>
      <c r="M58" s="681" cm="1">
        <f t="array" ref="M58">Q58-J58</f>
        <v>3234.8082</v>
      </c>
      <c r="N58" s="679" cm="1">
        <f t="array" ref="N58">ROUND(M58*E58,0)</f>
        <v>147039535</v>
      </c>
      <c r="O58" s="596" cm="1">
        <f t="array" ref="O58">$J$5-J58</f>
        <v>1784.8082</v>
      </c>
      <c r="P58" s="679" cm="1">
        <f t="array" ref="P58">N58-N57</f>
        <v>3165853</v>
      </c>
      <c r="Q58" s="596">
        <v>5400</v>
      </c>
      <c r="R58" s="679" cm="1">
        <f t="array" ref="R58">Q58*E58</f>
        <v>245459217.928911</v>
      </c>
      <c r="S58" s="247" cm="1">
        <f t="array" ref="S58">-P58</f>
        <v>-3165853</v>
      </c>
      <c r="T58" s="690"/>
      <c r="U58" s="682" cm="1">
        <f t="array" ref="U58">J57*4.95/12/100/(1-(1+4.95/12/100)^-(360-$A58+3))+AT58</f>
        <v>13.5767926058149</v>
      </c>
      <c r="V58" s="597" cm="1">
        <f t="array" ref="V58">IF(V$3*12&lt;=$A58,0,$J57*'depto - Departamento'!$D$8/12/(1-(1+'depto - Departamento'!$D$8/12)^-(12*V$3-$A58+3))+$AT59)</f>
        <v>15.1031229344274</v>
      </c>
      <c r="W58" s="597" cm="1">
        <f t="array" ref="W58">IF(W$3*12&lt;=$A58,0,$J57*'depto - Departamento'!$D$8/12/(1-(1+'depto - Departamento'!$D$8/12)^-(12*W$3-$A58+3))+$AT60)</f>
        <v>17.7041206659172</v>
      </c>
      <c r="X58" s="597" cm="1">
        <f t="array" ref="X58">IF(X$3*12&lt;=$A58,0,$J57*'depto - Departamento'!$D$8/12/(1-(1+'depto - Departamento'!$D$8/12)^-(12*X$3-$A58+3))+$AT60)</f>
        <v>22.8862365748625</v>
      </c>
      <c r="Y58" s="597" cm="1">
        <f t="array" ref="Y58">IF(Y$3*12&lt;=$A58,0,$J57*'depto - Departamento'!$D$8/12/(1-(1+'depto - Departamento'!$D$8/12)^-(12*Y$3-$A58+3))+$AT59)</f>
        <v>29.3157949771557</v>
      </c>
      <c r="Z58" s="597" cm="1">
        <f t="array" ref="Z58">IF(Z$3*12&lt;=$A58,0,$J57*'depto - Departamento'!$D$8/12/(1-(1+'depto - Departamento'!$D$8/12)^-(12*Z$3-$A58+3))+$AT59)</f>
        <v>37.3926397961261</v>
      </c>
      <c r="AA58" s="597" cm="1">
        <f t="array" ref="AA58">IF(AA$3*12&lt;=$A58,0,$J57*'depto - Departamento'!$D$8/12/(1-(1+'depto - Departamento'!$D$8/12)^-(12*AA$3-$A58+3))+$AT59)</f>
        <v>247.757410200825</v>
      </c>
      <c r="AB58" s="597" cm="1">
        <f t="array" ref="AB58">AB57-(AB56-AB57)</f>
        <v>79.40770000000001</v>
      </c>
      <c r="AC58" s="597"/>
      <c r="AD58" s="696" cm="1">
        <f t="array" ref="AD58">$E58*U58</f>
        <v>617138.684260436</v>
      </c>
      <c r="AE58" s="247" cm="1">
        <f t="array" ref="AE58">$E58*V58</f>
        <v>686518.656253473</v>
      </c>
      <c r="AF58" s="247" cm="1">
        <f t="array" ref="AF58">$E58*W58</f>
        <v>804748.0764398359</v>
      </c>
      <c r="AG58" s="247" cm="1">
        <f t="array" ref="AG58">$E58*X58</f>
        <v>1040303.28351885</v>
      </c>
      <c r="AH58" s="247" cm="1">
        <f t="array" ref="AH58">$E58*Y58</f>
        <v>1332561.50149203</v>
      </c>
      <c r="AI58" s="247" cm="1">
        <f t="array" ref="AI58">$E58*Z58</f>
        <v>1699697.80012122</v>
      </c>
      <c r="AJ58" s="247" cm="1">
        <f t="array" ref="AJ58">$E58*AA58</f>
        <v>11261914.8414791</v>
      </c>
      <c r="AK58" s="247" cm="1">
        <f t="array" ref="AK58">$E58*AB58</f>
        <v>3609509.61843215</v>
      </c>
      <c r="AL58" s="597"/>
      <c r="AM58" s="691" cm="1">
        <f t="array" ref="AM58">J56-J58</f>
        <v>18.8979</v>
      </c>
      <c r="AN58" s="691" cm="1">
        <f t="array" ref="AN58">D58-AM58</f>
        <v>-1.1937793340828</v>
      </c>
      <c r="AO58" s="597"/>
      <c r="AP58" s="684" cm="1">
        <f t="array" ref="AP58">ROUND(AQ58*E58,0)</f>
        <v>47010</v>
      </c>
      <c r="AQ58" s="692">
        <v>1.0342</v>
      </c>
      <c r="AR58" s="684" cm="1">
        <f t="array" ref="AR58">ROUND(E58*AS58,0)</f>
        <v>3577</v>
      </c>
      <c r="AS58" s="692" cm="1">
        <f t="array" ref="AS58">0.0787</f>
        <v>0.07870000000000001</v>
      </c>
      <c r="AT58" s="693" cm="1">
        <f t="array" ref="AT58">SUM(AQ58,AS58)</f>
        <v>1.1129</v>
      </c>
      <c r="AU58" s="684" cm="1">
        <f t="array" ref="AU58">ROUND(SUM(AQ58,AS58)*E58,0)</f>
        <v>50587</v>
      </c>
      <c r="AV58" s="685">
        <v>112242</v>
      </c>
      <c r="AW58" s="694" cm="1">
        <f t="array" ref="AW58">ROUND(AV58/$E58,4)</f>
        <v>2.4693</v>
      </c>
      <c r="AX58" s="685" cm="1">
        <f t="array" ref="AX58">I58-SUM(AU58,AV58,BB58)</f>
        <v>320010</v>
      </c>
      <c r="AY58" s="694" cm="1">
        <f t="array" ref="AY58">ROUND(AX58/$E58,4)</f>
        <v>7.0401</v>
      </c>
      <c r="AZ58" s="686" cm="1">
        <f t="array" ref="AZ58">AX58+AV58</f>
        <v>432252</v>
      </c>
      <c r="BA58" s="694" cm="1">
        <f t="array" ref="BA58">ROUND((AV58+AX58)/E58,4)</f>
        <v>9.509399999999999</v>
      </c>
      <c r="BB58" s="687">
        <v>321909</v>
      </c>
      <c r="BC58" s="695" cm="1">
        <f t="array" ref="BC58">ROUND(BB58/$E58,4)</f>
        <v>7.0819</v>
      </c>
      <c r="BD58" s="679" cm="1">
        <f t="array" ref="BD58">K57-K58</f>
        <v>-1410913</v>
      </c>
      <c r="BE58" s="679" cm="1">
        <f t="array" ref="BE58">AZ58-BD58</f>
        <v>1843165</v>
      </c>
      <c r="BF58" s="679" cm="1">
        <f t="array" ref="BF58">-BE58</f>
        <v>-1843165</v>
      </c>
      <c r="BG58" s="679" cm="1">
        <f t="array" ref="BG58">BB58+BE58</f>
        <v>2165074</v>
      </c>
      <c r="BH58" s="679" cm="1">
        <f t="array" ref="BH58">AVERAGE(BG55:BG56,BG58)</f>
        <v>1389186.33333333</v>
      </c>
      <c r="BI58" s="699" cm="1">
        <f t="array" ref="BI58">BC56-BC58</f>
        <v>0.1309</v>
      </c>
      <c r="BJ58" s="596" cm="1">
        <f t="array" ref="BJ58">J57*0.0495/12-0.16</f>
        <v>8.81064245</v>
      </c>
      <c r="BK58" s="698" cm="1">
        <f t="array" ref="BK58">(AV58+AX58)/BB58</f>
        <v>1.34277699598334</v>
      </c>
      <c r="BL58" s="698" cm="1">
        <f t="array" ref="BL58">U58-AW58</f>
        <v>11.1074926058149</v>
      </c>
      <c r="BM58" s="698" cm="1">
        <f t="array" ref="BM58">(BN$2*(1+BN$2)^BM$2*J56)/((1+BN$2)^BM$2-1)</f>
        <v>11.6580155424597</v>
      </c>
      <c r="BN58" s="698"/>
      <c r="BO58" s="247" cm="1">
        <f t="array" ref="BO58">AV58+AX58+BO57</f>
        <v>72318554</v>
      </c>
      <c r="BP58" s="247" cm="1">
        <f t="array" ref="BP58">BB58+BP57</f>
        <v>20551395</v>
      </c>
      <c r="BQ58" s="596" cm="1">
        <f t="array" ref="BQ58">BA58+BQ57</f>
        <v>1818.4627</v>
      </c>
      <c r="BR58" s="596" cm="1">
        <f t="array" ref="BR58">BC58+BR57</f>
        <v>508.7305</v>
      </c>
      <c r="BS58" s="247" cm="1">
        <f t="array" ref="BS58">SUM(BE$6:BE58)</f>
        <v>24105705</v>
      </c>
      <c r="BT58" s="596"/>
      <c r="BU58" s="596"/>
      <c r="BV58" s="247" cm="1">
        <f t="array" ref="BV58">SUM(AZ$6:AZ58)</f>
        <v>72318554</v>
      </c>
      <c r="BW58" s="596"/>
      <c r="BX58" s="596"/>
    </row>
    <row r="59" ht="19.35" customHeight="1">
      <c r="A59" s="689">
        <v>55</v>
      </c>
      <c r="B59" s="675">
        <v>47007</v>
      </c>
      <c r="C59" s="247"/>
      <c r="D59" s="597" cm="1">
        <f t="array" ref="D59">W59</f>
        <v>17.6896598015159</v>
      </c>
      <c r="E59" s="731" cm="1">
        <f t="array" ref="E59">E58*(1+F59)</f>
        <v>45837.2361776878</v>
      </c>
      <c r="F59" s="835" cm="1">
        <f t="array" ref="F59">G59-SUM(F48:F58)</f>
        <v>0.008399999999999999</v>
      </c>
      <c r="G59" s="676" cm="1">
        <f t="array" ref="G59">'depto - Table 5'!$G$2</f>
        <v>0.05</v>
      </c>
      <c r="H59" s="676" cm="1">
        <f t="array" ref="H59">G59+4.95/100</f>
        <v>0.09950000000000001</v>
      </c>
      <c r="I59" s="247" cm="1">
        <f t="array" ref="I59">IF(J58=0,0,ROUND(D59*E59,0))</f>
        <v>810845</v>
      </c>
      <c r="J59" s="677" cm="1">
        <f t="array" ref="J59">IF(J58-BA59&lt;0,0,J58-BA59)</f>
        <v>2155.6379</v>
      </c>
      <c r="K59" s="679" cm="1">
        <f t="array" ref="K59">ROUND(J59*E59,0)</f>
        <v>98808484</v>
      </c>
      <c r="L59" s="679" cm="1">
        <f t="array" ref="L59">K59-K58</f>
        <v>388801</v>
      </c>
      <c r="M59" s="681" cm="1">
        <f t="array" ref="M59">Q59-J59</f>
        <v>3244.3621</v>
      </c>
      <c r="N59" s="679" cm="1">
        <f t="array" ref="N59">ROUND(M59*E59,0)</f>
        <v>148712592</v>
      </c>
      <c r="O59" s="596" cm="1">
        <f t="array" ref="O59">$J$5-J59</f>
        <v>1794.3621</v>
      </c>
      <c r="P59" s="679" cm="1">
        <f t="array" ref="P59">N59-N58</f>
        <v>1673057</v>
      </c>
      <c r="Q59" s="596">
        <v>5400</v>
      </c>
      <c r="R59" s="679" cm="1">
        <f t="array" ref="R59">Q59*E59</f>
        <v>247521075.359514</v>
      </c>
      <c r="S59" s="247" cm="1">
        <f t="array" ref="S59">-P59</f>
        <v>-1673057</v>
      </c>
      <c r="T59" s="690"/>
      <c r="U59" s="682" cm="1">
        <f t="array" ref="U59">J58*4.95/12/100/(1-(1+4.95/12/100)^-(360-$A59+3))+AT59</f>
        <v>13.5422566943358</v>
      </c>
      <c r="V59" s="597" cm="1">
        <f t="array" ref="V59">IF(V$3*12&lt;=$A59,0,$J58*'depto - Departamento'!$D$8/12/(1-(1+'depto - Departamento'!$D$8/12)^-(12*V$3-$A59+3))+$AT60)</f>
        <v>15.0741723384537</v>
      </c>
      <c r="W59" s="597" cm="1">
        <f t="array" ref="W59">IF(W$3*12&lt;=$A59,0,$J58*'depto - Departamento'!$D$8/12/(1-(1+'depto - Departamento'!$D$8/12)^-(12*W$3-$A59+3))+$AT61)</f>
        <v>17.6896598015159</v>
      </c>
      <c r="X59" s="597" cm="1">
        <f t="array" ref="X59">IF(X$3*12&lt;=$A59,0,$J58*'depto - Departamento'!$D$8/12/(1-(1+'depto - Departamento'!$D$8/12)^-(12*X$3-$A59+3))+$AT61)</f>
        <v>22.9194046450682</v>
      </c>
      <c r="Y59" s="597" cm="1">
        <f t="array" ref="Y59">IF(Y$3*12&lt;=$A59,0,$J58*'depto - Departamento'!$D$8/12/(1-(1+'depto - Departamento'!$D$8/12)^-(12*Y$3-$A59+3))+$AT60)</f>
        <v>29.4430121143004</v>
      </c>
      <c r="Z59" s="597" cm="1">
        <f t="array" ref="Z59">IF(Z$3*12&lt;=$A59,0,$J58*'depto - Departamento'!$D$8/12/(1-(1+'depto - Departamento'!$D$8/12)^-(12*Z$3-$A59+3))+$AT60)</f>
        <v>37.6933619545848</v>
      </c>
      <c r="AA59" s="597" cm="1">
        <f t="array" ref="AA59">IF(AA$3*12&lt;=$A59,0,$J58*'depto - Departamento'!$D$8/12/(1-(1+'depto - Departamento'!$D$8/12)^-(12*AA$3-$A59+3))+$AT60)</f>
        <v>276.809924048573</v>
      </c>
      <c r="AB59" s="597" cm="1">
        <f t="array" ref="AB59">AB58-(AB57-AB58)</f>
        <v>79.39530000000001</v>
      </c>
      <c r="AC59" s="597"/>
      <c r="AD59" s="696" cm="1">
        <f t="array" ref="AD59">$E59*U59</f>
        <v>620739.618477144</v>
      </c>
      <c r="AE59" s="247" cm="1">
        <f t="array" ref="AE59">$E59*V59</f>
        <v>690958.397660871</v>
      </c>
      <c r="AF59" s="247" cm="1">
        <f t="array" ref="AF59">$E59*W59</f>
        <v>810845.114225034</v>
      </c>
      <c r="AG59" s="247" cm="1">
        <f t="array" ref="AG59">$E59*X59</f>
        <v>1050562.16376799</v>
      </c>
      <c r="AH59" s="247" cm="1">
        <f t="array" ref="AH59">$E59*Y59</f>
        <v>1349586.30006571</v>
      </c>
      <c r="AI59" s="247" cm="1">
        <f t="array" ref="AI59">$E59*Z59</f>
        <v>1727759.53424338</v>
      </c>
      <c r="AJ59" s="247" cm="1">
        <f t="array" ref="AJ59">$E59*AA59</f>
        <v>12688201.8649423</v>
      </c>
      <c r="AK59" s="247" cm="1">
        <f t="array" ref="AK59">$E59*AB59</f>
        <v>3639261.11749838</v>
      </c>
      <c r="AL59" s="597"/>
      <c r="AM59" s="691" cm="1">
        <f t="array" ref="AM59">J57-J59</f>
        <v>19.0633</v>
      </c>
      <c r="AN59" s="691" cm="1">
        <f t="array" ref="AN59">D59-AM59</f>
        <v>-1.3736401984841</v>
      </c>
      <c r="AO59" s="597"/>
      <c r="AP59" s="684" cm="1">
        <f t="array" ref="AP59">ROUND(AQ59*E59,0)</f>
        <v>47405</v>
      </c>
      <c r="AQ59" s="692">
        <v>1.0342</v>
      </c>
      <c r="AR59" s="684" cm="1">
        <f t="array" ref="AR59">ROUND(E59*AS59,0)</f>
        <v>3607</v>
      </c>
      <c r="AS59" s="692" cm="1">
        <f t="array" ref="AS59">0.0787</f>
        <v>0.07870000000000001</v>
      </c>
      <c r="AT59" s="693" cm="1">
        <f t="array" ref="AT59">SUM(AQ59,AS59)</f>
        <v>1.1129</v>
      </c>
      <c r="AU59" s="684" cm="1">
        <f t="array" ref="AU59">ROUND(SUM(AQ59,AS59)*E59,0)</f>
        <v>51012</v>
      </c>
      <c r="AV59" s="685">
        <v>112242</v>
      </c>
      <c r="AW59" s="694" cm="1">
        <f t="array" ref="AW59">ROUND(AV59/$E59,4)</f>
        <v>2.4487</v>
      </c>
      <c r="AX59" s="685" cm="1">
        <f t="array" ref="AX59">I59-SUM(AU59,AV59,BB59)</f>
        <v>325682</v>
      </c>
      <c r="AY59" s="694" cm="1">
        <f t="array" ref="AY59">ROUND(AX59/$E59,4)</f>
        <v>7.1052</v>
      </c>
      <c r="AZ59" s="686" cm="1">
        <f t="array" ref="AZ59">AX59+AV59</f>
        <v>437924</v>
      </c>
      <c r="BA59" s="694" cm="1">
        <f t="array" ref="BA59">ROUND((AV59+AX59)/E59,4)</f>
        <v>9.553900000000001</v>
      </c>
      <c r="BB59" s="687">
        <v>321909</v>
      </c>
      <c r="BC59" s="695" cm="1">
        <f t="array" ref="BC59">ROUND(BB59/$E59,4)</f>
        <v>7.0229</v>
      </c>
      <c r="BD59" s="679" cm="1">
        <f t="array" ref="BD59">K58-K59</f>
        <v>-388801</v>
      </c>
      <c r="BE59" s="679" cm="1">
        <f t="array" ref="BE59">AZ59-BD59</f>
        <v>826725</v>
      </c>
      <c r="BF59" s="679" cm="1">
        <f t="array" ref="BF59">-BE59</f>
        <v>-826725</v>
      </c>
      <c r="BG59" s="679" cm="1">
        <f t="array" ref="BG59">BB59+BE59</f>
        <v>1148634</v>
      </c>
      <c r="BH59" s="679" cm="1">
        <f t="array" ref="BH59">AVERAGE(BG56:BG57,BG59)</f>
        <v>840222.666666667</v>
      </c>
      <c r="BI59" s="699" cm="1">
        <f t="array" ref="BI59">BC57-BC59</f>
        <v>0.1935</v>
      </c>
      <c r="BJ59" s="596" cm="1">
        <f t="array" ref="BJ59">J58*0.0495/12-0.16</f>
        <v>8.771416175000001</v>
      </c>
      <c r="BK59" s="698" cm="1">
        <f t="array" ref="BK59">(AV59+AX59)/BB59</f>
        <v>1.36039688234874</v>
      </c>
      <c r="BL59" s="698" cm="1">
        <f t="array" ref="BL59">U59-AW59</f>
        <v>11.0935566943358</v>
      </c>
      <c r="BM59" s="698" cm="1">
        <f t="array" ref="BM59">(BN$2*(1+BN$2)^BM$2*J57)/((1+BN$2)^BM$2-1)</f>
        <v>11.6079025462213</v>
      </c>
      <c r="BN59" s="698"/>
      <c r="BO59" s="247" cm="1">
        <f t="array" ref="BO59">AV59+AX59+BO58</f>
        <v>72756478</v>
      </c>
      <c r="BP59" s="247" cm="1">
        <f t="array" ref="BP59">BB59+BP58</f>
        <v>20873304</v>
      </c>
      <c r="BQ59" s="596" cm="1">
        <f t="array" ref="BQ59">BA59+BQ58</f>
        <v>1828.0166</v>
      </c>
      <c r="BR59" s="596" cm="1">
        <f t="array" ref="BR59">BC59+BR58</f>
        <v>515.7534000000001</v>
      </c>
      <c r="BS59" s="247" cm="1">
        <f t="array" ref="BS59">SUM(BE$6:BE59)</f>
        <v>24932430</v>
      </c>
      <c r="BT59" s="596"/>
      <c r="BU59" s="596"/>
      <c r="BV59" s="247" cm="1">
        <f t="array" ref="BV59">SUM(AZ$6:AZ59)</f>
        <v>72756478</v>
      </c>
      <c r="BW59" s="596"/>
      <c r="BX59" s="596"/>
    </row>
    <row r="60" ht="19.35" customHeight="1">
      <c r="A60" s="689">
        <v>56</v>
      </c>
      <c r="B60" s="675">
        <v>47037</v>
      </c>
      <c r="C60" s="247"/>
      <c r="D60" s="597" cm="1">
        <f t="array" ref="D60">W60</f>
        <v>17.6749960706482</v>
      </c>
      <c r="E60" s="731" cm="1">
        <f t="array" ref="E60">E59*(1+F60)</f>
        <v>45850.9873485411</v>
      </c>
      <c r="F60" s="835" cm="1">
        <f t="array" ref="F60">G60-SUM(F49:F59)</f>
        <v>0.0003</v>
      </c>
      <c r="G60" s="676" cm="1">
        <f t="array" ref="G60">'depto - Table 5'!$G$2</f>
        <v>0.05</v>
      </c>
      <c r="H60" s="676" cm="1">
        <f t="array" ref="H60">G60+4.95/100</f>
        <v>0.09950000000000001</v>
      </c>
      <c r="I60" s="247" cm="1">
        <f t="array" ref="I60">IF(J59=0,0,ROUND(D60*E60,0))</f>
        <v>810416</v>
      </c>
      <c r="J60" s="677" cm="1">
        <f t="array" ref="J60">IF(J59-BA60&lt;0,0,J59-BA60)</f>
        <v>2146.0966</v>
      </c>
      <c r="K60" s="679" cm="1">
        <f t="array" ref="K60">ROUND(J60*E60,0)</f>
        <v>98400648</v>
      </c>
      <c r="L60" s="679" cm="1">
        <f t="array" ref="L60">K60-K59</f>
        <v>-407836</v>
      </c>
      <c r="M60" s="681" cm="1">
        <f t="array" ref="M60">Q60-J60</f>
        <v>3253.9034</v>
      </c>
      <c r="N60" s="679" cm="1">
        <f t="array" ref="N60">ROUND(M60*E60,0)</f>
        <v>149194684</v>
      </c>
      <c r="O60" s="596" cm="1">
        <f t="array" ref="O60">$J$5-J60</f>
        <v>1803.9034</v>
      </c>
      <c r="P60" s="679" cm="1">
        <f t="array" ref="P60">N60-N59</f>
        <v>482092</v>
      </c>
      <c r="Q60" s="596">
        <v>5400</v>
      </c>
      <c r="R60" s="679" cm="1">
        <f t="array" ref="R60">Q60*E60</f>
        <v>247595331.682122</v>
      </c>
      <c r="S60" s="247" cm="1">
        <f t="array" ref="S60">-P60</f>
        <v>-482092</v>
      </c>
      <c r="T60" s="690"/>
      <c r="U60" s="682" cm="1">
        <f t="array" ref="U60">J59*4.95/12/100/(1-(1+4.95/12/100)^-(360-$A60+3))+AT60</f>
        <v>13.5074360002854</v>
      </c>
      <c r="V60" s="597" cm="1">
        <f t="array" ref="V60">IF(V$3*12&lt;=$A60,0,$J59*'depto - Departamento'!$D$8/12/(1-(1+'depto - Departamento'!$D$8/12)^-(12*V$3-$A60+3))+$AT61)</f>
        <v>15.044933138007</v>
      </c>
      <c r="W60" s="597" cm="1">
        <f t="array" ref="W60">IF(W$3*12&lt;=$A60,0,$J59*'depto - Departamento'!$D$8/12/(1-(1+'depto - Departamento'!$D$8/12)^-(12*W$3-$A60+3))+$AT62)</f>
        <v>17.6749960706482</v>
      </c>
      <c r="X60" s="597" cm="1">
        <f t="array" ref="X60">IF(X$3*12&lt;=$A60,0,$J59*'depto - Departamento'!$D$8/12/(1-(1+'depto - Departamento'!$D$8/12)^-(12*X$3-$A60+3))+$AT62)</f>
        <v>22.9530537411384</v>
      </c>
      <c r="Y60" s="597" cm="1">
        <f t="array" ref="Y60">IF(Y$3*12&lt;=$A60,0,$J59*'depto - Departamento'!$D$8/12/(1-(1+'depto - Departamento'!$D$8/12)^-(12*Y$3-$A60+3))+$AT61)</f>
        <v>29.5729893111583</v>
      </c>
      <c r="Z60" s="597" cm="1">
        <f t="array" ref="Z60">IF(Z$3*12&lt;=$A60,0,$J59*'depto - Departamento'!$D$8/12/(1-(1+'depto - Departamento'!$D$8/12)^-(12*Z$3-$A60+3))+$AT61)</f>
        <v>38.0030300491507</v>
      </c>
      <c r="AA60" s="597" cm="1">
        <f t="array" ref="AA60">IF(AA$3*12&lt;=$A60,0,$J59*'depto - Departamento'!$D$8/12/(1-(1+'depto - Departamento'!$D$8/12)^-(12*AA$3-$A60+3))+$AT61)</f>
        <v>314.163234230078</v>
      </c>
      <c r="AB60" s="597" cm="1">
        <f t="array" ref="AB60">AB59-(AB58-AB59)</f>
        <v>79.38290000000001</v>
      </c>
      <c r="AC60" s="597"/>
      <c r="AD60" s="696" cm="1">
        <f t="array" ref="AD60">$E60*U60</f>
        <v>619329.277160314</v>
      </c>
      <c r="AE60" s="247" cm="1">
        <f t="array" ref="AE60">$E60*V60</f>
        <v>689825.0389704061</v>
      </c>
      <c r="AF60" s="247" cm="1">
        <f t="array" ref="AF60">$E60*W60</f>
        <v>810416.021220804</v>
      </c>
      <c r="AG60" s="247" cm="1">
        <f t="array" ref="AG60">$E60*X60</f>
        <v>1052420.17669532</v>
      </c>
      <c r="AH60" s="247" cm="1">
        <f t="array" ref="AH60">$E60*Y60</f>
        <v>1355950.75876446</v>
      </c>
      <c r="AI60" s="247" cm="1">
        <f t="array" ref="AI60">$E60*Z60</f>
        <v>1742476.44998984</v>
      </c>
      <c r="AJ60" s="247" cm="1">
        <f t="array" ref="AJ60">$E60*AA60</f>
        <v>14404694.4780601</v>
      </c>
      <c r="AK60" s="247" cm="1">
        <f t="array" ref="AK60">$E60*AB60</f>
        <v>3639784.3435905</v>
      </c>
      <c r="AL60" s="597"/>
      <c r="AM60" s="691" cm="1">
        <f t="array" ref="AM60">J58-J60</f>
        <v>19.0952</v>
      </c>
      <c r="AN60" s="691" cm="1">
        <f t="array" ref="AN60">D60-AM60</f>
        <v>-1.4202039293518</v>
      </c>
      <c r="AO60" s="597"/>
      <c r="AP60" s="684" cm="1">
        <f t="array" ref="AP60">ROUND(AQ60*E60,0)</f>
        <v>47419</v>
      </c>
      <c r="AQ60" s="692">
        <v>1.0342</v>
      </c>
      <c r="AR60" s="684" cm="1">
        <f t="array" ref="AR60">ROUND(E60*AS60,0)</f>
        <v>3608</v>
      </c>
      <c r="AS60" s="692" cm="1">
        <f t="array" ref="AS60">0.0787</f>
        <v>0.07870000000000001</v>
      </c>
      <c r="AT60" s="693" cm="1">
        <f t="array" ref="AT60">SUM(AQ60,AS60)</f>
        <v>1.1129</v>
      </c>
      <c r="AU60" s="684" cm="1">
        <f t="array" ref="AU60">ROUND(SUM(AQ60,AS60)*E60,0)</f>
        <v>51028</v>
      </c>
      <c r="AV60" s="685">
        <v>112242</v>
      </c>
      <c r="AW60" s="694" cm="1">
        <f t="array" ref="AW60">ROUND(AV60/$E60,4)</f>
        <v>2.448</v>
      </c>
      <c r="AX60" s="685" cm="1">
        <f t="array" ref="AX60">I60-SUM(AU60,AV60,BB60)</f>
        <v>325237</v>
      </c>
      <c r="AY60" s="694" cm="1">
        <f t="array" ref="AY60">ROUND(AX60/$E60,4)</f>
        <v>7.0933</v>
      </c>
      <c r="AZ60" s="686" cm="1">
        <f t="array" ref="AZ60">AX60+AV60</f>
        <v>437479</v>
      </c>
      <c r="BA60" s="694" cm="1">
        <f t="array" ref="BA60">ROUND((AV60+AX60)/E60,4)</f>
        <v>9.5413</v>
      </c>
      <c r="BB60" s="687">
        <v>321909</v>
      </c>
      <c r="BC60" s="695" cm="1">
        <f t="array" ref="BC60">ROUND(BB60/$E60,4)</f>
        <v>7.0208</v>
      </c>
      <c r="BD60" s="679" cm="1">
        <f t="array" ref="BD60">K59-K60</f>
        <v>407836</v>
      </c>
      <c r="BE60" s="679" cm="1">
        <f t="array" ref="BE60">AZ60-BD60</f>
        <v>29643</v>
      </c>
      <c r="BF60" s="679" cm="1">
        <f t="array" ref="BF60">-BE60</f>
        <v>-29643</v>
      </c>
      <c r="BG60" s="679" cm="1">
        <f t="array" ref="BG60">BB60+BE60</f>
        <v>351552</v>
      </c>
      <c r="BH60" s="679" cm="1">
        <f t="array" ref="BH60">AVERAGE(BG57:BG58,BG60)</f>
        <v>929932</v>
      </c>
      <c r="BI60" s="699" cm="1">
        <f t="array" ref="BI60">BC58-BC60</f>
        <v>0.0611</v>
      </c>
      <c r="BJ60" s="596" cm="1">
        <f t="array" ref="BJ60">J59*0.0495/12-0.16</f>
        <v>8.7320063375</v>
      </c>
      <c r="BK60" s="698" cm="1">
        <f t="array" ref="BK60">(AV60+AX60)/BB60</f>
        <v>1.35901450409898</v>
      </c>
      <c r="BL60" s="698" cm="1">
        <f t="array" ref="BL60">U60-AW60</f>
        <v>11.0594360002854</v>
      </c>
      <c r="BM60" s="698" cm="1">
        <f t="array" ref="BM60">(BN$2*(1+BN$2)^BM$2*J58)/((1+BN$2)^BM$2-1)</f>
        <v>11.5571442220557</v>
      </c>
      <c r="BN60" s="698"/>
      <c r="BO60" s="247" cm="1">
        <f t="array" ref="BO60">AV60+AX60+BO59</f>
        <v>73193957</v>
      </c>
      <c r="BP60" s="247" cm="1">
        <f t="array" ref="BP60">BB60+BP59</f>
        <v>21195213</v>
      </c>
      <c r="BQ60" s="596" cm="1">
        <f t="array" ref="BQ60">BA60+BQ59</f>
        <v>1837.5579</v>
      </c>
      <c r="BR60" s="596" cm="1">
        <f t="array" ref="BR60">BC60+BR59</f>
        <v>522.7742</v>
      </c>
      <c r="BS60" s="247" cm="1">
        <f t="array" ref="BS60">SUM(BE$6:BE60)</f>
        <v>24962073</v>
      </c>
      <c r="BT60" s="596"/>
      <c r="BU60" s="596"/>
      <c r="BV60" s="247" cm="1">
        <f t="array" ref="BV60">SUM(AZ$6:AZ60)</f>
        <v>73193957</v>
      </c>
      <c r="BW60" s="596"/>
      <c r="BX60" s="596"/>
    </row>
    <row r="61" ht="19.35" customHeight="1">
      <c r="A61" s="689">
        <v>57</v>
      </c>
      <c r="B61" s="675">
        <v>47068</v>
      </c>
      <c r="C61" s="247"/>
      <c r="D61" s="597" cm="1">
        <f t="array" ref="D61">W61</f>
        <v>17.6605679381316</v>
      </c>
      <c r="E61" s="731" cm="1">
        <f t="array" ref="E61">E60*(1+F61)</f>
        <v>46020.6360017307</v>
      </c>
      <c r="F61" s="835" cm="1">
        <f t="array" ref="F61">G61-SUM(F50:F60)</f>
        <v>0.0037</v>
      </c>
      <c r="G61" s="676" cm="1">
        <f t="array" ref="G61">'depto - Table 5'!$G$2</f>
        <v>0.05</v>
      </c>
      <c r="H61" s="676" cm="1">
        <f t="array" ref="H61">G61+4.95/100</f>
        <v>0.09950000000000001</v>
      </c>
      <c r="I61" s="247" cm="1">
        <f t="array" ref="I61">IF(J60=0,0,ROUND(D61*E61,0))</f>
        <v>812751</v>
      </c>
      <c r="J61" s="677" cm="1">
        <f t="array" ref="J61">IF(J60-BA61&lt;0,0,J60-BA61)</f>
        <v>2136.5438</v>
      </c>
      <c r="K61" s="679" cm="1">
        <f t="array" ref="K61">ROUND(J61*E61,0)</f>
        <v>98325105</v>
      </c>
      <c r="L61" s="679" cm="1">
        <f t="array" ref="L61">K61-K60</f>
        <v>-75543</v>
      </c>
      <c r="M61" s="681" cm="1">
        <f t="array" ref="M61">Q61-J61</f>
        <v>3263.4562</v>
      </c>
      <c r="N61" s="679" cm="1">
        <f t="array" ref="N61">ROUND(M61*E61,0)</f>
        <v>150186330</v>
      </c>
      <c r="O61" s="596" cm="1">
        <f t="array" ref="O61">$J$5-J61</f>
        <v>1813.4562</v>
      </c>
      <c r="P61" s="679" cm="1">
        <f t="array" ref="P61">N61-N60</f>
        <v>991646</v>
      </c>
      <c r="Q61" s="596">
        <v>5400</v>
      </c>
      <c r="R61" s="679" cm="1">
        <f t="array" ref="R61">Q61*E61</f>
        <v>248511434.409346</v>
      </c>
      <c r="S61" s="247" cm="1">
        <f t="array" ref="S61">-P61</f>
        <v>-991646</v>
      </c>
      <c r="T61" s="690"/>
      <c r="U61" s="682" cm="1">
        <f t="array" ref="U61">J60*4.95/12/100/(1-(1+4.95/12/100)^-(360-$A61+3))+AT61</f>
        <v>13.4726576320779</v>
      </c>
      <c r="V61" s="597" cm="1">
        <f t="array" ref="V61">IF(V$3*12&lt;=$A61,0,$J60*'depto - Departamento'!$D$8/12/(1-(1+'depto - Departamento'!$D$8/12)^-(12*V$3-$A61+3))+$AT62)</f>
        <v>15.0157729271837</v>
      </c>
      <c r="W61" s="597" cm="1">
        <f t="array" ref="W61">IF(W$3*12&lt;=$A61,0,$J60*'depto - Departamento'!$D$8/12/(1-(1+'depto - Departamento'!$D$8/12)^-(12*W$3-$A61+3))+$AT63)</f>
        <v>17.6605679381316</v>
      </c>
      <c r="X61" s="597" cm="1">
        <f t="array" ref="X61">IF(X$3*12&lt;=$A61,0,$J60*'depto - Departamento'!$D$8/12/(1-(1+'depto - Departamento'!$D$8/12)^-(12*X$3-$A61+3))+$AT63)</f>
        <v>22.9877792869053</v>
      </c>
      <c r="Y61" s="597" cm="1">
        <f t="array" ref="Y61">IF(Y$3*12&lt;=$A61,0,$J60*'depto - Departamento'!$D$8/12/(1-(1+'depto - Departamento'!$D$8/12)^-(12*Y$3-$A61+3))+$AT62)</f>
        <v>29.7065819197235</v>
      </c>
      <c r="Z61" s="597" cm="1">
        <f t="array" ref="Z61">IF(Z$3*12&lt;=$A61,0,$J60*'depto - Departamento'!$D$8/12/(1-(1+'depto - Departamento'!$D$8/12)^-(12*Z$3-$A61+3))+$AT62)</f>
        <v>38.3230441016257</v>
      </c>
      <c r="AA61" s="597" cm="1">
        <f t="array" ref="AA61">IF(AA$3*12&lt;=$A61,0,$J60*'depto - Departamento'!$D$8/12/(1-(1+'depto - Departamento'!$D$8/12)^-(12*AA$3-$A61+3))+$AT62)</f>
        <v>363.977426317902</v>
      </c>
      <c r="AB61" s="597" cm="1">
        <f t="array" ref="AB61">AB60-(AB59-AB60)</f>
        <v>79.37050000000001</v>
      </c>
      <c r="AC61" s="597"/>
      <c r="AD61" s="696" cm="1">
        <f t="array" ref="AD61">$E61*U61</f>
        <v>620020.272861796</v>
      </c>
      <c r="AE61" s="247" cm="1">
        <f t="array" ref="AE61">$E61*V61</f>
        <v>691035.420166563</v>
      </c>
      <c r="AF61" s="247" cm="1">
        <f t="array" ref="AF61">$E61*W61</f>
        <v>812750.56866459</v>
      </c>
      <c r="AG61" s="247" cm="1">
        <f t="array" ref="AG61">$E61*X61</f>
        <v>1057912.22305079</v>
      </c>
      <c r="AH61" s="247" cm="1">
        <f t="array" ref="AH61">$E61*Y61</f>
        <v>1367115.79338319</v>
      </c>
      <c r="AI61" s="247" cm="1">
        <f t="array" ref="AI61">$E61*Z61</f>
        <v>1763650.86307919</v>
      </c>
      <c r="AJ61" s="247" cm="1">
        <f t="array" ref="AJ61">$E61*AA61</f>
        <v>16750472.6494229</v>
      </c>
      <c r="AK61" s="247" cm="1">
        <f t="array" ref="AK61">$E61*AB61</f>
        <v>3652680.88977537</v>
      </c>
      <c r="AL61" s="597"/>
      <c r="AM61" s="691" cm="1">
        <f t="array" ref="AM61">J59-J61</f>
        <v>19.0941</v>
      </c>
      <c r="AN61" s="691" cm="1">
        <f t="array" ref="AN61">D61-AM61</f>
        <v>-1.4335320618684</v>
      </c>
      <c r="AO61" s="597"/>
      <c r="AP61" s="684" cm="1">
        <f t="array" ref="AP61">ROUND(AQ61*E61,0)</f>
        <v>47595</v>
      </c>
      <c r="AQ61" s="692">
        <v>1.0342</v>
      </c>
      <c r="AR61" s="684" cm="1">
        <f t="array" ref="AR61">ROUND(E61*AS61,0)</f>
        <v>3622</v>
      </c>
      <c r="AS61" s="692" cm="1">
        <f t="array" ref="AS61">0.0787</f>
        <v>0.07870000000000001</v>
      </c>
      <c r="AT61" s="693" cm="1">
        <f t="array" ref="AT61">SUM(AQ61,AS61)</f>
        <v>1.1129</v>
      </c>
      <c r="AU61" s="684" cm="1">
        <f t="array" ref="AU61">ROUND(SUM(AQ61,AS61)*E61,0)</f>
        <v>51216</v>
      </c>
      <c r="AV61" s="685">
        <v>112242</v>
      </c>
      <c r="AW61" s="694" cm="1">
        <f t="array" ref="AW61">ROUND(AV61/$E61,4)</f>
        <v>2.4389</v>
      </c>
      <c r="AX61" s="685" cm="1">
        <f t="array" ref="AX61">I61-SUM(AU61,AV61,BB61)</f>
        <v>327384</v>
      </c>
      <c r="AY61" s="694" cm="1">
        <f t="array" ref="AY61">ROUND(AX61/$E61,4)</f>
        <v>7.1139</v>
      </c>
      <c r="AZ61" s="686" cm="1">
        <f t="array" ref="AZ61">AX61+AV61</f>
        <v>439626</v>
      </c>
      <c r="BA61" s="694" cm="1">
        <f t="array" ref="BA61">ROUND((AV61+AX61)/E61,4)</f>
        <v>9.5528</v>
      </c>
      <c r="BB61" s="687">
        <v>321909</v>
      </c>
      <c r="BC61" s="695" cm="1">
        <f t="array" ref="BC61">ROUND(BB61/$E61,4)</f>
        <v>6.9949</v>
      </c>
      <c r="BD61" s="679" cm="1">
        <f t="array" ref="BD61">K60-K61</f>
        <v>75543</v>
      </c>
      <c r="BE61" s="679" cm="1">
        <f t="array" ref="BE61">AZ61-BD61</f>
        <v>364083</v>
      </c>
      <c r="BF61" s="679" cm="1">
        <f t="array" ref="BF61">-BE61</f>
        <v>-364083</v>
      </c>
      <c r="BG61" s="679" cm="1">
        <f t="array" ref="BG61">BB61+BE61</f>
        <v>685992</v>
      </c>
      <c r="BH61" s="679" cm="1">
        <f t="array" ref="BH61">AVERAGE(BG58:BG59,BG61)</f>
        <v>1333233.33333333</v>
      </c>
      <c r="BI61" s="699" cm="1">
        <f t="array" ref="BI61">BC59-BC61</f>
        <v>0.028</v>
      </c>
      <c r="BJ61" s="596" cm="1">
        <f t="array" ref="BJ61">J60*0.0495/12-0.16</f>
        <v>8.692648475</v>
      </c>
      <c r="BK61" s="698" cm="1">
        <f t="array" ref="BK61">(AV61+AX61)/BB61</f>
        <v>1.36568409084555</v>
      </c>
      <c r="BL61" s="698" cm="1">
        <f t="array" ref="BL61">U61-AW61</f>
        <v>11.0337576320779</v>
      </c>
      <c r="BM61" s="698" cm="1">
        <f t="array" ref="BM61">(BN$2*(1+BN$2)^BM$2*J59)/((1+BN$2)^BM$2-1)</f>
        <v>11.506148370241</v>
      </c>
      <c r="BN61" s="698"/>
      <c r="BO61" s="247" cm="1">
        <f t="array" ref="BO61">AV61+AX61+BO60</f>
        <v>73633583</v>
      </c>
      <c r="BP61" s="247" cm="1">
        <f t="array" ref="BP61">BB61+BP60</f>
        <v>21517122</v>
      </c>
      <c r="BQ61" s="596" cm="1">
        <f t="array" ref="BQ61">BA61+BQ60</f>
        <v>1847.1107</v>
      </c>
      <c r="BR61" s="596" cm="1">
        <f t="array" ref="BR61">BC61+BR60</f>
        <v>529.7691</v>
      </c>
      <c r="BS61" s="247" cm="1">
        <f t="array" ref="BS61">SUM(BE$6:BE61)</f>
        <v>25326156</v>
      </c>
      <c r="BT61" s="596"/>
      <c r="BU61" s="596"/>
      <c r="BV61" s="247" cm="1">
        <f t="array" ref="BV61">SUM(AZ$6:AZ61)</f>
        <v>73633583</v>
      </c>
      <c r="BW61" s="596"/>
      <c r="BX61" s="596"/>
    </row>
    <row r="62" ht="19.35" customHeight="1">
      <c r="A62" s="689">
        <v>58</v>
      </c>
      <c r="B62" s="675">
        <v>47098</v>
      </c>
      <c r="C62" s="247"/>
      <c r="D62" s="597" cm="1">
        <f t="array" ref="D62">W62</f>
        <v>17.6461918098562</v>
      </c>
      <c r="E62" s="731" cm="1">
        <f t="array" ref="E62">E61*(1+F62)</f>
        <v>46029.840128931</v>
      </c>
      <c r="F62" s="835" cm="1">
        <f t="array" ref="F62">G62-SUM(F51:F61)</f>
        <v>0.0002</v>
      </c>
      <c r="G62" s="676" cm="1">
        <f t="array" ref="G62">'depto - Table 5'!$G$2</f>
        <v>0.05</v>
      </c>
      <c r="H62" s="676" cm="1">
        <f t="array" ref="H62">G62+4.95/100</f>
        <v>0.09950000000000001</v>
      </c>
      <c r="I62" s="247" cm="1">
        <f t="array" ref="I62">IF(J61=0,0,ROUND(D62*E62,0))</f>
        <v>812251</v>
      </c>
      <c r="J62" s="677" cm="1">
        <f t="array" ref="J62">IF(J61-BA62&lt;0,0,J61-BA62)</f>
        <v>2127.004</v>
      </c>
      <c r="K62" s="679" cm="1">
        <f t="array" ref="K62">ROUND(J62*E62,0)</f>
        <v>97905654</v>
      </c>
      <c r="L62" s="679" cm="1">
        <f t="array" ref="L62">K62-K61</f>
        <v>-419451</v>
      </c>
      <c r="M62" s="681" cm="1">
        <f t="array" ref="M62">Q62-J62</f>
        <v>3272.996</v>
      </c>
      <c r="N62" s="679" cm="1">
        <f t="array" ref="N62">ROUND(M62*E62,0)</f>
        <v>150655483</v>
      </c>
      <c r="O62" s="596" cm="1">
        <f t="array" ref="O62">$J$5-J62</f>
        <v>1822.996</v>
      </c>
      <c r="P62" s="679" cm="1">
        <f t="array" ref="P62">N62-N61</f>
        <v>469153</v>
      </c>
      <c r="Q62" s="596">
        <v>5400</v>
      </c>
      <c r="R62" s="679" cm="1">
        <f t="array" ref="R62">Q62*E62</f>
        <v>248561136.696227</v>
      </c>
      <c r="S62" s="247" cm="1">
        <f t="array" ref="S62">-P62</f>
        <v>-469153</v>
      </c>
      <c r="T62" s="690"/>
      <c r="U62" s="682" cm="1">
        <f t="array" ref="U62">J61*4.95/12/100/(1-(1+4.95/12/100)^-(360-$A62+3))+AT62</f>
        <v>13.4377824150303</v>
      </c>
      <c r="V62" s="597" cm="1">
        <f t="array" ref="V62">IF(V$3*12&lt;=$A62,0,$J61*'depto - Departamento'!$D$8/12/(1-(1+'depto - Departamento'!$D$8/12)^-(12*V$3-$A62+3))+$AT63)</f>
        <v>14.986535477495</v>
      </c>
      <c r="W62" s="597" cm="1">
        <f t="array" ref="W62">IF(W$3*12&lt;=$A62,0,$J61*'depto - Departamento'!$D$8/12/(1-(1+'depto - Departamento'!$D$8/12)^-(12*W$3-$A62+3))+$AT64)</f>
        <v>17.6461918098562</v>
      </c>
      <c r="X62" s="597" cm="1">
        <f t="array" ref="X62">IF(X$3*12&lt;=$A62,0,$J61*'depto - Departamento'!$D$8/12/(1-(1+'depto - Departamento'!$D$8/12)^-(12*X$3-$A62+3))+$AT64)</f>
        <v>23.0233586278326</v>
      </c>
      <c r="Y62" s="597" cm="1">
        <f t="array" ref="Y62">IF(Y$3*12&lt;=$A62,0,$J61*'depto - Departamento'!$D$8/12/(1-(1+'depto - Departamento'!$D$8/12)^-(12*Y$3-$A62+3))+$AT63)</f>
        <v>29.8435858672402</v>
      </c>
      <c r="Z62" s="597" cm="1">
        <f t="array" ref="Z62">IF(Z$3*12&lt;=$A62,0,$J61*'depto - Departamento'!$D$8/12/(1-(1+'depto - Departamento'!$D$8/12)^-(12*Z$3-$A62+3))+$AT63)</f>
        <v>38.6534556393874</v>
      </c>
      <c r="AA62" s="597" cm="1">
        <f t="array" ref="AA62">IF(AA$3*12&lt;=$A62,0,$J61*'depto - Departamento'!$D$8/12/(1-(1+'depto - Departamento'!$D$8/12)^-(12*AA$3-$A62+3))+$AT63)</f>
        <v>433.724117739341</v>
      </c>
      <c r="AB62" s="597" cm="1">
        <f t="array" ref="AB62">AB61-(AB60-AB61)</f>
        <v>79.35809999999999</v>
      </c>
      <c r="AC62" s="597"/>
      <c r="AD62" s="696" cm="1">
        <f t="array" ref="AD62">$E62*U62</f>
        <v>618538.976251205</v>
      </c>
      <c r="AE62" s="247" cm="1">
        <f t="array" ref="AE62">$E62*V62</f>
        <v>689827.832115647</v>
      </c>
      <c r="AF62" s="247" cm="1">
        <f t="array" ref="AF62">$E62*W62</f>
        <v>812251.387892132</v>
      </c>
      <c r="AG62" s="247" cm="1">
        <f t="array" ref="AG62">$E62*X62</f>
        <v>1059761.51687018</v>
      </c>
      <c r="AH62" s="247" cm="1">
        <f t="array" ref="AH62">$E62*Y62</f>
        <v>1373695.48634309</v>
      </c>
      <c r="AI62" s="247" cm="1">
        <f t="array" ref="AI62">$E62*Z62</f>
        <v>1779212.38351173</v>
      </c>
      <c r="AJ62" s="247" cm="1">
        <f t="array" ref="AJ62">$E62*AA62</f>
        <v>19964251.7996035</v>
      </c>
      <c r="AK62" s="247" cm="1">
        <f t="array" ref="AK62">$E62*AB62</f>
        <v>3652840.65593572</v>
      </c>
      <c r="AL62" s="597"/>
      <c r="AM62" s="691" cm="1">
        <f t="array" ref="AM62">J60-J62</f>
        <v>19.0926</v>
      </c>
      <c r="AN62" s="691" cm="1">
        <f t="array" ref="AN62">D62-AM62</f>
        <v>-1.4464081901438</v>
      </c>
      <c r="AO62" s="597"/>
      <c r="AP62" s="684" cm="1">
        <f t="array" ref="AP62">ROUND(AQ62*E62,0)</f>
        <v>47604</v>
      </c>
      <c r="AQ62" s="692">
        <v>1.0342</v>
      </c>
      <c r="AR62" s="684" cm="1">
        <f t="array" ref="AR62">ROUND(E62*AS62,0)</f>
        <v>3623</v>
      </c>
      <c r="AS62" s="692" cm="1">
        <f t="array" ref="AS62">0.0787</f>
        <v>0.07870000000000001</v>
      </c>
      <c r="AT62" s="693" cm="1">
        <f t="array" ref="AT62">SUM(AQ62,AS62)</f>
        <v>1.1129</v>
      </c>
      <c r="AU62" s="684" cm="1">
        <f t="array" ref="AU62">ROUND(SUM(AQ62,AS62)*E62,0)</f>
        <v>51227</v>
      </c>
      <c r="AV62" s="685">
        <v>112242</v>
      </c>
      <c r="AW62" s="694" cm="1">
        <f t="array" ref="AW62">ROUND(AV62/$E62,4)</f>
        <v>2.4385</v>
      </c>
      <c r="AX62" s="685" cm="1">
        <f t="array" ref="AX62">I62-SUM(AU62,AV62,BB62)</f>
        <v>326873</v>
      </c>
      <c r="AY62" s="694" cm="1">
        <f t="array" ref="AY62">ROUND(AX62/$E62,4)</f>
        <v>7.1013</v>
      </c>
      <c r="AZ62" s="686" cm="1">
        <f t="array" ref="AZ62">AX62+AV62</f>
        <v>439115</v>
      </c>
      <c r="BA62" s="694" cm="1">
        <f t="array" ref="BA62">ROUND((AV62+AX62)/E62,4)</f>
        <v>9.5398</v>
      </c>
      <c r="BB62" s="687">
        <v>321909</v>
      </c>
      <c r="BC62" s="695" cm="1">
        <f t="array" ref="BC62">ROUND(BB62/$E62,4)</f>
        <v>6.9935</v>
      </c>
      <c r="BD62" s="679" cm="1">
        <f t="array" ref="BD62">K61-K62</f>
        <v>419451</v>
      </c>
      <c r="BE62" s="679" cm="1">
        <f t="array" ref="BE62">AZ62-BD62</f>
        <v>19664</v>
      </c>
      <c r="BF62" s="679" cm="1">
        <f t="array" ref="BF62">-BE62</f>
        <v>-19664</v>
      </c>
      <c r="BG62" s="679" cm="1">
        <f t="array" ref="BG62">BB62+BE62</f>
        <v>341573</v>
      </c>
      <c r="BH62" s="679" cm="1">
        <f t="array" ref="BH62">AVERAGE(BG59:BG60,BG62)</f>
        <v>613919.666666667</v>
      </c>
      <c r="BI62" s="699" cm="1">
        <f t="array" ref="BI62">BC60-BC62</f>
        <v>0.0273</v>
      </c>
      <c r="BJ62" s="596" cm="1">
        <f t="array" ref="BJ62">J61*0.0495/12-0.16</f>
        <v>8.653243175</v>
      </c>
      <c r="BK62" s="698" cm="1">
        <f t="array" ref="BK62">(AV62+AX62)/BB62</f>
        <v>1.36409668570932</v>
      </c>
      <c r="BL62" s="698" cm="1">
        <f t="array" ref="BL62">U62-AW62</f>
        <v>10.9992824150303</v>
      </c>
      <c r="BM62" s="698" cm="1">
        <f t="array" ref="BM62">(BN$2*(1+BN$2)^BM$2*J60)/((1+BN$2)^BM$2-1)</f>
        <v>11.4552197734461</v>
      </c>
      <c r="BN62" s="698"/>
      <c r="BO62" s="247" cm="1">
        <f t="array" ref="BO62">AV62+AX62+BO61</f>
        <v>74072698</v>
      </c>
      <c r="BP62" s="247" cm="1">
        <f t="array" ref="BP62">BB62+BP61</f>
        <v>21839031</v>
      </c>
      <c r="BQ62" s="596" cm="1">
        <f t="array" ref="BQ62">BA62+BQ61</f>
        <v>1856.6505</v>
      </c>
      <c r="BR62" s="596" cm="1">
        <f t="array" ref="BR62">BC62+BR61</f>
        <v>536.7626</v>
      </c>
      <c r="BS62" s="247" cm="1">
        <f t="array" ref="BS62">SUM(BE$6:BE62)</f>
        <v>25345820</v>
      </c>
      <c r="BT62" s="596"/>
      <c r="BU62" s="596"/>
      <c r="BV62" s="247" cm="1">
        <f t="array" ref="BV62">SUM(AZ$6:AZ62)</f>
        <v>74072698</v>
      </c>
      <c r="BW62" s="596"/>
      <c r="BX62" s="596"/>
    </row>
    <row r="63" ht="19.35" customHeight="1">
      <c r="A63" s="689">
        <v>59</v>
      </c>
      <c r="B63" s="703">
        <v>47129</v>
      </c>
      <c r="C63" s="704"/>
      <c r="D63" s="705" cm="1">
        <f t="array" ref="D63">W63</f>
        <v>17.6320588971047</v>
      </c>
      <c r="E63" s="836" cm="1">
        <f t="array" ref="E63">E62*(1+F63)</f>
        <v>46066.6640010341</v>
      </c>
      <c r="F63" s="837" cm="1">
        <f t="array" ref="F63">G63-SUM(F52:F62)</f>
        <v>0.0008</v>
      </c>
      <c r="G63" s="706" cm="1">
        <f t="array" ref="G63">'depto - Table 5'!$G$2</f>
        <v>0.05</v>
      </c>
      <c r="H63" s="706" cm="1">
        <f t="array" ref="H63">G63+4.95/100</f>
        <v>0.09950000000000001</v>
      </c>
      <c r="I63" s="247" cm="1">
        <f t="array" ref="I63">IF(J62=0,0,ROUND(D63*E63,0))</f>
        <v>812250</v>
      </c>
      <c r="J63" s="677" cm="1">
        <f t="array" ref="J63">IF(J62-BA63&lt;0,0,J62-BA63)</f>
        <v>2117.4727</v>
      </c>
      <c r="K63" s="679" cm="1">
        <f t="array" ref="K63">ROUND(J63*E63,0)</f>
        <v>97544903</v>
      </c>
      <c r="L63" s="679" cm="1">
        <f t="array" ref="L63">K63-K62</f>
        <v>-360751</v>
      </c>
      <c r="M63" s="681" cm="1">
        <f t="array" ref="M63">Q63-J63</f>
        <v>3282.5273</v>
      </c>
      <c r="N63" s="679" cm="1">
        <f t="array" ref="N63">ROUND(M63*E63,0)</f>
        <v>151215082</v>
      </c>
      <c r="O63" s="596" cm="1">
        <f t="array" ref="O63">$J$5-J63</f>
        <v>1832.5273</v>
      </c>
      <c r="P63" s="679" cm="1">
        <f t="array" ref="P63">N63-N62</f>
        <v>559599</v>
      </c>
      <c r="Q63" s="596">
        <v>5400</v>
      </c>
      <c r="R63" s="679" cm="1">
        <f t="array" ref="R63">Q63*E63</f>
        <v>248759985.605584</v>
      </c>
      <c r="S63" s="247" cm="1">
        <f t="array" ref="S63">-P63</f>
        <v>-559599</v>
      </c>
      <c r="T63" s="690"/>
      <c r="U63" s="716" cm="1">
        <f t="array" ref="U63">J62*4.95/12/100/(1-(1+4.95/12/100)^-(360-$A63+3))+AT63</f>
        <v>13.4029510730973</v>
      </c>
      <c r="V63" s="705" cm="1">
        <f t="array" ref="V63">IF(V$3*12&lt;=$A63,0,$J62*'depto - Departamento'!$D$8/12/(1-(1+'depto - Departamento'!$D$8/12)^-(12*V$3-$A63+3))+$AT64)</f>
        <v>14.9573794121342</v>
      </c>
      <c r="W63" s="597" cm="1">
        <f t="array" ref="W63">IF(W$3*12&lt;=$A63,0,$J62*'depto - Departamento'!$D$8/12/(1-(1+'depto - Departamento'!$D$8/12)^-(12*W$3-$A63+3))+$AT65)</f>
        <v>17.6320588971047</v>
      </c>
      <c r="X63" s="597" cm="1">
        <f t="array" ref="X63">IF(X$3*12&lt;=$A63,0,$J62*'depto - Departamento'!$D$8/12/(1-(1+'depto - Departamento'!$D$8/12)^-(12*X$3-$A63+3))+$AT65)</f>
        <v>23.0600652747851</v>
      </c>
      <c r="Y63" s="597" cm="1">
        <f t="array" ref="Y63">IF(Y$3*12&lt;=$A63,0,$J62*'depto - Departamento'!$D$8/12/(1-(1+'depto - Departamento'!$D$8/12)^-(12*Y$3-$A63+3))+$AT64)</f>
        <v>29.9844500264735</v>
      </c>
      <c r="Z63" s="597" cm="1">
        <f t="array" ref="Z63">IF(Z$3*12&lt;=$A63,0,$J62*'depto - Departamento'!$D$8/12/(1-(1+'depto - Departamento'!$D$8/12)^-(12*Z$3-$A63+3))+$AT64)</f>
        <v>38.9951883677868</v>
      </c>
      <c r="AA63" s="597" cm="1">
        <f t="array" ref="AA63">IF(AA$3*12&lt;=$A63,0,$J62*'depto - Departamento'!$D$8/12/(1-(1+'depto - Departamento'!$D$8/12)^-(12*AA$3-$A63+3))+$AT64)</f>
        <v>538.358868964711</v>
      </c>
      <c r="AB63" s="705" cm="1">
        <f t="array" ref="AB63">AB62-(AB61-AB62)</f>
        <v>79.34569999999999</v>
      </c>
      <c r="AC63" s="597"/>
      <c r="AD63" s="717" cm="1">
        <f t="array" ref="AD63">$E63*U63</f>
        <v>617429.243706673</v>
      </c>
      <c r="AE63" s="704" cm="1">
        <f t="array" ref="AE63">$E63*V63</f>
        <v>689036.571714771</v>
      </c>
      <c r="AF63" s="247" cm="1">
        <f t="array" ref="AF63">$E63*W63</f>
        <v>812250.132859366</v>
      </c>
      <c r="AG63" s="247" cm="1">
        <f t="array" ref="AG63">$E63*X63</f>
        <v>1062300.27885544</v>
      </c>
      <c r="AH63" s="247" cm="1">
        <f t="array" ref="AH63">$E63*Y63</f>
        <v>1381283.58462535</v>
      </c>
      <c r="AI63" s="247" cm="1">
        <f t="array" ref="AI63">$E63*Z63</f>
        <v>1796378.24019587</v>
      </c>
      <c r="AJ63" s="247" cm="1">
        <f t="array" ref="AJ63">$E63*AA63</f>
        <v>24800397.1285741</v>
      </c>
      <c r="AK63" s="704" cm="1">
        <f t="array" ref="AK63">$E63*AB63</f>
        <v>3655191.70182685</v>
      </c>
      <c r="AL63" s="597"/>
      <c r="AM63" s="691" cm="1">
        <f t="array" ref="AM63">J61-J63</f>
        <v>19.0711</v>
      </c>
      <c r="AN63" s="691" cm="1">
        <f t="array" ref="AN63">D63-AM63</f>
        <v>-1.4390411028953</v>
      </c>
      <c r="AO63" s="597"/>
      <c r="AP63" s="684" cm="1">
        <f t="array" ref="AP63">ROUND(AQ63*E63,0)</f>
        <v>47642</v>
      </c>
      <c r="AQ63" s="692">
        <v>1.0342</v>
      </c>
      <c r="AR63" s="684" cm="1">
        <f t="array" ref="AR63">ROUND(E63*AS63,0)</f>
        <v>3625</v>
      </c>
      <c r="AS63" s="692" cm="1">
        <f t="array" ref="AS63">0.0787</f>
        <v>0.07870000000000001</v>
      </c>
      <c r="AT63" s="693" cm="1">
        <f t="array" ref="AT63">SUM(AQ63,AS63)</f>
        <v>1.1129</v>
      </c>
      <c r="AU63" s="684" cm="1">
        <f t="array" ref="AU63">ROUND(SUM(AQ63,AS63)*E63,0)</f>
        <v>51268</v>
      </c>
      <c r="AV63" s="685">
        <v>112242</v>
      </c>
      <c r="AW63" s="694" cm="1">
        <f t="array" ref="AW63">ROUND(AV63/$E63,4)</f>
        <v>2.4365</v>
      </c>
      <c r="AX63" s="685" cm="1">
        <f t="array" ref="AX63">I63-SUM(AU63,AV63,BB63)</f>
        <v>326831</v>
      </c>
      <c r="AY63" s="694" cm="1">
        <f t="array" ref="AY63">ROUND(AX63/$E63,4)</f>
        <v>7.0947</v>
      </c>
      <c r="AZ63" s="686" cm="1">
        <f t="array" ref="AZ63">AX63+AV63</f>
        <v>439073</v>
      </c>
      <c r="BA63" s="694" cm="1">
        <f t="array" ref="BA63">ROUND((AV63+AX63)/E63,4)</f>
        <v>9.5313</v>
      </c>
      <c r="BB63" s="687">
        <v>321909</v>
      </c>
      <c r="BC63" s="695" cm="1">
        <f t="array" ref="BC63">ROUND(BB63/$E63,4)</f>
        <v>6.9879</v>
      </c>
      <c r="BD63" s="679" cm="1">
        <f t="array" ref="BD63">K62-K63</f>
        <v>360751</v>
      </c>
      <c r="BE63" s="679" cm="1">
        <f t="array" ref="BE63">AZ63-BD63</f>
        <v>78322</v>
      </c>
      <c r="BF63" s="679" cm="1">
        <f t="array" ref="BF63">-BE63</f>
        <v>-78322</v>
      </c>
      <c r="BG63" s="679" cm="1">
        <f t="array" ref="BG63">BB63+BE63</f>
        <v>400231</v>
      </c>
      <c r="BH63" s="679" cm="1">
        <f t="array" ref="BH63">AVERAGE(BG60:BG61,BG63)</f>
        <v>479258.333333333</v>
      </c>
      <c r="BI63" s="699" cm="1">
        <f t="array" ref="BI63">BC61-BC63</f>
        <v>0.007</v>
      </c>
      <c r="BJ63" s="596" cm="1">
        <f t="array" ref="BJ63">J62*0.0495/12-0.16</f>
        <v>8.613891499999999</v>
      </c>
      <c r="BK63" s="698" cm="1">
        <f t="array" ref="BK63">(AV63+AX63)/BB63</f>
        <v>1.36396621405428</v>
      </c>
      <c r="BL63" s="698" cm="1">
        <f t="array" ref="BL63">U63-AW63</f>
        <v>10.9664510730973</v>
      </c>
      <c r="BM63" s="698" cm="1">
        <f t="array" ref="BM63">(BN$2*(1+BN$2)^BM$2*J61)/((1+BN$2)^BM$2-1)</f>
        <v>11.4042297931014</v>
      </c>
      <c r="BN63" s="698"/>
      <c r="BO63" s="247" cm="1">
        <f t="array" ref="BO63">AV63+AX63+BO62</f>
        <v>74511771</v>
      </c>
      <c r="BP63" s="247" cm="1">
        <f t="array" ref="BP63">BB63+BP62</f>
        <v>22160940</v>
      </c>
      <c r="BQ63" s="596" cm="1">
        <f t="array" ref="BQ63">BA63+BQ62</f>
        <v>1866.1818</v>
      </c>
      <c r="BR63" s="596" cm="1">
        <f t="array" ref="BR63">BC63+BR62</f>
        <v>543.7505</v>
      </c>
      <c r="BS63" s="247" cm="1">
        <f t="array" ref="BS63">SUM(BE$6:BE63)</f>
        <v>25424142</v>
      </c>
      <c r="BT63" s="596"/>
      <c r="BU63" s="596"/>
      <c r="BV63" s="247" cm="1">
        <f t="array" ref="BV63">SUM(AZ$6:AZ63)</f>
        <v>74511771</v>
      </c>
      <c r="BW63" s="596"/>
      <c r="BX63" s="596"/>
    </row>
    <row r="64" ht="19.35" customHeight="1">
      <c r="A64" s="689">
        <v>60</v>
      </c>
      <c r="B64" s="703">
        <v>47160</v>
      </c>
      <c r="C64" s="704"/>
      <c r="D64" s="705" cm="1">
        <f t="array" ref="D64">W64</f>
        <v>17.6181371630999</v>
      </c>
      <c r="E64" s="836" cm="1">
        <f t="array" ref="E64">E63*(1+F64)</f>
        <v>46080.4840002344</v>
      </c>
      <c r="F64" s="837" cm="1">
        <f t="array" ref="F64">G64-SUM(F53:F63)</f>
        <v>0.0003</v>
      </c>
      <c r="G64" s="706" cm="1">
        <f t="array" ref="G64">'depto - Table 5'!$G$2</f>
        <v>0.05</v>
      </c>
      <c r="H64" s="706" cm="1">
        <f t="array" ref="H64">G64+4.95/100</f>
        <v>0.09950000000000001</v>
      </c>
      <c r="I64" s="247" cm="1">
        <f t="array" ref="I64">IF(J63=0,0,ROUND(D64*E64,0))</f>
        <v>811852</v>
      </c>
      <c r="J64" s="677" cm="1">
        <f t="array" ref="J64">IF(J63-BA64&lt;0,0,J63-BA64)</f>
        <v>2107.9533</v>
      </c>
      <c r="K64" s="679" cm="1">
        <f t="array" ref="K64">ROUND(J64*E64,0)</f>
        <v>97135508</v>
      </c>
      <c r="L64" s="679" cm="1">
        <f t="array" ref="L64">K64-K63</f>
        <v>-409395</v>
      </c>
      <c r="M64" s="681" cm="1">
        <f t="array" ref="M64">Q64-J64</f>
        <v>3292.0467</v>
      </c>
      <c r="N64" s="679" cm="1">
        <f t="array" ref="N64">ROUND(M64*E64,0)</f>
        <v>151699105</v>
      </c>
      <c r="O64" s="596" cm="1">
        <f t="array" ref="O64">$J$5-J64</f>
        <v>1842.0467</v>
      </c>
      <c r="P64" s="679" cm="1">
        <f t="array" ref="P64">N64-N63</f>
        <v>484023</v>
      </c>
      <c r="Q64" s="596">
        <v>5400</v>
      </c>
      <c r="R64" s="679" cm="1">
        <f t="array" ref="R64">Q64*E64</f>
        <v>248834613.601266</v>
      </c>
      <c r="S64" s="247" cm="1">
        <f t="array" ref="S64">-P64</f>
        <v>-484023</v>
      </c>
      <c r="T64" s="690"/>
      <c r="U64" s="716" cm="1">
        <f t="array" ref="U64">J63*4.95/12/100/(1-(1+4.95/12/100)^-(360-$A64+3))+AT64</f>
        <v>13.368137413395</v>
      </c>
      <c r="V64" s="705" cm="1">
        <f t="array" ref="V64">IF(V$3*12&lt;=$A64,0,$J63*'depto - Departamento'!$D$8/12/(1-(1+'depto - Departamento'!$D$8/12)^-(12*V$3-$A64+3))+$AT65)</f>
        <v>14.9282756540652</v>
      </c>
      <c r="W64" s="597" cm="1">
        <f t="array" ref="W64">IF(W$3*12&lt;=$A64,0,$J63*'depto - Departamento'!$D$8/12/(1-(1+'depto - Departamento'!$D$8/12)^-(12*W$3-$A64+3))+$AT66)</f>
        <v>17.6181371630999</v>
      </c>
      <c r="X64" s="597" cm="1">
        <f t="array" ref="X64">IF(X$3*12&lt;=$A64,0,$J63*'depto - Departamento'!$D$8/12/(1-(1+'depto - Departamento'!$D$8/12)^-(12*X$3-$A64+3))+$AT66)</f>
        <v>23.0978786149783</v>
      </c>
      <c r="Y64" s="597" cm="1">
        <f t="array" ref="Y64">IF(Y$3*12&lt;=$A64,0,$J63*'depto - Departamento'!$D$8/12/(1-(1+'depto - Departamento'!$D$8/12)^-(12*Y$3-$A64+3))+$AT65)</f>
        <v>30.1292439087594</v>
      </c>
      <c r="Z64" s="597" cm="1">
        <f t="array" ref="Z64">IF(Z$3*12&lt;=$A64,0,$J63*'depto - Departamento'!$D$8/12/(1-(1+'depto - Departamento'!$D$8/12)^-(12*Z$3-$A64+3))+$AT65)</f>
        <v>39.3486974879938</v>
      </c>
      <c r="AA64" s="597" cm="1">
        <f t="array" ref="AA64">IF(AA$3*12&lt;=$A64,0,$J63*'depto - Departamento'!$D$8/12/(1-(1+'depto - Departamento'!$D$8/12)^-(12*AA$3-$A64+3))+$AT65)</f>
        <v>0</v>
      </c>
      <c r="AB64" s="705" cm="1">
        <f t="array" ref="AB64">AB63-(AB62-AB63)</f>
        <v>79.33329999999999</v>
      </c>
      <c r="AC64" s="597"/>
      <c r="AD64" s="717" cm="1">
        <f t="array" ref="AD64">$E64*U64</f>
        <v>616010.242190883</v>
      </c>
      <c r="AE64" s="704" cm="1">
        <f t="array" ref="AE64">$E64*V64</f>
        <v>687902.1674282399</v>
      </c>
      <c r="AF64" s="247" cm="1">
        <f t="array" ref="AF64">$E64*W64</f>
        <v>811852.28765816</v>
      </c>
      <c r="AG64" s="247" cm="1">
        <f t="array" ref="AG64">$E64*X64</f>
        <v>1064361.42595686</v>
      </c>
      <c r="AH64" s="247" cm="1">
        <f t="array" ref="AH64">$E64*Y64</f>
        <v>1388370.14187675</v>
      </c>
      <c r="AI64" s="247" cm="1">
        <f t="array" ref="AI64">$E64*Z64</f>
        <v>1813207.02502556</v>
      </c>
      <c r="AJ64" s="247" cm="1">
        <f t="array" ref="AJ64">$E64*AA64</f>
        <v>0</v>
      </c>
      <c r="AK64" s="704" cm="1">
        <f t="array" ref="AK64">$E64*AB64</f>
        <v>3655716.8613358</v>
      </c>
      <c r="AL64" s="597"/>
      <c r="AM64" s="691" cm="1">
        <f t="array" ref="AM64">J62-J64</f>
        <v>19.0507</v>
      </c>
      <c r="AN64" s="691" cm="1">
        <f t="array" ref="AN64">D64-AM64</f>
        <v>-1.4325628369001</v>
      </c>
      <c r="AO64" s="597"/>
      <c r="AP64" s="684" cm="1">
        <f t="array" ref="AP64">ROUND(AQ64*E64,0)</f>
        <v>47656</v>
      </c>
      <c r="AQ64" s="692">
        <v>1.0342</v>
      </c>
      <c r="AR64" s="684" cm="1">
        <f t="array" ref="AR64">ROUND(E64*AS64,0)</f>
        <v>3627</v>
      </c>
      <c r="AS64" s="692" cm="1">
        <f t="array" ref="AS64">0.0787</f>
        <v>0.07870000000000001</v>
      </c>
      <c r="AT64" s="693" cm="1">
        <f t="array" ref="AT64">SUM(AQ64,AS64)</f>
        <v>1.1129</v>
      </c>
      <c r="AU64" s="684" cm="1">
        <f t="array" ref="AU64">ROUND(SUM(AQ64,AS64)*E64,0)</f>
        <v>51283</v>
      </c>
      <c r="AV64" s="685">
        <v>112242</v>
      </c>
      <c r="AW64" s="694" cm="1">
        <f t="array" ref="AW64">ROUND(AV64/$E64,4)</f>
        <v>2.4358</v>
      </c>
      <c r="AX64" s="685" cm="1">
        <f t="array" ref="AX64">I64-SUM(AU64,AV64,BB64)</f>
        <v>326418</v>
      </c>
      <c r="AY64" s="694" cm="1">
        <f t="array" ref="AY64">ROUND(AX64/$E64,4)</f>
        <v>7.0836</v>
      </c>
      <c r="AZ64" s="686" cm="1">
        <f t="array" ref="AZ64">AX64+AV64</f>
        <v>438660</v>
      </c>
      <c r="BA64" s="694" cm="1">
        <f t="array" ref="BA64">ROUND((AV64+AX64)/E64,4)</f>
        <v>9.519399999999999</v>
      </c>
      <c r="BB64" s="687">
        <v>321909</v>
      </c>
      <c r="BC64" s="695" cm="1">
        <f t="array" ref="BC64">ROUND(BB64/$E64,4)</f>
        <v>6.9858</v>
      </c>
      <c r="BD64" s="679" cm="1">
        <f t="array" ref="BD64">K63-K64</f>
        <v>409395</v>
      </c>
      <c r="BE64" s="679" cm="1">
        <f t="array" ref="BE64">AZ64-BD64</f>
        <v>29265</v>
      </c>
      <c r="BF64" s="679" cm="1">
        <f t="array" ref="BF64">-BE64</f>
        <v>-29265</v>
      </c>
      <c r="BG64" s="679" cm="1">
        <f t="array" ref="BG64">BB64+BE64</f>
        <v>351174</v>
      </c>
      <c r="BH64" s="679" cm="1">
        <f t="array" ref="BH64">AVERAGE(BG61:BG62,BG64)</f>
        <v>459579.666666667</v>
      </c>
      <c r="BI64" s="699" cm="1">
        <f t="array" ref="BI64">BC62-BC64</f>
        <v>0.0077</v>
      </c>
      <c r="BJ64" s="596" cm="1">
        <f t="array" ref="BJ64">J63*0.0495/12-0.16</f>
        <v>8.574574887500001</v>
      </c>
      <c r="BK64" s="698" cm="1">
        <f t="array" ref="BK64">(AV64+AX64)/BB64</f>
        <v>1.36268324277979</v>
      </c>
      <c r="BL64" s="698" cm="1">
        <f t="array" ref="BL64">U64-AW64</f>
        <v>10.932337413395</v>
      </c>
      <c r="BM64" s="698" cm="1">
        <f t="array" ref="BM64">(BN$2*(1+BN$2)^BM$2*J62)/((1+BN$2)^BM$2-1)</f>
        <v>11.3533092028565</v>
      </c>
      <c r="BN64" s="698"/>
      <c r="BO64" s="247" cm="1">
        <f t="array" ref="BO64">AV64+AX64+BO63</f>
        <v>74950431</v>
      </c>
      <c r="BP64" s="247" cm="1">
        <f t="array" ref="BP64">BB64+BP63</f>
        <v>22482849</v>
      </c>
      <c r="BQ64" s="596" cm="1">
        <f t="array" ref="BQ64">BA64+BQ63</f>
        <v>1875.7012</v>
      </c>
      <c r="BR64" s="596" cm="1">
        <f t="array" ref="BR64">BC64+BR63</f>
        <v>550.7363</v>
      </c>
      <c r="BS64" s="247" cm="1">
        <f t="array" ref="BS64">SUM(BE$6:BE64)</f>
        <v>25453407</v>
      </c>
      <c r="BT64" s="596"/>
      <c r="BU64" s="596"/>
      <c r="BV64" s="247" cm="1">
        <f t="array" ref="BV64">SUM(AZ$6:AZ64)</f>
        <v>74950431</v>
      </c>
      <c r="BW64" s="596"/>
      <c r="BX64" s="596"/>
    </row>
    <row r="65" ht="19.35" customHeight="1">
      <c r="A65" s="689">
        <v>61</v>
      </c>
      <c r="B65" s="703">
        <v>47188</v>
      </c>
      <c r="C65" s="704"/>
      <c r="D65" s="705" cm="1">
        <f t="array" ref="D65">W65</f>
        <v>17.6044559273798</v>
      </c>
      <c r="E65" s="836" cm="1">
        <f t="array" ref="E65">E64*(1+F65)</f>
        <v>46250.9817910353</v>
      </c>
      <c r="F65" s="837" cm="1">
        <f t="array" ref="F65">G65-SUM(F54:F64)</f>
        <v>0.0037</v>
      </c>
      <c r="G65" s="706" cm="1">
        <f t="array" ref="G65">'depto - Table 5'!$G$2</f>
        <v>0.05</v>
      </c>
      <c r="H65" s="706" cm="1">
        <f t="array" ref="H65">G65+4.95/100</f>
        <v>0.09950000000000001</v>
      </c>
      <c r="I65" s="247" cm="1">
        <f t="array" ref="I65">IF(J64=0,0,ROUND(D65*E65,0))</f>
        <v>814223</v>
      </c>
      <c r="J65" s="677" cm="1">
        <f t="array" ref="J65">IF(J64-BA65&lt;0,0,J64-BA65)</f>
        <v>2098.4218</v>
      </c>
      <c r="K65" s="679" cm="1">
        <f t="array" ref="K65">ROUND(J65*E65,0)</f>
        <v>97054068</v>
      </c>
      <c r="L65" s="679" cm="1">
        <f t="array" ref="L65">K65-K64</f>
        <v>-81440</v>
      </c>
      <c r="M65" s="681" cm="1">
        <f t="array" ref="M65">Q65-J65</f>
        <v>3301.5782</v>
      </c>
      <c r="N65" s="679" cm="1">
        <f t="array" ref="N65">ROUND(M65*E65,0)</f>
        <v>152701233</v>
      </c>
      <c r="O65" s="596" cm="1">
        <f t="array" ref="O65">$J$5-J65</f>
        <v>1851.5782</v>
      </c>
      <c r="P65" s="679" cm="1">
        <f t="array" ref="P65">N65-N64</f>
        <v>1002128</v>
      </c>
      <c r="Q65" s="596">
        <v>5400</v>
      </c>
      <c r="R65" s="679" cm="1">
        <f t="array" ref="R65">Q65*E65</f>
        <v>249755301.671591</v>
      </c>
      <c r="S65" s="247" cm="1">
        <f t="array" ref="S65">-P65</f>
        <v>-1002128</v>
      </c>
      <c r="T65" s="690"/>
      <c r="U65" s="716" cm="1">
        <f t="array" ref="U65">J64*4.95/12/100/(1-(1+4.95/12/100)^-(360-$A65+3))+AT65</f>
        <v>13.3333608666132</v>
      </c>
      <c r="V65" s="705" cm="1">
        <f t="array" ref="V65">IF(V$3*12&lt;=$A65,0,$J64*'depto - Departamento'!$D$8/12/(1-(1+'depto - Departamento'!$D$8/12)^-(12*V$3-$A65+3))+$AT66)</f>
        <v>14.8992465161434</v>
      </c>
      <c r="W65" s="597" cm="1">
        <f t="array" ref="W65">IF(W$3*12&lt;=$A65,0,$J64*'depto - Departamento'!$D$8/12/(1-(1+'depto - Departamento'!$D$8/12)^-(12*W$3-$A65+3))+$AT67)</f>
        <v>17.6044559273798</v>
      </c>
      <c r="X65" s="597" cm="1">
        <f t="array" ref="X65">IF(X$3*12&lt;=$A65,0,$J64*'depto - Departamento'!$D$8/12/(1-(1+'depto - Departamento'!$D$8/12)^-(12*X$3-$A65+3))+$AT67)</f>
        <v>23.1368602555142</v>
      </c>
      <c r="Y65" s="597" cm="1">
        <f t="array" ref="Y65">IF(Y$3*12&lt;=$A65,0,$J64*'depto - Departamento'!$D$8/12/(1-(1+'depto - Departamento'!$D$8/12)^-(12*Y$3-$A65+3))+$AT66)</f>
        <v>30.2781500460982</v>
      </c>
      <c r="Z65" s="597" cm="1">
        <f t="array" ref="Z65">IF(Z$3*12&lt;=$A65,0,$J64*'depto - Departamento'!$D$8/12/(1-(1+'depto - Departamento'!$D$8/12)^-(12*Z$3-$A65+3))+$AT66)</f>
        <v>39.7146128899346</v>
      </c>
      <c r="AA65" s="597" cm="1">
        <f t="array" ref="AA65">IF(AA$3*12&lt;=$A65,0,$J64*'depto - Departamento'!$D$8/12/(1-(1+'depto - Departamento'!$D$8/12)^-(12*AA$3-$A65+3))+$AT66)</f>
        <v>0</v>
      </c>
      <c r="AB65" s="705" cm="1">
        <f t="array" ref="AB65">AB64-(AB63-AB64)</f>
        <v>79.32089999999999</v>
      </c>
      <c r="AC65" s="597"/>
      <c r="AD65" s="717" cm="1">
        <f t="array" ref="AD65">$E65*U65</f>
        <v>616681.03065503</v>
      </c>
      <c r="AE65" s="704" cm="1">
        <f t="array" ref="AE65">$E65*V65</f>
        <v>689104.779318295</v>
      </c>
      <c r="AF65" s="247" cm="1">
        <f t="array" ref="AF65">$E65*W65</f>
        <v>814223.370538327</v>
      </c>
      <c r="AG65" s="247" cm="1">
        <f t="array" ref="AG65">$E65*X65</f>
        <v>1070102.50237952</v>
      </c>
      <c r="AH65" s="247" cm="1">
        <f t="array" ref="AH65">$E65*Y65</f>
        <v>1400394.16644832</v>
      </c>
      <c r="AI65" s="247" cm="1">
        <f t="array" ref="AI65">$E65*Z65</f>
        <v>1836839.83761038</v>
      </c>
      <c r="AJ65" s="247" cm="1">
        <f t="array" ref="AJ65">$E65*AA65</f>
        <v>0</v>
      </c>
      <c r="AK65" s="704" cm="1">
        <f t="array" ref="AK65">$E65*AB65</f>
        <v>3668669.50154853</v>
      </c>
      <c r="AL65" s="597"/>
      <c r="AM65" s="691" cm="1">
        <f t="array" ref="AM65">J63-J65</f>
        <v>19.0509</v>
      </c>
      <c r="AN65" s="691" cm="1">
        <f t="array" ref="AN65">D65-AM65</f>
        <v>-1.4464440726202</v>
      </c>
      <c r="AO65" s="597"/>
      <c r="AP65" s="684" cm="1">
        <f t="array" ref="AP65">ROUND(AQ65*E65,0)</f>
        <v>47833</v>
      </c>
      <c r="AQ65" s="692">
        <v>1.0342</v>
      </c>
      <c r="AR65" s="684" cm="1">
        <f t="array" ref="AR65">ROUND(E65*AS65,0)</f>
        <v>3640</v>
      </c>
      <c r="AS65" s="692" cm="1">
        <f t="array" ref="AS65">0.0787</f>
        <v>0.07870000000000001</v>
      </c>
      <c r="AT65" s="693" cm="1">
        <f t="array" ref="AT65">SUM(AQ65,AS65)</f>
        <v>1.1129</v>
      </c>
      <c r="AU65" s="684" cm="1">
        <f t="array" ref="AU65">ROUND(SUM(AQ65,AS65)*E65,0)</f>
        <v>51473</v>
      </c>
      <c r="AV65" s="685">
        <v>112242</v>
      </c>
      <c r="AW65" s="694" cm="1">
        <f t="array" ref="AW65">ROUND(AV65/$E65,4)</f>
        <v>2.4268</v>
      </c>
      <c r="AX65" s="685" cm="1">
        <f t="array" ref="AX65">I65-SUM(AU65,AV65,BB65)</f>
        <v>328599</v>
      </c>
      <c r="AY65" s="694" cm="1">
        <f t="array" ref="AY65">ROUND(AX65/$E65,4)</f>
        <v>7.1047</v>
      </c>
      <c r="AZ65" s="686" cm="1">
        <f t="array" ref="AZ65">AX65+AV65</f>
        <v>440841</v>
      </c>
      <c r="BA65" s="694" cm="1">
        <f t="array" ref="BA65">ROUND((AV65+AX65)/E65,4)</f>
        <v>9.531499999999999</v>
      </c>
      <c r="BB65" s="687">
        <v>321909</v>
      </c>
      <c r="BC65" s="695" cm="1">
        <f t="array" ref="BC65">ROUND(BB65/$E65,4)</f>
        <v>6.96</v>
      </c>
      <c r="BD65" s="679" cm="1">
        <f t="array" ref="BD65">K64-K65</f>
        <v>81440</v>
      </c>
      <c r="BE65" s="679" cm="1">
        <f t="array" ref="BE65">AZ65-BD65</f>
        <v>359401</v>
      </c>
      <c r="BF65" s="679" cm="1">
        <f t="array" ref="BF65">-BE65</f>
        <v>-359401</v>
      </c>
      <c r="BG65" s="679" cm="1">
        <f t="array" ref="BG65">BB65+BE65</f>
        <v>681310</v>
      </c>
      <c r="BH65" s="679" cm="1">
        <f t="array" ref="BH65">AVERAGE(BG62:BG63,BG65)</f>
        <v>474371.333333333</v>
      </c>
      <c r="BI65" s="699" cm="1">
        <f t="array" ref="BI65">BC63-BC65</f>
        <v>0.0279</v>
      </c>
      <c r="BJ65" s="596" cm="1">
        <f t="array" ref="BJ65">J64*0.0495/12-0.16</f>
        <v>8.535307362499999</v>
      </c>
      <c r="BK65" s="698" cm="1">
        <f t="array" ref="BK65">(AV65+AX65)/BB65</f>
        <v>1.36945844943757</v>
      </c>
      <c r="BL65" s="698" cm="1">
        <f t="array" ref="BL65">U65-AW65</f>
        <v>10.9065608666132</v>
      </c>
      <c r="BM65" s="698" cm="1">
        <f t="array" ref="BM65">(BN$2*(1+BN$2)^BM$2*J63)/((1+BN$2)^BM$2-1)</f>
        <v>11.3024339830613</v>
      </c>
      <c r="BN65" s="698"/>
      <c r="BO65" s="247" cm="1">
        <f t="array" ref="BO65">AV65+AX65+BO64</f>
        <v>75391272</v>
      </c>
      <c r="BP65" s="247" cm="1">
        <f t="array" ref="BP65">BB65+BP64</f>
        <v>22804758</v>
      </c>
      <c r="BQ65" s="596" cm="1">
        <f t="array" ref="BQ65">BA65+BQ64</f>
        <v>1885.2327</v>
      </c>
      <c r="BR65" s="596" cm="1">
        <f t="array" ref="BR65">BC65+BR64</f>
        <v>557.6963</v>
      </c>
      <c r="BS65" s="247" cm="1">
        <f t="array" ref="BS65">SUM(BE$6:BE65)</f>
        <v>25812808</v>
      </c>
      <c r="BT65" s="596"/>
      <c r="BU65" s="596"/>
      <c r="BV65" s="247" cm="1">
        <f t="array" ref="BV65">SUM(AZ$6:AZ65)</f>
        <v>75391272</v>
      </c>
      <c r="BW65" s="596"/>
      <c r="BX65" s="596"/>
    </row>
    <row r="66" ht="19.35" customHeight="1">
      <c r="A66" s="689">
        <v>62</v>
      </c>
      <c r="B66" s="703">
        <v>47219</v>
      </c>
      <c r="C66" s="704"/>
      <c r="D66" s="705" cm="1">
        <f t="array" ref="D66">W66</f>
        <v>17.590829805433</v>
      </c>
      <c r="E66" s="836" cm="1">
        <f t="array" ref="E66">E65*(1+F66)</f>
        <v>46255.6068892144</v>
      </c>
      <c r="F66" s="837" cm="1">
        <f t="array" ref="F66">G66-SUM(F55:F65)</f>
        <v>0.0001</v>
      </c>
      <c r="G66" s="706" cm="1">
        <f t="array" ref="G66">'depto - Table 5'!$G$2</f>
        <v>0.05</v>
      </c>
      <c r="H66" s="706" cm="1">
        <f t="array" ref="H66">G66+4.95/100</f>
        <v>0.09950000000000001</v>
      </c>
      <c r="I66" s="247" cm="1">
        <f t="array" ref="I66">IF(J65=0,0,ROUND(D66*E66,0))</f>
        <v>813675</v>
      </c>
      <c r="J66" s="677" cm="1">
        <f t="array" ref="J66">IF(J65-BA66&lt;0,0,J65-BA66)</f>
        <v>2088.9032</v>
      </c>
      <c r="K66" s="679" cm="1">
        <f t="array" ref="K66">ROUND(J66*E66,0)</f>
        <v>96623485</v>
      </c>
      <c r="L66" s="679" cm="1">
        <f t="array" ref="L66">K66-K65</f>
        <v>-430583</v>
      </c>
      <c r="M66" s="681" cm="1">
        <f t="array" ref="M66">Q66-J66</f>
        <v>3311.0968</v>
      </c>
      <c r="N66" s="679" cm="1">
        <f t="array" ref="N66">ROUND(M66*E66,0)</f>
        <v>153156792</v>
      </c>
      <c r="O66" s="596" cm="1">
        <f t="array" ref="O66">$J$5-J66</f>
        <v>1861.0968</v>
      </c>
      <c r="P66" s="679" cm="1">
        <f t="array" ref="P66">N66-N65</f>
        <v>455559</v>
      </c>
      <c r="Q66" s="596">
        <v>5400</v>
      </c>
      <c r="R66" s="679" cm="1">
        <f t="array" ref="R66">Q66*E66</f>
        <v>249780277.201758</v>
      </c>
      <c r="S66" s="247" cm="1">
        <f t="array" ref="S66">-P66</f>
        <v>-455559</v>
      </c>
      <c r="T66" s="690"/>
      <c r="U66" s="716" cm="1">
        <f t="array" ref="U66">J65*4.95/12/100/(1-(1+4.95/12/100)^-(360-$A66+3))+AT66</f>
        <v>13.2984818794515</v>
      </c>
      <c r="V66" s="705" cm="1">
        <f t="array" ref="V66">IF(V$3*12&lt;=$A66,0,$J65*'depto - Departamento'!$D$8/12/(1-(1+'depto - Departamento'!$D$8/12)^-(12*V$3-$A66+3))+$AT67)</f>
        <v>14.8701348938279</v>
      </c>
      <c r="W66" s="597" cm="1">
        <f t="array" ref="W66">IF(W$3*12&lt;=$A66,0,$J65*'depto - Departamento'!$D$8/12/(1-(1+'depto - Departamento'!$D$8/12)^-(12*W$3-$A66+3))+$AT68)</f>
        <v>17.590829805433</v>
      </c>
      <c r="X66" s="597" cm="1">
        <f t="array" ref="X66">IF(X$3*12&lt;=$A66,0,$J65*'depto - Departamento'!$D$8/12/(1-(1+'depto - Departamento'!$D$8/12)^-(12*X$3-$A66+3))+$AT68)</f>
        <v>23.1767854729107</v>
      </c>
      <c r="Y66" s="597" cm="1">
        <f t="array" ref="Y66">IF(Y$3*12&lt;=$A66,0,$J65*'depto - Departamento'!$D$8/12/(1-(1+'depto - Departamento'!$D$8/12)^-(12*Y$3-$A66+3))+$AT67)</f>
        <v>30.4309763739651</v>
      </c>
      <c r="Z66" s="597" cm="1">
        <f t="array" ref="Z66">IF(Z$3*12&lt;=$A66,0,$J65*'depto - Departamento'!$D$8/12/(1-(1+'depto - Departamento'!$D$8/12)^-(12*Z$3-$A66+3))+$AT67)</f>
        <v>40.0930962896219</v>
      </c>
      <c r="AA66" s="597" cm="1">
        <f t="array" ref="AA66">IF(AA$3*12&lt;=$A66,0,$J65*'depto - Departamento'!$D$8/12/(1-(1+'depto - Departamento'!$D$8/12)^-(12*AA$3-$A66+3))+$AT67)</f>
        <v>0</v>
      </c>
      <c r="AB66" s="705" cm="1">
        <f t="array" ref="AB66">AB65-(AB64-AB65)</f>
        <v>79.3085</v>
      </c>
      <c r="AC66" s="597"/>
      <c r="AD66" s="717" cm="1">
        <f t="array" ref="AD66">$E66*U66</f>
        <v>615129.35003925</v>
      </c>
      <c r="AE66" s="704" cm="1">
        <f t="array" ref="AE66">$E66*V66</f>
        <v>687827.114038493</v>
      </c>
      <c r="AF66" s="247" cm="1">
        <f t="array" ref="AF66">$E66*W66</f>
        <v>813674.508335185</v>
      </c>
      <c r="AG66" s="247" cm="1">
        <f t="array" ref="AG66">$E66*X66</f>
        <v>1072056.27779061</v>
      </c>
      <c r="AH66" s="247" cm="1">
        <f t="array" ref="AH66">$E66*Y66</f>
        <v>1407603.2804091</v>
      </c>
      <c r="AI66" s="247" cm="1">
        <f t="array" ref="AI66">$E66*Z66</f>
        <v>1854530.50094417</v>
      </c>
      <c r="AJ66" s="247" cm="1">
        <f t="array" ref="AJ66">$E66*AA66</f>
        <v>0</v>
      </c>
      <c r="AK66" s="704" cm="1">
        <f t="array" ref="AK66">$E66*AB66</f>
        <v>3668462.79897326</v>
      </c>
      <c r="AL66" s="597"/>
      <c r="AM66" s="691" cm="1">
        <f t="array" ref="AM66">J64-J66</f>
        <v>19.0501</v>
      </c>
      <c r="AN66" s="691" cm="1">
        <f t="array" ref="AN66">D66-AM66</f>
        <v>-1.459270194567</v>
      </c>
      <c r="AO66" s="597"/>
      <c r="AP66" s="684" cm="1">
        <f t="array" ref="AP66">ROUND(AQ66*E66,0)</f>
        <v>47838</v>
      </c>
      <c r="AQ66" s="692">
        <v>1.0342</v>
      </c>
      <c r="AR66" s="684" cm="1">
        <f t="array" ref="AR66">ROUND(E66*AS66,0)</f>
        <v>3640</v>
      </c>
      <c r="AS66" s="692" cm="1">
        <f t="array" ref="AS66">0.0787</f>
        <v>0.07870000000000001</v>
      </c>
      <c r="AT66" s="693" cm="1">
        <f t="array" ref="AT66">SUM(AQ66,AS66)</f>
        <v>1.1129</v>
      </c>
      <c r="AU66" s="684" cm="1">
        <f t="array" ref="AU66">ROUND(SUM(AQ66,AS66)*E66,0)</f>
        <v>51478</v>
      </c>
      <c r="AV66" s="685">
        <v>112242</v>
      </c>
      <c r="AW66" s="694" cm="1">
        <f t="array" ref="AW66">ROUND(AV66/$E66,4)</f>
        <v>2.4266</v>
      </c>
      <c r="AX66" s="685" cm="1">
        <f t="array" ref="AX66">I66-SUM(AU66,AV66,BB66)</f>
        <v>328046</v>
      </c>
      <c r="AY66" s="694" cm="1">
        <f t="array" ref="AY66">ROUND(AX66/$E66,4)</f>
        <v>7.092</v>
      </c>
      <c r="AZ66" s="686" cm="1">
        <f t="array" ref="AZ66">AX66+AV66</f>
        <v>440288</v>
      </c>
      <c r="BA66" s="694" cm="1">
        <f t="array" ref="BA66">ROUND((AV66+AX66)/E66,4)</f>
        <v>9.518599999999999</v>
      </c>
      <c r="BB66" s="687">
        <v>321909</v>
      </c>
      <c r="BC66" s="695" cm="1">
        <f t="array" ref="BC66">ROUND(BB66/$E66,4)</f>
        <v>6.9594</v>
      </c>
      <c r="BD66" s="679" cm="1">
        <f t="array" ref="BD66">K65-K66</f>
        <v>430583</v>
      </c>
      <c r="BE66" s="679" cm="1">
        <f t="array" ref="BE66">AZ66-BD66</f>
        <v>9705</v>
      </c>
      <c r="BF66" s="679" cm="1">
        <f t="array" ref="BF66">-BE66</f>
        <v>-9705</v>
      </c>
      <c r="BG66" s="679" cm="1">
        <f t="array" ref="BG66">BB66+BE66</f>
        <v>331614</v>
      </c>
      <c r="BH66" s="679" cm="1">
        <f t="array" ref="BH66">AVERAGE(BG63:BG64,BG66)</f>
        <v>361006.333333333</v>
      </c>
      <c r="BI66" s="699" cm="1">
        <f t="array" ref="BI66">BC64-BC66</f>
        <v>0.0264</v>
      </c>
      <c r="BJ66" s="596" cm="1">
        <f t="array" ref="BJ66">J65*0.0495/12-0.16</f>
        <v>8.495989925</v>
      </c>
      <c r="BK66" s="698" cm="1">
        <f t="array" ref="BK66">(AV66+AX66)/BB66</f>
        <v>1.36774057264631</v>
      </c>
      <c r="BL66" s="698" cm="1">
        <f t="array" ref="BL66">U66-AW66</f>
        <v>10.8718818794515</v>
      </c>
      <c r="BM66" s="698" cm="1">
        <f t="array" ref="BM66">(BN$2*(1+BN$2)^BM$2*J64)/((1+BN$2)^BM$2-1)</f>
        <v>11.2516222818959</v>
      </c>
      <c r="BN66" s="698"/>
      <c r="BO66" s="247" cm="1">
        <f t="array" ref="BO66">AV66+AX66+BO65</f>
        <v>75831560</v>
      </c>
      <c r="BP66" s="247" cm="1">
        <f t="array" ref="BP66">BB66+BP65</f>
        <v>23126667</v>
      </c>
      <c r="BQ66" s="596" cm="1">
        <f t="array" ref="BQ66">BA66+BQ65</f>
        <v>1894.7513</v>
      </c>
      <c r="BR66" s="596" cm="1">
        <f t="array" ref="BR66">BC66+BR65</f>
        <v>564.6557</v>
      </c>
      <c r="BS66" s="247" cm="1">
        <f t="array" ref="BS66">SUM(BE$6:BE66)</f>
        <v>25822513</v>
      </c>
      <c r="BT66" s="596"/>
      <c r="BU66" s="596"/>
      <c r="BV66" s="247" cm="1">
        <f t="array" ref="BV66">SUM(AZ$6:AZ66)</f>
        <v>75831560</v>
      </c>
      <c r="BW66" s="596"/>
      <c r="BX66" s="596"/>
    </row>
    <row r="67" ht="19.35" customHeight="1">
      <c r="A67" s="689">
        <v>63</v>
      </c>
      <c r="B67" s="703">
        <v>47249</v>
      </c>
      <c r="C67" s="704"/>
      <c r="D67" s="705" cm="1">
        <f t="array" ref="D67">W67</f>
        <v>17.5774568750664</v>
      </c>
      <c r="E67" s="836" cm="1">
        <f t="array" ref="E67">E66*(1+F67)</f>
        <v>46533.1405305497</v>
      </c>
      <c r="F67" s="837" cm="1">
        <f t="array" ref="F67">G67-SUM(F56:F66)</f>
        <v>0.006</v>
      </c>
      <c r="G67" s="706" cm="1">
        <f t="array" ref="G67">'depto - Table 5'!$G$2</f>
        <v>0.05</v>
      </c>
      <c r="H67" s="706" cm="1">
        <f t="array" ref="H67">G67+4.95/100</f>
        <v>0.09950000000000001</v>
      </c>
      <c r="I67" s="247" cm="1">
        <f t="array" ref="I67">IF(J66=0,0,ROUND(D67*E67,0))</f>
        <v>817934</v>
      </c>
      <c r="J67" s="677" cm="1">
        <f t="array" ref="J67">IF(J66-BA67&lt;0,0,J66-BA67)</f>
        <v>2079.3565</v>
      </c>
      <c r="K67" s="679" cm="1">
        <f t="array" ref="K67">ROUND(J67*E67,0)</f>
        <v>96758988</v>
      </c>
      <c r="L67" s="679" cm="1">
        <f t="array" ref="L67">K67-K66</f>
        <v>135503</v>
      </c>
      <c r="M67" s="681" cm="1">
        <f t="array" ref="M67">Q67-J67</f>
        <v>3320.6435</v>
      </c>
      <c r="N67" s="679" cm="1">
        <f t="array" ref="N67">ROUND(M67*E67,0)</f>
        <v>154519971</v>
      </c>
      <c r="O67" s="596" cm="1">
        <f t="array" ref="O67">$J$5-J67</f>
        <v>1870.6435</v>
      </c>
      <c r="P67" s="679" cm="1">
        <f t="array" ref="P67">N67-N66</f>
        <v>1363179</v>
      </c>
      <c r="Q67" s="596">
        <v>5400</v>
      </c>
      <c r="R67" s="679" cm="1">
        <f t="array" ref="R67">Q67*E67</f>
        <v>251278958.864968</v>
      </c>
      <c r="S67" s="247" cm="1">
        <f t="array" ref="S67">-P67</f>
        <v>-1363179</v>
      </c>
      <c r="T67" s="690"/>
      <c r="U67" s="716" cm="1">
        <f t="array" ref="U67">J66*4.95/12/100/(1-(1+4.95/12/100)^-(360-$A67+3))+AT67</f>
        <v>13.2636449806195</v>
      </c>
      <c r="V67" s="705" cm="1">
        <f t="array" ref="V67">IF(V$3*12&lt;=$A67,0,$J66*'depto - Departamento'!$D$8/12/(1-(1+'depto - Departamento'!$D$8/12)^-(12*V$3-$A67+3))+$AT68)</f>
        <v>14.8411041796226</v>
      </c>
      <c r="W67" s="597" cm="1">
        <f t="array" ref="W67">IF(W$3*12&lt;=$A67,0,$J66*'depto - Departamento'!$D$8/12/(1-(1+'depto - Departamento'!$D$8/12)^-(12*W$3-$A67+3))+$AT69)</f>
        <v>17.5774568750664</v>
      </c>
      <c r="X67" s="597" cm="1">
        <f t="array" ref="X67">IF(X$3*12&lt;=$A67,0,$J66*'depto - Departamento'!$D$8/12/(1-(1+'depto - Departamento'!$D$8/12)^-(12*X$3-$A67+3))+$AT69)</f>
        <v>23.2179424989412</v>
      </c>
      <c r="Y67" s="597" cm="1">
        <f t="array" ref="Y67">IF(Y$3*12&lt;=$A67,0,$J66*'depto - Departamento'!$D$8/12/(1-(1+'depto - Departamento'!$D$8/12)^-(12*Y$3-$A67+3))+$AT68)</f>
        <v>30.5882157239497</v>
      </c>
      <c r="Z67" s="597" cm="1">
        <f t="array" ref="Z67">IF(Z$3*12&lt;=$A67,0,$J66*'depto - Departamento'!$D$8/12/(1-(1+'depto - Departamento'!$D$8/12)^-(12*Z$3-$A67+3))+$AT68)</f>
        <v>40.4852473285832</v>
      </c>
      <c r="AA67" s="597" cm="1">
        <f t="array" ref="AA67">IF(AA$3*12&lt;=$A67,0,$J66*'depto - Departamento'!$D$8/12/(1-(1+'depto - Departamento'!$D$8/12)^-(12*AA$3-$A67+3))+$AT68)</f>
        <v>0</v>
      </c>
      <c r="AB67" s="705" cm="1">
        <f t="array" ref="AB67">AB66-(AB65-AB66)</f>
        <v>79.2961</v>
      </c>
      <c r="AC67" s="597"/>
      <c r="AD67" s="717" cm="1">
        <f t="array" ref="AD67">$E67*U67</f>
        <v>617199.0558304871</v>
      </c>
      <c r="AE67" s="704" cm="1">
        <f t="array" ref="AE67">$E67*V67</f>
        <v>690603.186418907</v>
      </c>
      <c r="AF67" s="247" cm="1">
        <f t="array" ref="AF67">$E67*W67</f>
        <v>817934.270937142</v>
      </c>
      <c r="AG67" s="247" cm="1">
        <f t="array" ref="AG67">$E67*X67</f>
        <v>1080403.78113345</v>
      </c>
      <c r="AH67" s="247" cm="1">
        <f t="array" ref="AH67">$E67*Y67</f>
        <v>1423365.74086132</v>
      </c>
      <c r="AI67" s="247" cm="1">
        <f t="array" ref="AI67">$E67*Z67</f>
        <v>1883905.70335502</v>
      </c>
      <c r="AJ67" s="247" cm="1">
        <f t="array" ref="AJ67">$E67*AA67</f>
        <v>0</v>
      </c>
      <c r="AK67" s="704" cm="1">
        <f t="array" ref="AK67">$E67*AB67</f>
        <v>3689896.56482452</v>
      </c>
      <c r="AL67" s="597"/>
      <c r="AM67" s="691" cm="1">
        <f t="array" ref="AM67">J65-J67</f>
        <v>19.0653</v>
      </c>
      <c r="AN67" s="691" cm="1">
        <f t="array" ref="AN67">D67-AM67</f>
        <v>-1.4878431249336</v>
      </c>
      <c r="AO67" s="597"/>
      <c r="AP67" s="684" cm="1">
        <f t="array" ref="AP67">ROUND(AQ67*E67,0)</f>
        <v>48125</v>
      </c>
      <c r="AQ67" s="692">
        <v>1.0342</v>
      </c>
      <c r="AR67" s="684" cm="1">
        <f t="array" ref="AR67">ROUND(E67*AS67,0)</f>
        <v>3662</v>
      </c>
      <c r="AS67" s="692" cm="1">
        <f t="array" ref="AS67">0.0787</f>
        <v>0.07870000000000001</v>
      </c>
      <c r="AT67" s="693" cm="1">
        <f t="array" ref="AT67">SUM(AQ67,AS67)</f>
        <v>1.1129</v>
      </c>
      <c r="AU67" s="684" cm="1">
        <f t="array" ref="AU67">ROUND(SUM(AQ67,AS67)*E67,0)</f>
        <v>51787</v>
      </c>
      <c r="AV67" s="685">
        <v>112242</v>
      </c>
      <c r="AW67" s="694" cm="1">
        <f t="array" ref="AW67">ROUND(AV67/$E67,4)</f>
        <v>2.4121</v>
      </c>
      <c r="AX67" s="685" cm="1">
        <f t="array" ref="AX67">I67-SUM(AU67,AV67,BB67)</f>
        <v>331996</v>
      </c>
      <c r="AY67" s="694" cm="1">
        <f t="array" ref="AY67">ROUND(AX67/$E67,4)</f>
        <v>7.1346</v>
      </c>
      <c r="AZ67" s="686" cm="1">
        <f t="array" ref="AZ67">AX67+AV67</f>
        <v>444238</v>
      </c>
      <c r="BA67" s="694" cm="1">
        <f t="array" ref="BA67">ROUND((AV67+AX67)/E67,4)</f>
        <v>9.5467</v>
      </c>
      <c r="BB67" s="687">
        <v>321909</v>
      </c>
      <c r="BC67" s="695" cm="1">
        <f t="array" ref="BC67">ROUND(BB67/$E67,4)</f>
        <v>6.9178</v>
      </c>
      <c r="BD67" s="679" cm="1">
        <f t="array" ref="BD67">K66-K67</f>
        <v>-135503</v>
      </c>
      <c r="BE67" s="679" cm="1">
        <f t="array" ref="BE67">AZ67-BD67</f>
        <v>579741</v>
      </c>
      <c r="BF67" s="679" cm="1">
        <f t="array" ref="BF67">-BE67</f>
        <v>-579741</v>
      </c>
      <c r="BG67" s="679" cm="1">
        <f t="array" ref="BG67">BB67+BE67</f>
        <v>901650</v>
      </c>
      <c r="BH67" s="679" cm="1">
        <f t="array" ref="BH67">AVERAGE(BG64:BG65,BG67)</f>
        <v>644711.333333333</v>
      </c>
      <c r="BI67" s="699" cm="1">
        <f t="array" ref="BI67">BC65-BC67</f>
        <v>0.0422</v>
      </c>
      <c r="BJ67" s="596" cm="1">
        <f t="array" ref="BJ67">J66*0.0495/12-0.16</f>
        <v>8.4567257</v>
      </c>
      <c r="BK67" s="698" cm="1">
        <f t="array" ref="BK67">(AV67+AX67)/BB67</f>
        <v>1.38001112115536</v>
      </c>
      <c r="BL67" s="698" cm="1">
        <f t="array" ref="BL67">U67-AW67</f>
        <v>10.8515449806195</v>
      </c>
      <c r="BM67" s="698" cm="1">
        <f t="array" ref="BM67">(BN$2*(1+BN$2)^BM$2*J65)/((1+BN$2)^BM$2-1)</f>
        <v>11.2007459945607</v>
      </c>
      <c r="BN67" s="698"/>
      <c r="BO67" s="247" cm="1">
        <f t="array" ref="BO67">AV67+AX67+BO66</f>
        <v>76275798</v>
      </c>
      <c r="BP67" s="247" cm="1">
        <f t="array" ref="BP67">BB67+BP66</f>
        <v>23448576</v>
      </c>
      <c r="BQ67" s="596" cm="1">
        <f t="array" ref="BQ67">BA67+BQ66</f>
        <v>1904.298</v>
      </c>
      <c r="BR67" s="596" cm="1">
        <f t="array" ref="BR67">BC67+BR66</f>
        <v>571.5735</v>
      </c>
      <c r="BS67" s="247" cm="1">
        <f t="array" ref="BS67">SUM(BE$6:BE67)</f>
        <v>26402254</v>
      </c>
      <c r="BT67" s="596"/>
      <c r="BU67" s="596"/>
      <c r="BV67" s="247" cm="1">
        <f t="array" ref="BV67">SUM(AZ$6:AZ67)</f>
        <v>76275798</v>
      </c>
      <c r="BW67" s="596"/>
      <c r="BX67" s="596"/>
    </row>
    <row r="68" ht="19.35" customHeight="1">
      <c r="A68" s="689">
        <v>64</v>
      </c>
      <c r="B68" s="703">
        <v>47280</v>
      </c>
      <c r="C68" s="704"/>
      <c r="D68" s="705" cm="1">
        <f t="array" ref="D68">W68</f>
        <v>17.5640160398006</v>
      </c>
      <c r="E68" s="836" cm="1">
        <f t="array" ref="E68">E67*(1+F68)</f>
        <v>46905.4056547941</v>
      </c>
      <c r="F68" s="837" cm="1">
        <f t="array" ref="F68">G68-SUM(F57:F67)</f>
        <v>0.008</v>
      </c>
      <c r="G68" s="706" cm="1">
        <f t="array" ref="G68">'depto - Table 5'!$G$2</f>
        <v>0.05</v>
      </c>
      <c r="H68" s="706" cm="1">
        <f t="array" ref="H68">G68+4.95/100</f>
        <v>0.09950000000000001</v>
      </c>
      <c r="I68" s="247" cm="1">
        <f t="array" ref="I68">IF(J67=0,0,ROUND(D68*E68,0))</f>
        <v>823847</v>
      </c>
      <c r="J68" s="677" cm="1">
        <f t="array" ref="J68">IF(J67-BA68&lt;0,0,J67-BA68)</f>
        <v>2069.7683</v>
      </c>
      <c r="K68" s="679" cm="1">
        <f t="array" ref="K68">ROUND(J68*E68,0)</f>
        <v>97083322</v>
      </c>
      <c r="L68" s="679" cm="1">
        <f t="array" ref="L68">K68-K67</f>
        <v>324334</v>
      </c>
      <c r="M68" s="681" cm="1">
        <f t="array" ref="M68">Q68-J68</f>
        <v>3330.2317</v>
      </c>
      <c r="N68" s="679" cm="1">
        <f t="array" ref="N68">ROUND(M68*E68,0)</f>
        <v>156205869</v>
      </c>
      <c r="O68" s="596" cm="1">
        <f t="array" ref="O68">$J$5-J68</f>
        <v>1880.2317</v>
      </c>
      <c r="P68" s="679" cm="1">
        <f t="array" ref="P68">N68-N67</f>
        <v>1685898</v>
      </c>
      <c r="Q68" s="596">
        <v>5400</v>
      </c>
      <c r="R68" s="679" cm="1">
        <f t="array" ref="R68">Q68*E68</f>
        <v>253289190.535888</v>
      </c>
      <c r="S68" s="247" cm="1">
        <f t="array" ref="S68">-P68</f>
        <v>-1685898</v>
      </c>
      <c r="T68" s="690"/>
      <c r="U68" s="716" cm="1">
        <f t="array" ref="U68">J67*4.95/12/100/(1-(1+4.95/12/100)^-(360-$A68+3))+AT68</f>
        <v>13.2286111119182</v>
      </c>
      <c r="V68" s="705" cm="1">
        <f t="array" ref="V68">IF(V$3*12&lt;=$A68,0,$J67*'depto - Departamento'!$D$8/12/(1-(1+'depto - Departamento'!$D$8/12)^-(12*V$3-$A68+3))+$AT69)</f>
        <v>14.8118845479364</v>
      </c>
      <c r="W68" s="597" cm="1">
        <f t="array" ref="W68">IF(W$3*12&lt;=$A68,0,$J67*'depto - Departamento'!$D$8/12/(1-(1+'depto - Departamento'!$D$8/12)^-(12*W$3-$A68+3))+$AT70)</f>
        <v>17.5640160398006</v>
      </c>
      <c r="X68" s="597" cm="1">
        <f t="array" ref="X68">IF(X$3*12&lt;=$A68,0,$J67*'depto - Departamento'!$D$8/12/(1-(1+'depto - Departamento'!$D$8/12)^-(12*X$3-$A68+3))+$AT70)</f>
        <v>23.2599242769271</v>
      </c>
      <c r="Y68" s="597" cm="1">
        <f t="array" ref="Y68">IF(Y$3*12&lt;=$A68,0,$J67*'depto - Departamento'!$D$8/12/(1-(1+'depto - Departamento'!$D$8/12)^-(12*Y$3-$A68+3))+$AT69)</f>
        <v>30.7494412257025</v>
      </c>
      <c r="Z68" s="597" cm="1">
        <f t="array" ref="Z68">IF(Z$3*12&lt;=$A68,0,$J67*'depto - Departamento'!$D$8/12/(1-(1+'depto - Departamento'!$D$8/12)^-(12*Z$3-$A68+3))+$AT69)</f>
        <v>40.8909738360507</v>
      </c>
      <c r="AA68" s="597" cm="1">
        <f t="array" ref="AA68">IF(AA$3*12&lt;=$A68,0,$J67*'depto - Departamento'!$D$8/12/(1-(1+'depto - Departamento'!$D$8/12)^-(12*AA$3-$A68+3))+$AT69)</f>
        <v>0</v>
      </c>
      <c r="AB68" s="705" cm="1">
        <f t="array" ref="AB68">AB67-(AB66-AB67)</f>
        <v>79.2837</v>
      </c>
      <c r="AC68" s="597"/>
      <c r="AD68" s="717" cm="1">
        <f t="array" ref="AD68">$E68*U68</f>
        <v>620493.37045404</v>
      </c>
      <c r="AE68" s="704" cm="1">
        <f t="array" ref="AE68">$E68*V68</f>
        <v>694757.453232933</v>
      </c>
      <c r="AF68" s="247" cm="1">
        <f t="array" ref="AF68">$E68*W68</f>
        <v>823847.2972741571</v>
      </c>
      <c r="AG68" s="247" cm="1">
        <f t="array" ref="AG68">$E68*X68</f>
        <v>1091016.18370906</v>
      </c>
      <c r="AH68" s="247" cm="1">
        <f t="array" ref="AH68">$E68*Y68</f>
        <v>1442315.01434982</v>
      </c>
      <c r="AI68" s="247" cm="1">
        <f t="array" ref="AI68">$E68*Z68</f>
        <v>1918007.71539953</v>
      </c>
      <c r="AJ68" s="247" cm="1">
        <f t="array" ref="AJ68">$E68*AA68</f>
        <v>0</v>
      </c>
      <c r="AK68" s="704" cm="1">
        <f t="array" ref="AK68">$E68*AB68</f>
        <v>3718834.110313</v>
      </c>
      <c r="AL68" s="597"/>
      <c r="AM68" s="691" cm="1">
        <f t="array" ref="AM68">J66-J68</f>
        <v>19.1349</v>
      </c>
      <c r="AN68" s="691" cm="1">
        <f t="array" ref="AN68">D68-AM68</f>
        <v>-1.5708839601994</v>
      </c>
      <c r="AO68" s="597"/>
      <c r="AP68" s="684" cm="1">
        <f t="array" ref="AP68">ROUND(AQ68*E68,0)</f>
        <v>48510</v>
      </c>
      <c r="AQ68" s="692">
        <v>1.0342</v>
      </c>
      <c r="AR68" s="684" cm="1">
        <f t="array" ref="AR68">ROUND(E68*AS68,0)</f>
        <v>3691</v>
      </c>
      <c r="AS68" s="692" cm="1">
        <f t="array" ref="AS68">0.0787</f>
        <v>0.07870000000000001</v>
      </c>
      <c r="AT68" s="693" cm="1">
        <f t="array" ref="AT68">SUM(AQ68,AS68)</f>
        <v>1.1129</v>
      </c>
      <c r="AU68" s="684" cm="1">
        <f t="array" ref="AU68">ROUND(SUM(AQ68,AS68)*E68,0)</f>
        <v>52201</v>
      </c>
      <c r="AV68" s="685">
        <v>112242</v>
      </c>
      <c r="AW68" s="694" cm="1">
        <f t="array" ref="AW68">ROUND(AV68/$E68,4)</f>
        <v>2.3929</v>
      </c>
      <c r="AX68" s="685" cm="1">
        <f t="array" ref="AX68">I68-SUM(AU68,AV68,BB68)</f>
        <v>337495</v>
      </c>
      <c r="AY68" s="694" cm="1">
        <f t="array" ref="AY68">ROUND(AX68/$E68,4)</f>
        <v>7.1952</v>
      </c>
      <c r="AZ68" s="686" cm="1">
        <f t="array" ref="AZ68">AX68+AV68</f>
        <v>449737</v>
      </c>
      <c r="BA68" s="694" cm="1">
        <f t="array" ref="BA68">ROUND((AV68+AX68)/E68,4)</f>
        <v>9.588200000000001</v>
      </c>
      <c r="BB68" s="687">
        <v>321909</v>
      </c>
      <c r="BC68" s="695" cm="1">
        <f t="array" ref="BC68">ROUND(BB68/$E68,4)</f>
        <v>6.8629</v>
      </c>
      <c r="BD68" s="679" cm="1">
        <f t="array" ref="BD68">K67-K68</f>
        <v>-324334</v>
      </c>
      <c r="BE68" s="679" cm="1">
        <f t="array" ref="BE68">AZ68-BD68</f>
        <v>774071</v>
      </c>
      <c r="BF68" s="679" cm="1">
        <f t="array" ref="BF68">-BE68</f>
        <v>-774071</v>
      </c>
      <c r="BG68" s="679" cm="1">
        <f t="array" ref="BG68">BB68+BE68</f>
        <v>1095980</v>
      </c>
      <c r="BH68" s="679" cm="1">
        <f t="array" ref="BH68">AVERAGE(BG65:BG66,BG68)</f>
        <v>702968</v>
      </c>
      <c r="BI68" s="699" cm="1">
        <f t="array" ref="BI68">BC66-BC68</f>
        <v>0.0965</v>
      </c>
      <c r="BJ68" s="596" cm="1">
        <f t="array" ref="BJ68">J67*0.0495/12-0.16</f>
        <v>8.4173455625</v>
      </c>
      <c r="BK68" s="698" cm="1">
        <f t="array" ref="BK68">(AV68+AX68)/BB68</f>
        <v>1.39709358856074</v>
      </c>
      <c r="BL68" s="698" cm="1">
        <f t="array" ref="BL68">U68-AW68</f>
        <v>10.8357111119182</v>
      </c>
      <c r="BM68" s="698" cm="1">
        <f t="array" ref="BM68">(BN$2*(1+BN$2)^BM$2*J66)/((1+BN$2)^BM$2-1)</f>
        <v>11.1499385635553</v>
      </c>
      <c r="BN68" s="698"/>
      <c r="BO68" s="247" cm="1">
        <f t="array" ref="BO68">AV68+AX68+BO67</f>
        <v>76725535</v>
      </c>
      <c r="BP68" s="247" cm="1">
        <f t="array" ref="BP68">BB68+BP67</f>
        <v>23770485</v>
      </c>
      <c r="BQ68" s="596" cm="1">
        <f t="array" ref="BQ68">BA68+BQ67</f>
        <v>1913.8862</v>
      </c>
      <c r="BR68" s="596" cm="1">
        <f t="array" ref="BR68">BC68+BR67</f>
        <v>578.4364</v>
      </c>
      <c r="BS68" s="247" cm="1">
        <f t="array" ref="BS68">SUM(BE$6:BE68)</f>
        <v>27176325</v>
      </c>
      <c r="BT68" s="596"/>
      <c r="BU68" s="596"/>
      <c r="BV68" s="247" cm="1">
        <f t="array" ref="BV68">SUM(AZ$6:AZ68)</f>
        <v>76725535</v>
      </c>
      <c r="BW68" s="596"/>
      <c r="BX68" s="596"/>
    </row>
    <row r="69" ht="19.35" customHeight="1">
      <c r="A69" s="689">
        <v>65</v>
      </c>
      <c r="B69" s="703">
        <v>47310</v>
      </c>
      <c r="C69" s="704"/>
      <c r="D69" s="705" cm="1">
        <f t="array" ref="D69">W69</f>
        <v>17.5504005369445</v>
      </c>
      <c r="E69" s="836" cm="1">
        <f t="array" ref="E69">E68*(1+F69)</f>
        <v>46881.9529519667</v>
      </c>
      <c r="F69" s="837" cm="1">
        <f t="array" ref="F69">G69-SUM(F58:F68)</f>
        <v>-0.0005</v>
      </c>
      <c r="G69" s="706" cm="1">
        <f t="array" ref="G69">'depto - Table 5'!$G$2</f>
        <v>0.05</v>
      </c>
      <c r="H69" s="706" cm="1">
        <f t="array" ref="H69">G69+4.95/100</f>
        <v>0.09950000000000001</v>
      </c>
      <c r="I69" s="247" cm="1">
        <f t="array" ref="I69">IF(J68=0,0,ROUND(D69*E69,0))</f>
        <v>822797</v>
      </c>
      <c r="J69" s="677" cm="1">
        <f t="array" ref="J69">IF(J68-BA69&lt;0,0,J68-BA69)</f>
        <v>2060.1972</v>
      </c>
      <c r="K69" s="679" cm="1">
        <f t="array" ref="K69">ROUND(J69*E69,0)</f>
        <v>96586068</v>
      </c>
      <c r="L69" s="679" cm="1">
        <f t="array" ref="L69">K69-K68</f>
        <v>-497254</v>
      </c>
      <c r="M69" s="681" cm="1">
        <f t="array" ref="M69">Q69-J69</f>
        <v>3339.8028</v>
      </c>
      <c r="N69" s="679" cm="1">
        <f t="array" ref="N69">ROUND(M69*E69,0)</f>
        <v>156576478</v>
      </c>
      <c r="O69" s="596" cm="1">
        <f t="array" ref="O69">$J$5-J69</f>
        <v>1889.8028</v>
      </c>
      <c r="P69" s="679" cm="1">
        <f t="array" ref="P69">N69-N68</f>
        <v>370609</v>
      </c>
      <c r="Q69" s="596">
        <v>5400</v>
      </c>
      <c r="R69" s="679" cm="1">
        <f t="array" ref="R69">Q69*E69</f>
        <v>253162545.94062</v>
      </c>
      <c r="S69" s="247" cm="1">
        <f t="array" ref="S69">-P69</f>
        <v>-370609</v>
      </c>
      <c r="T69" s="690"/>
      <c r="U69" s="716" cm="1">
        <f t="array" ref="U69">J68*4.95/12/100/(1-(1+4.95/12/100)^-(360-$A69+3))+AT69</f>
        <v>13.1933006744277</v>
      </c>
      <c r="V69" s="705" cm="1">
        <f t="array" ref="V69">IF(V$3*12&lt;=$A69,0,$J68*'depto - Departamento'!$D$8/12/(1-(1+'depto - Departamento'!$D$8/12)^-(12*V$3-$A69+3))+$AT70)</f>
        <v>14.7823857908424</v>
      </c>
      <c r="W69" s="597" cm="1">
        <f t="array" ref="W69">IF(W$3*12&lt;=$A69,0,$J68*'depto - Departamento'!$D$8/12/(1-(1+'depto - Departamento'!$D$8/12)^-(12*W$3-$A69+3))+$AT71)</f>
        <v>17.5504005369445</v>
      </c>
      <c r="X69" s="597" cm="1">
        <f t="array" ref="X69">IF(X$3*12&lt;=$A69,0,$J68*'depto - Departamento'!$D$8/12/(1-(1+'depto - Departamento'!$D$8/12)^-(12*X$3-$A69+3))+$AT71)</f>
        <v>23.3026091778268</v>
      </c>
      <c r="Y69" s="597" cm="1">
        <f t="array" ref="Y69">IF(Y$3*12&lt;=$A69,0,$J68*'depto - Departamento'!$D$8/12/(1-(1+'depto - Departamento'!$D$8/12)^-(12*Y$3-$A69+3))+$AT70)</f>
        <v>30.914607178724</v>
      </c>
      <c r="Z69" s="597" cm="1">
        <f t="array" ref="Z69">IF(Z$3*12&lt;=$A69,0,$J68*'depto - Departamento'!$D$8/12/(1-(1+'depto - Departamento'!$D$8/12)^-(12*Z$3-$A69+3))+$AT70)</f>
        <v>41.3107196177518</v>
      </c>
      <c r="AA69" s="597" cm="1">
        <f t="array" ref="AA69">IF(AA$3*12&lt;=$A69,0,$J68*'depto - Departamento'!$D$8/12/(1-(1+'depto - Departamento'!$D$8/12)^-(12*AA$3-$A69+3))+$AT70)</f>
        <v>0</v>
      </c>
      <c r="AB69" s="705" cm="1">
        <f t="array" ref="AB69">AB68-(AB67-AB68)</f>
        <v>79.2713</v>
      </c>
      <c r="AC69" s="597"/>
      <c r="AD69" s="717" cm="1">
        <f t="array" ref="AD69">$E69*U69</f>
        <v>618527.70149967</v>
      </c>
      <c r="AE69" s="704" cm="1">
        <f t="array" ref="AE69">$E69*V69</f>
        <v>693027.115164094</v>
      </c>
      <c r="AF69" s="247" cm="1">
        <f t="array" ref="AF69">$E69*W69</f>
        <v>822797.0522612029</v>
      </c>
      <c r="AG69" s="247" cm="1">
        <f t="array" ref="AG69">$E69*X69</f>
        <v>1092471.82713294</v>
      </c>
      <c r="AH69" s="247" cm="1">
        <f t="array" ref="AH69">$E69*Y69</f>
        <v>1449337.15928147</v>
      </c>
      <c r="AI69" s="247" cm="1">
        <f t="array" ref="AI69">$E69*Z69</f>
        <v>1936727.21353133</v>
      </c>
      <c r="AJ69" s="247" cm="1">
        <f t="array" ref="AJ69">$E69*AA69</f>
        <v>0</v>
      </c>
      <c r="AK69" s="704" cm="1">
        <f t="array" ref="AK69">$E69*AB69</f>
        <v>3716393.35704124</v>
      </c>
      <c r="AL69" s="597"/>
      <c r="AM69" s="691" cm="1">
        <f t="array" ref="AM69">J67-J69</f>
        <v>19.1593</v>
      </c>
      <c r="AN69" s="691" cm="1">
        <f t="array" ref="AN69">D69-AM69</f>
        <v>-1.6088994630555</v>
      </c>
      <c r="AO69" s="597"/>
      <c r="AP69" s="684" cm="1">
        <f t="array" ref="AP69">ROUND(AQ69*E69,0)</f>
        <v>48485</v>
      </c>
      <c r="AQ69" s="692">
        <v>1.0342</v>
      </c>
      <c r="AR69" s="684" cm="1">
        <f t="array" ref="AR69">ROUND(E69*AS69,0)</f>
        <v>3690</v>
      </c>
      <c r="AS69" s="692" cm="1">
        <f t="array" ref="AS69">0.0787</f>
        <v>0.07870000000000001</v>
      </c>
      <c r="AT69" s="693" cm="1">
        <f t="array" ref="AT69">SUM(AQ69,AS69)</f>
        <v>1.1129</v>
      </c>
      <c r="AU69" s="684" cm="1">
        <f t="array" ref="AU69">ROUND(SUM(AQ69,AS69)*E69,0)</f>
        <v>52175</v>
      </c>
      <c r="AV69" s="685">
        <v>112242</v>
      </c>
      <c r="AW69" s="694" cm="1">
        <f t="array" ref="AW69">ROUND(AV69/$E69,4)</f>
        <v>2.3941</v>
      </c>
      <c r="AX69" s="685" cm="1">
        <f t="array" ref="AX69">I69-SUM(AU69,AV69,BB69)</f>
        <v>336471</v>
      </c>
      <c r="AY69" s="694" cm="1">
        <f t="array" ref="AY69">ROUND(AX69/$E69,4)</f>
        <v>7.177</v>
      </c>
      <c r="AZ69" s="686" cm="1">
        <f t="array" ref="AZ69">AX69+AV69</f>
        <v>448713</v>
      </c>
      <c r="BA69" s="694" cm="1">
        <f t="array" ref="BA69">ROUND((AV69+AX69)/E69,4)</f>
        <v>9.571099999999999</v>
      </c>
      <c r="BB69" s="687">
        <v>321909</v>
      </c>
      <c r="BC69" s="695" cm="1">
        <f t="array" ref="BC69">ROUND(BB69/$E69,4)</f>
        <v>6.8664</v>
      </c>
      <c r="BD69" s="679" cm="1">
        <f t="array" ref="BD69">K68-K69</f>
        <v>497254</v>
      </c>
      <c r="BE69" s="679" cm="1">
        <f t="array" ref="BE69">AZ69-BD69</f>
        <v>-48541</v>
      </c>
      <c r="BF69" s="679" cm="1">
        <f t="array" ref="BF69">-BE69</f>
        <v>48541</v>
      </c>
      <c r="BG69" s="679" cm="1">
        <f t="array" ref="BG69">BB69+BE69</f>
        <v>273368</v>
      </c>
      <c r="BH69" s="679" cm="1">
        <f t="array" ref="BH69">AVERAGE(BG66:BG67,BG69)</f>
        <v>502210.666666667</v>
      </c>
      <c r="BI69" s="699" cm="1">
        <f t="array" ref="BI69">BC67-BC69</f>
        <v>0.0514</v>
      </c>
      <c r="BJ69" s="596" cm="1">
        <f t="array" ref="BJ69">J68*0.0495/12-0.16</f>
        <v>8.3777942375</v>
      </c>
      <c r="BK69" s="698" cm="1">
        <f t="array" ref="BK69">(AV69+AX69)/BB69</f>
        <v>1.39391256535232</v>
      </c>
      <c r="BL69" s="698" cm="1">
        <f t="array" ref="BL69">U69-AW69</f>
        <v>10.7992006744277</v>
      </c>
      <c r="BM69" s="698" cm="1">
        <f t="array" ref="BM69">(BN$2*(1+BN$2)^BM$2*J67)/((1+BN$2)^BM$2-1)</f>
        <v>11.0989811431805</v>
      </c>
      <c r="BN69" s="698"/>
      <c r="BO69" s="247" cm="1">
        <f t="array" ref="BO69">AV69+AX69+BO68</f>
        <v>77174248</v>
      </c>
      <c r="BP69" s="247" cm="1">
        <f t="array" ref="BP69">BB69+BP68</f>
        <v>24092394</v>
      </c>
      <c r="BQ69" s="596" cm="1">
        <f t="array" ref="BQ69">BA69+BQ68</f>
        <v>1923.4573</v>
      </c>
      <c r="BR69" s="596" cm="1">
        <f t="array" ref="BR69">BC69+BR68</f>
        <v>585.3028</v>
      </c>
      <c r="BS69" s="247" cm="1">
        <f t="array" ref="BS69">SUM(BE$6:BE69)</f>
        <v>27127784</v>
      </c>
      <c r="BT69" s="596"/>
      <c r="BU69" s="596"/>
      <c r="BV69" s="247" cm="1">
        <f t="array" ref="BV69">SUM(AZ$6:AZ69)</f>
        <v>77174248</v>
      </c>
      <c r="BW69" s="596"/>
      <c r="BX69" s="596"/>
    </row>
    <row r="70" ht="19.35" customHeight="1">
      <c r="A70" s="689">
        <v>66</v>
      </c>
      <c r="B70" s="703">
        <v>47341</v>
      </c>
      <c r="C70" s="704"/>
      <c r="D70" s="705" cm="1">
        <f t="array" ref="D70">W70</f>
        <v>17.5370759560599</v>
      </c>
      <c r="E70" s="836" cm="1">
        <f t="array" ref="E70">E69*(1+F70)</f>
        <v>47772.7100580541</v>
      </c>
      <c r="F70" s="837" cm="1">
        <f t="array" ref="F70">G70-SUM(F59:F69)</f>
        <v>0.019</v>
      </c>
      <c r="G70" s="706" cm="1">
        <f t="array" ref="G70">'depto - Table 5'!$G$2</f>
        <v>0.05</v>
      </c>
      <c r="H70" s="706" cm="1">
        <f t="array" ref="H70">G70+4.95/100</f>
        <v>0.09950000000000001</v>
      </c>
      <c r="I70" s="247" cm="1">
        <f t="array" ref="I70">IF(J69=0,0,ROUND(D70*E70,0))</f>
        <v>837794</v>
      </c>
      <c r="J70" s="677" cm="1">
        <f t="array" ref="J70">IF(J69-BA70&lt;0,0,J69-BA70)</f>
        <v>2050.5114</v>
      </c>
      <c r="K70" s="679" cm="1">
        <f t="array" ref="K70">ROUND(J70*E70,0)</f>
        <v>97958487</v>
      </c>
      <c r="L70" s="679" cm="1">
        <f t="array" ref="L70">K70-K69</f>
        <v>1372419</v>
      </c>
      <c r="M70" s="681" cm="1">
        <f t="array" ref="M70">Q70-J70</f>
        <v>3349.4886</v>
      </c>
      <c r="N70" s="679" cm="1">
        <f t="array" ref="N70">ROUND(M70*E70,0)</f>
        <v>160014148</v>
      </c>
      <c r="O70" s="596" cm="1">
        <f t="array" ref="O70">$J$5-J70</f>
        <v>1899.4886</v>
      </c>
      <c r="P70" s="679" cm="1">
        <f t="array" ref="P70">N70-N69</f>
        <v>3437670</v>
      </c>
      <c r="Q70" s="596">
        <v>5400</v>
      </c>
      <c r="R70" s="679" cm="1">
        <f t="array" ref="R70">Q70*E70</f>
        <v>257972634.313492</v>
      </c>
      <c r="S70" s="247" cm="1">
        <f t="array" ref="S70">-P70</f>
        <v>-3437670</v>
      </c>
      <c r="T70" s="690"/>
      <c r="U70" s="716" cm="1">
        <f t="array" ref="U70">J69*4.95/12/100/(1-(1+4.95/12/100)^-(360-$A70+3))+AT70</f>
        <v>13.1580544678143</v>
      </c>
      <c r="V70" s="705" cm="1">
        <f t="array" ref="V70">IF(V$3*12&lt;=$A70,0,$J69*'depto - Departamento'!$D$8/12/(1-(1+'depto - Departamento'!$D$8/12)^-(12*V$3-$A70+3))+$AT71)</f>
        <v>14.7529934849843</v>
      </c>
      <c r="W70" s="597" cm="1">
        <f t="array" ref="W70">IF(W$3*12&lt;=$A70,0,$J69*'depto - Departamento'!$D$8/12/(1-(1+'depto - Departamento'!$D$8/12)^-(12*W$3-$A70+3))+$AT72)</f>
        <v>17.5370759560599</v>
      </c>
      <c r="X70" s="597" cm="1">
        <f t="array" ref="X70">IF(X$3*12&lt;=$A70,0,$J69*'depto - Departamento'!$D$8/12/(1-(1+'depto - Departamento'!$D$8/12)^-(12*X$3-$A70+3))+$AT72)</f>
        <v>23.3466495334177</v>
      </c>
      <c r="Y70" s="597" cm="1">
        <f t="array" ref="Y70">IF(Y$3*12&lt;=$A70,0,$J69*'depto - Departamento'!$D$8/12/(1-(1+'depto - Departamento'!$D$8/12)^-(12*Y$3-$A70+3))+$AT71)</f>
        <v>31.0847145944422</v>
      </c>
      <c r="Z70" s="597" cm="1">
        <f t="array" ref="Z70">IF(Z$3*12&lt;=$A70,0,$J69*'depto - Departamento'!$D$8/12/(1-(1+'depto - Departamento'!$D$8/12)^-(12*Z$3-$A70+3))+$AT71)</f>
        <v>41.7463817702697</v>
      </c>
      <c r="AA70" s="597" cm="1">
        <f t="array" ref="AA70">IF(AA$3*12&lt;=$A70,0,$J69*'depto - Departamento'!$D$8/12/(1-(1+'depto - Departamento'!$D$8/12)^-(12*AA$3-$A70+3))+$AT71)</f>
        <v>0</v>
      </c>
      <c r="AB70" s="705" cm="1">
        <f t="array" ref="AB70">AB69-(AB68-AB69)</f>
        <v>79.2589</v>
      </c>
      <c r="AC70" s="597"/>
      <c r="AD70" s="717" cm="1">
        <f t="array" ref="AD70">$E70*U70</f>
        <v>628595.921018976</v>
      </c>
      <c r="AE70" s="704" cm="1">
        <f t="array" ref="AE70">$E70*V70</f>
        <v>704790.4802465159</v>
      </c>
      <c r="AF70" s="247" cm="1">
        <f t="array" ref="AF70">$E70*W70</f>
        <v>837793.644914922</v>
      </c>
      <c r="AG70" s="247" cm="1">
        <f t="array" ref="AG70">$E70*X70</f>
        <v>1115332.71898697</v>
      </c>
      <c r="AH70" s="247" cm="1">
        <f t="array" ref="AH70">$E70*Y70</f>
        <v>1485001.05755765</v>
      </c>
      <c r="AI70" s="247" cm="1">
        <f t="array" ref="AI70">$E70*Z70</f>
        <v>1994337.79228393</v>
      </c>
      <c r="AJ70" s="247" cm="1">
        <f t="array" ref="AJ70">$E70*AA70</f>
        <v>0</v>
      </c>
      <c r="AK70" s="704" cm="1">
        <f t="array" ref="AK70">$E70*AB70</f>
        <v>3786412.4492203</v>
      </c>
      <c r="AL70" s="597"/>
      <c r="AM70" s="691" cm="1">
        <f t="array" ref="AM70">J68-J70</f>
        <v>19.2569</v>
      </c>
      <c r="AN70" s="691" cm="1">
        <f t="array" ref="AN70">D70-AM70</f>
        <v>-1.7198240439401</v>
      </c>
      <c r="AO70" s="597"/>
      <c r="AP70" s="684" cm="1">
        <f t="array" ref="AP70">ROUND(AQ70*E70,0)</f>
        <v>49407</v>
      </c>
      <c r="AQ70" s="692">
        <v>1.0342</v>
      </c>
      <c r="AR70" s="684" cm="1">
        <f t="array" ref="AR70">ROUND(E70*AS70,0)</f>
        <v>3760</v>
      </c>
      <c r="AS70" s="692" cm="1">
        <f t="array" ref="AS70">0.0787</f>
        <v>0.07870000000000001</v>
      </c>
      <c r="AT70" s="693" cm="1">
        <f t="array" ref="AT70">SUM(AQ70,AS70)</f>
        <v>1.1129</v>
      </c>
      <c r="AU70" s="684" cm="1">
        <f t="array" ref="AU70">ROUND(SUM(AQ70,AS70)*E70,0)</f>
        <v>53166</v>
      </c>
      <c r="AV70" s="685">
        <v>112242</v>
      </c>
      <c r="AW70" s="694" cm="1">
        <f t="array" ref="AW70">ROUND(AV70/$E70,4)</f>
        <v>2.3495</v>
      </c>
      <c r="AX70" s="685" cm="1">
        <f t="array" ref="AX70">I70-SUM(AU70,AV70,BB70)</f>
        <v>350477</v>
      </c>
      <c r="AY70" s="694" cm="1">
        <f t="array" ref="AY70">ROUND(AX70/$E70,4)</f>
        <v>7.3363</v>
      </c>
      <c r="AZ70" s="686" cm="1">
        <f t="array" ref="AZ70">AX70+AV70</f>
        <v>462719</v>
      </c>
      <c r="BA70" s="694" cm="1">
        <f t="array" ref="BA70">ROUND((AV70+AX70)/E70,4)</f>
        <v>9.6858</v>
      </c>
      <c r="BB70" s="687">
        <v>321909</v>
      </c>
      <c r="BC70" s="695" cm="1">
        <f t="array" ref="BC70">ROUND(BB70/$E70,4)</f>
        <v>6.7383</v>
      </c>
      <c r="BD70" s="679" cm="1">
        <f t="array" ref="BD70">K69-K70</f>
        <v>-1372419</v>
      </c>
      <c r="BE70" s="679" cm="1">
        <f t="array" ref="BE70">AZ70-BD70</f>
        <v>1835138</v>
      </c>
      <c r="BF70" s="679" cm="1">
        <f t="array" ref="BF70">-BE70</f>
        <v>-1835138</v>
      </c>
      <c r="BG70" s="679" cm="1">
        <f t="array" ref="BG70">BB70+BE70</f>
        <v>2157047</v>
      </c>
      <c r="BH70" s="679" cm="1">
        <f t="array" ref="BH70">AVERAGE(BG67:BG68,BG70)</f>
        <v>1384892.33333333</v>
      </c>
      <c r="BI70" s="699" cm="1">
        <f t="array" ref="BI70">BC68-BC70</f>
        <v>0.1246</v>
      </c>
      <c r="BJ70" s="596" cm="1">
        <f t="array" ref="BJ70">J69*0.0495/12-0.16</f>
        <v>8.338313449999999</v>
      </c>
      <c r="BK70" s="698" cm="1">
        <f t="array" ref="BK70">(AV70+AX70)/BB70</f>
        <v>1.43742175583783</v>
      </c>
      <c r="BL70" s="698" cm="1">
        <f t="array" ref="BL70">U70-AW70</f>
        <v>10.8085544678143</v>
      </c>
      <c r="BM70" s="698" cm="1">
        <f t="array" ref="BM70">(BN$2*(1+BN$2)^BM$2*J68)/((1+BN$2)^BM$2-1)</f>
        <v>11.0478022082566</v>
      </c>
      <c r="BN70" s="698"/>
      <c r="BO70" s="247" cm="1">
        <f t="array" ref="BO70">AV70+AX70+BO69</f>
        <v>77636967</v>
      </c>
      <c r="BP70" s="247" cm="1">
        <f t="array" ref="BP70">BB70+BP69</f>
        <v>24414303</v>
      </c>
      <c r="BQ70" s="596" cm="1">
        <f t="array" ref="BQ70">BA70+BQ69</f>
        <v>1933.1431</v>
      </c>
      <c r="BR70" s="596" cm="1">
        <f t="array" ref="BR70">BC70+BR69</f>
        <v>592.0411</v>
      </c>
      <c r="BS70" s="247" cm="1">
        <f t="array" ref="BS70">SUM(BE$6:BE70)</f>
        <v>28962922</v>
      </c>
      <c r="BT70" s="596"/>
      <c r="BU70" s="596"/>
      <c r="BV70" s="247" cm="1">
        <f t="array" ref="BV70">SUM(AZ$6:AZ70)</f>
        <v>77636967</v>
      </c>
      <c r="BW70" s="596"/>
      <c r="BX70" s="596"/>
    </row>
    <row r="71" ht="19.35" customHeight="1">
      <c r="A71" s="689">
        <v>67</v>
      </c>
      <c r="B71" s="703">
        <v>47372</v>
      </c>
      <c r="C71" s="704"/>
      <c r="D71" s="705" cm="1">
        <f t="array" ref="D71">W71</f>
        <v>17.5229913062653</v>
      </c>
      <c r="E71" s="836" cm="1">
        <f t="array" ref="E71">E70*(1+F71)</f>
        <v>48174.0008225418</v>
      </c>
      <c r="F71" s="837" cm="1">
        <f t="array" ref="F71">G71-SUM(F60:F70)</f>
        <v>0.008399999999999999</v>
      </c>
      <c r="G71" s="706" cm="1">
        <f t="array" ref="G71">'depto - Table 5'!$G$2</f>
        <v>0.05</v>
      </c>
      <c r="H71" s="706" cm="1">
        <f t="array" ref="H71">G71+4.95/100</f>
        <v>0.09950000000000001</v>
      </c>
      <c r="I71" s="247" cm="1">
        <f t="array" ref="I71">IF(J70=0,0,ROUND(D71*E71,0))</f>
        <v>844153</v>
      </c>
      <c r="J71" s="677" cm="1">
        <f t="array" ref="J71">IF(J70-BA71&lt;0,0,J70-BA71)</f>
        <v>2040.7835</v>
      </c>
      <c r="K71" s="679" cm="1">
        <f t="array" ref="K71">ROUND(J71*E71,0)</f>
        <v>98312706</v>
      </c>
      <c r="L71" s="679" cm="1">
        <f t="array" ref="L71">K71-K70</f>
        <v>354219</v>
      </c>
      <c r="M71" s="681" cm="1">
        <f t="array" ref="M71">Q71-J71</f>
        <v>3359.2165</v>
      </c>
      <c r="N71" s="679" cm="1">
        <f t="array" ref="N71">ROUND(M71*E71,0)</f>
        <v>161826898</v>
      </c>
      <c r="O71" s="596" cm="1">
        <f t="array" ref="O71">$J$5-J71</f>
        <v>1909.2165</v>
      </c>
      <c r="P71" s="679" cm="1">
        <f t="array" ref="P71">N71-N70</f>
        <v>1812750</v>
      </c>
      <c r="Q71" s="596">
        <v>5400</v>
      </c>
      <c r="R71" s="679" cm="1">
        <f t="array" ref="R71">Q71*E71</f>
        <v>260139604.441726</v>
      </c>
      <c r="S71" s="247" cm="1">
        <f t="array" ref="S71">-P71</f>
        <v>-1812750</v>
      </c>
      <c r="T71" s="690"/>
      <c r="U71" s="716" cm="1">
        <f t="array" ref="U71">J70*4.95/12/100/(1-(1+4.95/12/100)^-(360-$A71+3))+AT71</f>
        <v>13.1221005153649</v>
      </c>
      <c r="V71" s="705" cm="1">
        <f t="array" ref="V71">IF(V$3*12&lt;=$A71,0,$J70*'depto - Departamento'!$D$8/12/(1-(1+'depto - Departamento'!$D$8/12)^-(12*V$3-$A71+3))+$AT72)</f>
        <v>14.722833297323</v>
      </c>
      <c r="W71" s="597" cm="1">
        <f t="array" ref="W71">IF(W$3*12&lt;=$A71,0,$J70*'depto - Departamento'!$D$8/12/(1-(1+'depto - Departamento'!$D$8/12)^-(12*W$3-$A71+3))+$AT73)</f>
        <v>17.5229913062653</v>
      </c>
      <c r="X71" s="597" cm="1">
        <f t="array" ref="X71">IF(X$3*12&lt;=$A71,0,$J70*'depto - Departamento'!$D$8/12/(1-(1+'depto - Departamento'!$D$8/12)^-(12*X$3-$A71+3))+$AT73)</f>
        <v>23.3906467367702</v>
      </c>
      <c r="Y71" s="597" cm="1">
        <f t="array" ref="Y71">IF(Y$3*12&lt;=$A71,0,$J70*'depto - Departamento'!$D$8/12/(1-(1+'depto - Departamento'!$D$8/12)^-(12*Y$3-$A71+3))+$AT72)</f>
        <v>31.258008696725</v>
      </c>
      <c r="Z71" s="597" cm="1">
        <f t="array" ref="Z71">IF(Z$3*12&lt;=$A71,0,$J70*'depto - Departamento'!$D$8/12/(1-(1+'depto - Departamento'!$D$8/12)^-(12*Z$3-$A71+3))+$AT72)</f>
        <v>42.1961688005215</v>
      </c>
      <c r="AA71" s="597" cm="1">
        <f t="array" ref="AA71">IF(AA$3*12&lt;=$A71,0,$J70*'depto - Departamento'!$D$8/12/(1-(1+'depto - Departamento'!$D$8/12)^-(12*AA$3-$A71+3))+$AT72)</f>
        <v>0</v>
      </c>
      <c r="AB71" s="705" cm="1">
        <f t="array" ref="AB71">AB70-(AB69-AB70)</f>
        <v>79.2465</v>
      </c>
      <c r="AC71" s="597"/>
      <c r="AD71" s="717" cm="1">
        <f t="array" ref="AD71">$E71*U71</f>
        <v>632144.081020665</v>
      </c>
      <c r="AE71" s="704" cm="1">
        <f t="array" ref="AE71">$E71*V71</f>
        <v>709257.7833753841</v>
      </c>
      <c r="AF71" s="247" cm="1">
        <f t="array" ref="AF71">$E71*W71</f>
        <v>844152.597601417</v>
      </c>
      <c r="AG71" s="247" cm="1">
        <f t="array" ref="AG71">$E71*X71</f>
        <v>1126821.03513695</v>
      </c>
      <c r="AH71" s="247" cm="1">
        <f t="array" ref="AH71">$E71*Y71</f>
        <v>1505823.33666705</v>
      </c>
      <c r="AI71" s="247" cm="1">
        <f t="array" ref="AI71">$E71*Z71</f>
        <v>2032758.27050444</v>
      </c>
      <c r="AJ71" s="247" cm="1">
        <f t="array" ref="AJ71">$E71*AA71</f>
        <v>0</v>
      </c>
      <c r="AK71" s="704" cm="1">
        <f t="array" ref="AK71">$E71*AB71</f>
        <v>3817620.95618356</v>
      </c>
      <c r="AL71" s="597"/>
      <c r="AM71" s="691" cm="1">
        <f t="array" ref="AM71">J69-J71</f>
        <v>19.4137</v>
      </c>
      <c r="AN71" s="691" cm="1">
        <f t="array" ref="AN71">D71-AM71</f>
        <v>-1.8907086937347</v>
      </c>
      <c r="AO71" s="597"/>
      <c r="AP71" s="684" cm="1">
        <f t="array" ref="AP71">ROUND(AQ71*E71,0)</f>
        <v>49822</v>
      </c>
      <c r="AQ71" s="692">
        <v>1.0342</v>
      </c>
      <c r="AR71" s="684" cm="1">
        <f t="array" ref="AR71">ROUND(E71*AS71,0)</f>
        <v>3791</v>
      </c>
      <c r="AS71" s="692" cm="1">
        <f t="array" ref="AS71">0.0787</f>
        <v>0.07870000000000001</v>
      </c>
      <c r="AT71" s="693" cm="1">
        <f t="array" ref="AT71">SUM(AQ71,AS71)</f>
        <v>1.1129</v>
      </c>
      <c r="AU71" s="684" cm="1">
        <f t="array" ref="AU71">ROUND(SUM(AQ71,AS71)*E71,0)</f>
        <v>53613</v>
      </c>
      <c r="AV71" s="685">
        <v>112242</v>
      </c>
      <c r="AW71" s="694" cm="1">
        <f t="array" ref="AW71">ROUND(AV71/$E71,4)</f>
        <v>2.3299</v>
      </c>
      <c r="AX71" s="685" cm="1">
        <f t="array" ref="AX71">I71-SUM(AU71,AV71,BB71)</f>
        <v>356389</v>
      </c>
      <c r="AY71" s="694" cm="1">
        <f t="array" ref="AY71">ROUND(AX71/$E71,4)</f>
        <v>7.398</v>
      </c>
      <c r="AZ71" s="686" cm="1">
        <f t="array" ref="AZ71">AX71+AV71</f>
        <v>468631</v>
      </c>
      <c r="BA71" s="694" cm="1">
        <f t="array" ref="BA71">ROUND((AV71+AX71)/E71,4)</f>
        <v>9.7279</v>
      </c>
      <c r="BB71" s="687">
        <v>321909</v>
      </c>
      <c r="BC71" s="695" cm="1">
        <f t="array" ref="BC71">ROUND(BB71/$E71,4)</f>
        <v>6.6822</v>
      </c>
      <c r="BD71" s="679" cm="1">
        <f t="array" ref="BD71">K70-K71</f>
        <v>-354219</v>
      </c>
      <c r="BE71" s="679" cm="1">
        <f t="array" ref="BE71">AZ71-BD71</f>
        <v>822850</v>
      </c>
      <c r="BF71" s="679" cm="1">
        <f t="array" ref="BF71">-BE71</f>
        <v>-822850</v>
      </c>
      <c r="BG71" s="679" cm="1">
        <f t="array" ref="BG71">BB71+BE71</f>
        <v>1144759</v>
      </c>
      <c r="BH71" s="679" cm="1">
        <f t="array" ref="BH71">AVERAGE(BG68:BG69,BG71)</f>
        <v>838035.666666667</v>
      </c>
      <c r="BI71" s="699" cm="1">
        <f t="array" ref="BI71">BC69-BC71</f>
        <v>0.1842</v>
      </c>
      <c r="BJ71" s="596" cm="1">
        <f t="array" ref="BJ71">J70*0.0495/12-0.16</f>
        <v>8.298359525</v>
      </c>
      <c r="BK71" s="698" cm="1">
        <f t="array" ref="BK71">(AV71+AX71)/BB71</f>
        <v>1.45578719451771</v>
      </c>
      <c r="BL71" s="698" cm="1">
        <f t="array" ref="BL71">U71-AW71</f>
        <v>10.7922005153649</v>
      </c>
      <c r="BM71" s="698" cm="1">
        <f t="array" ref="BM71">(BN$2*(1+BN$2)^BM$2*J69)/((1+BN$2)^BM$2-1)</f>
        <v>10.9967145480023</v>
      </c>
      <c r="BN71" s="698"/>
      <c r="BO71" s="247" cm="1">
        <f t="array" ref="BO71">AV71+AX71+BO70</f>
        <v>78105598</v>
      </c>
      <c r="BP71" s="247" cm="1">
        <f t="array" ref="BP71">BB71+BP70</f>
        <v>24736212</v>
      </c>
      <c r="BQ71" s="596" cm="1">
        <f t="array" ref="BQ71">BA71+BQ70</f>
        <v>1942.871</v>
      </c>
      <c r="BR71" s="596" cm="1">
        <f t="array" ref="BR71">BC71+BR70</f>
        <v>598.7233</v>
      </c>
      <c r="BS71" s="247" cm="1">
        <f t="array" ref="BS71">SUM(BE$6:BE71)</f>
        <v>29785772</v>
      </c>
      <c r="BT71" s="596"/>
      <c r="BU71" s="596"/>
      <c r="BV71" s="247" cm="1">
        <f t="array" ref="BV71">SUM(AZ$6:AZ71)</f>
        <v>78105598</v>
      </c>
      <c r="BW71" s="596"/>
      <c r="BX71" s="596"/>
    </row>
    <row r="72" ht="19.35" customHeight="1">
      <c r="A72" s="689">
        <v>68</v>
      </c>
      <c r="B72" s="703">
        <v>47402</v>
      </c>
      <c r="C72" s="704"/>
      <c r="D72" s="705" cm="1">
        <f t="array" ref="D72">W72</f>
        <v>17.5087214256355</v>
      </c>
      <c r="E72" s="836" cm="1">
        <f t="array" ref="E72">E71*(1+F72)</f>
        <v>48188.4530227886</v>
      </c>
      <c r="F72" s="837" cm="1">
        <f t="array" ref="F72">G72-SUM(F61:F71)</f>
        <v>0.0003</v>
      </c>
      <c r="G72" s="706" cm="1">
        <f t="array" ref="G72">'depto - Table 5'!$G$2</f>
        <v>0.05</v>
      </c>
      <c r="H72" s="706" cm="1">
        <f t="array" ref="H72">G72+4.95/100</f>
        <v>0.09950000000000001</v>
      </c>
      <c r="I72" s="247" cm="1">
        <f t="array" ref="I72">IF(J71=0,0,ROUND(D72*E72,0))</f>
        <v>843718</v>
      </c>
      <c r="J72" s="677" cm="1">
        <f t="array" ref="J72">IF(J71-BA72&lt;0,0,J71-BA72)</f>
        <v>2031.0679</v>
      </c>
      <c r="K72" s="679" cm="1">
        <f t="array" ref="K72">ROUND(J72*E72,0)</f>
        <v>97874020</v>
      </c>
      <c r="L72" s="679" cm="1">
        <f t="array" ref="L72">K72-K71</f>
        <v>-438686</v>
      </c>
      <c r="M72" s="681" cm="1">
        <f t="array" ref="M72">Q72-J72</f>
        <v>3368.9321</v>
      </c>
      <c r="N72" s="679" cm="1">
        <f t="array" ref="N72">ROUND(M72*E72,0)</f>
        <v>162343626</v>
      </c>
      <c r="O72" s="596" cm="1">
        <f t="array" ref="O72">$J$5-J72</f>
        <v>1918.9321</v>
      </c>
      <c r="P72" s="679" cm="1">
        <f t="array" ref="P72">N72-N71</f>
        <v>516728</v>
      </c>
      <c r="Q72" s="596">
        <v>5400</v>
      </c>
      <c r="R72" s="679" cm="1">
        <f t="array" ref="R72">Q72*E72</f>
        <v>260217646.323058</v>
      </c>
      <c r="S72" s="247" cm="1">
        <f t="array" ref="S72">-P72</f>
        <v>-516728</v>
      </c>
      <c r="T72" s="690"/>
      <c r="U72" s="716" cm="1">
        <f t="array" ref="U72">J71*4.95/12/100/(1-(1+4.95/12/100)^-(360-$A72+3))+AT72</f>
        <v>13.0858606670124</v>
      </c>
      <c r="V72" s="705" cm="1">
        <f t="array" ref="V72">IF(V$3*12&lt;=$A72,0,$J71*'depto - Departamento'!$D$8/12/(1-(1+'depto - Departamento'!$D$8/12)^-(12*V$3-$A72+3))+$AT73)</f>
        <v>14.692382178695</v>
      </c>
      <c r="W72" s="597" cm="1">
        <f t="array" ref="W72">IF(W$3*12&lt;=$A72,0,$J71*'depto - Departamento'!$D$8/12/(1-(1+'depto - Departamento'!$D$8/12)^-(12*W$3-$A72+3))+$AT74)</f>
        <v>17.5087214256355</v>
      </c>
      <c r="X72" s="597" cm="1">
        <f t="array" ref="X72">IF(X$3*12&lt;=$A72,0,$J71*'depto - Departamento'!$D$8/12/(1-(1+'depto - Departamento'!$D$8/12)^-(12*X$3-$A72+3))+$AT74)</f>
        <v>23.4354002465342</v>
      </c>
      <c r="Y72" s="597" cm="1">
        <f t="array" ref="Y72">IF(Y$3*12&lt;=$A72,0,$J71*'depto - Departamento'!$D$8/12/(1-(1+'depto - Departamento'!$D$8/12)^-(12*Y$3-$A72+3))+$AT73)</f>
        <v>31.4356981821235</v>
      </c>
      <c r="Z72" s="597" cm="1">
        <f t="array" ref="Z72">IF(Z$3*12&lt;=$A72,0,$J71*'depto - Departamento'!$D$8/12/(1-(1+'depto - Departamento'!$D$8/12)^-(12*Z$3-$A72+3))+$AT73)</f>
        <v>42.6623416953391</v>
      </c>
      <c r="AA72" s="597" cm="1">
        <f t="array" ref="AA72">IF(AA$3*12&lt;=$A72,0,$J71*'depto - Departamento'!$D$8/12/(1-(1+'depto - Departamento'!$D$8/12)^-(12*AA$3-$A72+3))+$AT73)</f>
        <v>0</v>
      </c>
      <c r="AB72" s="705" cm="1">
        <f t="array" ref="AB72">AB71-(AB70-AB71)</f>
        <v>79.2341</v>
      </c>
      <c r="AC72" s="597"/>
      <c r="AD72" s="717" cm="1">
        <f t="array" ref="AD72">$E72*U72</f>
        <v>630587.382015084</v>
      </c>
      <c r="AE72" s="704" cm="1">
        <f t="array" ref="AE72">$E72*V72</f>
        <v>708003.1684109</v>
      </c>
      <c r="AF72" s="247" cm="1">
        <f t="array" ref="AF72">$E72*W72</f>
        <v>843718.1999083291</v>
      </c>
      <c r="AG72" s="247" cm="1">
        <f t="array" ref="AG72">$E72*X72</f>
        <v>1129315.68385036</v>
      </c>
      <c r="AH72" s="247" cm="1">
        <f t="array" ref="AH72">$E72*Y72</f>
        <v>1514837.66508782</v>
      </c>
      <c r="AI72" s="247" cm="1">
        <f t="array" ref="AI72">$E72*Z72</f>
        <v>2055832.248628</v>
      </c>
      <c r="AJ72" s="247" cm="1">
        <f t="array" ref="AJ72">$E72*AA72</f>
        <v>0</v>
      </c>
      <c r="AK72" s="704" cm="1">
        <f t="array" ref="AK72">$E72*AB72</f>
        <v>3818168.70565293</v>
      </c>
      <c r="AL72" s="597"/>
      <c r="AM72" s="691" cm="1">
        <f t="array" ref="AM72">J70-J72</f>
        <v>19.4435</v>
      </c>
      <c r="AN72" s="691" cm="1">
        <f t="array" ref="AN72">D72-AM72</f>
        <v>-1.9347785743645</v>
      </c>
      <c r="AO72" s="597"/>
      <c r="AP72" s="684" cm="1">
        <f t="array" ref="AP72">ROUND(AQ72*E72,0)</f>
        <v>49836</v>
      </c>
      <c r="AQ72" s="692">
        <v>1.0342</v>
      </c>
      <c r="AR72" s="684" cm="1">
        <f t="array" ref="AR72">ROUND(E72*AS72,0)</f>
        <v>3792</v>
      </c>
      <c r="AS72" s="692" cm="1">
        <f t="array" ref="AS72">0.0787</f>
        <v>0.07870000000000001</v>
      </c>
      <c r="AT72" s="693" cm="1">
        <f t="array" ref="AT72">SUM(AQ72,AS72)</f>
        <v>1.1129</v>
      </c>
      <c r="AU72" s="684" cm="1">
        <f t="array" ref="AU72">ROUND(SUM(AQ72,AS72)*E72,0)</f>
        <v>53629</v>
      </c>
      <c r="AV72" s="685">
        <v>112242</v>
      </c>
      <c r="AW72" s="694" cm="1">
        <f t="array" ref="AW72">ROUND(AV72/$E72,4)</f>
        <v>2.3292</v>
      </c>
      <c r="AX72" s="685" cm="1">
        <f t="array" ref="AX72">I72-SUM(AU72,AV72,BB72)</f>
        <v>355938</v>
      </c>
      <c r="AY72" s="694" cm="1">
        <f t="array" ref="AY72">ROUND(AX72/$E72,4)</f>
        <v>7.3864</v>
      </c>
      <c r="AZ72" s="686" cm="1">
        <f t="array" ref="AZ72">AX72+AV72</f>
        <v>468180</v>
      </c>
      <c r="BA72" s="694" cm="1">
        <f t="array" ref="BA72">ROUND((AV72+AX72)/E72,4)</f>
        <v>9.7156</v>
      </c>
      <c r="BB72" s="687">
        <v>321909</v>
      </c>
      <c r="BC72" s="695" cm="1">
        <f t="array" ref="BC72">ROUND(BB72/$E72,4)</f>
        <v>6.6802</v>
      </c>
      <c r="BD72" s="679" cm="1">
        <f t="array" ref="BD72">K71-K72</f>
        <v>438686</v>
      </c>
      <c r="BE72" s="679" cm="1">
        <f t="array" ref="BE72">AZ72-BD72</f>
        <v>29494</v>
      </c>
      <c r="BF72" s="679" cm="1">
        <f t="array" ref="BF72">-BE72</f>
        <v>-29494</v>
      </c>
      <c r="BG72" s="679" cm="1">
        <f t="array" ref="BG72">BB72+BE72</f>
        <v>351403</v>
      </c>
      <c r="BH72" s="679" cm="1">
        <f t="array" ref="BH72">AVERAGE(BG69:BG70,BG72)</f>
        <v>927272.666666667</v>
      </c>
      <c r="BI72" s="699" cm="1">
        <f t="array" ref="BI72">BC70-BC72</f>
        <v>0.0581</v>
      </c>
      <c r="BJ72" s="596" cm="1">
        <f t="array" ref="BJ72">J71*0.0495/12-0.16</f>
        <v>8.2582319375</v>
      </c>
      <c r="BK72" s="698" cm="1">
        <f t="array" ref="BK72">(AV72+AX72)/BB72</f>
        <v>1.45438617746009</v>
      </c>
      <c r="BL72" s="698" cm="1">
        <f t="array" ref="BL72">U72-AW72</f>
        <v>10.7566606670124</v>
      </c>
      <c r="BM72" s="698" cm="1">
        <f t="array" ref="BM72">(BN$2*(1+BN$2)^BM$2*J70)/((1+BN$2)^BM$2-1)</f>
        <v>10.9450146535606</v>
      </c>
      <c r="BN72" s="698"/>
      <c r="BO72" s="247" cm="1">
        <f t="array" ref="BO72">AV72+AX72+BO71</f>
        <v>78573778</v>
      </c>
      <c r="BP72" s="247" cm="1">
        <f t="array" ref="BP72">BB72+BP71</f>
        <v>25058121</v>
      </c>
      <c r="BQ72" s="596" cm="1">
        <f t="array" ref="BQ72">BA72+BQ71</f>
        <v>1952.5866</v>
      </c>
      <c r="BR72" s="596" cm="1">
        <f t="array" ref="BR72">BC72+BR71</f>
        <v>605.4035</v>
      </c>
      <c r="BS72" s="247" cm="1">
        <f t="array" ref="BS72">SUM(BE$6:BE72)</f>
        <v>29815266</v>
      </c>
      <c r="BT72" s="596"/>
      <c r="BU72" s="596"/>
      <c r="BV72" s="247" cm="1">
        <f t="array" ref="BV72">SUM(AZ$6:AZ72)</f>
        <v>78573778</v>
      </c>
      <c r="BW72" s="596"/>
      <c r="BX72" s="596"/>
    </row>
    <row r="73" ht="19.35" customHeight="1">
      <c r="A73" s="689">
        <v>69</v>
      </c>
      <c r="B73" s="703">
        <v>47433</v>
      </c>
      <c r="C73" s="704"/>
      <c r="D73" s="705" cm="1">
        <f t="array" ref="D73">W73</f>
        <v>17.4947033091783</v>
      </c>
      <c r="E73" s="836" cm="1">
        <f t="array" ref="E73">E72*(1+F73)</f>
        <v>48366.7502989729</v>
      </c>
      <c r="F73" s="837" cm="1">
        <f t="array" ref="F73">G73-SUM(F62:F72)</f>
        <v>0.0037</v>
      </c>
      <c r="G73" s="706" cm="1">
        <f t="array" ref="G73">'depto - Table 5'!$G$2</f>
        <v>0.05</v>
      </c>
      <c r="H73" s="706" cm="1">
        <f t="array" ref="H73">G73+4.95/100</f>
        <v>0.09950000000000001</v>
      </c>
      <c r="I73" s="247" cm="1">
        <f t="array" ref="I73">IF(J72=0,0,ROUND(D73*E73,0))</f>
        <v>846162</v>
      </c>
      <c r="J73" s="677" cm="1">
        <f t="array" ref="J73">IF(J72-BA73&lt;0,0,J72-BA73)</f>
        <v>2021.3417</v>
      </c>
      <c r="K73" s="679" cm="1">
        <f t="array" ref="K73">ROUND(J73*E73,0)</f>
        <v>97765729</v>
      </c>
      <c r="L73" s="679" cm="1">
        <f t="array" ref="L73">K73-K72</f>
        <v>-108291</v>
      </c>
      <c r="M73" s="681" cm="1">
        <f t="array" ref="M73">Q73-J73</f>
        <v>3378.6583</v>
      </c>
      <c r="N73" s="679" cm="1">
        <f t="array" ref="N73">ROUND(M73*E73,0)</f>
        <v>163414722</v>
      </c>
      <c r="O73" s="596" cm="1">
        <f t="array" ref="O73">$J$5-J73</f>
        <v>1928.6583</v>
      </c>
      <c r="P73" s="679" cm="1">
        <f t="array" ref="P73">N73-N72</f>
        <v>1071096</v>
      </c>
      <c r="Q73" s="596">
        <v>5400</v>
      </c>
      <c r="R73" s="679" cm="1">
        <f t="array" ref="R73">Q73*E73</f>
        <v>261180451.614454</v>
      </c>
      <c r="S73" s="247" cm="1">
        <f t="array" ref="S73">-P73</f>
        <v>-1071096</v>
      </c>
      <c r="T73" s="690"/>
      <c r="U73" s="716" cm="1">
        <f t="array" ref="U73">J72*4.95/12/100/(1-(1+4.95/12/100)^-(360-$A73+3))+AT73</f>
        <v>13.0496527209848</v>
      </c>
      <c r="V73" s="705" cm="1">
        <f t="array" ref="V73">IF(V$3*12&lt;=$A73,0,$J72*'depto - Departamento'!$D$8/12/(1-(1+'depto - Departamento'!$D$8/12)^-(12*V$3-$A73+3))+$AT74)</f>
        <v>14.6620004556653</v>
      </c>
      <c r="W73" s="597" cm="1">
        <f t="array" ref="W73">IF(W$3*12&lt;=$A73,0,$J72*'depto - Departamento'!$D$8/12/(1-(1+'depto - Departamento'!$D$8/12)^-(12*W$3-$A73+3))+$AT75)</f>
        <v>17.4947033091783</v>
      </c>
      <c r="X73" s="597" cm="1">
        <f t="array" ref="X73">IF(X$3*12&lt;=$A73,0,$J72*'depto - Departamento'!$D$8/12/(1-(1+'depto - Departamento'!$D$8/12)^-(12*X$3-$A73+3))+$AT75)</f>
        <v>23.4815310410577</v>
      </c>
      <c r="Y73" s="597" cm="1">
        <f t="array" ref="Y73">IF(Y$3*12&lt;=$A73,0,$J72*'depto - Departamento'!$D$8/12/(1-(1+'depto - Departamento'!$D$8/12)^-(12*Y$3-$A73+3))+$AT74)</f>
        <v>31.6187718460786</v>
      </c>
      <c r="Z73" s="597" cm="1">
        <f t="array" ref="Z73">IF(Z$3*12&lt;=$A73,0,$J72*'depto - Departamento'!$D$8/12/(1-(1+'depto - Departamento'!$D$8/12)^-(12*Z$3-$A73+3))+$AT74)</f>
        <v>43.1469403069227</v>
      </c>
      <c r="AA73" s="597" cm="1">
        <f t="array" ref="AA73">IF(AA$3*12&lt;=$A73,0,$J72*'depto - Departamento'!$D$8/12/(1-(1+'depto - Departamento'!$D$8/12)^-(12*AA$3-$A73+3))+$AT74)</f>
        <v>0</v>
      </c>
      <c r="AB73" s="705" cm="1">
        <f t="array" ref="AB73">AB72-(AB71-AB72)</f>
        <v>79.2217</v>
      </c>
      <c r="AC73" s="597"/>
      <c r="AD73" s="717" cm="1">
        <f t="array" ref="AD73">$E73*U73</f>
        <v>631169.2946441839</v>
      </c>
      <c r="AE73" s="704" cm="1">
        <f t="array" ref="AE73">$E73*V73</f>
        <v>709153.31492259</v>
      </c>
      <c r="AF73" s="247" cm="1">
        <f t="array" ref="AF73">$E73*W73</f>
        <v>846161.9465096419</v>
      </c>
      <c r="AG73" s="247" cm="1">
        <f t="array" ref="AG73">$E73*X73</f>
        <v>1135725.34850042</v>
      </c>
      <c r="AH73" s="247" cm="1">
        <f t="array" ref="AH73">$E73*Y73</f>
        <v>1529297.24263948</v>
      </c>
      <c r="AI73" s="247" cm="1">
        <f t="array" ref="AI73">$E73*Z73</f>
        <v>2086877.28798962</v>
      </c>
      <c r="AJ73" s="247" cm="1">
        <f t="array" ref="AJ73">$E73*AA73</f>
        <v>0</v>
      </c>
      <c r="AK73" s="704" cm="1">
        <f t="array" ref="AK73">$E73*AB73</f>
        <v>3831696.18216014</v>
      </c>
      <c r="AL73" s="597"/>
      <c r="AM73" s="691" cm="1">
        <f t="array" ref="AM73">J71-J73</f>
        <v>19.4418</v>
      </c>
      <c r="AN73" s="691" cm="1">
        <f t="array" ref="AN73">D73-AM73</f>
        <v>-1.9470966908217</v>
      </c>
      <c r="AO73" s="597"/>
      <c r="AP73" s="684" cm="1">
        <f t="array" ref="AP73">ROUND(AQ73*E73,0)</f>
        <v>50021</v>
      </c>
      <c r="AQ73" s="692">
        <v>1.0342</v>
      </c>
      <c r="AR73" s="684" cm="1">
        <f t="array" ref="AR73">ROUND(E73*AS73,0)</f>
        <v>3806</v>
      </c>
      <c r="AS73" s="692" cm="1">
        <f t="array" ref="AS73">0.0787</f>
        <v>0.07870000000000001</v>
      </c>
      <c r="AT73" s="693" cm="1">
        <f t="array" ref="AT73">SUM(AQ73,AS73)</f>
        <v>1.1129</v>
      </c>
      <c r="AU73" s="684" cm="1">
        <f t="array" ref="AU73">ROUND(SUM(AQ73,AS73)*E73,0)</f>
        <v>53827</v>
      </c>
      <c r="AV73" s="685">
        <v>112242</v>
      </c>
      <c r="AW73" s="694" cm="1">
        <f t="array" ref="AW73">ROUND(AV73/$E73,4)</f>
        <v>2.3206</v>
      </c>
      <c r="AX73" s="685" cm="1">
        <f t="array" ref="AX73">I73-SUM(AU73,AV73,BB73)</f>
        <v>358184</v>
      </c>
      <c r="AY73" s="694" cm="1">
        <f t="array" ref="AY73">ROUND(AX73/$E73,4)</f>
        <v>7.4056</v>
      </c>
      <c r="AZ73" s="686" cm="1">
        <f t="array" ref="AZ73">AX73+AV73</f>
        <v>470426</v>
      </c>
      <c r="BA73" s="694" cm="1">
        <f t="array" ref="BA73">ROUND((AV73+AX73)/E73,4)</f>
        <v>9.7262</v>
      </c>
      <c r="BB73" s="687">
        <v>321909</v>
      </c>
      <c r="BC73" s="695" cm="1">
        <f t="array" ref="BC73">ROUND(BB73/$E73,4)</f>
        <v>6.6556</v>
      </c>
      <c r="BD73" s="679" cm="1">
        <f t="array" ref="BD73">K72-K73</f>
        <v>108291</v>
      </c>
      <c r="BE73" s="679" cm="1">
        <f t="array" ref="BE73">AZ73-BD73</f>
        <v>362135</v>
      </c>
      <c r="BF73" s="679" cm="1">
        <f t="array" ref="BF73">-BE73</f>
        <v>-362135</v>
      </c>
      <c r="BG73" s="679" cm="1">
        <f t="array" ref="BG73">BB73+BE73</f>
        <v>684044</v>
      </c>
      <c r="BH73" s="679" cm="1">
        <f t="array" ref="BH73">AVERAGE(BG70:BG71,BG73)</f>
        <v>1328616.66666667</v>
      </c>
      <c r="BI73" s="699" cm="1">
        <f t="array" ref="BI73">BC71-BC73</f>
        <v>0.0266</v>
      </c>
      <c r="BJ73" s="596" cm="1">
        <f t="array" ref="BJ73">J72*0.0495/12-0.16</f>
        <v>8.2181550875</v>
      </c>
      <c r="BK73" s="698" cm="1">
        <f t="array" ref="BK73">(AV73+AX73)/BB73</f>
        <v>1.46136330453638</v>
      </c>
      <c r="BL73" s="698" cm="1">
        <f t="array" ref="BL73">U73-AW73</f>
        <v>10.7290527209848</v>
      </c>
      <c r="BM73" s="698" cm="1">
        <f t="array" ref="BM73">(BN$2*(1+BN$2)^BM$2*J71)/((1+BN$2)^BM$2-1)</f>
        <v>10.8930900419499</v>
      </c>
      <c r="BN73" s="698"/>
      <c r="BO73" s="247" cm="1">
        <f t="array" ref="BO73">AV73+AX73+BO72</f>
        <v>79044204</v>
      </c>
      <c r="BP73" s="247" cm="1">
        <f t="array" ref="BP73">BB73+BP72</f>
        <v>25380030</v>
      </c>
      <c r="BQ73" s="596" cm="1">
        <f t="array" ref="BQ73">BA73+BQ72</f>
        <v>1962.3128</v>
      </c>
      <c r="BR73" s="596" cm="1">
        <f t="array" ref="BR73">BC73+BR72</f>
        <v>612.0590999999999</v>
      </c>
      <c r="BS73" s="247" cm="1">
        <f t="array" ref="BS73">SUM(BE$6:BE73)</f>
        <v>30177401</v>
      </c>
      <c r="BT73" s="596"/>
      <c r="BU73" s="596"/>
      <c r="BV73" s="247" cm="1">
        <f t="array" ref="BV73">SUM(AZ$6:AZ73)</f>
        <v>79044204</v>
      </c>
      <c r="BW73" s="596"/>
      <c r="BX73" s="596"/>
    </row>
    <row r="74" ht="19.35" customHeight="1">
      <c r="A74" s="689">
        <v>70</v>
      </c>
      <c r="B74" s="703">
        <v>47463</v>
      </c>
      <c r="C74" s="704"/>
      <c r="D74" s="705" cm="1">
        <f t="array" ref="D74">W74</f>
        <v>17.4807549116434</v>
      </c>
      <c r="E74" s="836" cm="1">
        <f t="array" ref="E74">E73*(1+F74)</f>
        <v>48376.4236490327</v>
      </c>
      <c r="F74" s="837" cm="1">
        <f t="array" ref="F74">G74-SUM(F63:F73)</f>
        <v>0.0002</v>
      </c>
      <c r="G74" s="706" cm="1">
        <f t="array" ref="G74">'depto - Table 5'!$G$2</f>
        <v>0.05</v>
      </c>
      <c r="H74" s="706" cm="1">
        <f t="array" ref="H74">G74+4.95/100</f>
        <v>0.09950000000000001</v>
      </c>
      <c r="I74" s="247" cm="1">
        <f t="array" ref="I74">IF(J73=0,0,ROUND(D74*E74,0))</f>
        <v>845656</v>
      </c>
      <c r="J74" s="677" cm="1">
        <f t="array" ref="J74">IF(J73-BA74&lt;0,0,J73-BA74)</f>
        <v>2011.6281</v>
      </c>
      <c r="K74" s="679" cm="1">
        <f t="array" ref="K74">ROUND(J74*E74,0)</f>
        <v>97315373</v>
      </c>
      <c r="L74" s="679" cm="1">
        <f t="array" ref="L74">K74-K73</f>
        <v>-450356</v>
      </c>
      <c r="M74" s="681" cm="1">
        <f t="array" ref="M74">Q74-J74</f>
        <v>3388.3719</v>
      </c>
      <c r="N74" s="679" cm="1">
        <f t="array" ref="N74">ROUND(M74*E74,0)</f>
        <v>163917315</v>
      </c>
      <c r="O74" s="596" cm="1">
        <f t="array" ref="O74">$J$5-J74</f>
        <v>1938.3719</v>
      </c>
      <c r="P74" s="679" cm="1">
        <f t="array" ref="P74">N74-N73</f>
        <v>502593</v>
      </c>
      <c r="Q74" s="596">
        <v>5400</v>
      </c>
      <c r="R74" s="679" cm="1">
        <f t="array" ref="R74">Q74*E74</f>
        <v>261232687.704777</v>
      </c>
      <c r="S74" s="247" cm="1">
        <f t="array" ref="S74">-P74</f>
        <v>-502593</v>
      </c>
      <c r="T74" s="690"/>
      <c r="U74" s="716" cm="1">
        <f t="array" ref="U74">J73*4.95/12/100/(1-(1+4.95/12/100)^-(360-$A74+3))+AT74</f>
        <v>13.0133415956822</v>
      </c>
      <c r="V74" s="705" cm="1">
        <f t="array" ref="V74">IF(V$3*12&lt;=$A74,0,$J73*'depto - Departamento'!$D$8/12/(1-(1+'depto - Departamento'!$D$8/12)^-(12*V$3-$A74+3))+$AT75)</f>
        <v>14.6315351338893</v>
      </c>
      <c r="W74" s="597" cm="1">
        <f t="array" ref="W74">IF(W$3*12&lt;=$A74,0,$J73*'depto - Departamento'!$D$8/12/(1-(1+'depto - Departamento'!$D$8/12)^-(12*W$3-$A74+3))+$AT76)</f>
        <v>17.4807549116434</v>
      </c>
      <c r="X74" s="597" cm="1">
        <f t="array" ref="X74">IF(X$3*12&lt;=$A74,0,$J73*'depto - Departamento'!$D$8/12/(1-(1+'depto - Departamento'!$D$8/12)^-(12*X$3-$A74+3))+$AT76)</f>
        <v>23.5288202597685</v>
      </c>
      <c r="Y74" s="597" cm="1">
        <f t="array" ref="Y74">IF(Y$3*12&lt;=$A74,0,$J73*'depto - Departamento'!$D$8/12/(1-(1+'depto - Departamento'!$D$8/12)^-(12*Y$3-$A74+3))+$AT75)</f>
        <v>31.8070895889811</v>
      </c>
      <c r="Z74" s="597" cm="1">
        <f t="array" ref="Z74">IF(Z$3*12&lt;=$A74,0,$J73*'depto - Departamento'!$D$8/12/(1-(1+'depto - Departamento'!$D$8/12)^-(12*Z$3-$A74+3))+$AT75)</f>
        <v>43.6505226152307</v>
      </c>
      <c r="AA74" s="597" cm="1">
        <f t="array" ref="AA74">IF(AA$3*12&lt;=$A74,0,$J73*'depto - Departamento'!$D$8/12/(1-(1+'depto - Departamento'!$D$8/12)^-(12*AA$3-$A74+3))+$AT75)</f>
        <v>0</v>
      </c>
      <c r="AB74" s="705" cm="1">
        <f t="array" ref="AB74">AB73-(AB72-AB73)</f>
        <v>79.2093</v>
      </c>
      <c r="AC74" s="597"/>
      <c r="AD74" s="717" cm="1">
        <f t="array" ref="AD74">$E74*U74</f>
        <v>629538.926122301</v>
      </c>
      <c r="AE74" s="704" cm="1">
        <f t="array" ref="AE74">$E74*V74</f>
        <v>707821.342272735</v>
      </c>
      <c r="AF74" s="247" cm="1">
        <f t="array" ref="AF74">$E74*W74</f>
        <v>845656.40531057</v>
      </c>
      <c r="AG74" s="247" cm="1">
        <f t="array" ref="AG74">$E74*X74</f>
        <v>1138240.1768485</v>
      </c>
      <c r="AH74" s="247" cm="1">
        <f t="array" ref="AH74">$E74*Y74</f>
        <v>1538713.24099929</v>
      </c>
      <c r="AI74" s="247" cm="1">
        <f t="array" ref="AI74">$E74*Z74</f>
        <v>2111656.17453608</v>
      </c>
      <c r="AJ74" s="247" cm="1">
        <f t="array" ref="AJ74">$E74*AA74</f>
        <v>0</v>
      </c>
      <c r="AK74" s="704" cm="1">
        <f t="array" ref="AK74">$E74*AB74</f>
        <v>3831862.65374333</v>
      </c>
      <c r="AL74" s="597"/>
      <c r="AM74" s="691" cm="1">
        <f t="array" ref="AM74">J72-J74</f>
        <v>19.4398</v>
      </c>
      <c r="AN74" s="691" cm="1">
        <f t="array" ref="AN74">D74-AM74</f>
        <v>-1.9590450883566</v>
      </c>
      <c r="AO74" s="597"/>
      <c r="AP74" s="684" cm="1">
        <f t="array" ref="AP74">ROUND(AQ74*E74,0)</f>
        <v>50031</v>
      </c>
      <c r="AQ74" s="692">
        <v>1.0342</v>
      </c>
      <c r="AR74" s="684" cm="1">
        <f t="array" ref="AR74">ROUND(E74*AS74,0)</f>
        <v>3807</v>
      </c>
      <c r="AS74" s="692" cm="1">
        <f t="array" ref="AS74">0.0787</f>
        <v>0.07870000000000001</v>
      </c>
      <c r="AT74" s="693" cm="1">
        <f t="array" ref="AT74">SUM(AQ74,AS74)</f>
        <v>1.1129</v>
      </c>
      <c r="AU74" s="684" cm="1">
        <f t="array" ref="AU74">ROUND(SUM(AQ74,AS74)*E74,0)</f>
        <v>53838</v>
      </c>
      <c r="AV74" s="685">
        <v>112242</v>
      </c>
      <c r="AW74" s="694" cm="1">
        <f t="array" ref="AW74">ROUND(AV74/$E74,4)</f>
        <v>2.3202</v>
      </c>
      <c r="AX74" s="685" cm="1">
        <f t="array" ref="AX74">I74-SUM(AU74,AV74,BB74)</f>
        <v>357667</v>
      </c>
      <c r="AY74" s="694" cm="1">
        <f t="array" ref="AY74">ROUND(AX74/$E74,4)</f>
        <v>7.3934</v>
      </c>
      <c r="AZ74" s="686" cm="1">
        <f t="array" ref="AZ74">AX74+AV74</f>
        <v>469909</v>
      </c>
      <c r="BA74" s="694" cm="1">
        <f t="array" ref="BA74">ROUND((AV74+AX74)/E74,4)</f>
        <v>9.7136</v>
      </c>
      <c r="BB74" s="687">
        <v>321909</v>
      </c>
      <c r="BC74" s="695" cm="1">
        <f t="array" ref="BC74">ROUND(BB74/$E74,4)</f>
        <v>6.6543</v>
      </c>
      <c r="BD74" s="679" cm="1">
        <f t="array" ref="BD74">K73-K74</f>
        <v>450356</v>
      </c>
      <c r="BE74" s="679" cm="1">
        <f t="array" ref="BE74">AZ74-BD74</f>
        <v>19553</v>
      </c>
      <c r="BF74" s="679" cm="1">
        <f t="array" ref="BF74">-BE74</f>
        <v>-19553</v>
      </c>
      <c r="BG74" s="679" cm="1">
        <f t="array" ref="BG74">BB74+BE74</f>
        <v>341462</v>
      </c>
      <c r="BH74" s="679" cm="1">
        <f t="array" ref="BH74">AVERAGE(BG71:BG72,BG74)</f>
        <v>612541.333333333</v>
      </c>
      <c r="BI74" s="699" cm="1">
        <f t="array" ref="BI74">BC72-BC74</f>
        <v>0.0259</v>
      </c>
      <c r="BJ74" s="596" cm="1">
        <f t="array" ref="BJ74">J73*0.0495/12-0.16</f>
        <v>8.1780345125</v>
      </c>
      <c r="BK74" s="698" cm="1">
        <f t="array" ref="BK74">(AV74+AX74)/BB74</f>
        <v>1.45975726059228</v>
      </c>
      <c r="BL74" s="698" cm="1">
        <f t="array" ref="BL74">U74-AW74</f>
        <v>10.6931415956822</v>
      </c>
      <c r="BM74" s="698" cm="1">
        <f t="array" ref="BM74">(BN$2*(1+BN$2)^BM$2*J72)/((1+BN$2)^BM$2-1)</f>
        <v>10.8412310840489</v>
      </c>
      <c r="BN74" s="698"/>
      <c r="BO74" s="247" cm="1">
        <f t="array" ref="BO74">AV74+AX74+BO73</f>
        <v>79514113</v>
      </c>
      <c r="BP74" s="247" cm="1">
        <f t="array" ref="BP74">BB74+BP73</f>
        <v>25701939</v>
      </c>
      <c r="BQ74" s="596" cm="1">
        <f t="array" ref="BQ74">BA74+BQ73</f>
        <v>1972.0264</v>
      </c>
      <c r="BR74" s="596" cm="1">
        <f t="array" ref="BR74">BC74+BR73</f>
        <v>618.7134</v>
      </c>
      <c r="BS74" s="247" cm="1">
        <f t="array" ref="BS74">SUM(BE$6:BE74)</f>
        <v>30196954</v>
      </c>
      <c r="BT74" s="596"/>
      <c r="BU74" s="596"/>
      <c r="BV74" s="247" cm="1">
        <f t="array" ref="BV74">SUM(AZ$6:AZ74)</f>
        <v>79514113</v>
      </c>
      <c r="BW74" s="596"/>
      <c r="BX74" s="596"/>
    </row>
    <row r="75" ht="19.35" customHeight="1">
      <c r="A75" s="689">
        <v>71</v>
      </c>
      <c r="B75" s="675">
        <v>47494</v>
      </c>
      <c r="C75" s="247"/>
      <c r="D75" s="597" cm="1">
        <f t="array" ref="D75">W75</f>
        <v>17.467066093488</v>
      </c>
      <c r="E75" s="731" cm="1">
        <f t="array" ref="E75">E74*(1+F75)</f>
        <v>47447.5963149713</v>
      </c>
      <c r="F75" s="835" cm="1">
        <f t="array" ref="F75">G75-SUM(F64:F74)</f>
        <v>-0.0192</v>
      </c>
      <c r="G75" s="676" cm="1">
        <f t="array" ref="G75">'depto - Table 5'!$J$2</f>
        <v>0.03</v>
      </c>
      <c r="H75" s="676" cm="1">
        <f t="array" ref="H75">G75+4.95/100</f>
        <v>0.0795</v>
      </c>
      <c r="I75" s="247" cm="1">
        <f t="array" ref="I75">IF(J74=0,0,ROUND(D75*E75,0))</f>
        <v>828770</v>
      </c>
      <c r="J75" s="677" cm="1">
        <f t="array" ref="J75">IF(J74-BA75&lt;0,0,J74-BA75)</f>
        <v>2002.0584</v>
      </c>
      <c r="K75" s="679" cm="1">
        <f t="array" ref="K75">ROUND(J75*E75,0)</f>
        <v>94992859</v>
      </c>
      <c r="L75" s="679" cm="1">
        <f t="array" ref="L75">K75-K74</f>
        <v>-2322514</v>
      </c>
      <c r="M75" s="681" cm="1">
        <f t="array" ref="M75">Q75-J75</f>
        <v>3397.9416</v>
      </c>
      <c r="N75" s="679" cm="1">
        <f t="array" ref="N75">ROUND(M75*E75,0)</f>
        <v>161224161</v>
      </c>
      <c r="O75" s="596" cm="1">
        <f t="array" ref="O75">$J$5-J75</f>
        <v>1947.9416</v>
      </c>
      <c r="P75" s="679" cm="1">
        <f t="array" ref="P75">N75-N74</f>
        <v>-2693154</v>
      </c>
      <c r="Q75" s="596">
        <v>5400</v>
      </c>
      <c r="R75" s="679" cm="1">
        <f t="array" ref="R75">Q75*E75</f>
        <v>256217020.100845</v>
      </c>
      <c r="S75" s="247" cm="1">
        <f t="array" ref="S75">-P75</f>
        <v>2693154</v>
      </c>
      <c r="T75" s="690"/>
      <c r="U75" s="682" cm="1">
        <f t="array" ref="U75">J74*4.95/12/100/(1-(1+4.95/12/100)^-(360-$A75+3))+AT75</f>
        <v>12.9770631422818</v>
      </c>
      <c r="V75" s="597" cm="1">
        <f t="array" ref="V75">IF(V$3*12&lt;=$A75,0,$J74*'depto - Departamento'!$D$8/12/(1-(1+'depto - Departamento'!$D$8/12)^-(12*V$3-$A75+3))+$AT76)</f>
        <v>14.6011407548486</v>
      </c>
      <c r="W75" s="597" cm="1">
        <f t="array" ref="W75">IF(W$3*12&lt;=$A75,0,$J74*'depto - Departamento'!$D$8/12/(1-(1+'depto - Departamento'!$D$8/12)^-(12*W$3-$A75+3))+$AT77)</f>
        <v>17.467066093488</v>
      </c>
      <c r="X75" s="597" cm="1">
        <f t="array" ref="X75">IF(X$3*12&lt;=$A75,0,$J74*'depto - Departamento'!$D$8/12/(1-(1+'depto - Departamento'!$D$8/12)^-(12*X$3-$A75+3))+$AT77)</f>
        <v>23.5775579895114</v>
      </c>
      <c r="Y75" s="597" cm="1">
        <f t="array" ref="Y75">IF(Y$3*12&lt;=$A75,0,$J74*'depto - Departamento'!$D$8/12/(1-(1+'depto - Departamento'!$D$8/12)^-(12*Y$3-$A75+3))+$AT76)</f>
        <v>32.0012145457083</v>
      </c>
      <c r="Z75" s="597" cm="1">
        <f t="array" ref="Z75">IF(Z$3*12&lt;=$A75,0,$J74*'depto - Departamento'!$D$8/12/(1-(1+'depto - Departamento'!$D$8/12)^-(12*Z$3-$A75+3))+$AT76)</f>
        <v>44.1746802560148</v>
      </c>
      <c r="AA75" s="597" cm="1">
        <f t="array" ref="AA75">IF(AA$3*12&lt;=$A75,0,$J74*'depto - Departamento'!$D$8/12/(1-(1+'depto - Departamento'!$D$8/12)^-(12*AA$3-$A75+3))+$AT76)</f>
        <v>0</v>
      </c>
      <c r="AB75" s="597" cm="1">
        <f t="array" ref="AB75">AB74-(AB73-AB74)</f>
        <v>79.1969</v>
      </c>
      <c r="AC75" s="597"/>
      <c r="AD75" s="696" cm="1">
        <f t="array" ref="AD75">$E75*U75</f>
        <v>615730.45332888</v>
      </c>
      <c r="AE75" s="247" cm="1">
        <f t="array" ref="AE75">$E75*V75</f>
        <v>692789.032274132</v>
      </c>
      <c r="AF75" s="247" cm="1">
        <f t="array" ref="AF75">$E75*W75</f>
        <v>828770.300810741</v>
      </c>
      <c r="AG75" s="247" cm="1">
        <f t="array" ref="AG75">$E75*X75</f>
        <v>1118698.45357916</v>
      </c>
      <c r="AH75" s="247" cm="1">
        <f t="array" ref="AH75">$E75*Y75</f>
        <v>1518380.70935356</v>
      </c>
      <c r="AI75" s="247" cm="1">
        <f t="array" ref="AI75">$E75*Z75</f>
        <v>2095982.39613032</v>
      </c>
      <c r="AJ75" s="247" cm="1">
        <f t="array" ref="AJ75">$E75*AA75</f>
        <v>0</v>
      </c>
      <c r="AK75" s="247" cm="1">
        <f t="array" ref="AK75">$E75*AB75</f>
        <v>3757702.54059715</v>
      </c>
      <c r="AL75" s="597"/>
      <c r="AM75" s="691" cm="1">
        <f t="array" ref="AM75">J73-J75</f>
        <v>19.2833</v>
      </c>
      <c r="AN75" s="691" cm="1">
        <f t="array" ref="AN75">D75-AM75</f>
        <v>-1.816233906512</v>
      </c>
      <c r="AO75" s="597"/>
      <c r="AP75" s="684" cm="1">
        <f t="array" ref="AP75">ROUND(AQ75*E75,0)</f>
        <v>49070</v>
      </c>
      <c r="AQ75" s="692">
        <v>1.0342</v>
      </c>
      <c r="AR75" s="684" cm="1">
        <f t="array" ref="AR75">ROUND(E75*AS75,0)</f>
        <v>3734</v>
      </c>
      <c r="AS75" s="692" cm="1">
        <f t="array" ref="AS75">0.0787</f>
        <v>0.07870000000000001</v>
      </c>
      <c r="AT75" s="693" cm="1">
        <f t="array" ref="AT75">SUM(AQ75,AS75)</f>
        <v>1.1129</v>
      </c>
      <c r="AU75" s="684" cm="1">
        <f t="array" ref="AU75">ROUND(SUM(AQ75,AS75)*E75,0)</f>
        <v>52804</v>
      </c>
      <c r="AV75" s="685">
        <v>112242</v>
      </c>
      <c r="AW75" s="694" cm="1">
        <f t="array" ref="AW75">ROUND(AV75/$E75,4)</f>
        <v>2.3656</v>
      </c>
      <c r="AX75" s="685" cm="1">
        <f t="array" ref="AX75">I75-SUM(AU75,AV75,BB75)</f>
        <v>341815</v>
      </c>
      <c r="AY75" s="694" cm="1">
        <f t="array" ref="AY75">ROUND(AX75/$E75,4)</f>
        <v>7.2041</v>
      </c>
      <c r="AZ75" s="686" cm="1">
        <f t="array" ref="AZ75">AX75+AV75</f>
        <v>454057</v>
      </c>
      <c r="BA75" s="694" cm="1">
        <f t="array" ref="BA75">ROUND((AV75+AX75)/E75,4)</f>
        <v>9.569699999999999</v>
      </c>
      <c r="BB75" s="687">
        <v>321909</v>
      </c>
      <c r="BC75" s="695" cm="1">
        <f t="array" ref="BC75">ROUND(BB75/$E75,4)</f>
        <v>6.7845</v>
      </c>
      <c r="BD75" s="679" cm="1">
        <f t="array" ref="BD75">K74-K75</f>
        <v>2322514</v>
      </c>
      <c r="BE75" s="679" cm="1">
        <f t="array" ref="BE75">AZ75-BD75</f>
        <v>-1868457</v>
      </c>
      <c r="BF75" s="679" cm="1">
        <f t="array" ref="BF75">-BE75</f>
        <v>1868457</v>
      </c>
      <c r="BG75" s="679" cm="1">
        <f t="array" ref="BG75">BB75+BE75</f>
        <v>-1546548</v>
      </c>
      <c r="BH75" s="679" cm="1">
        <f t="array" ref="BH75">AVERAGE(BG72:BG73,BG75)</f>
        <v>-170367</v>
      </c>
      <c r="BI75" s="699" cm="1">
        <f t="array" ref="BI75">BC73-BC75</f>
        <v>-0.1289</v>
      </c>
      <c r="BJ75" s="596" cm="1">
        <f t="array" ref="BJ75">J74*0.0495/12-0.16</f>
        <v>8.1379659125</v>
      </c>
      <c r="BK75" s="698" cm="1">
        <f t="array" ref="BK75">(AV75+AX75)/BB75</f>
        <v>1.41051353022127</v>
      </c>
      <c r="BL75" s="698" cm="1">
        <f t="array" ref="BL75">U75-AW75</f>
        <v>10.6114631422818</v>
      </c>
      <c r="BM75" s="698" cm="1">
        <f t="array" ref="BM75">(BN$2*(1+BN$2)^BM$2*J73)/((1+BN$2)^BM$2-1)</f>
        <v>10.7893155465281</v>
      </c>
      <c r="BN75" s="698"/>
      <c r="BO75" s="247" cm="1">
        <f t="array" ref="BO75">AV75+AX75+BO74</f>
        <v>79968170</v>
      </c>
      <c r="BP75" s="247" cm="1">
        <f t="array" ref="BP75">BB75+BP74</f>
        <v>26023848</v>
      </c>
      <c r="BQ75" s="596" cm="1">
        <f t="array" ref="BQ75">BA75+BQ74</f>
        <v>1981.5961</v>
      </c>
      <c r="BR75" s="596" cm="1">
        <f t="array" ref="BR75">BC75+BR74</f>
        <v>625.4979</v>
      </c>
      <c r="BS75" s="247" cm="1">
        <f t="array" ref="BS75">SUM(BE$6:BE75)</f>
        <v>28328497</v>
      </c>
      <c r="BT75" s="596"/>
      <c r="BU75" s="596"/>
      <c r="BV75" s="247" cm="1">
        <f t="array" ref="BV75">SUM(AZ$6:AZ75)</f>
        <v>79968170</v>
      </c>
      <c r="BW75" s="596"/>
      <c r="BX75" s="596"/>
    </row>
    <row r="76" ht="19.35" customHeight="1">
      <c r="A76" s="689">
        <v>72</v>
      </c>
      <c r="B76" s="675">
        <v>47525</v>
      </c>
      <c r="C76" s="247"/>
      <c r="D76" s="597" cm="1">
        <f t="array" ref="D76">W76</f>
        <v>17.4547121433129</v>
      </c>
      <c r="E76" s="731" cm="1">
        <f t="array" ref="E76">E75*(1+F76)</f>
        <v>47461.8305938658</v>
      </c>
      <c r="F76" s="835" cm="1">
        <f t="array" ref="F76">G76-SUM(F65:F75)</f>
        <v>0.0003</v>
      </c>
      <c r="G76" s="676" cm="1">
        <f t="array" ref="G76">'depto - Table 5'!$J$2</f>
        <v>0.03</v>
      </c>
      <c r="H76" s="676" cm="1">
        <f t="array" ref="H76">G76+4.95/100</f>
        <v>0.0795</v>
      </c>
      <c r="I76" s="247" cm="1">
        <f t="array" ref="I76">IF(J75=0,0,ROUND(D76*E76,0))</f>
        <v>828433</v>
      </c>
      <c r="J76" s="677" cm="1">
        <f t="array" ref="J76">IF(J75-BA76&lt;0,0,J75-BA76)</f>
        <v>1992.4991</v>
      </c>
      <c r="K76" s="679" cm="1">
        <f t="array" ref="K76">ROUND(J76*E76,0)</f>
        <v>94567655</v>
      </c>
      <c r="L76" s="679" cm="1">
        <f t="array" ref="L76">K76-K75</f>
        <v>-425204</v>
      </c>
      <c r="M76" s="681" cm="1">
        <f t="array" ref="M76">Q76-J76</f>
        <v>3407.5009</v>
      </c>
      <c r="N76" s="679" cm="1">
        <f t="array" ref="N76">ROUND(M76*E76,0)</f>
        <v>161726230</v>
      </c>
      <c r="O76" s="596" cm="1">
        <f t="array" ref="O76">$J$5-J76</f>
        <v>1957.5009</v>
      </c>
      <c r="P76" s="679" cm="1">
        <f t="array" ref="P76">N76-N75</f>
        <v>502069</v>
      </c>
      <c r="Q76" s="596">
        <v>5400</v>
      </c>
      <c r="R76" s="679" cm="1">
        <f t="array" ref="R76">Q76*E76</f>
        <v>256293885.206875</v>
      </c>
      <c r="S76" s="247" cm="1">
        <f t="array" ref="S76">-P76</f>
        <v>-502069</v>
      </c>
      <c r="T76" s="690"/>
      <c r="U76" s="682" cm="1">
        <f t="array" ref="U76">J75*4.95/12/100/(1-(1+4.95/12/100)^-(360-$A76+3))+AT76</f>
        <v>12.9415928531474</v>
      </c>
      <c r="V76" s="597" cm="1">
        <f t="array" ref="V76">IF(V$3*12&lt;=$A76,0,$J75*'depto - Departamento'!$D$8/12/(1-(1+'depto - Departamento'!$D$8/12)^-(12*V$3-$A76+3))+$AT77)</f>
        <v>14.5717001511311</v>
      </c>
      <c r="W76" s="597" cm="1">
        <f t="array" ref="W76">IF(W$3*12&lt;=$A76,0,$J75*'depto - Departamento'!$D$8/12/(1-(1+'depto - Departamento'!$D$8/12)^-(12*W$3-$A76+3))+$AT78)</f>
        <v>17.4547121433129</v>
      </c>
      <c r="X76" s="597" cm="1">
        <f t="array" ref="X76">IF(X$3*12&lt;=$A76,0,$J75*'depto - Departamento'!$D$8/12/(1-(1+'depto - Departamento'!$D$8/12)^-(12*X$3-$A76+3))+$AT78)</f>
        <v>23.6292585402108</v>
      </c>
      <c r="Y76" s="597" cm="1">
        <f t="array" ref="Y76">IF(Y$3*12&lt;=$A76,0,$J75*'depto - Departamento'!$D$8/12/(1-(1+'depto - Departamento'!$D$8/12)^-(12*Y$3-$A76+3))+$AT77)</f>
        <v>32.2034157811023</v>
      </c>
      <c r="Z76" s="597" cm="1">
        <f t="array" ref="Z76">IF(Z$3*12&lt;=$A76,0,$J75*'depto - Departamento'!$D$8/12/(1-(1+'depto - Departamento'!$D$8/12)^-(12*Z$3-$A76+3))+$AT77)</f>
        <v>44.7234804055633</v>
      </c>
      <c r="AA76" s="597" cm="1">
        <f t="array" ref="AA76">IF(AA$3*12&lt;=$A76,0,$J75*'depto - Departamento'!$D$8/12/(1-(1+'depto - Departamento'!$D$8/12)^-(12*AA$3-$A76+3))+$AT77)</f>
        <v>0</v>
      </c>
      <c r="AB76" s="597" cm="1">
        <f t="array" ref="AB76">AB75-(AB74-AB75)</f>
        <v>79.1845</v>
      </c>
      <c r="AC76" s="597"/>
      <c r="AD76" s="696" cm="1">
        <f t="array" ref="AD76">$E76*U76</f>
        <v>614231.687610866</v>
      </c>
      <c r="AE76" s="247" cm="1">
        <f t="array" ref="AE76">$E76*V76</f>
        <v>691599.564037593</v>
      </c>
      <c r="AF76" s="247" cm="1">
        <f t="array" ref="AF76">$E76*W76</f>
        <v>828432.5908106091</v>
      </c>
      <c r="AG76" s="247" cm="1">
        <f t="array" ref="AG76">$E76*X76</f>
        <v>1121487.86589414</v>
      </c>
      <c r="AH76" s="247" cm="1">
        <f t="array" ref="AH76">$E76*Y76</f>
        <v>1528433.0643465</v>
      </c>
      <c r="AI76" s="247" cm="1">
        <f t="array" ref="AI76">$E76*Z76</f>
        <v>2122658.25057692</v>
      </c>
      <c r="AJ76" s="247" cm="1">
        <f t="array" ref="AJ76">$E76*AA76</f>
        <v>0</v>
      </c>
      <c r="AK76" s="247" cm="1">
        <f t="array" ref="AK76">$E76*AB76</f>
        <v>3758241.32465997</v>
      </c>
      <c r="AL76" s="597"/>
      <c r="AM76" s="691" cm="1">
        <f t="array" ref="AM76">J74-J76</f>
        <v>19.129</v>
      </c>
      <c r="AN76" s="691" cm="1">
        <f t="array" ref="AN76">D76-AM76</f>
        <v>-1.6742878566871</v>
      </c>
      <c r="AO76" s="597"/>
      <c r="AP76" s="684" cm="1">
        <f t="array" ref="AP76">ROUND(AQ76*E76,0)</f>
        <v>49085</v>
      </c>
      <c r="AQ76" s="692">
        <v>1.0342</v>
      </c>
      <c r="AR76" s="684" cm="1">
        <f t="array" ref="AR76">ROUND(E76*AS76,0)</f>
        <v>3735</v>
      </c>
      <c r="AS76" s="692" cm="1">
        <f t="array" ref="AS76">0.0787</f>
        <v>0.07870000000000001</v>
      </c>
      <c r="AT76" s="693" cm="1">
        <f t="array" ref="AT76">SUM(AQ76,AS76)</f>
        <v>1.1129</v>
      </c>
      <c r="AU76" s="684" cm="1">
        <f t="array" ref="AU76">ROUND(SUM(AQ76,AS76)*E76,0)</f>
        <v>52820</v>
      </c>
      <c r="AV76" s="685">
        <v>112242</v>
      </c>
      <c r="AW76" s="694" cm="1">
        <f t="array" ref="AW76">ROUND(AV76/$E76,4)</f>
        <v>2.3649</v>
      </c>
      <c r="AX76" s="685" cm="1">
        <f t="array" ref="AX76">I76-SUM(AU76,AV76,BB76)</f>
        <v>341462</v>
      </c>
      <c r="AY76" s="694" cm="1">
        <f t="array" ref="AY76">ROUND(AX76/$E76,4)</f>
        <v>7.1945</v>
      </c>
      <c r="AZ76" s="686" cm="1">
        <f t="array" ref="AZ76">AX76+AV76</f>
        <v>453704</v>
      </c>
      <c r="BA76" s="694" cm="1">
        <f t="array" ref="BA76">ROUND((AV76+AX76)/E76,4)</f>
        <v>9.5593</v>
      </c>
      <c r="BB76" s="687">
        <v>321909</v>
      </c>
      <c r="BC76" s="695" cm="1">
        <f t="array" ref="BC76">ROUND(BB76/$E76,4)</f>
        <v>6.7825</v>
      </c>
      <c r="BD76" s="679" cm="1">
        <f t="array" ref="BD76">K75-K76</f>
        <v>425204</v>
      </c>
      <c r="BE76" s="679" cm="1">
        <f t="array" ref="BE76">AZ76-BD76</f>
        <v>28500</v>
      </c>
      <c r="BF76" s="679" cm="1">
        <f t="array" ref="BF76">-BE76</f>
        <v>-28500</v>
      </c>
      <c r="BG76" s="679" cm="1">
        <f t="array" ref="BG76">BB76+BE76</f>
        <v>350409</v>
      </c>
      <c r="BH76" s="679" cm="1">
        <f t="array" ref="BH76">AVERAGE(BG73:BG74,BG76)</f>
        <v>458638.333333333</v>
      </c>
      <c r="BI76" s="699" cm="1">
        <f t="array" ref="BI76">BC74-BC76</f>
        <v>-0.1282</v>
      </c>
      <c r="BJ76" s="596" cm="1">
        <f t="array" ref="BJ76">J75*0.0495/12-0.16</f>
        <v>8.0984909</v>
      </c>
      <c r="BK76" s="698" cm="1">
        <f t="array" ref="BK76">(AV76+AX76)/BB76</f>
        <v>1.4094169470254</v>
      </c>
      <c r="BL76" s="698" cm="1">
        <f t="array" ref="BL76">U76-AW76</f>
        <v>10.5766928531474</v>
      </c>
      <c r="BM76" s="698" cm="1">
        <f t="array" ref="BM76">(BN$2*(1+BN$2)^BM$2*J74)/((1+BN$2)^BM$2-1)</f>
        <v>10.7374672640271</v>
      </c>
      <c r="BN76" s="698"/>
      <c r="BO76" s="247" cm="1">
        <f t="array" ref="BO76">AV76+AX76+BO75</f>
        <v>80421874</v>
      </c>
      <c r="BP76" s="247" cm="1">
        <f t="array" ref="BP76">BB76+BP75</f>
        <v>26345757</v>
      </c>
      <c r="BQ76" s="596" cm="1">
        <f t="array" ref="BQ76">BA76+BQ75</f>
        <v>1991.1554</v>
      </c>
      <c r="BR76" s="596" cm="1">
        <f t="array" ref="BR76">BC76+BR75</f>
        <v>632.2804</v>
      </c>
      <c r="BS76" s="247" cm="1">
        <f t="array" ref="BS76">SUM(BE$6:BE76)</f>
        <v>28356997</v>
      </c>
      <c r="BT76" s="596"/>
      <c r="BU76" s="596"/>
      <c r="BV76" s="247" cm="1">
        <f t="array" ref="BV76">SUM(AZ$6:AZ76)</f>
        <v>80421874</v>
      </c>
      <c r="BW76" s="596"/>
      <c r="BX76" s="596"/>
    </row>
    <row r="77" ht="19.35" customHeight="1">
      <c r="A77" s="689">
        <v>73</v>
      </c>
      <c r="B77" s="675">
        <v>47553</v>
      </c>
      <c r="C77" s="247"/>
      <c r="D77" s="597" cm="1">
        <f t="array" ref="D77">W77</f>
        <v>17.4426156192258</v>
      </c>
      <c r="E77" s="731" cm="1">
        <f t="array" ref="E77">E76*(1+F77)</f>
        <v>47637.4393670631</v>
      </c>
      <c r="F77" s="835" cm="1">
        <f t="array" ref="F77">G77-SUM(F66:F76)</f>
        <v>0.0037</v>
      </c>
      <c r="G77" s="676" cm="1">
        <f t="array" ref="G77">'depto - Table 5'!$J$2</f>
        <v>0.03</v>
      </c>
      <c r="H77" s="676" cm="1">
        <f t="array" ref="H77">G77+4.95/100</f>
        <v>0.0795</v>
      </c>
      <c r="I77" s="247" cm="1">
        <f t="array" ref="I77">IF(J76=0,0,ROUND(D77*E77,0))</f>
        <v>830922</v>
      </c>
      <c r="J77" s="677" cm="1">
        <f t="array" ref="J77">IF(J76-BA77&lt;0,0,J76-BA77)</f>
        <v>1982.9269</v>
      </c>
      <c r="K77" s="679" cm="1">
        <f t="array" ref="K77">ROUND(J77*E77,0)</f>
        <v>94461560</v>
      </c>
      <c r="L77" s="679" cm="1">
        <f t="array" ref="L77">K77-K76</f>
        <v>-106095</v>
      </c>
      <c r="M77" s="681" cm="1">
        <f t="array" ref="M77">Q77-J77</f>
        <v>3417.0731</v>
      </c>
      <c r="N77" s="679" cm="1">
        <f t="array" ref="N77">ROUND(M77*E77,0)</f>
        <v>162780613</v>
      </c>
      <c r="O77" s="596" cm="1">
        <f t="array" ref="O77">$J$5-J77</f>
        <v>1967.0731</v>
      </c>
      <c r="P77" s="679" cm="1">
        <f t="array" ref="P77">N77-N76</f>
        <v>1054383</v>
      </c>
      <c r="Q77" s="596">
        <v>5400</v>
      </c>
      <c r="R77" s="679" cm="1">
        <f t="array" ref="R77">Q77*E77</f>
        <v>257242172.582141</v>
      </c>
      <c r="S77" s="247" cm="1">
        <f t="array" ref="S77">-P77</f>
        <v>-1054383</v>
      </c>
      <c r="T77" s="690"/>
      <c r="U77" s="682" cm="1">
        <f t="array" ref="U77">J76*4.95/12/100/(1-(1+4.95/12/100)^-(360-$A77+3))+AT77</f>
        <v>12.9061444570383</v>
      </c>
      <c r="V77" s="597" cm="1">
        <f t="array" ref="V77">IF(V$3*12&lt;=$A77,0,$J76*'depto - Departamento'!$D$8/12/(1-(1+'depto - Departamento'!$D$8/12)^-(12*V$3-$A77+3))+$AT78)</f>
        <v>14.5423206045216</v>
      </c>
      <c r="W77" s="597" cm="1">
        <f t="array" ref="W77">IF(W$3*12&lt;=$A77,0,$J76*'depto - Departamento'!$D$8/12/(1-(1+'depto - Departamento'!$D$8/12)^-(12*W$3-$A77+3))+$AT79)</f>
        <v>17.4426156192258</v>
      </c>
      <c r="X77" s="597" cm="1">
        <f t="array" ref="X77">IF(X$3*12&lt;=$A77,0,$J76*'depto - Departamento'!$D$8/12/(1-(1+'depto - Departamento'!$D$8/12)^-(12*X$3-$A77+3))+$AT79)</f>
        <v>23.6824804967855</v>
      </c>
      <c r="Y77" s="597" cm="1">
        <f t="array" ref="Y77">IF(Y$3*12&lt;=$A77,0,$J76*'depto - Departamento'!$D$8/12/(1-(1+'depto - Departamento'!$D$8/12)^-(12*Y$3-$A77+3))+$AT78)</f>
        <v>32.4119092953166</v>
      </c>
      <c r="Z77" s="597" cm="1">
        <f t="array" ref="Z77">IF(Z$3*12&lt;=$A77,0,$J76*'depto - Departamento'!$D$8/12/(1-(1+'depto - Departamento'!$D$8/12)^-(12*Z$3-$A77+3))+$AT78)</f>
        <v>45.2954206666048</v>
      </c>
      <c r="AA77" s="597" cm="1">
        <f t="array" ref="AA77">IF(AA$3*12&lt;=$A77,0,$J76*'depto - Departamento'!$D$8/12/(1-(1+'depto - Departamento'!$D$8/12)^-(12*AA$3-$A77+3))+$AT78)</f>
        <v>0</v>
      </c>
      <c r="AB77" s="597" cm="1">
        <f t="array" ref="AB77">AB76-(AB75-AB76)</f>
        <v>79.1721</v>
      </c>
      <c r="AC77" s="597"/>
      <c r="AD77" s="696" cm="1">
        <f t="array" ref="AD77">$E77*U77</f>
        <v>614815.6740347201</v>
      </c>
      <c r="AE77" s="247" cm="1">
        <f t="array" ref="AE77">$E77*V77</f>
        <v>692758.91605429</v>
      </c>
      <c r="AF77" s="247" cm="1">
        <f t="array" ref="AF77">$E77*W77</f>
        <v>830921.543963857</v>
      </c>
      <c r="AG77" s="247" cm="1">
        <f t="array" ref="AG77">$E77*X77</f>
        <v>1128172.72872727</v>
      </c>
      <c r="AH77" s="247" cm="1">
        <f t="array" ref="AH77">$E77*Y77</f>
        <v>1544020.36382639</v>
      </c>
      <c r="AI77" s="247" cm="1">
        <f t="array" ref="AI77">$E77*Z77</f>
        <v>2157757.855611</v>
      </c>
      <c r="AJ77" s="247" cm="1">
        <f t="array" ref="AJ77">$E77*AA77</f>
        <v>0</v>
      </c>
      <c r="AK77" s="247" cm="1">
        <f t="array" ref="AK77">$E77*AB77</f>
        <v>3771556.11331306</v>
      </c>
      <c r="AL77" s="597"/>
      <c r="AM77" s="691" cm="1">
        <f t="array" ref="AM77">J75-J77</f>
        <v>19.1315</v>
      </c>
      <c r="AN77" s="691" cm="1">
        <f t="array" ref="AN77">D77-AM77</f>
        <v>-1.6888843807742</v>
      </c>
      <c r="AO77" s="597"/>
      <c r="AP77" s="684" cm="1">
        <f t="array" ref="AP77">ROUND(AQ77*E77,0)</f>
        <v>49267</v>
      </c>
      <c r="AQ77" s="692">
        <v>1.0342</v>
      </c>
      <c r="AR77" s="684" cm="1">
        <f t="array" ref="AR77">ROUND(E77*AS77,0)</f>
        <v>3749</v>
      </c>
      <c r="AS77" s="692" cm="1">
        <f t="array" ref="AS77">0.0787</f>
        <v>0.07870000000000001</v>
      </c>
      <c r="AT77" s="693" cm="1">
        <f t="array" ref="AT77">SUM(AQ77,AS77)</f>
        <v>1.1129</v>
      </c>
      <c r="AU77" s="684" cm="1">
        <f t="array" ref="AU77">ROUND(SUM(AQ77,AS77)*E77,0)</f>
        <v>53016</v>
      </c>
      <c r="AV77" s="685">
        <v>112242</v>
      </c>
      <c r="AW77" s="694" cm="1">
        <f t="array" ref="AW77">ROUND(AV77/$E77,4)</f>
        <v>2.3562</v>
      </c>
      <c r="AX77" s="685" cm="1">
        <f t="array" ref="AX77">I77-SUM(AU77,AV77,BB77)</f>
        <v>343755</v>
      </c>
      <c r="AY77" s="694" cm="1">
        <f t="array" ref="AY77">ROUND(AX77/$E77,4)</f>
        <v>7.2161</v>
      </c>
      <c r="AZ77" s="686" cm="1">
        <f t="array" ref="AZ77">AX77+AV77</f>
        <v>455997</v>
      </c>
      <c r="BA77" s="694" cm="1">
        <f t="array" ref="BA77">ROUND((AV77+AX77)/E77,4)</f>
        <v>9.5722</v>
      </c>
      <c r="BB77" s="687">
        <v>321909</v>
      </c>
      <c r="BC77" s="695" cm="1">
        <f t="array" ref="BC77">ROUND(BB77/$E77,4)</f>
        <v>6.7575</v>
      </c>
      <c r="BD77" s="679" cm="1">
        <f t="array" ref="BD77">K76-K77</f>
        <v>106095</v>
      </c>
      <c r="BE77" s="679" cm="1">
        <f t="array" ref="BE77">AZ77-BD77</f>
        <v>349902</v>
      </c>
      <c r="BF77" s="679" cm="1">
        <f t="array" ref="BF77">-BE77</f>
        <v>-349902</v>
      </c>
      <c r="BG77" s="679" cm="1">
        <f t="array" ref="BG77">BB77+BE77</f>
        <v>671811</v>
      </c>
      <c r="BH77" s="679" cm="1">
        <f t="array" ref="BH77">AVERAGE(BG74:BG75,BG77)</f>
        <v>-177758.333333333</v>
      </c>
      <c r="BI77" s="699" cm="1">
        <f t="array" ref="BI77">BC75-BC77</f>
        <v>0.027</v>
      </c>
      <c r="BJ77" s="596" cm="1">
        <f t="array" ref="BJ77">J76*0.0495/12-0.16</f>
        <v>8.0590587875</v>
      </c>
      <c r="BK77" s="698" cm="1">
        <f t="array" ref="BK77">(AV77+AX77)/BB77</f>
        <v>1.4165400780966</v>
      </c>
      <c r="BL77" s="698" cm="1">
        <f t="array" ref="BL77">U77-AW77</f>
        <v>10.5499444570383</v>
      </c>
      <c r="BM77" s="698" cm="1">
        <f t="array" ref="BM77">(BN$2*(1+BN$2)^BM$2*J75)/((1+BN$2)^BM$2-1)</f>
        <v>10.6863870765528</v>
      </c>
      <c r="BN77" s="698"/>
      <c r="BO77" s="247" cm="1">
        <f t="array" ref="BO77">AV77+AX77+BO76</f>
        <v>80877871</v>
      </c>
      <c r="BP77" s="247" cm="1">
        <f t="array" ref="BP77">BB77+BP76</f>
        <v>26667666</v>
      </c>
      <c r="BQ77" s="596" cm="1">
        <f t="array" ref="BQ77">BA77+BQ76</f>
        <v>2000.7276</v>
      </c>
      <c r="BR77" s="596" cm="1">
        <f t="array" ref="BR77">BC77+BR76</f>
        <v>639.0379</v>
      </c>
      <c r="BS77" s="247" cm="1">
        <f t="array" ref="BS77">SUM(BE$6:BE77)</f>
        <v>28706899</v>
      </c>
      <c r="BT77" s="596"/>
      <c r="BU77" s="596"/>
      <c r="BV77" s="247" cm="1">
        <f t="array" ref="BV77">SUM(AZ$6:AZ77)</f>
        <v>80877871</v>
      </c>
      <c r="BW77" s="596"/>
      <c r="BX77" s="596"/>
    </row>
    <row r="78" ht="19.35" customHeight="1">
      <c r="A78" s="689">
        <v>74</v>
      </c>
      <c r="B78" s="675">
        <v>47584</v>
      </c>
      <c r="C78" s="247"/>
      <c r="D78" s="597" cm="1">
        <f t="array" ref="D78">W78</f>
        <v>17.4305884456221</v>
      </c>
      <c r="E78" s="731" cm="1">
        <f t="array" ref="E78">E77*(1+F78)</f>
        <v>47642.2031109998</v>
      </c>
      <c r="F78" s="835" cm="1">
        <f t="array" ref="F78">G78-SUM(F67:F77)</f>
        <v>0.0001</v>
      </c>
      <c r="G78" s="676" cm="1">
        <f t="array" ref="G78">'depto - Table 5'!$J$2</f>
        <v>0.03</v>
      </c>
      <c r="H78" s="676" cm="1">
        <f t="array" ref="H78">G78+4.95/100</f>
        <v>0.0795</v>
      </c>
      <c r="I78" s="247" cm="1">
        <f t="array" ref="I78">IF(J77=0,0,ROUND(D78*E78,0))</f>
        <v>830432</v>
      </c>
      <c r="J78" s="677" cm="1">
        <f t="array" ref="J78">IF(J77-BA78&lt;0,0,J77-BA78)</f>
        <v>1973.366</v>
      </c>
      <c r="K78" s="679" cm="1">
        <f t="array" ref="K78">ROUND(J78*E78,0)</f>
        <v>94015504</v>
      </c>
      <c r="L78" s="679" cm="1">
        <f t="array" ref="L78">K78-K77</f>
        <v>-446056</v>
      </c>
      <c r="M78" s="681" cm="1">
        <f t="array" ref="M78">Q78-J78</f>
        <v>3426.634</v>
      </c>
      <c r="N78" s="679" cm="1">
        <f t="array" ref="N78">ROUND(M78*E78,0)</f>
        <v>163252393</v>
      </c>
      <c r="O78" s="596" cm="1">
        <f t="array" ref="O78">$J$5-J78</f>
        <v>1976.634</v>
      </c>
      <c r="P78" s="679" cm="1">
        <f t="array" ref="P78">N78-N77</f>
        <v>471780</v>
      </c>
      <c r="Q78" s="596">
        <v>5400</v>
      </c>
      <c r="R78" s="679" cm="1">
        <f t="array" ref="R78">Q78*E78</f>
        <v>257267896.799399</v>
      </c>
      <c r="S78" s="247" cm="1">
        <f t="array" ref="S78">-P78</f>
        <v>-471780</v>
      </c>
      <c r="T78" s="690"/>
      <c r="U78" s="682" cm="1">
        <f t="array" ref="U78">J77*4.95/12/100/(1-(1+4.95/12/100)^-(360-$A78+3))+AT78</f>
        <v>12.8705794898813</v>
      </c>
      <c r="V78" s="597" cm="1">
        <f t="array" ref="V78">IF(V$3*12&lt;=$A78,0,$J77*'depto - Departamento'!$D$8/12/(1-(1+'depto - Departamento'!$D$8/12)^-(12*V$3-$A78+3))+$AT79)</f>
        <v>14.5128447873228</v>
      </c>
      <c r="W78" s="597" cm="1">
        <f t="array" ref="W78">IF(W$3*12&lt;=$A78,0,$J77*'depto - Departamento'!$D$8/12/(1-(1+'depto - Departamento'!$D$8/12)^-(12*W$3-$A78+3))+$AT80)</f>
        <v>17.4305884456221</v>
      </c>
      <c r="X78" s="597" cm="1">
        <f t="array" ref="X78">IF(X$3*12&lt;=$A78,0,$J77*'depto - Departamento'!$D$8/12/(1-(1+'depto - Departamento'!$D$8/12)^-(12*X$3-$A78+3))+$AT80)</f>
        <v>23.7369985029863</v>
      </c>
      <c r="Y78" s="597" cm="1">
        <f t="array" ref="Y78">IF(Y$3*12&lt;=$A78,0,$J77*'depto - Departamento'!$D$8/12/(1-(1+'depto - Departamento'!$D$8/12)^-(12*Y$3-$A78+3))+$AT79)</f>
        <v>32.6265813263121</v>
      </c>
      <c r="Z78" s="597" cm="1">
        <f t="array" ref="Z78">IF(Z$3*12&lt;=$A78,0,$J77*'depto - Departamento'!$D$8/12/(1-(1+'depto - Departamento'!$D$8/12)^-(12*Z$3-$A78+3))+$AT79)</f>
        <v>45.891388585958</v>
      </c>
      <c r="AA78" s="597" cm="1">
        <f t="array" ref="AA78">IF(AA$3*12&lt;=$A78,0,$J77*'depto - Departamento'!$D$8/12/(1-(1+'depto - Departamento'!$D$8/12)^-(12*AA$3-$A78+3))+$AT79)</f>
        <v>0</v>
      </c>
      <c r="AB78" s="597" cm="1">
        <f t="array" ref="AB78">AB77-(AB76-AB77)</f>
        <v>79.1597</v>
      </c>
      <c r="AC78" s="597"/>
      <c r="AD78" s="696" cm="1">
        <f t="array" ref="AD78">$E78*U78</f>
        <v>613182.762213193</v>
      </c>
      <c r="AE78" s="247" cm="1">
        <f t="array" ref="AE78">$E78*V78</f>
        <v>691423.8990760481</v>
      </c>
      <c r="AF78" s="247" cm="1">
        <f t="array" ref="AF78">$E78*W78</f>
        <v>830431.635070574</v>
      </c>
      <c r="AG78" s="247" cm="1">
        <f t="array" ref="AG78">$E78*X78</f>
        <v>1130882.90392477</v>
      </c>
      <c r="AH78" s="247" cm="1">
        <f t="array" ref="AH78">$E78*Y78</f>
        <v>1554402.21436571</v>
      </c>
      <c r="AI78" s="247" cm="1">
        <f t="array" ref="AI78">$E78*Z78</f>
        <v>2186366.85605803</v>
      </c>
      <c r="AJ78" s="247" cm="1">
        <f t="array" ref="AJ78">$E78*AA78</f>
        <v>0</v>
      </c>
      <c r="AK78" s="247" cm="1">
        <f t="array" ref="AK78">$E78*AB78</f>
        <v>3771342.50560581</v>
      </c>
      <c r="AL78" s="597"/>
      <c r="AM78" s="691" cm="1">
        <f t="array" ref="AM78">J76-J78</f>
        <v>19.1331</v>
      </c>
      <c r="AN78" s="691" cm="1">
        <f t="array" ref="AN78">D78-AM78</f>
        <v>-1.7025115543779</v>
      </c>
      <c r="AO78" s="597"/>
      <c r="AP78" s="684" cm="1">
        <f t="array" ref="AP78">ROUND(AQ78*E78,0)</f>
        <v>49272</v>
      </c>
      <c r="AQ78" s="692">
        <v>1.0342</v>
      </c>
      <c r="AR78" s="684" cm="1">
        <f t="array" ref="AR78">ROUND(E78*AS78,0)</f>
        <v>3749</v>
      </c>
      <c r="AS78" s="692" cm="1">
        <f t="array" ref="AS78">0.0787</f>
        <v>0.07870000000000001</v>
      </c>
      <c r="AT78" s="693" cm="1">
        <f t="array" ref="AT78">SUM(AQ78,AS78)</f>
        <v>1.1129</v>
      </c>
      <c r="AU78" s="684" cm="1">
        <f t="array" ref="AU78">ROUND(SUM(AQ78,AS78)*E78,0)</f>
        <v>53021</v>
      </c>
      <c r="AV78" s="685">
        <v>112242</v>
      </c>
      <c r="AW78" s="694" cm="1">
        <f t="array" ref="AW78">ROUND(AV78/$E78,4)</f>
        <v>2.3559</v>
      </c>
      <c r="AX78" s="685" cm="1">
        <f t="array" ref="AX78">I78-SUM(AU78,AV78,BB78)</f>
        <v>343260</v>
      </c>
      <c r="AY78" s="694" cm="1">
        <f t="array" ref="AY78">ROUND(AX78/$E78,4)</f>
        <v>7.205</v>
      </c>
      <c r="AZ78" s="686" cm="1">
        <f t="array" ref="AZ78">AX78+AV78</f>
        <v>455502</v>
      </c>
      <c r="BA78" s="694" cm="1">
        <f t="array" ref="BA78">ROUND((AV78+AX78)/E78,4)</f>
        <v>9.5609</v>
      </c>
      <c r="BB78" s="687">
        <v>321909</v>
      </c>
      <c r="BC78" s="695" cm="1">
        <f t="array" ref="BC78">ROUND(BB78/$E78,4)</f>
        <v>6.7568</v>
      </c>
      <c r="BD78" s="679" cm="1">
        <f t="array" ref="BD78">K77-K78</f>
        <v>446056</v>
      </c>
      <c r="BE78" s="679" cm="1">
        <f t="array" ref="BE78">AZ78-BD78</f>
        <v>9446</v>
      </c>
      <c r="BF78" s="679" cm="1">
        <f t="array" ref="BF78">-BE78</f>
        <v>-9446</v>
      </c>
      <c r="BG78" s="679" cm="1">
        <f t="array" ref="BG78">BB78+BE78</f>
        <v>331355</v>
      </c>
      <c r="BH78" s="679" cm="1">
        <f t="array" ref="BH78">AVERAGE(BG75:BG76,BG78)</f>
        <v>-288261.333333333</v>
      </c>
      <c r="BI78" s="699" cm="1">
        <f t="array" ref="BI78">BC76-BC78</f>
        <v>0.0257</v>
      </c>
      <c r="BJ78" s="596" cm="1">
        <f t="array" ref="BJ78">J77*0.0495/12-0.16</f>
        <v>8.0195734625</v>
      </c>
      <c r="BK78" s="698" cm="1">
        <f t="array" ref="BK78">(AV78+AX78)/BB78</f>
        <v>1.415002376448</v>
      </c>
      <c r="BL78" s="698" cm="1">
        <f t="array" ref="BL78">U78-AW78</f>
        <v>10.5146794898813</v>
      </c>
      <c r="BM78" s="698" cm="1">
        <f t="array" ref="BM78">(BN$2*(1+BN$2)^BM$2*J76)/((1+BN$2)^BM$2-1)</f>
        <v>10.6353624011583</v>
      </c>
      <c r="BN78" s="698"/>
      <c r="BO78" s="247" cm="1">
        <f t="array" ref="BO78">AV78+AX78+BO77</f>
        <v>81333373</v>
      </c>
      <c r="BP78" s="247" cm="1">
        <f t="array" ref="BP78">BB78+BP77</f>
        <v>26989575</v>
      </c>
      <c r="BQ78" s="596" cm="1">
        <f t="array" ref="BQ78">BA78+BQ77</f>
        <v>2010.2885</v>
      </c>
      <c r="BR78" s="596" cm="1">
        <f t="array" ref="BR78">BC78+BR77</f>
        <v>645.7947</v>
      </c>
      <c r="BS78" s="247" cm="1">
        <f t="array" ref="BS78">SUM(BE$6:BE78)</f>
        <v>28716345</v>
      </c>
      <c r="BT78" s="596"/>
      <c r="BU78" s="596"/>
      <c r="BV78" s="247" cm="1">
        <f t="array" ref="BV78">SUM(AZ$6:AZ78)</f>
        <v>81333373</v>
      </c>
      <c r="BW78" s="596"/>
      <c r="BX78" s="596"/>
    </row>
    <row r="79" ht="19.35" customHeight="1">
      <c r="A79" s="689">
        <v>75</v>
      </c>
      <c r="B79" s="675">
        <v>47614</v>
      </c>
      <c r="C79" s="247"/>
      <c r="D79" s="597" cm="1">
        <f t="array" ref="D79">W79</f>
        <v>17.4188319667487</v>
      </c>
      <c r="E79" s="731" cm="1">
        <f t="array" ref="E79">E78*(1+F79)</f>
        <v>47928.0563296658</v>
      </c>
      <c r="F79" s="835" cm="1">
        <f t="array" ref="F79">G79-SUM(F68:F78)</f>
        <v>0.006</v>
      </c>
      <c r="G79" s="676" cm="1">
        <f t="array" ref="G79">'depto - Table 5'!$J$2</f>
        <v>0.03</v>
      </c>
      <c r="H79" s="676" cm="1">
        <f t="array" ref="H79">G79+4.95/100</f>
        <v>0.0795</v>
      </c>
      <c r="I79" s="247" cm="1">
        <f t="array" ref="I79">IF(J78=0,0,ROUND(D79*E79,0))</f>
        <v>834851</v>
      </c>
      <c r="J79" s="677" cm="1">
        <f t="array" ref="J79">IF(J78-BA79&lt;0,0,J78-BA79)</f>
        <v>1963.7766</v>
      </c>
      <c r="K79" s="679" cm="1">
        <f t="array" ref="K79">ROUND(J79*E79,0)</f>
        <v>94119996</v>
      </c>
      <c r="L79" s="679" cm="1">
        <f t="array" ref="L79">K79-K78</f>
        <v>104492</v>
      </c>
      <c r="M79" s="681" cm="1">
        <f t="array" ref="M79">Q79-J79</f>
        <v>3436.2234</v>
      </c>
      <c r="N79" s="679" cm="1">
        <f t="array" ref="N79">ROUND(M79*E79,0)</f>
        <v>164691509</v>
      </c>
      <c r="O79" s="596" cm="1">
        <f t="array" ref="O79">$J$5-J79</f>
        <v>1986.2234</v>
      </c>
      <c r="P79" s="679" cm="1">
        <f t="array" ref="P79">N79-N78</f>
        <v>1439116</v>
      </c>
      <c r="Q79" s="596">
        <v>5400</v>
      </c>
      <c r="R79" s="679" cm="1">
        <f t="array" ref="R79">Q79*E79</f>
        <v>258811504.180195</v>
      </c>
      <c r="S79" s="247" cm="1">
        <f t="array" ref="S79">-P79</f>
        <v>-1439116</v>
      </c>
      <c r="T79" s="690"/>
      <c r="U79" s="682" cm="1">
        <f t="array" ref="U79">J78*4.95/12/100/(1-(1+4.95/12/100)^-(360-$A79+3))+AT79</f>
        <v>12.8350406428634</v>
      </c>
      <c r="V79" s="597" cm="1">
        <f t="array" ref="V79">IF(V$3*12&lt;=$A79,0,$J78*'depto - Departamento'!$D$8/12/(1-(1+'depto - Departamento'!$D$8/12)^-(12*V$3-$A79+3))+$AT80)</f>
        <v>14.4834355480085</v>
      </c>
      <c r="W79" s="597" cm="1">
        <f t="array" ref="W79">IF(W$3*12&lt;=$A79,0,$J78*'depto - Departamento'!$D$8/12/(1-(1+'depto - Departamento'!$D$8/12)^-(12*W$3-$A79+3))+$AT81)</f>
        <v>17.4188319667487</v>
      </c>
      <c r="X79" s="597" cm="1">
        <f t="array" ref="X79">IF(X$3*12&lt;=$A79,0,$J78*'depto - Departamento'!$D$8/12/(1-(1+'depto - Departamento'!$D$8/12)^-(12*X$3-$A79+3))+$AT81)</f>
        <v>23.7931268256845</v>
      </c>
      <c r="Y79" s="597" cm="1">
        <f t="array" ref="Y79">IF(Y$3*12&lt;=$A79,0,$J78*'depto - Departamento'!$D$8/12/(1-(1+'depto - Departamento'!$D$8/12)^-(12*Y$3-$A79+3))+$AT80)</f>
        <v>32.8480786114639</v>
      </c>
      <c r="Z79" s="597" cm="1">
        <f t="array" ref="Z79">IF(Z$3*12&lt;=$A79,0,$J78*'depto - Departamento'!$D$8/12/(1-(1+'depto - Departamento'!$D$8/12)^-(12*Z$3-$A79+3))+$AT80)</f>
        <v>46.5134427623354</v>
      </c>
      <c r="AA79" s="597" cm="1">
        <f t="array" ref="AA79">IF(AA$3*12&lt;=$A79,0,$J78*'depto - Departamento'!$D$8/12/(1-(1+'depto - Departamento'!$D$8/12)^-(12*AA$3-$A79+3))+$AT80)</f>
        <v>0</v>
      </c>
      <c r="AB79" s="597" cm="1">
        <f t="array" ref="AB79">AB78-(AB77-AB78)</f>
        <v>79.1473</v>
      </c>
      <c r="AC79" s="597"/>
      <c r="AD79" s="696" cm="1">
        <f t="array" ref="AD79">$E79*U79</f>
        <v>615158.550924707</v>
      </c>
      <c r="AE79" s="247" cm="1">
        <f t="array" ref="AE79">$E79*V79</f>
        <v>694162.914792035</v>
      </c>
      <c r="AF79" s="247" cm="1">
        <f t="array" ref="AF79">$E79*W79</f>
        <v>834850.7596993149</v>
      </c>
      <c r="AG79" s="247" cm="1">
        <f t="array" ref="AG79">$E79*X79</f>
        <v>1140358.32276029</v>
      </c>
      <c r="AH79" s="247" cm="1">
        <f t="array" ref="AH79">$E79*Y79</f>
        <v>1574344.56201153</v>
      </c>
      <c r="AI79" s="247" cm="1">
        <f t="array" ref="AI79">$E79*Z79</f>
        <v>2229298.9047999</v>
      </c>
      <c r="AJ79" s="247" cm="1">
        <f t="array" ref="AJ79">$E79*AA79</f>
        <v>0</v>
      </c>
      <c r="AK79" s="247" cm="1">
        <f t="array" ref="AK79">$E79*AB79</f>
        <v>3793376.25274096</v>
      </c>
      <c r="AL79" s="597"/>
      <c r="AM79" s="691" cm="1">
        <f t="array" ref="AM79">J77-J79</f>
        <v>19.1503</v>
      </c>
      <c r="AN79" s="691" cm="1">
        <f t="array" ref="AN79">D79-AM79</f>
        <v>-1.7314680332513</v>
      </c>
      <c r="AO79" s="597"/>
      <c r="AP79" s="684" cm="1">
        <f t="array" ref="AP79">ROUND(AQ79*E79,0)</f>
        <v>49567</v>
      </c>
      <c r="AQ79" s="692">
        <v>1.0342</v>
      </c>
      <c r="AR79" s="684" cm="1">
        <f t="array" ref="AR79">ROUND(E79*AS79,0)</f>
        <v>3772</v>
      </c>
      <c r="AS79" s="692" cm="1">
        <f t="array" ref="AS79">0.0787</f>
        <v>0.07870000000000001</v>
      </c>
      <c r="AT79" s="693" cm="1">
        <f t="array" ref="AT79">SUM(AQ79,AS79)</f>
        <v>1.1129</v>
      </c>
      <c r="AU79" s="684" cm="1">
        <f t="array" ref="AU79">ROUND(SUM(AQ79,AS79)*E79,0)</f>
        <v>53339</v>
      </c>
      <c r="AV79" s="685">
        <v>112242</v>
      </c>
      <c r="AW79" s="694" cm="1">
        <f t="array" ref="AW79">ROUND(AV79/$E79,4)</f>
        <v>2.3419</v>
      </c>
      <c r="AX79" s="685" cm="1">
        <f t="array" ref="AX79">I79-SUM(AU79,AV79,BB79)</f>
        <v>347361</v>
      </c>
      <c r="AY79" s="694" cm="1">
        <f t="array" ref="AY79">ROUND(AX79/$E79,4)</f>
        <v>7.2476</v>
      </c>
      <c r="AZ79" s="686" cm="1">
        <f t="array" ref="AZ79">AX79+AV79</f>
        <v>459603</v>
      </c>
      <c r="BA79" s="694" cm="1">
        <f t="array" ref="BA79">ROUND((AV79+AX79)/E79,4)</f>
        <v>9.589399999999999</v>
      </c>
      <c r="BB79" s="687">
        <v>321909</v>
      </c>
      <c r="BC79" s="695" cm="1">
        <f t="array" ref="BC79">ROUND(BB79/$E79,4)</f>
        <v>6.7165</v>
      </c>
      <c r="BD79" s="679" cm="1">
        <f t="array" ref="BD79">K78-K79</f>
        <v>-104492</v>
      </c>
      <c r="BE79" s="679" cm="1">
        <f t="array" ref="BE79">AZ79-BD79</f>
        <v>564095</v>
      </c>
      <c r="BF79" s="679" cm="1">
        <f t="array" ref="BF79">-BE79</f>
        <v>-564095</v>
      </c>
      <c r="BG79" s="679" cm="1">
        <f t="array" ref="BG79">BB79+BE79</f>
        <v>886004</v>
      </c>
      <c r="BH79" s="679" cm="1">
        <f t="array" ref="BH79">AVERAGE(BG76:BG77,BG79)</f>
        <v>636074.666666667</v>
      </c>
      <c r="BI79" s="699" cm="1">
        <f t="array" ref="BI79">BC77-BC79</f>
        <v>0.041</v>
      </c>
      <c r="BJ79" s="596" cm="1">
        <f t="array" ref="BJ79">J78*0.0495/12-0.16</f>
        <v>7.98013475</v>
      </c>
      <c r="BK79" s="698" cm="1">
        <f t="array" ref="BK79">(AV79+AX79)/BB79</f>
        <v>1.42774200162158</v>
      </c>
      <c r="BL79" s="698" cm="1">
        <f t="array" ref="BL79">U79-AW79</f>
        <v>10.4931406428634</v>
      </c>
      <c r="BM79" s="698" cm="1">
        <f t="array" ref="BM79">(BN$2*(1+BN$2)^BM$2*J77)/((1+BN$2)^BM$2-1)</f>
        <v>10.584268869434</v>
      </c>
      <c r="BN79" s="698"/>
      <c r="BO79" s="247" cm="1">
        <f t="array" ref="BO79">AV79+AX79+BO78</f>
        <v>81792976</v>
      </c>
      <c r="BP79" s="247" cm="1">
        <f t="array" ref="BP79">BB79+BP78</f>
        <v>27311484</v>
      </c>
      <c r="BQ79" s="596" cm="1">
        <f t="array" ref="BQ79">BA79+BQ78</f>
        <v>2019.8779</v>
      </c>
      <c r="BR79" s="596" cm="1">
        <f t="array" ref="BR79">BC79+BR78</f>
        <v>652.5112</v>
      </c>
      <c r="BS79" s="247" cm="1">
        <f t="array" ref="BS79">SUM(BE$6:BE79)</f>
        <v>29280440</v>
      </c>
      <c r="BT79" s="596"/>
      <c r="BU79" s="596"/>
      <c r="BV79" s="247" cm="1">
        <f t="array" ref="BV79">SUM(AZ$6:AZ79)</f>
        <v>81792976</v>
      </c>
      <c r="BW79" s="596"/>
      <c r="BX79" s="596"/>
    </row>
    <row r="80" ht="19.35" customHeight="1">
      <c r="A80" s="689">
        <v>76</v>
      </c>
      <c r="B80" s="675">
        <v>47645</v>
      </c>
      <c r="C80" s="247"/>
      <c r="D80" s="597" cm="1">
        <f t="array" ref="D80">W80</f>
        <v>17.4070198520855</v>
      </c>
      <c r="E80" s="731" cm="1">
        <f t="array" ref="E80">E79*(1+F80)</f>
        <v>48311.4807803031</v>
      </c>
      <c r="F80" s="835" cm="1">
        <f t="array" ref="F80">G80-SUM(F69:F79)</f>
        <v>0.008</v>
      </c>
      <c r="G80" s="676" cm="1">
        <f t="array" ref="G80">'depto - Table 5'!$J$2</f>
        <v>0.03</v>
      </c>
      <c r="H80" s="676" cm="1">
        <f t="array" ref="H80">G80+4.95/100</f>
        <v>0.0795</v>
      </c>
      <c r="I80" s="247" cm="1">
        <f t="array" ref="I80">IF(J79=0,0,ROUND(D80*E80,0))</f>
        <v>840959</v>
      </c>
      <c r="J80" s="677" cm="1">
        <f t="array" ref="J80">IF(J79-BA80&lt;0,0,J79-BA80)</f>
        <v>1954.1457</v>
      </c>
      <c r="K80" s="679" cm="1">
        <f t="array" ref="K80">ROUND(J80*E80,0)</f>
        <v>94407672</v>
      </c>
      <c r="L80" s="679" cm="1">
        <f t="array" ref="L80">K80-K79</f>
        <v>287676</v>
      </c>
      <c r="M80" s="681" cm="1">
        <f t="array" ref="M80">Q80-J80</f>
        <v>3445.8543</v>
      </c>
      <c r="N80" s="679" cm="1">
        <f t="array" ref="N80">ROUND(M80*E80,0)</f>
        <v>166474324</v>
      </c>
      <c r="O80" s="596" cm="1">
        <f t="array" ref="O80">$J$5-J80</f>
        <v>1995.8543</v>
      </c>
      <c r="P80" s="679" cm="1">
        <f t="array" ref="P80">N80-N79</f>
        <v>1782815</v>
      </c>
      <c r="Q80" s="596">
        <v>5400</v>
      </c>
      <c r="R80" s="679" cm="1">
        <f t="array" ref="R80">Q80*E80</f>
        <v>260881996.213637</v>
      </c>
      <c r="S80" s="247" cm="1">
        <f t="array" ref="S80">-P80</f>
        <v>-1782815</v>
      </c>
      <c r="T80" s="690"/>
      <c r="U80" s="682" cm="1">
        <f t="array" ref="U80">J79*4.95/12/100/(1-(1+4.95/12/100)^-(360-$A80+3))+AT80</f>
        <v>12.7992907744354</v>
      </c>
      <c r="V80" s="597" cm="1">
        <f t="array" ref="V80">IF(V$3*12&lt;=$A80,0,$J79*'depto - Departamento'!$D$8/12/(1-(1+'depto - Departamento'!$D$8/12)^-(12*V$3-$A80+3))+$AT81)</f>
        <v>14.4538226728552</v>
      </c>
      <c r="W80" s="597" cm="1">
        <f t="array" ref="W80">IF(W$3*12&lt;=$A80,0,$J79*'depto - Departamento'!$D$8/12/(1-(1+'depto - Departamento'!$D$8/12)^-(12*W$3-$A80+3))+$AT82)</f>
        <v>17.4070198520855</v>
      </c>
      <c r="X80" s="597" cm="1">
        <f t="array" ref="X80">IF(X$3*12&lt;=$A80,0,$J79*'depto - Departamento'!$D$8/12/(1-(1+'depto - Departamento'!$D$8/12)^-(12*X$3-$A80+3))+$AT82)</f>
        <v>23.8504483154435</v>
      </c>
      <c r="Y80" s="597" cm="1">
        <f t="array" ref="Y80">IF(Y$3*12&lt;=$A80,0,$J79*'depto - Departamento'!$D$8/12/(1-(1+'depto - Departamento'!$D$8/12)^-(12*Y$3-$A80+3))+$AT81)</f>
        <v>33.0760395461126</v>
      </c>
      <c r="Z80" s="597" cm="1">
        <f t="array" ref="Z80">IF(Z$3*12&lt;=$A80,0,$J79*'depto - Departamento'!$D$8/12/(1-(1+'depto - Departamento'!$D$8/12)^-(12*Z$3-$A80+3))+$AT81)</f>
        <v>47.1623117019944</v>
      </c>
      <c r="AA80" s="597" cm="1">
        <f t="array" ref="AA80">IF(AA$3*12&lt;=$A80,0,$J79*'depto - Departamento'!$D$8/12/(1-(1+'depto - Departamento'!$D$8/12)^-(12*AA$3-$A80+3))+$AT81)</f>
        <v>0</v>
      </c>
      <c r="AB80" s="597" cm="1">
        <f t="array" ref="AB80">AB79-(AB78-AB79)</f>
        <v>79.1349</v>
      </c>
      <c r="AC80" s="597"/>
      <c r="AD80" s="696" cm="1">
        <f t="array" ref="AD80">$E80*U80</f>
        <v>618352.690250647</v>
      </c>
      <c r="AE80" s="247" cm="1">
        <f t="array" ref="AE80">$E80*V80</f>
        <v>698285.576261553</v>
      </c>
      <c r="AF80" s="247" cm="1">
        <f t="array" ref="AF80">$E80*W80</f>
        <v>840958.905026383</v>
      </c>
      <c r="AG80" s="247" cm="1">
        <f t="array" ref="AG80">$E80*X80</f>
        <v>1152250.47539316</v>
      </c>
      <c r="AH80" s="247" cm="1">
        <f t="array" ref="AH80">$E80*Y80</f>
        <v>1597952.44882056</v>
      </c>
      <c r="AI80" s="247" cm="1">
        <f t="array" ref="AI80">$E80*Z80</f>
        <v>2278481.11534557</v>
      </c>
      <c r="AJ80" s="247" cm="1">
        <f t="array" ref="AJ80">$E80*AA80</f>
        <v>0</v>
      </c>
      <c r="AK80" s="247" cm="1">
        <f t="array" ref="AK80">$E80*AB80</f>
        <v>3823124.20040121</v>
      </c>
      <c r="AL80" s="597"/>
      <c r="AM80" s="691" cm="1">
        <f t="array" ref="AM80">J78-J80</f>
        <v>19.2203</v>
      </c>
      <c r="AN80" s="691" cm="1">
        <f t="array" ref="AN80">D80-AM80</f>
        <v>-1.8132801479145</v>
      </c>
      <c r="AO80" s="597"/>
      <c r="AP80" s="684" cm="1">
        <f t="array" ref="AP80">ROUND(AQ80*E80,0)</f>
        <v>49964</v>
      </c>
      <c r="AQ80" s="692">
        <v>1.0342</v>
      </c>
      <c r="AR80" s="684" cm="1">
        <f t="array" ref="AR80">ROUND(E80*AS80,0)</f>
        <v>3802</v>
      </c>
      <c r="AS80" s="692" cm="1">
        <f t="array" ref="AS80">0.0787</f>
        <v>0.07870000000000001</v>
      </c>
      <c r="AT80" s="693" cm="1">
        <f t="array" ref="AT80">SUM(AQ80,AS80)</f>
        <v>1.1129</v>
      </c>
      <c r="AU80" s="684" cm="1">
        <f t="array" ref="AU80">ROUND(SUM(AQ80,AS80)*E80,0)</f>
        <v>53766</v>
      </c>
      <c r="AV80" s="685">
        <v>112242</v>
      </c>
      <c r="AW80" s="694" cm="1">
        <f t="array" ref="AW80">ROUND(AV80/$E80,4)</f>
        <v>2.3233</v>
      </c>
      <c r="AX80" s="685" cm="1">
        <f t="array" ref="AX80">I80-SUM(AU80,AV80,BB80)</f>
        <v>353042</v>
      </c>
      <c r="AY80" s="694" cm="1">
        <f t="array" ref="AY80">ROUND(AX80/$E80,4)</f>
        <v>7.3076</v>
      </c>
      <c r="AZ80" s="686" cm="1">
        <f t="array" ref="AZ80">AX80+AV80</f>
        <v>465284</v>
      </c>
      <c r="BA80" s="694" cm="1">
        <f t="array" ref="BA80">ROUND((AV80+AX80)/E80,4)</f>
        <v>9.6309</v>
      </c>
      <c r="BB80" s="687">
        <v>321909</v>
      </c>
      <c r="BC80" s="695" cm="1">
        <f t="array" ref="BC80">ROUND(BB80/$E80,4)</f>
        <v>6.6632</v>
      </c>
      <c r="BD80" s="679" cm="1">
        <f t="array" ref="BD80">K79-K80</f>
        <v>-287676</v>
      </c>
      <c r="BE80" s="679" cm="1">
        <f t="array" ref="BE80">AZ80-BD80</f>
        <v>752960</v>
      </c>
      <c r="BF80" s="679" cm="1">
        <f t="array" ref="BF80">-BE80</f>
        <v>-752960</v>
      </c>
      <c r="BG80" s="679" cm="1">
        <f t="array" ref="BG80">BB80+BE80</f>
        <v>1074869</v>
      </c>
      <c r="BH80" s="679" cm="1">
        <f t="array" ref="BH80">AVERAGE(BG77:BG78,BG80)</f>
        <v>692678.333333333</v>
      </c>
      <c r="BI80" s="699" cm="1">
        <f t="array" ref="BI80">BC78-BC80</f>
        <v>0.0936</v>
      </c>
      <c r="BJ80" s="596" cm="1">
        <f t="array" ref="BJ80">J79*0.0495/12-0.16</f>
        <v>7.940578475</v>
      </c>
      <c r="BK80" s="698" cm="1">
        <f t="array" ref="BK80">(AV80+AX80)/BB80</f>
        <v>1.44538984619877</v>
      </c>
      <c r="BL80" s="698" cm="1">
        <f t="array" ref="BL80">U80-AW80</f>
        <v>10.4759907744354</v>
      </c>
      <c r="BM80" s="698" cm="1">
        <f t="array" ref="BM80">(BN$2*(1+BN$2)^BM$2*J78)/((1+BN$2)^BM$2-1)</f>
        <v>10.5332356537195</v>
      </c>
      <c r="BN80" s="698"/>
      <c r="BO80" s="247" cm="1">
        <f t="array" ref="BO80">AV80+AX80+BO79</f>
        <v>82258260</v>
      </c>
      <c r="BP80" s="247" cm="1">
        <f t="array" ref="BP80">BB80+BP79</f>
        <v>27633393</v>
      </c>
      <c r="BQ80" s="596" cm="1">
        <f t="array" ref="BQ80">BA80+BQ79</f>
        <v>2029.5088</v>
      </c>
      <c r="BR80" s="596" cm="1">
        <f t="array" ref="BR80">BC80+BR79</f>
        <v>659.1744</v>
      </c>
      <c r="BS80" s="247" cm="1">
        <f t="array" ref="BS80">SUM(BE$6:BE80)</f>
        <v>30033400</v>
      </c>
      <c r="BT80" s="596"/>
      <c r="BU80" s="596"/>
      <c r="BV80" s="247" cm="1">
        <f t="array" ref="BV80">SUM(AZ$6:AZ80)</f>
        <v>82258260</v>
      </c>
      <c r="BW80" s="596"/>
      <c r="BX80" s="596"/>
    </row>
    <row r="81" ht="19.35" customHeight="1">
      <c r="A81" s="689">
        <v>77</v>
      </c>
      <c r="B81" s="675">
        <v>47675</v>
      </c>
      <c r="C81" s="247"/>
      <c r="D81" s="597" cm="1">
        <f t="array" ref="D81">W81</f>
        <v>17.3950436317102</v>
      </c>
      <c r="E81" s="731" cm="1">
        <f t="array" ref="E81">E80*(1+F81)</f>
        <v>48287.3250399129</v>
      </c>
      <c r="F81" s="835" cm="1">
        <f t="array" ref="F81">G81-SUM(F70:F80)</f>
        <v>-0.0005</v>
      </c>
      <c r="G81" s="676" cm="1">
        <f t="array" ref="G81">'depto - Table 5'!$J$2</f>
        <v>0.03</v>
      </c>
      <c r="H81" s="676" cm="1">
        <f t="array" ref="H81">G81+4.95/100</f>
        <v>0.0795</v>
      </c>
      <c r="I81" s="247" cm="1">
        <f t="array" ref="I81">IF(J80=0,0,ROUND(D81*E81,0))</f>
        <v>839960</v>
      </c>
      <c r="J81" s="677" cm="1">
        <f t="array" ref="J81">IF(J80-BA81&lt;0,0,J80-BA81)</f>
        <v>1944.5301</v>
      </c>
      <c r="K81" s="679" cm="1">
        <f t="array" ref="K81">ROUND(J81*E81,0)</f>
        <v>93896157</v>
      </c>
      <c r="L81" s="679" cm="1">
        <f t="array" ref="L81">K81-K80</f>
        <v>-511515</v>
      </c>
      <c r="M81" s="681" cm="1">
        <f t="array" ref="M81">Q81-J81</f>
        <v>3455.4699</v>
      </c>
      <c r="N81" s="679" cm="1">
        <f t="array" ref="N81">ROUND(M81*E81,0)</f>
        <v>166855398</v>
      </c>
      <c r="O81" s="596" cm="1">
        <f t="array" ref="O81">$J$5-J81</f>
        <v>2005.4699</v>
      </c>
      <c r="P81" s="679" cm="1">
        <f t="array" ref="P81">N81-N80</f>
        <v>381074</v>
      </c>
      <c r="Q81" s="596">
        <v>5400</v>
      </c>
      <c r="R81" s="679" cm="1">
        <f t="array" ref="R81">Q81*E81</f>
        <v>260751555.21553</v>
      </c>
      <c r="S81" s="247" cm="1">
        <f t="array" ref="S81">-P81</f>
        <v>-381074</v>
      </c>
      <c r="T81" s="690"/>
      <c r="U81" s="682" cm="1">
        <f t="array" ref="U81">J80*4.95/12/100/(1-(1+4.95/12/100)^-(360-$A81+3))+AT81</f>
        <v>12.763250784054</v>
      </c>
      <c r="V81" s="597" cm="1">
        <f t="array" ref="V81">IF(V$3*12&lt;=$A81,0,$J80*'depto - Departamento'!$D$8/12/(1-(1+'depto - Departamento'!$D$8/12)^-(12*V$3-$A81+3))+$AT82)</f>
        <v>14.423915610745</v>
      </c>
      <c r="W81" s="597" cm="1">
        <f t="array" ref="W81">IF(W$3*12&lt;=$A81,0,$J80*'depto - Departamento'!$D$8/12/(1-(1+'depto - Departamento'!$D$8/12)^-(12*W$3-$A81+3))+$AT83)</f>
        <v>17.3950436317102</v>
      </c>
      <c r="X81" s="597" cm="1">
        <f t="array" ref="X81">IF(X$3*12&lt;=$A81,0,$J80*'depto - Departamento'!$D$8/12/(1-(1+'depto - Departamento'!$D$8/12)^-(12*X$3-$A81+3))+$AT83)</f>
        <v>23.9088462634952</v>
      </c>
      <c r="Y81" s="597" cm="1">
        <f t="array" ref="Y81">IF(Y$3*12&lt;=$A81,0,$J80*'depto - Departamento'!$D$8/12/(1-(1+'depto - Departamento'!$D$8/12)^-(12*Y$3-$A81+3))+$AT82)</f>
        <v>33.3105285799875</v>
      </c>
      <c r="Z81" s="597" cm="1">
        <f t="array" ref="Z81">IF(Z$3*12&lt;=$A81,0,$J80*'depto - Departamento'!$D$8/12/(1-(1+'depto - Departamento'!$D$8/12)^-(12*Z$3-$A81+3))+$AT82)</f>
        <v>47.8394356838054</v>
      </c>
      <c r="AA81" s="597" cm="1">
        <f t="array" ref="AA81">IF(AA$3*12&lt;=$A81,0,$J80*'depto - Departamento'!$D$8/12/(1-(1+'depto - Departamento'!$D$8/12)^-(12*AA$3-$A81+3))+$AT82)</f>
        <v>0</v>
      </c>
      <c r="AB81" s="597" cm="1">
        <f t="array" ref="AB81">AB80-(AB79-AB80)</f>
        <v>79.1225</v>
      </c>
      <c r="AC81" s="597"/>
      <c r="AD81" s="696" cm="1">
        <f t="array" ref="AD81">$E81*U81</f>
        <v>616303.239175539</v>
      </c>
      <c r="AE81" s="247" cm="1">
        <f t="array" ref="AE81">$E81*V81</f>
        <v>696492.301444318</v>
      </c>
      <c r="AF81" s="247" cm="1">
        <f t="array" ref="AF81">$E81*W81</f>
        <v>839960.125927857</v>
      </c>
      <c r="AG81" s="247" cm="1">
        <f t="array" ref="AG81">$E81*X81</f>
        <v>1154494.2308547</v>
      </c>
      <c r="AH81" s="247" cm="1">
        <f t="array" ref="AH81">$E81*Y81</f>
        <v>1608476.32079316</v>
      </c>
      <c r="AI81" s="247" cm="1">
        <f t="array" ref="AI81">$E81*Z81</f>
        <v>2310038.38058992</v>
      </c>
      <c r="AJ81" s="247" cm="1">
        <f t="array" ref="AJ81">$E81*AA81</f>
        <v>0</v>
      </c>
      <c r="AK81" s="247" cm="1">
        <f t="array" ref="AK81">$E81*AB81</f>
        <v>3820613.87547051</v>
      </c>
      <c r="AL81" s="597"/>
      <c r="AM81" s="691" cm="1">
        <f t="array" ref="AM81">J79-J81</f>
        <v>19.2465</v>
      </c>
      <c r="AN81" s="691" cm="1">
        <f t="array" ref="AN81">D81-AM81</f>
        <v>-1.8514563682898</v>
      </c>
      <c r="AO81" s="597"/>
      <c r="AP81" s="684" cm="1">
        <f t="array" ref="AP81">ROUND(AQ81*E81,0)</f>
        <v>49939</v>
      </c>
      <c r="AQ81" s="692">
        <v>1.0342</v>
      </c>
      <c r="AR81" s="684" cm="1">
        <f t="array" ref="AR81">ROUND(E81*AS81,0)</f>
        <v>3800</v>
      </c>
      <c r="AS81" s="692" cm="1">
        <f t="array" ref="AS81">0.0787</f>
        <v>0.07870000000000001</v>
      </c>
      <c r="AT81" s="693" cm="1">
        <f t="array" ref="AT81">SUM(AQ81,AS81)</f>
        <v>1.1129</v>
      </c>
      <c r="AU81" s="684" cm="1">
        <f t="array" ref="AU81">ROUND(SUM(AQ81,AS81)*E81,0)</f>
        <v>53739</v>
      </c>
      <c r="AV81" s="685">
        <v>112242</v>
      </c>
      <c r="AW81" s="694" cm="1">
        <f t="array" ref="AW81">ROUND(AV81/$E81,4)</f>
        <v>2.3245</v>
      </c>
      <c r="AX81" s="685" cm="1">
        <f t="array" ref="AX81">I81-SUM(AU81,AV81,BB81)</f>
        <v>352070</v>
      </c>
      <c r="AY81" s="694" cm="1">
        <f t="array" ref="AY81">ROUND(AX81/$E81,4)</f>
        <v>7.2911</v>
      </c>
      <c r="AZ81" s="686" cm="1">
        <f t="array" ref="AZ81">AX81+AV81</f>
        <v>464312</v>
      </c>
      <c r="BA81" s="694" cm="1">
        <f t="array" ref="BA81">ROUND((AV81+AX81)/E81,4)</f>
        <v>9.615600000000001</v>
      </c>
      <c r="BB81" s="687">
        <v>321909</v>
      </c>
      <c r="BC81" s="695" cm="1">
        <f t="array" ref="BC81">ROUND(BB81/$E81,4)</f>
        <v>6.6665</v>
      </c>
      <c r="BD81" s="679" cm="1">
        <f t="array" ref="BD81">K80-K81</f>
        <v>511515</v>
      </c>
      <c r="BE81" s="679" cm="1">
        <f t="array" ref="BE81">AZ81-BD81</f>
        <v>-47203</v>
      </c>
      <c r="BF81" s="679" cm="1">
        <f t="array" ref="BF81">-BE81</f>
        <v>47203</v>
      </c>
      <c r="BG81" s="679" cm="1">
        <f t="array" ref="BG81">BB81+BE81</f>
        <v>274706</v>
      </c>
      <c r="BH81" s="679" cm="1">
        <f t="array" ref="BH81">AVERAGE(BG78:BG79,BG81)</f>
        <v>497355</v>
      </c>
      <c r="BI81" s="699" cm="1">
        <f t="array" ref="BI81">BC79-BC81</f>
        <v>0.05</v>
      </c>
      <c r="BJ81" s="596" cm="1">
        <f t="array" ref="BJ81">J80*0.0495/12-0.16</f>
        <v>7.9008510125</v>
      </c>
      <c r="BK81" s="698" cm="1">
        <f t="array" ref="BK81">(AV81+AX81)/BB81</f>
        <v>1.44237035932515</v>
      </c>
      <c r="BL81" s="698" cm="1">
        <f t="array" ref="BL81">U81-AW81</f>
        <v>10.438750784054</v>
      </c>
      <c r="BM81" s="698" cm="1">
        <f t="array" ref="BM81">(BN$2*(1+BN$2)^BM$2*J79)/((1+BN$2)^BM$2-1)</f>
        <v>10.4820503135557</v>
      </c>
      <c r="BN81" s="698"/>
      <c r="BO81" s="247" cm="1">
        <f t="array" ref="BO81">AV81+AX81+BO80</f>
        <v>82722572</v>
      </c>
      <c r="BP81" s="247" cm="1">
        <f t="array" ref="BP81">BB81+BP80</f>
        <v>27955302</v>
      </c>
      <c r="BQ81" s="596" cm="1">
        <f t="array" ref="BQ81">BA81+BQ80</f>
        <v>2039.1244</v>
      </c>
      <c r="BR81" s="596" cm="1">
        <f t="array" ref="BR81">BC81+BR80</f>
        <v>665.8409</v>
      </c>
      <c r="BS81" s="247" cm="1">
        <f t="array" ref="BS81">SUM(BE$6:BE81)</f>
        <v>29986197</v>
      </c>
      <c r="BT81" s="596"/>
      <c r="BU81" s="596"/>
      <c r="BV81" s="247" cm="1">
        <f t="array" ref="BV81">SUM(AZ$6:AZ81)</f>
        <v>82722572</v>
      </c>
      <c r="BW81" s="596"/>
      <c r="BX81" s="596"/>
    </row>
    <row r="82" ht="19.35" customHeight="1">
      <c r="A82" s="689">
        <v>78</v>
      </c>
      <c r="B82" s="675">
        <v>47706</v>
      </c>
      <c r="C82" s="247"/>
      <c r="D82" s="597" cm="1">
        <f t="array" ref="D82">W82</f>
        <v>17.3833770361556</v>
      </c>
      <c r="E82" s="731" cm="1">
        <f t="array" ref="E82">E81*(1+F82)</f>
        <v>49204.7842156712</v>
      </c>
      <c r="F82" s="835" cm="1">
        <f t="array" ref="F82">G82-SUM(F71:F81)</f>
        <v>0.019</v>
      </c>
      <c r="G82" s="676" cm="1">
        <f t="array" ref="G82">'depto - Table 5'!$J$2</f>
        <v>0.03</v>
      </c>
      <c r="H82" s="676" cm="1">
        <f t="array" ref="H82">G82+4.95/100</f>
        <v>0.0795</v>
      </c>
      <c r="I82" s="247" cm="1">
        <f t="array" ref="I82">IF(J81=0,0,ROUND(D82*E82,0))</f>
        <v>855345</v>
      </c>
      <c r="J82" s="677" cm="1">
        <f t="array" ref="J82">IF(J81-BA82&lt;0,0,J81-BA82)</f>
        <v>1934.8019</v>
      </c>
      <c r="K82" s="679" cm="1">
        <f t="array" ref="K82">ROUND(J82*E82,0)</f>
        <v>95201510</v>
      </c>
      <c r="L82" s="679" cm="1">
        <f t="array" ref="L82">K82-K81</f>
        <v>1305353</v>
      </c>
      <c r="M82" s="681" cm="1">
        <f t="array" ref="M82">Q82-J82</f>
        <v>3465.1981</v>
      </c>
      <c r="N82" s="679" cm="1">
        <f t="array" ref="N82">ROUND(M82*E82,0)</f>
        <v>170504325</v>
      </c>
      <c r="O82" s="596" cm="1">
        <f t="array" ref="O82">$J$5-J82</f>
        <v>2015.1981</v>
      </c>
      <c r="P82" s="679" cm="1">
        <f t="array" ref="P82">N82-N81</f>
        <v>3648927</v>
      </c>
      <c r="Q82" s="596">
        <v>5400</v>
      </c>
      <c r="R82" s="679" cm="1">
        <f t="array" ref="R82">Q82*E82</f>
        <v>265705834.764624</v>
      </c>
      <c r="S82" s="247" cm="1">
        <f t="array" ref="S82">-P82</f>
        <v>-3648927</v>
      </c>
      <c r="T82" s="690"/>
      <c r="U82" s="682" cm="1">
        <f t="array" ref="U82">J81*4.95/12/100/(1-(1+4.95/12/100)^-(360-$A82+3))+AT82</f>
        <v>12.7272578803309</v>
      </c>
      <c r="V82" s="597" cm="1">
        <f t="array" ref="V82">IF(V$3*12&lt;=$A82,0,$J81*'depto - Departamento'!$D$8/12/(1-(1+'depto - Departamento'!$D$8/12)^-(12*V$3-$A82+3))+$AT83)</f>
        <v>14.3940995545609</v>
      </c>
      <c r="W82" s="597" cm="1">
        <f t="array" ref="W82">IF(W$3*12&lt;=$A82,0,$J81*'depto - Departamento'!$D$8/12/(1-(1+'depto - Departamento'!$D$8/12)^-(12*W$3-$A82+3))+$AT84)</f>
        <v>17.3833770361556</v>
      </c>
      <c r="X82" s="597" cm="1">
        <f t="array" ref="X82">IF(X$3*12&lt;=$A82,0,$J81*'depto - Departamento'!$D$8/12/(1-(1+'depto - Departamento'!$D$8/12)^-(12*X$3-$A82+3))+$AT84)</f>
        <v>23.9690211116435</v>
      </c>
      <c r="Y82" s="597" cm="1">
        <f t="array" ref="Y82">IF(Y$3*12&lt;=$A82,0,$J81*'depto - Departamento'!$D$8/12/(1-(1+'depto - Departamento'!$D$8/12)^-(12*Y$3-$A82+3))+$AT83)</f>
        <v>33.5527800413294</v>
      </c>
      <c r="Z82" s="597" cm="1">
        <f t="array" ref="Z82">IF(Z$3*12&lt;=$A82,0,$J81*'depto - Departamento'!$D$8/12/(1-(1+'depto - Departamento'!$D$8/12)^-(12*Z$3-$A82+3))+$AT83)</f>
        <v>48.5480882445988</v>
      </c>
      <c r="AA82" s="597" cm="1">
        <f t="array" ref="AA82">IF(AA$3*12&lt;=$A82,0,$J81*'depto - Departamento'!$D$8/12/(1-(1+'depto - Departamento'!$D$8/12)^-(12*AA$3-$A82+3))+$AT83)</f>
        <v>0</v>
      </c>
      <c r="AB82" s="597" cm="1">
        <f t="array" ref="AB82">AB81-(AB80-AB81)</f>
        <v>79.1101</v>
      </c>
      <c r="AC82" s="597"/>
      <c r="AD82" s="696" cm="1">
        <f t="array" ref="AD82">$E82*U82</f>
        <v>626241.977658883</v>
      </c>
      <c r="AE82" s="247" cm="1">
        <f t="array" ref="AE82">$E82*V82</f>
        <v>708258.562561058</v>
      </c>
      <c r="AF82" s="247" cm="1">
        <f t="array" ref="AF82">$E82*W82</f>
        <v>855345.31600369</v>
      </c>
      <c r="AG82" s="247" cm="1">
        <f t="array" ref="AG82">$E82*X82</f>
        <v>1179390.51165929</v>
      </c>
      <c r="AH82" s="247" cm="1">
        <f t="array" ref="AH82">$E82*Y82</f>
        <v>1650957.30176949</v>
      </c>
      <c r="AI82" s="247" cm="1">
        <f t="array" ref="AI82">$E82*Z82</f>
        <v>2388798.20615885</v>
      </c>
      <c r="AJ82" s="247" cm="1">
        <f t="array" ref="AJ82">$E82*AA82</f>
        <v>0</v>
      </c>
      <c r="AK82" s="247" cm="1">
        <f t="array" ref="AK82">$E82*AB82</f>
        <v>3892595.39978017</v>
      </c>
      <c r="AL82" s="597"/>
      <c r="AM82" s="691" cm="1">
        <f t="array" ref="AM82">J80-J82</f>
        <v>19.3438</v>
      </c>
      <c r="AN82" s="691" cm="1">
        <f t="array" ref="AN82">D82-AM82</f>
        <v>-1.9604229638444</v>
      </c>
      <c r="AO82" s="597"/>
      <c r="AP82" s="684" cm="1">
        <f t="array" ref="AP82">ROUND(AQ82*E82,0)</f>
        <v>50888</v>
      </c>
      <c r="AQ82" s="692">
        <v>1.0342</v>
      </c>
      <c r="AR82" s="684" cm="1">
        <f t="array" ref="AR82">ROUND(E82*AS82,0)</f>
        <v>3872</v>
      </c>
      <c r="AS82" s="692" cm="1">
        <f t="array" ref="AS82">0.0787</f>
        <v>0.07870000000000001</v>
      </c>
      <c r="AT82" s="693" cm="1">
        <f t="array" ref="AT82">SUM(AQ82,AS82)</f>
        <v>1.1129</v>
      </c>
      <c r="AU82" s="684" cm="1">
        <f t="array" ref="AU82">ROUND(SUM(AQ82,AS82)*E82,0)</f>
        <v>54760</v>
      </c>
      <c r="AV82" s="685">
        <v>112242</v>
      </c>
      <c r="AW82" s="694" cm="1">
        <f t="array" ref="AW82">ROUND(AV82/$E82,4)</f>
        <v>2.2811</v>
      </c>
      <c r="AX82" s="685" cm="1">
        <f t="array" ref="AX82">I82-SUM(AU82,AV82,BB82)</f>
        <v>366434</v>
      </c>
      <c r="AY82" s="694" cm="1">
        <f t="array" ref="AY82">ROUND(AX82/$E82,4)</f>
        <v>7.4471</v>
      </c>
      <c r="AZ82" s="686" cm="1">
        <f t="array" ref="AZ82">AX82+AV82</f>
        <v>478676</v>
      </c>
      <c r="BA82" s="694" cm="1">
        <f t="array" ref="BA82">ROUND((AV82+AX82)/E82,4)</f>
        <v>9.728199999999999</v>
      </c>
      <c r="BB82" s="687">
        <v>321909</v>
      </c>
      <c r="BC82" s="695" cm="1">
        <f t="array" ref="BC82">ROUND(BB82/$E82,4)</f>
        <v>6.5422</v>
      </c>
      <c r="BD82" s="679" cm="1">
        <f t="array" ref="BD82">K81-K82</f>
        <v>-1305353</v>
      </c>
      <c r="BE82" s="679" cm="1">
        <f t="array" ref="BE82">AZ82-BD82</f>
        <v>1784029</v>
      </c>
      <c r="BF82" s="679" cm="1">
        <f t="array" ref="BF82">-BE82</f>
        <v>-1784029</v>
      </c>
      <c r="BG82" s="679" cm="1">
        <f t="array" ref="BG82">BB82+BE82</f>
        <v>2105938</v>
      </c>
      <c r="BH82" s="679" cm="1">
        <f t="array" ref="BH82">AVERAGE(BG79:BG80,BG82)</f>
        <v>1355603.66666667</v>
      </c>
      <c r="BI82" s="699" cm="1">
        <f t="array" ref="BI82">BC80-BC82</f>
        <v>0.121</v>
      </c>
      <c r="BJ82" s="596" cm="1">
        <f t="array" ref="BJ82">J81*0.0495/12-0.16</f>
        <v>7.8611866625</v>
      </c>
      <c r="BK82" s="698" cm="1">
        <f t="array" ref="BK82">(AV82+AX82)/BB82</f>
        <v>1.48699166534642</v>
      </c>
      <c r="BL82" s="698" cm="1">
        <f t="array" ref="BL82">U82-AW82</f>
        <v>10.4461578803309</v>
      </c>
      <c r="BM82" s="698" cm="1">
        <f t="array" ref="BM82">(BN$2*(1+BN$2)^BM$2*J80)/((1+BN$2)^BM$2-1)</f>
        <v>10.4306434588428</v>
      </c>
      <c r="BN82" s="698"/>
      <c r="BO82" s="247" cm="1">
        <f t="array" ref="BO82">AV82+AX82+BO81</f>
        <v>83201248</v>
      </c>
      <c r="BP82" s="247" cm="1">
        <f t="array" ref="BP82">BB82+BP81</f>
        <v>28277211</v>
      </c>
      <c r="BQ82" s="596" cm="1">
        <f t="array" ref="BQ82">BA82+BQ81</f>
        <v>2048.8526</v>
      </c>
      <c r="BR82" s="596" cm="1">
        <f t="array" ref="BR82">BC82+BR81</f>
        <v>672.3831</v>
      </c>
      <c r="BS82" s="247" cm="1">
        <f t="array" ref="BS82">SUM(BE$6:BE82)</f>
        <v>31770226</v>
      </c>
      <c r="BT82" s="596"/>
      <c r="BU82" s="596"/>
      <c r="BV82" s="247" cm="1">
        <f t="array" ref="BV82">SUM(AZ$6:AZ82)</f>
        <v>83201248</v>
      </c>
      <c r="BW82" s="596"/>
      <c r="BX82" s="596"/>
    </row>
    <row r="83" ht="19.35" customHeight="1">
      <c r="A83" s="689">
        <v>79</v>
      </c>
      <c r="B83" s="675">
        <v>47737</v>
      </c>
      <c r="C83" s="247"/>
      <c r="D83" s="597" cm="1">
        <f t="array" ref="D83">W83</f>
        <v>17.3709498277702</v>
      </c>
      <c r="E83" s="731" cm="1">
        <f t="array" ref="E83">E82*(1+F83)</f>
        <v>49618.1044030828</v>
      </c>
      <c r="F83" s="835" cm="1">
        <f t="array" ref="F83">G83-SUM(F72:F82)</f>
        <v>0.008399999999999999</v>
      </c>
      <c r="G83" s="676" cm="1">
        <f t="array" ref="G83">'depto - Table 5'!$J$2</f>
        <v>0.03</v>
      </c>
      <c r="H83" s="676" cm="1">
        <f t="array" ref="H83">G83+4.95/100</f>
        <v>0.0795</v>
      </c>
      <c r="I83" s="247" cm="1">
        <f t="array" ref="I83">IF(J82=0,0,ROUND(D83*E83,0))</f>
        <v>861914</v>
      </c>
      <c r="J83" s="677" cm="1">
        <f t="array" ref="J83">IF(J82-BA83&lt;0,0,J82-BA83)</f>
        <v>1925.0316</v>
      </c>
      <c r="K83" s="679" cm="1">
        <f t="array" ref="K83">ROUND(J83*E83,0)</f>
        <v>95516419</v>
      </c>
      <c r="L83" s="679" cm="1">
        <f t="array" ref="L83">K83-K82</f>
        <v>314909</v>
      </c>
      <c r="M83" s="681" cm="1">
        <f t="array" ref="M83">Q83-J83</f>
        <v>3474.9684</v>
      </c>
      <c r="N83" s="679" cm="1">
        <f t="array" ref="N83">ROUND(M83*E83,0)</f>
        <v>172421345</v>
      </c>
      <c r="O83" s="596" cm="1">
        <f t="array" ref="O83">$J$5-J83</f>
        <v>2024.9684</v>
      </c>
      <c r="P83" s="679" cm="1">
        <f t="array" ref="P83">N83-N82</f>
        <v>1917020</v>
      </c>
      <c r="Q83" s="596">
        <v>5400</v>
      </c>
      <c r="R83" s="679" cm="1">
        <f t="array" ref="R83">Q83*E83</f>
        <v>267937763.776647</v>
      </c>
      <c r="S83" s="247" cm="1">
        <f t="array" ref="S83">-P83</f>
        <v>-1917020</v>
      </c>
      <c r="T83" s="690"/>
      <c r="U83" s="682" cm="1">
        <f t="array" ref="U83">J82*4.95/12/100/(1-(1+4.95/12/100)^-(360-$A83+3))+AT83</f>
        <v>12.6905465277745</v>
      </c>
      <c r="V83" s="597" cm="1">
        <f t="array" ref="V83">IF(V$3*12&lt;=$A83,0,$J82*'depto - Departamento'!$D$8/12/(1-(1+'depto - Departamento'!$D$8/12)^-(12*V$3-$A83+3))+$AT84)</f>
        <v>14.3634989254778</v>
      </c>
      <c r="W83" s="597" cm="1">
        <f t="array" ref="W83">IF(W$3*12&lt;=$A83,0,$J82*'depto - Departamento'!$D$8/12/(1-(1+'depto - Departamento'!$D$8/12)^-(12*W$3-$A83+3))+$AT85)</f>
        <v>17.3709498277702</v>
      </c>
      <c r="X83" s="597" cm="1">
        <f t="array" ref="X83">IF(X$3*12&lt;=$A83,0,$J82*'depto - Departamento'!$D$8/12/(1-(1+'depto - Departamento'!$D$8/12)^-(12*X$3-$A83+3))+$AT85)</f>
        <v>24.0295074221957</v>
      </c>
      <c r="Y83" s="597" cm="1">
        <f t="array" ref="Y83">IF(Y$3*12&lt;=$A83,0,$J82*'depto - Departamento'!$D$8/12/(1-(1+'depto - Departamento'!$D$8/12)^-(12*Y$3-$A83+3))+$AT84)</f>
        <v>33.8009728499934</v>
      </c>
      <c r="Z83" s="597" cm="1">
        <f t="array" ref="Z83">IF(Z$3*12&lt;=$A83,0,$J82*'depto - Departamento'!$D$8/12/(1-(1+'depto - Departamento'!$D$8/12)^-(12*Z$3-$A83+3))+$AT84)</f>
        <v>49.2872303826596</v>
      </c>
      <c r="AA83" s="597" cm="1">
        <f t="array" ref="AA83">IF(AA$3*12&lt;=$A83,0,$J82*'depto - Departamento'!$D$8/12/(1-(1+'depto - Departamento'!$D$8/12)^-(12*AA$3-$A83+3))+$AT84)</f>
        <v>0</v>
      </c>
      <c r="AB83" s="597" cm="1">
        <f t="array" ref="AB83">AB82-(AB81-AB82)</f>
        <v>79.0977</v>
      </c>
      <c r="AC83" s="597"/>
      <c r="AD83" s="696" cm="1">
        <f t="array" ref="AD83">$E83*U83</f>
        <v>629680.8625472951</v>
      </c>
      <c r="AE83" s="247" cm="1">
        <f t="array" ref="AE83">$E83*V83</f>
        <v>712689.589277925</v>
      </c>
      <c r="AF83" s="247" cm="1">
        <f t="array" ref="AF83">$E83*W83</f>
        <v>861913.602135015</v>
      </c>
      <c r="AG83" s="247" cm="1">
        <f t="array" ref="AG83">$E83*X83</f>
        <v>1192298.60802916</v>
      </c>
      <c r="AH83" s="247" cm="1">
        <f t="array" ref="AH83">$E83*Y83</f>
        <v>1677140.19979674</v>
      </c>
      <c r="AI83" s="247" cm="1">
        <f t="array" ref="AI83">$E83*Z83</f>
        <v>2445538.9428656</v>
      </c>
      <c r="AJ83" s="247" cm="1">
        <f t="array" ref="AJ83">$E83*AA83</f>
        <v>0</v>
      </c>
      <c r="AK83" s="247" cm="1">
        <f t="array" ref="AK83">$E83*AB83</f>
        <v>3924677.93664372</v>
      </c>
      <c r="AL83" s="597"/>
      <c r="AM83" s="691" cm="1">
        <f t="array" ref="AM83">J81-J83</f>
        <v>19.4985</v>
      </c>
      <c r="AN83" s="691" cm="1">
        <f t="array" ref="AN83">D83-AM83</f>
        <v>-2.1275501722298</v>
      </c>
      <c r="AO83" s="597"/>
      <c r="AP83" s="684" cm="1">
        <f t="array" ref="AP83">ROUND(AQ83*E83,0)</f>
        <v>51315</v>
      </c>
      <c r="AQ83" s="692">
        <v>1.0342</v>
      </c>
      <c r="AR83" s="684" cm="1">
        <f t="array" ref="AR83">ROUND(E83*AS83,0)</f>
        <v>3905</v>
      </c>
      <c r="AS83" s="692" cm="1">
        <f t="array" ref="AS83">0.0787</f>
        <v>0.07870000000000001</v>
      </c>
      <c r="AT83" s="693" cm="1">
        <f t="array" ref="AT83">SUM(AQ83,AS83)</f>
        <v>1.1129</v>
      </c>
      <c r="AU83" s="684" cm="1">
        <f t="array" ref="AU83">ROUND(SUM(AQ83,AS83)*E83,0)</f>
        <v>55220</v>
      </c>
      <c r="AV83" s="685">
        <v>112242</v>
      </c>
      <c r="AW83" s="694" cm="1">
        <f t="array" ref="AW83">ROUND(AV83/$E83,4)</f>
        <v>2.2621</v>
      </c>
      <c r="AX83" s="685" cm="1">
        <f t="array" ref="AX83">I83-SUM(AU83,AV83,BB83)</f>
        <v>372543</v>
      </c>
      <c r="AY83" s="694" cm="1">
        <f t="array" ref="AY83">ROUND(AX83/$E83,4)</f>
        <v>7.5082</v>
      </c>
      <c r="AZ83" s="686" cm="1">
        <f t="array" ref="AZ83">AX83+AV83</f>
        <v>484785</v>
      </c>
      <c r="BA83" s="694" cm="1">
        <f t="array" ref="BA83">ROUND((AV83+AX83)/E83,4)</f>
        <v>9.770300000000001</v>
      </c>
      <c r="BB83" s="687">
        <v>321909</v>
      </c>
      <c r="BC83" s="695" cm="1">
        <f t="array" ref="BC83">ROUND(BB83/$E83,4)</f>
        <v>6.4877</v>
      </c>
      <c r="BD83" s="679" cm="1">
        <f t="array" ref="BD83">K82-K83</f>
        <v>-314909</v>
      </c>
      <c r="BE83" s="679" cm="1">
        <f t="array" ref="BE83">AZ83-BD83</f>
        <v>799694</v>
      </c>
      <c r="BF83" s="679" cm="1">
        <f t="array" ref="BF83">-BE83</f>
        <v>-799694</v>
      </c>
      <c r="BG83" s="679" cm="1">
        <f t="array" ref="BG83">BB83+BE83</f>
        <v>1121603</v>
      </c>
      <c r="BH83" s="679" cm="1">
        <f t="array" ref="BH83">AVERAGE(BG80:BG81,BG83)</f>
        <v>823726</v>
      </c>
      <c r="BI83" s="699" cm="1">
        <f t="array" ref="BI83">BC81-BC83</f>
        <v>0.1788</v>
      </c>
      <c r="BJ83" s="596" cm="1">
        <f t="array" ref="BJ83">J82*0.0495/12-0.16</f>
        <v>7.8210578375</v>
      </c>
      <c r="BK83" s="698" cm="1">
        <f t="array" ref="BK83">(AV83+AX83)/BB83</f>
        <v>1.50596907821776</v>
      </c>
      <c r="BL83" s="698" cm="1">
        <f t="array" ref="BL83">U83-AW83</f>
        <v>10.4284465277745</v>
      </c>
      <c r="BM83" s="698" cm="1">
        <f t="array" ref="BM83">(BN$2*(1+BN$2)^BM$2*J81)/((1+BN$2)^BM$2-1)</f>
        <v>10.3793182709395</v>
      </c>
      <c r="BN83" s="698"/>
      <c r="BO83" s="247" cm="1">
        <f t="array" ref="BO83">AV83+AX83+BO82</f>
        <v>83686033</v>
      </c>
      <c r="BP83" s="247" cm="1">
        <f t="array" ref="BP83">BB83+BP82</f>
        <v>28599120</v>
      </c>
      <c r="BQ83" s="596" cm="1">
        <f t="array" ref="BQ83">BA83+BQ82</f>
        <v>2058.6229</v>
      </c>
      <c r="BR83" s="596" cm="1">
        <f t="array" ref="BR83">BC83+BR82</f>
        <v>678.8708</v>
      </c>
      <c r="BS83" s="247" cm="1">
        <f t="array" ref="BS83">SUM(BE$6:BE83)</f>
        <v>32569920</v>
      </c>
      <c r="BT83" s="596"/>
      <c r="BU83" s="596"/>
      <c r="BV83" s="247" cm="1">
        <f t="array" ref="BV83">SUM(AZ$6:AZ83)</f>
        <v>83686033</v>
      </c>
      <c r="BW83" s="596"/>
      <c r="BX83" s="596"/>
    </row>
    <row r="84" ht="19.35" customHeight="1">
      <c r="A84" s="689">
        <v>80</v>
      </c>
      <c r="B84" s="675">
        <v>47767</v>
      </c>
      <c r="C84" s="247"/>
      <c r="D84" s="597" cm="1">
        <f t="array" ref="D84">W84</f>
        <v>17.3583477192122</v>
      </c>
      <c r="E84" s="731" cm="1">
        <f t="array" ref="E84">E83*(1+F84)</f>
        <v>49632.9898344037</v>
      </c>
      <c r="F84" s="835" cm="1">
        <f t="array" ref="F84">G84-SUM(F73:F83)</f>
        <v>0.0003</v>
      </c>
      <c r="G84" s="676" cm="1">
        <f t="array" ref="G84">'depto - Table 5'!$J$2</f>
        <v>0.03</v>
      </c>
      <c r="H84" s="676" cm="1">
        <f t="array" ref="H84">G84+4.95/100</f>
        <v>0.0795</v>
      </c>
      <c r="I84" s="247" cm="1">
        <f t="array" ref="I84">IF(J83=0,0,ROUND(D84*E84,0))</f>
        <v>861547</v>
      </c>
      <c r="J84" s="677" cm="1">
        <f t="array" ref="J84">IF(J83-BA84&lt;0,0,J83-BA84)</f>
        <v>1915.2719</v>
      </c>
      <c r="K84" s="679" cm="1">
        <f t="array" ref="K84">ROUND(J84*E84,0)</f>
        <v>95060671</v>
      </c>
      <c r="L84" s="679" cm="1">
        <f t="array" ref="L84">K84-K83</f>
        <v>-455748</v>
      </c>
      <c r="M84" s="681" cm="1">
        <f t="array" ref="M84">Q84-J84</f>
        <v>3484.7281</v>
      </c>
      <c r="N84" s="679" cm="1">
        <f t="array" ref="N84">ROUND(M84*E84,0)</f>
        <v>172957474</v>
      </c>
      <c r="O84" s="596" cm="1">
        <f t="array" ref="O84">$J$5-J84</f>
        <v>2034.7281</v>
      </c>
      <c r="P84" s="679" cm="1">
        <f t="array" ref="P84">N84-N83</f>
        <v>536129</v>
      </c>
      <c r="Q84" s="596">
        <v>5400</v>
      </c>
      <c r="R84" s="679" cm="1">
        <f t="array" ref="R84">Q84*E84</f>
        <v>268018145.10578</v>
      </c>
      <c r="S84" s="247" cm="1">
        <f t="array" ref="S84">-P84</f>
        <v>-536129</v>
      </c>
      <c r="T84" s="690"/>
      <c r="U84" s="682" cm="1">
        <f t="array" ref="U84">J83*4.95/12/100/(1-(1+4.95/12/100)^-(360-$A84+3))+AT84</f>
        <v>12.6535349025009</v>
      </c>
      <c r="V84" s="597" cm="1">
        <f t="array" ref="V84">IF(V$3*12&lt;=$A84,0,$J83*'depto - Departamento'!$D$8/12/(1-(1+'depto - Departamento'!$D$8/12)^-(12*V$3-$A84+3))+$AT85)</f>
        <v>14.3325910472408</v>
      </c>
      <c r="W84" s="597" cm="1">
        <f t="array" ref="W84">IF(W$3*12&lt;=$A84,0,$J83*'depto - Departamento'!$D$8/12/(1-(1+'depto - Departamento'!$D$8/12)^-(12*W$3-$A84+3))+$AT86)</f>
        <v>17.3583477192122</v>
      </c>
      <c r="X84" s="597" cm="1">
        <f t="array" ref="X84">IF(X$3*12&lt;=$A84,0,$J83*'depto - Departamento'!$D$8/12/(1-(1+'depto - Departamento'!$D$8/12)^-(12*X$3-$A84+3))+$AT86)</f>
        <v>24.0911627540601</v>
      </c>
      <c r="Y84" s="597" cm="1">
        <f t="array" ref="Y84">IF(Y$3*12&lt;=$A84,0,$J83*'depto - Departamento'!$D$8/12/(1-(1+'depto - Departamento'!$D$8/12)^-(12*Y$3-$A84+3))+$AT85)</f>
        <v>34.0565896951593</v>
      </c>
      <c r="Z84" s="597" cm="1">
        <f t="array" ref="Z84">IF(Z$3*12&lt;=$A84,0,$J83*'depto - Departamento'!$D$8/12/(1-(1+'depto - Departamento'!$D$8/12)^-(12*Z$3-$A84+3))+$AT85)</f>
        <v>50.060797181298</v>
      </c>
      <c r="AA84" s="597" cm="1">
        <f t="array" ref="AA84">IF(AA$3*12&lt;=$A84,0,$J83*'depto - Departamento'!$D$8/12/(1-(1+'depto - Departamento'!$D$8/12)^-(12*AA$3-$A84+3))+$AT85)</f>
        <v>0</v>
      </c>
      <c r="AB84" s="597" cm="1">
        <f t="array" ref="AB84">AB83-(AB82-AB83)</f>
        <v>79.0853</v>
      </c>
      <c r="AC84" s="597"/>
      <c r="AD84" s="696" cm="1">
        <f t="array" ref="AD84">$E84*U84</f>
        <v>628032.7691851</v>
      </c>
      <c r="AE84" s="247" cm="1">
        <f t="array" ref="AE84">$E84*V84</f>
        <v>711369.345748368</v>
      </c>
      <c r="AF84" s="247" cm="1">
        <f t="array" ref="AF84">$E84*W84</f>
        <v>861546.695889704</v>
      </c>
      <c r="AG84" s="247" cm="1">
        <f t="array" ref="AG84">$E84*X84</f>
        <v>1195716.43607123</v>
      </c>
      <c r="AH84" s="247" cm="1">
        <f t="array" ref="AH84">$E84*Y84</f>
        <v>1690330.3701343</v>
      </c>
      <c r="AI84" s="247" cm="1">
        <f t="array" ref="AI84">$E84*Z84</f>
        <v>2484667.03760151</v>
      </c>
      <c r="AJ84" s="247" cm="1">
        <f t="array" ref="AJ84">$E84*AA84</f>
        <v>0</v>
      </c>
      <c r="AK84" s="247" cm="1">
        <f t="array" ref="AK84">$E84*AB84</f>
        <v>3925239.89095077</v>
      </c>
      <c r="AL84" s="597"/>
      <c r="AM84" s="691" cm="1">
        <f t="array" ref="AM84">J82-J84</f>
        <v>19.53</v>
      </c>
      <c r="AN84" s="691" cm="1">
        <f t="array" ref="AN84">D84-AM84</f>
        <v>-2.1716522807878</v>
      </c>
      <c r="AO84" s="597"/>
      <c r="AP84" s="684" cm="1">
        <f t="array" ref="AP84">ROUND(AQ84*E84,0)</f>
        <v>51330</v>
      </c>
      <c r="AQ84" s="692">
        <v>1.0342</v>
      </c>
      <c r="AR84" s="684" cm="1">
        <f t="array" ref="AR84">ROUND(E84*AS84,0)</f>
        <v>3906</v>
      </c>
      <c r="AS84" s="692" cm="1">
        <f t="array" ref="AS84">0.0787</f>
        <v>0.07870000000000001</v>
      </c>
      <c r="AT84" s="693" cm="1">
        <f t="array" ref="AT84">SUM(AQ84,AS84)</f>
        <v>1.1129</v>
      </c>
      <c r="AU84" s="684" cm="1">
        <f t="array" ref="AU84">ROUND(SUM(AQ84,AS84)*E84,0)</f>
        <v>55237</v>
      </c>
      <c r="AV84" s="685">
        <v>112242</v>
      </c>
      <c r="AW84" s="694" cm="1">
        <f t="array" ref="AW84">ROUND(AV84/$E84,4)</f>
        <v>2.2614</v>
      </c>
      <c r="AX84" s="685" cm="1">
        <f t="array" ref="AX84">I84-SUM(AU84,AV84,BB84)</f>
        <v>372159</v>
      </c>
      <c r="AY84" s="694" cm="1">
        <f t="array" ref="AY84">ROUND(AX84/$E84,4)</f>
        <v>7.4982</v>
      </c>
      <c r="AZ84" s="686" cm="1">
        <f t="array" ref="AZ84">AX84+AV84</f>
        <v>484401</v>
      </c>
      <c r="BA84" s="694" cm="1">
        <f t="array" ref="BA84">ROUND((AV84+AX84)/E84,4)</f>
        <v>9.7597</v>
      </c>
      <c r="BB84" s="687">
        <v>321909</v>
      </c>
      <c r="BC84" s="695" cm="1">
        <f t="array" ref="BC84">ROUND(BB84/$E84,4)</f>
        <v>6.4858</v>
      </c>
      <c r="BD84" s="679" cm="1">
        <f t="array" ref="BD84">K83-K84</f>
        <v>455748</v>
      </c>
      <c r="BE84" s="679" cm="1">
        <f t="array" ref="BE84">AZ84-BD84</f>
        <v>28653</v>
      </c>
      <c r="BF84" s="679" cm="1">
        <f t="array" ref="BF84">-BE84</f>
        <v>-28653</v>
      </c>
      <c r="BG84" s="679" cm="1">
        <f t="array" ref="BG84">BB84+BE84</f>
        <v>350562</v>
      </c>
      <c r="BH84" s="679" cm="1">
        <f t="array" ref="BH84">AVERAGE(BG81:BG82,BG84)</f>
        <v>910402</v>
      </c>
      <c r="BI84" s="699" cm="1">
        <f t="array" ref="BI84">BC82-BC84</f>
        <v>0.0564</v>
      </c>
      <c r="BJ84" s="596" cm="1">
        <f t="array" ref="BJ84">J83*0.0495/12-0.16</f>
        <v>7.78075535</v>
      </c>
      <c r="BK84" s="698" cm="1">
        <f t="array" ref="BK84">(AV84+AX84)/BB84</f>
        <v>1.5047761945146</v>
      </c>
      <c r="BL84" s="698" cm="1">
        <f t="array" ref="BL84">U84-AW84</f>
        <v>10.3921349025009</v>
      </c>
      <c r="BM84" s="698" cm="1">
        <f t="array" ref="BM84">(BN$2*(1+BN$2)^BM$2*J82)/((1+BN$2)^BM$2-1)</f>
        <v>10.3273920580188</v>
      </c>
      <c r="BN84" s="698"/>
      <c r="BO84" s="247" cm="1">
        <f t="array" ref="BO84">AV84+AX84+BO83</f>
        <v>84170434</v>
      </c>
      <c r="BP84" s="247" cm="1">
        <f t="array" ref="BP84">BB84+BP83</f>
        <v>28921029</v>
      </c>
      <c r="BQ84" s="596" cm="1">
        <f t="array" ref="BQ84">BA84+BQ83</f>
        <v>2068.3826</v>
      </c>
      <c r="BR84" s="596" cm="1">
        <f t="array" ref="BR84">BC84+BR83</f>
        <v>685.3566</v>
      </c>
      <c r="BS84" s="247" cm="1">
        <f t="array" ref="BS84">SUM(BE$6:BE84)</f>
        <v>32598573</v>
      </c>
      <c r="BT84" s="596"/>
      <c r="BU84" s="596"/>
      <c r="BV84" s="247" cm="1">
        <f t="array" ref="BV84">SUM(AZ$6:AZ84)</f>
        <v>84170434</v>
      </c>
      <c r="BW84" s="596"/>
      <c r="BX84" s="596"/>
    </row>
    <row r="85" ht="19.35" customHeight="1">
      <c r="A85" s="689">
        <v>81</v>
      </c>
      <c r="B85" s="675">
        <v>47798</v>
      </c>
      <c r="C85" s="247"/>
      <c r="D85" s="597" cm="1">
        <f t="array" ref="D85">W85</f>
        <v>17.3460156283426</v>
      </c>
      <c r="E85" s="731" cm="1">
        <f t="array" ref="E85">E84*(1+F85)</f>
        <v>49816.631896791</v>
      </c>
      <c r="F85" s="835" cm="1">
        <f t="array" ref="F85">G85-SUM(F74:F84)</f>
        <v>0.0037</v>
      </c>
      <c r="G85" s="676" cm="1">
        <f t="array" ref="G85">'depto - Table 5'!$J$2</f>
        <v>0.03</v>
      </c>
      <c r="H85" s="676" cm="1">
        <f t="array" ref="H85">G85+4.95/100</f>
        <v>0.0795</v>
      </c>
      <c r="I85" s="247" cm="1">
        <f t="array" ref="I85">IF(J84=0,0,ROUND(D85*E85,0))</f>
        <v>864120</v>
      </c>
      <c r="J85" s="677" cm="1">
        <f t="array" ref="J85">IF(J84-BA85&lt;0,0,J84-BA85)</f>
        <v>1905.5007</v>
      </c>
      <c r="K85" s="679" cm="1">
        <f t="array" ref="K85">ROUND(J85*E85,0)</f>
        <v>94925627</v>
      </c>
      <c r="L85" s="679" cm="1">
        <f t="array" ref="L85">K85-K84</f>
        <v>-135044</v>
      </c>
      <c r="M85" s="681" cm="1">
        <f t="array" ref="M85">Q85-J85</f>
        <v>3494.4993</v>
      </c>
      <c r="N85" s="679" cm="1">
        <f t="array" ref="N85">ROUND(M85*E85,0)</f>
        <v>174084185</v>
      </c>
      <c r="O85" s="596" cm="1">
        <f t="array" ref="O85">$J$5-J85</f>
        <v>2044.4993</v>
      </c>
      <c r="P85" s="679" cm="1">
        <f t="array" ref="P85">N85-N84</f>
        <v>1126711</v>
      </c>
      <c r="Q85" s="596">
        <v>5400</v>
      </c>
      <c r="R85" s="679" cm="1">
        <f t="array" ref="R85">Q85*E85</f>
        <v>269009812.242671</v>
      </c>
      <c r="S85" s="247" cm="1">
        <f t="array" ref="S85">-P85</f>
        <v>-1126711</v>
      </c>
      <c r="T85" s="690"/>
      <c r="U85" s="682" cm="1">
        <f t="array" ref="U85">J84*4.95/12/100/(1-(1+4.95/12/100)^-(360-$A85+3))+AT85</f>
        <v>12.6165373667087</v>
      </c>
      <c r="V85" s="597" cm="1">
        <f t="array" ref="V85">IF(V$3*12&lt;=$A85,0,$J84*'depto - Departamento'!$D$8/12/(1-(1+'depto - Departamento'!$D$8/12)^-(12*V$3-$A85+3))+$AT86)</f>
        <v>14.3017358642585</v>
      </c>
      <c r="W85" s="597" cm="1">
        <f t="array" ref="W85">IF(W$3*12&lt;=$A85,0,$J84*'depto - Departamento'!$D$8/12/(1-(1+'depto - Departamento'!$D$8/12)^-(12*W$3-$A85+3))+$AT87)</f>
        <v>17.3460156283426</v>
      </c>
      <c r="X85" s="597" cm="1">
        <f t="array" ref="X85">IF(X$3*12&lt;=$A85,0,$J84*'depto - Departamento'!$D$8/12/(1-(1+'depto - Departamento'!$D$8/12)^-(12*X$3-$A85+3))+$AT87)</f>
        <v>24.1546576338432</v>
      </c>
      <c r="Y85" s="597" cm="1">
        <f t="array" ref="Y85">IF(Y$3*12&lt;=$A85,0,$J84*'depto - Departamento'!$D$8/12/(1-(1+'depto - Departamento'!$D$8/12)^-(12*Y$3-$A85+3))+$AT86)</f>
        <v>34.3208848562243</v>
      </c>
      <c r="Z85" s="597" cm="1">
        <f t="array" ref="Z85">IF(Z$3*12&lt;=$A85,0,$J84*'depto - Departamento'!$D$8/12/(1-(1+'depto - Departamento'!$D$8/12)^-(12*Z$3-$A85+3))+$AT86)</f>
        <v>50.8726213395808</v>
      </c>
      <c r="AA85" s="597" cm="1">
        <f t="array" ref="AA85">IF(AA$3*12&lt;=$A85,0,$J84*'depto - Departamento'!$D$8/12/(1-(1+'depto - Departamento'!$D$8/12)^-(12*AA$3-$A85+3))+$AT86)</f>
        <v>0</v>
      </c>
      <c r="AB85" s="597" cm="1">
        <f t="array" ref="AB85">AB84-(AB83-AB84)</f>
        <v>79.0729</v>
      </c>
      <c r="AC85" s="597"/>
      <c r="AD85" s="696" cm="1">
        <f t="array" ref="AD85">$E85*U85</f>
        <v>628513.397809436</v>
      </c>
      <c r="AE85" s="247" cm="1">
        <f t="array" ref="AE85">$E85*V85</f>
        <v>712464.3110349</v>
      </c>
      <c r="AF85" s="247" cm="1">
        <f t="array" ref="AF85">$E85*W85</f>
        <v>864120.075433127</v>
      </c>
      <c r="AG85" s="247" cm="1">
        <f t="array" ref="AG85">$E85*X85</f>
        <v>1203303.68793818</v>
      </c>
      <c r="AH85" s="247" cm="1">
        <f t="array" ref="AH85">$E85*Y85</f>
        <v>1709750.88725467</v>
      </c>
      <c r="AI85" s="247" cm="1">
        <f t="array" ref="AI85">$E85*Z85</f>
        <v>2534302.65089873</v>
      </c>
      <c r="AJ85" s="247" cm="1">
        <f t="array" ref="AJ85">$E85*AA85</f>
        <v>0</v>
      </c>
      <c r="AK85" s="247" cm="1">
        <f t="array" ref="AK85">$E85*AB85</f>
        <v>3939145.55231177</v>
      </c>
      <c r="AL85" s="597"/>
      <c r="AM85" s="691" cm="1">
        <f t="array" ref="AM85">J83-J85</f>
        <v>19.5309</v>
      </c>
      <c r="AN85" s="691" cm="1">
        <f t="array" ref="AN85">D85-AM85</f>
        <v>-2.1848843716574</v>
      </c>
      <c r="AO85" s="597"/>
      <c r="AP85" s="684" cm="1">
        <f t="array" ref="AP85">ROUND(AQ85*E85,0)</f>
        <v>51520</v>
      </c>
      <c r="AQ85" s="692">
        <v>1.0342</v>
      </c>
      <c r="AR85" s="684" cm="1">
        <f t="array" ref="AR85">ROUND(E85*AS85,0)</f>
        <v>3921</v>
      </c>
      <c r="AS85" s="692" cm="1">
        <f t="array" ref="AS85">0.0787</f>
        <v>0.07870000000000001</v>
      </c>
      <c r="AT85" s="693" cm="1">
        <f t="array" ref="AT85">SUM(AQ85,AS85)</f>
        <v>1.1129</v>
      </c>
      <c r="AU85" s="684" cm="1">
        <f t="array" ref="AU85">ROUND(SUM(AQ85,AS85)*E85,0)</f>
        <v>55441</v>
      </c>
      <c r="AV85" s="685">
        <v>112242</v>
      </c>
      <c r="AW85" s="694" cm="1">
        <f t="array" ref="AW85">ROUND(AV85/$E85,4)</f>
        <v>2.2531</v>
      </c>
      <c r="AX85" s="685" cm="1">
        <f t="array" ref="AX85">I85-SUM(AU85,AV85,BB85)</f>
        <v>374528</v>
      </c>
      <c r="AY85" s="694" cm="1">
        <f t="array" ref="AY85">ROUND(AX85/$E85,4)</f>
        <v>7.5181</v>
      </c>
      <c r="AZ85" s="686" cm="1">
        <f t="array" ref="AZ85">AX85+AV85</f>
        <v>486770</v>
      </c>
      <c r="BA85" s="694" cm="1">
        <f t="array" ref="BA85">ROUND((AV85+AX85)/E85,4)</f>
        <v>9.7712</v>
      </c>
      <c r="BB85" s="687">
        <v>321909</v>
      </c>
      <c r="BC85" s="695" cm="1">
        <f t="array" ref="BC85">ROUND(BB85/$E85,4)</f>
        <v>6.4619</v>
      </c>
      <c r="BD85" s="679" cm="1">
        <f t="array" ref="BD85">K84-K85</f>
        <v>135044</v>
      </c>
      <c r="BE85" s="679" cm="1">
        <f t="array" ref="BE85">AZ85-BD85</f>
        <v>351726</v>
      </c>
      <c r="BF85" s="679" cm="1">
        <f t="array" ref="BF85">-BE85</f>
        <v>-351726</v>
      </c>
      <c r="BG85" s="679" cm="1">
        <f t="array" ref="BG85">BB85+BE85</f>
        <v>673635</v>
      </c>
      <c r="BH85" s="679" cm="1">
        <f t="array" ref="BH85">AVERAGE(BG82:BG83,BG85)</f>
        <v>1300392</v>
      </c>
      <c r="BI85" s="699" cm="1">
        <f t="array" ref="BI85">BC83-BC85</f>
        <v>0.0258</v>
      </c>
      <c r="BJ85" s="596" cm="1">
        <f t="array" ref="BJ85">J84*0.0495/12-0.16</f>
        <v>7.7404965875</v>
      </c>
      <c r="BK85" s="698" cm="1">
        <f t="array" ref="BK85">(AV85+AX85)/BB85</f>
        <v>1.51213541715205</v>
      </c>
      <c r="BL85" s="698" cm="1">
        <f t="array" ref="BL85">U85-AW85</f>
        <v>10.3634373667087</v>
      </c>
      <c r="BM85" s="698" cm="1">
        <f t="array" ref="BM85">(BN$2*(1+BN$2)^BM$2*J83)/((1+BN$2)^BM$2-1)</f>
        <v>10.275241127929</v>
      </c>
      <c r="BN85" s="698"/>
      <c r="BO85" s="247" cm="1">
        <f t="array" ref="BO85">AV85+AX85+BO84</f>
        <v>84657204</v>
      </c>
      <c r="BP85" s="247" cm="1">
        <f t="array" ref="BP85">BB85+BP84</f>
        <v>29242938</v>
      </c>
      <c r="BQ85" s="596" cm="1">
        <f t="array" ref="BQ85">BA85+BQ84</f>
        <v>2078.1538</v>
      </c>
      <c r="BR85" s="596" cm="1">
        <f t="array" ref="BR85">BC85+BR84</f>
        <v>691.8185</v>
      </c>
      <c r="BS85" s="247" cm="1">
        <f t="array" ref="BS85">SUM(BE$6:BE85)</f>
        <v>32950299</v>
      </c>
      <c r="BT85" s="596"/>
      <c r="BU85" s="596"/>
      <c r="BV85" s="247" cm="1">
        <f t="array" ref="BV85">SUM(AZ$6:AZ85)</f>
        <v>84657204</v>
      </c>
      <c r="BW85" s="596"/>
      <c r="BX85" s="596"/>
    </row>
    <row r="86" ht="19.35" customHeight="1">
      <c r="A86" s="689">
        <v>82</v>
      </c>
      <c r="B86" s="675">
        <v>47828</v>
      </c>
      <c r="C86" s="247"/>
      <c r="D86" s="597" cm="1">
        <f t="array" ref="D86">W86</f>
        <v>17.3337694853826</v>
      </c>
      <c r="E86" s="731" cm="1">
        <f t="array" ref="E86">E85*(1+F86)</f>
        <v>49826.5952231704</v>
      </c>
      <c r="F86" s="835" cm="1">
        <f t="array" ref="F86">G86-SUM(F75:F85)</f>
        <v>0.0002</v>
      </c>
      <c r="G86" s="676" cm="1">
        <f t="array" ref="G86">'depto - Table 5'!$J$2</f>
        <v>0.03</v>
      </c>
      <c r="H86" s="676" cm="1">
        <f t="array" ref="H86">G86+4.95/100</f>
        <v>0.0795</v>
      </c>
      <c r="I86" s="247" cm="1">
        <f t="array" ref="I86">IF(J85=0,0,ROUND(D86*E86,0))</f>
        <v>863683</v>
      </c>
      <c r="J86" s="677" cm="1">
        <f t="array" ref="J86">IF(J85-BA86&lt;0,0,J85-BA86)</f>
        <v>1895.7404</v>
      </c>
      <c r="K86" s="679" cm="1">
        <f t="array" ref="K86">ROUND(J86*E86,0)</f>
        <v>94458290</v>
      </c>
      <c r="L86" s="679" cm="1">
        <f t="array" ref="L86">K86-K85</f>
        <v>-467337</v>
      </c>
      <c r="M86" s="681" cm="1">
        <f t="array" ref="M86">Q86-J86</f>
        <v>3504.2596</v>
      </c>
      <c r="N86" s="679" cm="1">
        <f t="array" ref="N86">ROUND(M86*E86,0)</f>
        <v>174605325</v>
      </c>
      <c r="O86" s="596" cm="1">
        <f t="array" ref="O86">$J$5-J86</f>
        <v>2054.2596</v>
      </c>
      <c r="P86" s="679" cm="1">
        <f t="array" ref="P86">N86-N85</f>
        <v>521140</v>
      </c>
      <c r="Q86" s="596">
        <v>5400</v>
      </c>
      <c r="R86" s="679" cm="1">
        <f t="array" ref="R86">Q86*E86</f>
        <v>269063614.20512</v>
      </c>
      <c r="S86" s="247" cm="1">
        <f t="array" ref="S86">-P86</f>
        <v>-521140</v>
      </c>
      <c r="T86" s="690"/>
      <c r="U86" s="682" cm="1">
        <f t="array" ref="U86">J85*4.95/12/100/(1-(1+4.95/12/100)^-(360-$A86+3))+AT86</f>
        <v>12.5794205198752</v>
      </c>
      <c r="V86" s="597" cm="1">
        <f t="array" ref="V86">IF(V$3*12&lt;=$A86,0,$J85*'depto - Departamento'!$D$8/12/(1-(1+'depto - Departamento'!$D$8/12)^-(12*V$3-$A86+3))+$AT87)</f>
        <v>14.2707807735985</v>
      </c>
      <c r="W86" s="597" cm="1">
        <f t="array" ref="W86">IF(W$3*12&lt;=$A86,0,$J85*'depto - Departamento'!$D$8/12/(1-(1+'depto - Departamento'!$D$8/12)^-(12*W$3-$A86+3))+$AT88)</f>
        <v>17.3337694853826</v>
      </c>
      <c r="X86" s="597" cm="1">
        <f t="array" ref="X86">IF(X$3*12&lt;=$A86,0,$J85*'depto - Departamento'!$D$8/12/(1-(1+'depto - Departamento'!$D$8/12)^-(12*X$3-$A86+3))+$AT88)</f>
        <v>24.2197771801376</v>
      </c>
      <c r="Y86" s="597" cm="1">
        <f t="array" ref="Y86">IF(Y$3*12&lt;=$A86,0,$J85*'depto - Departamento'!$D$8/12/(1-(1+'depto - Departamento'!$D$8/12)^-(12*Y$3-$A86+3))+$AT87)</f>
        <v>34.5938682110152</v>
      </c>
      <c r="Z86" s="597" cm="1">
        <f t="array" ref="Z86">IF(Z$3*12&lt;=$A86,0,$J85*'depto - Departamento'!$D$8/12/(1-(1+'depto - Departamento'!$D$8/12)^-(12*Z$3-$A86+3))+$AT87)</f>
        <v>51.7249114895819</v>
      </c>
      <c r="AA86" s="597" cm="1">
        <f t="array" ref="AA86">IF(AA$3*12&lt;=$A86,0,$J85*'depto - Departamento'!$D$8/12/(1-(1+'depto - Departamento'!$D$8/12)^-(12*AA$3-$A86+3))+$AT87)</f>
        <v>0</v>
      </c>
      <c r="AB86" s="597" cm="1">
        <f t="array" ref="AB86">AB85-(AB84-AB85)</f>
        <v>79.0605</v>
      </c>
      <c r="AC86" s="597"/>
      <c r="AD86" s="696" cm="1">
        <f t="array" ref="AD86">$E86*U86</f>
        <v>626789.694385865</v>
      </c>
      <c r="AE86" s="247" cm="1">
        <f t="array" ref="AE86">$E86*V86</f>
        <v>711064.417124695</v>
      </c>
      <c r="AF86" s="247" cm="1">
        <f t="array" ref="AF86">$E86*W86</f>
        <v>863682.715839901</v>
      </c>
      <c r="AG86" s="247" cm="1">
        <f t="array" ref="AG86">$E86*X86</f>
        <v>1206789.0339501</v>
      </c>
      <c r="AH86" s="247" cm="1">
        <f t="array" ref="AH86">$E86*Y86</f>
        <v>1723694.66855396</v>
      </c>
      <c r="AI86" s="247" cm="1">
        <f t="array" ref="AI86">$E86*Z86</f>
        <v>2577276.22774571</v>
      </c>
      <c r="AJ86" s="247" cm="1">
        <f t="array" ref="AJ86">$E86*AA86</f>
        <v>0</v>
      </c>
      <c r="AK86" s="247" cm="1">
        <f t="array" ref="AK86">$E86*AB86</f>
        <v>3939315.53164146</v>
      </c>
      <c r="AL86" s="597"/>
      <c r="AM86" s="691" cm="1">
        <f t="array" ref="AM86">J84-J86</f>
        <v>19.5315</v>
      </c>
      <c r="AN86" s="691" cm="1">
        <f t="array" ref="AN86">D86-AM86</f>
        <v>-2.1977305146174</v>
      </c>
      <c r="AO86" s="597"/>
      <c r="AP86" s="684" cm="1">
        <f t="array" ref="AP86">ROUND(AQ86*E86,0)</f>
        <v>51531</v>
      </c>
      <c r="AQ86" s="692">
        <v>1.0342</v>
      </c>
      <c r="AR86" s="684" cm="1">
        <f t="array" ref="AR86">ROUND(E86*AS86,0)</f>
        <v>3921</v>
      </c>
      <c r="AS86" s="692" cm="1">
        <f t="array" ref="AS86">0.0787</f>
        <v>0.07870000000000001</v>
      </c>
      <c r="AT86" s="693" cm="1">
        <f t="array" ref="AT86">SUM(AQ86,AS86)</f>
        <v>1.1129</v>
      </c>
      <c r="AU86" s="684" cm="1">
        <f t="array" ref="AU86">ROUND(SUM(AQ86,AS86)*E86,0)</f>
        <v>55452</v>
      </c>
      <c r="AV86" s="685">
        <v>112242</v>
      </c>
      <c r="AW86" s="694" cm="1">
        <f t="array" ref="AW86">ROUND(AV86/$E86,4)</f>
        <v>2.2527</v>
      </c>
      <c r="AX86" s="685" cm="1">
        <f t="array" ref="AX86">I86-SUM(AU86,AV86,BB86)</f>
        <v>374080</v>
      </c>
      <c r="AY86" s="694" cm="1">
        <f t="array" ref="AY86">ROUND(AX86/$E86,4)</f>
        <v>7.5076</v>
      </c>
      <c r="AZ86" s="686" cm="1">
        <f t="array" ref="AZ86">AX86+AV86</f>
        <v>486322</v>
      </c>
      <c r="BA86" s="694" cm="1">
        <f t="array" ref="BA86">ROUND((AV86+AX86)/E86,4)</f>
        <v>9.760300000000001</v>
      </c>
      <c r="BB86" s="687">
        <v>321909</v>
      </c>
      <c r="BC86" s="695" cm="1">
        <f t="array" ref="BC86">ROUND(BB86/$E86,4)</f>
        <v>6.4606</v>
      </c>
      <c r="BD86" s="679" cm="1">
        <f t="array" ref="BD86">K85-K86</f>
        <v>467337</v>
      </c>
      <c r="BE86" s="679" cm="1">
        <f t="array" ref="BE86">AZ86-BD86</f>
        <v>18985</v>
      </c>
      <c r="BF86" s="679" cm="1">
        <f t="array" ref="BF86">-BE86</f>
        <v>-18985</v>
      </c>
      <c r="BG86" s="679" cm="1">
        <f t="array" ref="BG86">BB86+BE86</f>
        <v>340894</v>
      </c>
      <c r="BH86" s="679" cm="1">
        <f t="array" ref="BH86">AVERAGE(BG83:BG84,BG86)</f>
        <v>604353</v>
      </c>
      <c r="BI86" s="699" cm="1">
        <f t="array" ref="BI86">BC84-BC86</f>
        <v>0.0252</v>
      </c>
      <c r="BJ86" s="596" cm="1">
        <f t="array" ref="BJ86">J85*0.0495/12-0.16</f>
        <v>7.7001903875</v>
      </c>
      <c r="BK86" s="698" cm="1">
        <f t="array" ref="BK86">(AV86+AX86)/BB86</f>
        <v>1.51074371949837</v>
      </c>
      <c r="BL86" s="698" cm="1">
        <f t="array" ref="BL86">U86-AW86</f>
        <v>10.3267205198752</v>
      </c>
      <c r="BM86" s="698" cm="1">
        <f t="array" ref="BM86">(BN$2*(1+BN$2)^BM$2*J84)/((1+BN$2)^BM$2-1)</f>
        <v>10.223146777459</v>
      </c>
      <c r="BN86" s="698"/>
      <c r="BO86" s="247" cm="1">
        <f t="array" ref="BO86">AV86+AX86+BO85</f>
        <v>85143526</v>
      </c>
      <c r="BP86" s="247" cm="1">
        <f t="array" ref="BP86">BB86+BP85</f>
        <v>29564847</v>
      </c>
      <c r="BQ86" s="596" cm="1">
        <f t="array" ref="BQ86">BA86+BQ85</f>
        <v>2087.9141</v>
      </c>
      <c r="BR86" s="596" cm="1">
        <f t="array" ref="BR86">BC86+BR85</f>
        <v>698.2791</v>
      </c>
      <c r="BS86" s="247" cm="1">
        <f t="array" ref="BS86">SUM(BE$6:BE86)</f>
        <v>32969284</v>
      </c>
      <c r="BT86" s="596"/>
      <c r="BU86" s="596"/>
      <c r="BV86" s="247" cm="1">
        <f t="array" ref="BV86">SUM(AZ$6:AZ86)</f>
        <v>85143526</v>
      </c>
      <c r="BW86" s="596"/>
      <c r="BX86" s="596"/>
    </row>
    <row r="87" ht="19.35" customHeight="1">
      <c r="A87" s="689">
        <v>83</v>
      </c>
      <c r="B87" s="703">
        <v>47859</v>
      </c>
      <c r="C87" s="704"/>
      <c r="D87" s="705" cm="1">
        <f t="array" ref="D87">W87</f>
        <v>17.3218024888867</v>
      </c>
      <c r="E87" s="836" cm="1">
        <f t="array" ref="E87">E86*(1+F87)</f>
        <v>48869.9245948855</v>
      </c>
      <c r="F87" s="837" cm="1">
        <f t="array" ref="F87">G87-SUM(F76:F86)</f>
        <v>-0.0192</v>
      </c>
      <c r="G87" s="706" cm="1">
        <f t="array" ref="G87">'depto - Table 5'!$J$2</f>
        <v>0.03</v>
      </c>
      <c r="H87" s="706" cm="1">
        <f t="array" ref="H87">G87+4.95/100</f>
        <v>0.0795</v>
      </c>
      <c r="I87" s="247" cm="1">
        <f t="array" ref="I87">IF(J86=0,0,ROUND(D87*E87,0))</f>
        <v>846515</v>
      </c>
      <c r="J87" s="677" cm="1">
        <f t="array" ref="J87">IF(J86-BA87&lt;0,0,J86-BA87)</f>
        <v>1886.1186</v>
      </c>
      <c r="K87" s="679" cm="1">
        <f t="array" ref="K87">ROUND(J87*E87,0)</f>
        <v>92174474</v>
      </c>
      <c r="L87" s="679" cm="1">
        <f t="array" ref="L87">K87-K86</f>
        <v>-2283816</v>
      </c>
      <c r="M87" s="681" cm="1">
        <f t="array" ref="M87">Q87-J87</f>
        <v>3513.8814</v>
      </c>
      <c r="N87" s="679" cm="1">
        <f t="array" ref="N87">ROUND(M87*E87,0)</f>
        <v>171723119</v>
      </c>
      <c r="O87" s="596" cm="1">
        <f t="array" ref="O87">$J$5-J87</f>
        <v>2063.8814</v>
      </c>
      <c r="P87" s="679" cm="1">
        <f t="array" ref="P87">N87-N86</f>
        <v>-2882206</v>
      </c>
      <c r="Q87" s="596">
        <v>5400</v>
      </c>
      <c r="R87" s="679" cm="1">
        <f t="array" ref="R87">Q87*E87</f>
        <v>263897592.812382</v>
      </c>
      <c r="S87" s="247" cm="1">
        <f t="array" ref="S87">-P87</f>
        <v>2882206</v>
      </c>
      <c r="T87" s="690"/>
      <c r="U87" s="716" cm="1">
        <f t="array" ref="U87">J86*4.95/12/100/(1-(1+4.95/12/100)^-(360-$A87+3))+AT87</f>
        <v>12.5423182376014</v>
      </c>
      <c r="V87" s="705" cm="1">
        <f t="array" ref="V87">IF(V$3*12&lt;=$A87,0,$J86*'depto - Departamento'!$D$8/12/(1-(1+'depto - Departamento'!$D$8/12)^-(12*V$3-$A87+3))+$AT88)</f>
        <v>14.2398796093852</v>
      </c>
      <c r="W87" s="597" cm="1">
        <f t="array" ref="W87">IF(W$3*12&lt;=$A87,0,$J86*'depto - Departamento'!$D$8/12/(1-(1+'depto - Departamento'!$D$8/12)^-(12*W$3-$A87+3))+$AT89)</f>
        <v>17.3218024888867</v>
      </c>
      <c r="X87" s="597" cm="1">
        <f t="array" ref="X87">IF(X$3*12&lt;=$A87,0,$J86*'depto - Departamento'!$D$8/12/(1-(1+'depto - Departamento'!$D$8/12)^-(12*X$3-$A87+3))+$AT89)</f>
        <v>24.2868439684604</v>
      </c>
      <c r="Y87" s="597" cm="1">
        <f t="array" ref="Y87">IF(Y$3*12&lt;=$A87,0,$J86*'depto - Departamento'!$D$8/12/(1-(1+'depto - Departamento'!$D$8/12)^-(12*Y$3-$A87+3))+$AT88)</f>
        <v>34.8763459094874</v>
      </c>
      <c r="Z87" s="597" cm="1">
        <f t="array" ref="Z87">IF(Z$3*12&lt;=$A87,0,$J86*'depto - Departamento'!$D$8/12/(1-(1+'depto - Departamento'!$D$8/12)^-(12*Z$3-$A87+3))+$AT88)</f>
        <v>52.6213110332849</v>
      </c>
      <c r="AA87" s="597" cm="1">
        <f t="array" ref="AA87">IF(AA$3*12&lt;=$A87,0,$J86*'depto - Departamento'!$D$8/12/(1-(1+'depto - Departamento'!$D$8/12)^-(12*AA$3-$A87+3))+$AT88)</f>
        <v>0</v>
      </c>
      <c r="AB87" s="705" cm="1">
        <f t="array" ref="AB87">AB86-(AB85-AB86)</f>
        <v>79.04810000000001</v>
      </c>
      <c r="AC87" s="597"/>
      <c r="AD87" s="717" cm="1">
        <f t="array" ref="AD87">$E87*U87</f>
        <v>612942.146516638</v>
      </c>
      <c r="AE87" s="248" cm="1">
        <f t="array" ref="AE87">$E87*V87</f>
        <v>695901.8427509021</v>
      </c>
      <c r="AF87" s="247" cm="1">
        <f t="array" ref="AF87">$E87*W87</f>
        <v>846515.181479393</v>
      </c>
      <c r="AG87" s="247" cm="1">
        <f t="array" ref="AG87">$E87*X87</f>
        <v>1186896.23338641</v>
      </c>
      <c r="AH87" s="247" cm="1">
        <f t="array" ref="AH87">$E87*Y87</f>
        <v>1704404.39474179</v>
      </c>
      <c r="AI87" s="247" cm="1">
        <f t="array" ref="AI87">$E87*Z87</f>
        <v>2571599.50228065</v>
      </c>
      <c r="AJ87" s="247" cm="1">
        <f t="array" ref="AJ87">$E87*AA87</f>
        <v>0</v>
      </c>
      <c r="AK87" s="704" cm="1">
        <f t="array" ref="AK87">$E87*AB87</f>
        <v>3863074.68636897</v>
      </c>
      <c r="AL87" s="597"/>
      <c r="AM87" s="691" cm="1">
        <f t="array" ref="AM87">J85-J87</f>
        <v>19.3821</v>
      </c>
      <c r="AN87" s="691" cm="1">
        <f t="array" ref="AN87">D87-AM87</f>
        <v>-2.0602975111133</v>
      </c>
      <c r="AO87" s="597"/>
      <c r="AP87" s="684" cm="1">
        <f t="array" ref="AP87">ROUND(AQ87*E87,0)</f>
        <v>50541</v>
      </c>
      <c r="AQ87" s="692">
        <v>1.0342</v>
      </c>
      <c r="AR87" s="684" cm="1">
        <f t="array" ref="AR87">ROUND(E87*AS87,0)</f>
        <v>3846</v>
      </c>
      <c r="AS87" s="692" cm="1">
        <f t="array" ref="AS87">0.0787</f>
        <v>0.07870000000000001</v>
      </c>
      <c r="AT87" s="693" cm="1">
        <f t="array" ref="AT87">SUM(AQ87,AS87)</f>
        <v>1.1129</v>
      </c>
      <c r="AU87" s="684" cm="1">
        <f t="array" ref="AU87">ROUND(SUM(AQ87,AS87)*E87,0)</f>
        <v>54387</v>
      </c>
      <c r="AV87" s="685">
        <v>112242</v>
      </c>
      <c r="AW87" s="694" cm="1">
        <f t="array" ref="AW87">ROUND(AV87/$E87,4)</f>
        <v>2.2968</v>
      </c>
      <c r="AX87" s="685" cm="1">
        <f t="array" ref="AX87">I87-SUM(AU87,AV87,BB87)</f>
        <v>357977</v>
      </c>
      <c r="AY87" s="694" cm="1">
        <f t="array" ref="AY87">ROUND(AX87/$E87,4)</f>
        <v>7.3251</v>
      </c>
      <c r="AZ87" s="686" cm="1">
        <f t="array" ref="AZ87">AX87+AV87</f>
        <v>470219</v>
      </c>
      <c r="BA87" s="694" cm="1">
        <f t="array" ref="BA87">ROUND((AV87+AX87)/E87,4)</f>
        <v>9.6218</v>
      </c>
      <c r="BB87" s="687">
        <v>321909</v>
      </c>
      <c r="BC87" s="695" cm="1">
        <f t="array" ref="BC87">ROUND(BB87/$E87,4)</f>
        <v>6.5871</v>
      </c>
      <c r="BD87" s="679" cm="1">
        <f t="array" ref="BD87">K86-K87</f>
        <v>2283816</v>
      </c>
      <c r="BE87" s="679" cm="1">
        <f t="array" ref="BE87">AZ87-BD87</f>
        <v>-1813597</v>
      </c>
      <c r="BF87" s="679" cm="1">
        <f t="array" ref="BF87">-BE87</f>
        <v>1813597</v>
      </c>
      <c r="BG87" s="679" cm="1">
        <f t="array" ref="BG87">BB87+BE87</f>
        <v>-1491688</v>
      </c>
      <c r="BH87" s="679" cm="1">
        <f t="array" ref="BH87">AVERAGE(BG84:BG85,BG87)</f>
        <v>-155830.333333333</v>
      </c>
      <c r="BI87" s="699" cm="1">
        <f t="array" ref="BI87">BC85-BC87</f>
        <v>-0.1252</v>
      </c>
      <c r="BJ87" s="596" cm="1">
        <f t="array" ref="BJ87">J86*0.0495/12-0.16</f>
        <v>7.65992915</v>
      </c>
      <c r="BK87" s="698" cm="1">
        <f t="array" ref="BK87">(AV87+AX87)/BB87</f>
        <v>1.46072026566514</v>
      </c>
      <c r="BL87" s="698" cm="1">
        <f t="array" ref="BL87">U87-AW87</f>
        <v>10.2455182376014</v>
      </c>
      <c r="BM87" s="698" cm="1">
        <f t="array" ref="BM87">(BN$2*(1+BN$2)^BM$2*J85)/((1+BN$2)^BM$2-1)</f>
        <v>10.1709910434392</v>
      </c>
      <c r="BN87" s="698"/>
      <c r="BO87" s="247" cm="1">
        <f t="array" ref="BO87">AV87+AX87+BO86</f>
        <v>85613745</v>
      </c>
      <c r="BP87" s="247" cm="1">
        <f t="array" ref="BP87">BB87+BP86</f>
        <v>29886756</v>
      </c>
      <c r="BQ87" s="596" cm="1">
        <f t="array" ref="BQ87">BA87+BQ86</f>
        <v>2097.5359</v>
      </c>
      <c r="BR87" s="596" cm="1">
        <f t="array" ref="BR87">BC87+BR86</f>
        <v>704.8662</v>
      </c>
      <c r="BS87" s="247" cm="1">
        <f t="array" ref="BS87">SUM(BE$6:BE87)</f>
        <v>31155687</v>
      </c>
      <c r="BT87" s="596"/>
      <c r="BU87" s="596"/>
      <c r="BV87" s="247" cm="1">
        <f t="array" ref="BV87">SUM(AZ$6:AZ87)</f>
        <v>85613745</v>
      </c>
      <c r="BW87" s="596"/>
      <c r="BX87" s="596"/>
    </row>
    <row r="88" ht="19.35" customHeight="1">
      <c r="A88" s="689">
        <v>84</v>
      </c>
      <c r="B88" s="703">
        <v>47890</v>
      </c>
      <c r="C88" s="704"/>
      <c r="D88" s="705" cm="1">
        <f t="array" ref="D88">W88</f>
        <v>17.3112147589847</v>
      </c>
      <c r="E88" s="836" cm="1">
        <f t="array" ref="E88">E87*(1+F88)</f>
        <v>48884.585572264</v>
      </c>
      <c r="F88" s="837" cm="1">
        <f t="array" ref="F88">G88-SUM(F77:F87)</f>
        <v>0.0003</v>
      </c>
      <c r="G88" s="706" cm="1">
        <f t="array" ref="G88">'depto - Table 5'!$J$2</f>
        <v>0.03</v>
      </c>
      <c r="H88" s="706" cm="1">
        <f t="array" ref="H88">G88+4.95/100</f>
        <v>0.0795</v>
      </c>
      <c r="I88" s="247" cm="1">
        <f t="array" ref="I88">IF(J87=0,0,ROUND(D88*E88,0))</f>
        <v>846252</v>
      </c>
      <c r="J88" s="677" cm="1">
        <f t="array" ref="J88">IF(J87-BA88&lt;0,0,J87-BA88)</f>
        <v>1876.5054</v>
      </c>
      <c r="K88" s="679" cm="1">
        <f t="array" ref="K88">ROUND(J88*E88,0)</f>
        <v>91732189</v>
      </c>
      <c r="L88" s="679" cm="1">
        <f t="array" ref="L88">K88-K87</f>
        <v>-442285</v>
      </c>
      <c r="M88" s="681" cm="1">
        <f t="array" ref="M88">Q88-J88</f>
        <v>3523.4946</v>
      </c>
      <c r="N88" s="679" cm="1">
        <f t="array" ref="N88">ROUND(M88*E88,0)</f>
        <v>172244573</v>
      </c>
      <c r="O88" s="596" cm="1">
        <f t="array" ref="O88">$J$5-J88</f>
        <v>2073.4946</v>
      </c>
      <c r="P88" s="679" cm="1">
        <f t="array" ref="P88">N88-N87</f>
        <v>521454</v>
      </c>
      <c r="Q88" s="596">
        <v>5400</v>
      </c>
      <c r="R88" s="679" cm="1">
        <f t="array" ref="R88">Q88*E88</f>
        <v>263976762.090226</v>
      </c>
      <c r="S88" s="247" cm="1">
        <f t="array" ref="S88">-P88</f>
        <v>-521454</v>
      </c>
      <c r="T88" s="690"/>
      <c r="U88" s="716" cm="1">
        <f t="array" ref="U88">J87*4.95/12/100/(1-(1+4.95/12/100)^-(360-$A88+3))+AT88</f>
        <v>12.5060008688633</v>
      </c>
      <c r="V88" s="705" cm="1">
        <f t="array" ref="V88">IF(V$3*12&lt;=$A88,0,$J87*'depto - Departamento'!$D$8/12/(1-(1+'depto - Departamento'!$D$8/12)^-(12*V$3-$A88+3))+$AT89)</f>
        <v>14.2099184212517</v>
      </c>
      <c r="W88" s="597" cm="1">
        <f t="array" ref="W88">IF(W$3*12&lt;=$A88,0,$J87*'depto - Departamento'!$D$8/12/(1-(1+'depto - Departamento'!$D$8/12)^-(12*W$3-$A88+3))+$AT90)</f>
        <v>17.3112147589847</v>
      </c>
      <c r="X88" s="597" cm="1">
        <f t="array" ref="X88">IF(X$3*12&lt;=$A88,0,$J87*'depto - Departamento'!$D$8/12/(1-(1+'depto - Departamento'!$D$8/12)^-(12*X$3-$A88+3))+$AT90)</f>
        <v>24.3574879733655</v>
      </c>
      <c r="Y88" s="597" cm="1">
        <f t="array" ref="Y88">IF(Y$3*12&lt;=$A88,0,$J87*'depto - Departamento'!$D$8/12/(1-(1+'depto - Departamento'!$D$8/12)^-(12*Y$3-$A88+3))+$AT89)</f>
        <v>35.171071719493</v>
      </c>
      <c r="Z88" s="597" cm="1">
        <f t="array" ref="Z88">IF(Z$3*12&lt;=$A88,0,$J87*'depto - Departamento'!$D$8/12/(1-(1+'depto - Departamento'!$D$8/12)^-(12*Z$3-$A88+3))+$AT89)</f>
        <v>53.5687578277402</v>
      </c>
      <c r="AA88" s="597" cm="1">
        <f t="array" ref="AA88">IF(AA$3*12&lt;=$A88,0,$J87*'depto - Departamento'!$D$8/12/(1-(1+'depto - Departamento'!$D$8/12)^-(12*AA$3-$A88+3))+$AT89)</f>
        <v>0</v>
      </c>
      <c r="AB88" s="705" cm="1">
        <f t="array" ref="AB88">AB87-(AB86-AB87)</f>
        <v>79.03570000000001</v>
      </c>
      <c r="AC88" s="597"/>
      <c r="AD88" s="717" cm="1">
        <f t="array" ref="AD88">$E88*U88</f>
        <v>611350.669640756</v>
      </c>
      <c r="AE88" s="248" cm="1">
        <f t="array" ref="AE88">$E88*V88</f>
        <v>694645.973038569</v>
      </c>
      <c r="AF88" s="247" cm="1">
        <f t="array" ref="AF88">$E88*W88</f>
        <v>846251.559245427</v>
      </c>
      <c r="AG88" s="247" cm="1">
        <f t="array" ref="AG88">$E88*X88</f>
        <v>1190705.70515938</v>
      </c>
      <c r="AH88" s="247" cm="1">
        <f t="array" ref="AH88">$E88*Y88</f>
        <v>1719323.26513979</v>
      </c>
      <c r="AI88" s="247" cm="1">
        <f t="array" ref="AI88">$E88*Z88</f>
        <v>2618686.52603005</v>
      </c>
      <c r="AJ88" s="247" cm="1">
        <f t="array" ref="AJ88">$E88*AA88</f>
        <v>0</v>
      </c>
      <c r="AK88" s="704" cm="1">
        <f t="array" ref="AK88">$E88*AB88</f>
        <v>3863627.43991379</v>
      </c>
      <c r="AL88" s="597"/>
      <c r="AM88" s="691" cm="1">
        <f t="array" ref="AM88">J86-J88</f>
        <v>19.235</v>
      </c>
      <c r="AN88" s="691" cm="1">
        <f t="array" ref="AN88">D88-AM88</f>
        <v>-1.9237852410153</v>
      </c>
      <c r="AO88" s="597"/>
      <c r="AP88" s="684" cm="1">
        <f t="array" ref="AP88">ROUND(AQ88*E88,0)</f>
        <v>50556</v>
      </c>
      <c r="AQ88" s="692">
        <v>1.0342</v>
      </c>
      <c r="AR88" s="684" cm="1">
        <f t="array" ref="AR88">ROUND(E88*AS88,0)</f>
        <v>3847</v>
      </c>
      <c r="AS88" s="692" cm="1">
        <f t="array" ref="AS88">0.0787</f>
        <v>0.07870000000000001</v>
      </c>
      <c r="AT88" s="693" cm="1">
        <f t="array" ref="AT88">SUM(AQ88,AS88)</f>
        <v>1.1129</v>
      </c>
      <c r="AU88" s="684" cm="1">
        <f t="array" ref="AU88">ROUND(SUM(AQ88,AS88)*E88,0)</f>
        <v>54404</v>
      </c>
      <c r="AV88" s="685">
        <v>112242</v>
      </c>
      <c r="AW88" s="694" cm="1">
        <f t="array" ref="AW88">ROUND(AV88/$E88,4)</f>
        <v>2.2961</v>
      </c>
      <c r="AX88" s="685" cm="1">
        <f t="array" ref="AX88">I88-SUM(AU88,AV88,BB88)</f>
        <v>357697</v>
      </c>
      <c r="AY88" s="694" cm="1">
        <f t="array" ref="AY88">ROUND(AX88/$E88,4)</f>
        <v>7.3172</v>
      </c>
      <c r="AZ88" s="686" cm="1">
        <f t="array" ref="AZ88">AX88+AV88</f>
        <v>469939</v>
      </c>
      <c r="BA88" s="694" cm="1">
        <f t="array" ref="BA88">ROUND((AV88+AX88)/E88,4)</f>
        <v>9.613200000000001</v>
      </c>
      <c r="BB88" s="687">
        <v>321909</v>
      </c>
      <c r="BC88" s="695" cm="1">
        <f t="array" ref="BC88">ROUND(BB88/$E88,4)</f>
        <v>6.5851</v>
      </c>
      <c r="BD88" s="679" cm="1">
        <f t="array" ref="BD88">K87-K88</f>
        <v>442285</v>
      </c>
      <c r="BE88" s="679" cm="1">
        <f t="array" ref="BE88">AZ88-BD88</f>
        <v>27654</v>
      </c>
      <c r="BF88" s="679" cm="1">
        <f t="array" ref="BF88">-BE88</f>
        <v>-27654</v>
      </c>
      <c r="BG88" s="679" cm="1">
        <f t="array" ref="BG88">BB88+BE88</f>
        <v>349563</v>
      </c>
      <c r="BH88" s="679" cm="1">
        <f t="array" ref="BH88">AVERAGE(BG85:BG86,BG88)</f>
        <v>454697.333333333</v>
      </c>
      <c r="BI88" s="699" cm="1">
        <f t="array" ref="BI88">BC86-BC88</f>
        <v>-0.1245</v>
      </c>
      <c r="BJ88" s="596" cm="1">
        <f t="array" ref="BJ88">J87*0.0495/12-0.16</f>
        <v>7.620239225</v>
      </c>
      <c r="BK88" s="698" cm="1">
        <f t="array" ref="BK88">(AV88+AX88)/BB88</f>
        <v>1.45985045463159</v>
      </c>
      <c r="BL88" s="698" cm="1">
        <f t="array" ref="BL88">U88-AW88</f>
        <v>10.2099008688633</v>
      </c>
      <c r="BM88" s="698" cm="1">
        <f t="array" ref="BM88">(BN$2*(1+BN$2)^BM$2*J86)/((1+BN$2)^BM$2-1)</f>
        <v>10.1188934903492</v>
      </c>
      <c r="BN88" s="698"/>
      <c r="BO88" s="247" cm="1">
        <f t="array" ref="BO88">AV88+AX88+BO87</f>
        <v>86083684</v>
      </c>
      <c r="BP88" s="247" cm="1">
        <f t="array" ref="BP88">BB88+BP87</f>
        <v>30208665</v>
      </c>
      <c r="BQ88" s="596" cm="1">
        <f t="array" ref="BQ88">BA88+BQ87</f>
        <v>2107.1491</v>
      </c>
      <c r="BR88" s="596" cm="1">
        <f t="array" ref="BR88">BC88+BR87</f>
        <v>711.4512999999999</v>
      </c>
      <c r="BS88" s="247" cm="1">
        <f t="array" ref="BS88">SUM(BE$6:BE88)</f>
        <v>31183341</v>
      </c>
      <c r="BT88" s="596"/>
      <c r="BU88" s="596"/>
      <c r="BV88" s="247" cm="1">
        <f t="array" ref="BV88">SUM(AZ$6:AZ88)</f>
        <v>86083684</v>
      </c>
      <c r="BW88" s="596"/>
      <c r="BX88" s="596"/>
    </row>
    <row r="89" ht="19.35" customHeight="1">
      <c r="A89" s="689">
        <v>85</v>
      </c>
      <c r="B89" s="703">
        <v>47918</v>
      </c>
      <c r="C89" s="704"/>
      <c r="D89" s="705" cm="1">
        <f t="array" ref="D89">W89</f>
        <v>17.3009048069852</v>
      </c>
      <c r="E89" s="836" cm="1">
        <f t="array" ref="E89">E88*(1+F89)</f>
        <v>49065.4585388814</v>
      </c>
      <c r="F89" s="837" cm="1">
        <f t="array" ref="F89">G89-SUM(F78:F88)</f>
        <v>0.0037</v>
      </c>
      <c r="G89" s="706" cm="1">
        <f t="array" ref="G89">'depto - Table 5'!$J$2</f>
        <v>0.03</v>
      </c>
      <c r="H89" s="706" cm="1">
        <f t="array" ref="H89">G89+4.95/100</f>
        <v>0.0795</v>
      </c>
      <c r="I89" s="247" cm="1">
        <f t="array" ref="I89">IF(J88=0,0,ROUND(D89*E89,0))</f>
        <v>848877</v>
      </c>
      <c r="J89" s="677" cm="1">
        <f t="array" ref="J89">IF(J88-BA89&lt;0,0,J88-BA89)</f>
        <v>1866.8782</v>
      </c>
      <c r="K89" s="679" cm="1">
        <f t="array" ref="K89">ROUND(J89*E89,0)</f>
        <v>91599235</v>
      </c>
      <c r="L89" s="679" cm="1">
        <f t="array" ref="L89">K89-K88</f>
        <v>-132954</v>
      </c>
      <c r="M89" s="681" cm="1">
        <f t="array" ref="M89">Q89-J89</f>
        <v>3533.1218</v>
      </c>
      <c r="N89" s="679" cm="1">
        <f t="array" ref="N89">ROUND(M89*E89,0)</f>
        <v>173354241</v>
      </c>
      <c r="O89" s="596" cm="1">
        <f t="array" ref="O89">$J$5-J89</f>
        <v>2083.1218</v>
      </c>
      <c r="P89" s="679" cm="1">
        <f t="array" ref="P89">N89-N88</f>
        <v>1109668</v>
      </c>
      <c r="Q89" s="596">
        <v>5400</v>
      </c>
      <c r="R89" s="679" cm="1">
        <f t="array" ref="R89">Q89*E89</f>
        <v>264953476.10996</v>
      </c>
      <c r="S89" s="247" cm="1">
        <f t="array" ref="S89">-P89</f>
        <v>-1109668</v>
      </c>
      <c r="T89" s="690"/>
      <c r="U89" s="716" cm="1">
        <f t="array" ref="U89">J88*4.95/12/100/(1-(1+4.95/12/100)^-(360-$A89+3))+AT89</f>
        <v>12.4696862596986</v>
      </c>
      <c r="V89" s="705" cm="1">
        <f t="array" ref="V89">IF(V$3*12&lt;=$A89,0,$J88*'depto - Departamento'!$D$8/12/(1-(1+'depto - Departamento'!$D$8/12)^-(12*V$3-$A89+3))+$AT90)</f>
        <v>14.1800001694776</v>
      </c>
      <c r="W89" s="597" cm="1">
        <f t="array" ref="W89">IF(W$3*12&lt;=$A89,0,$J88*'depto - Departamento'!$D$8/12/(1-(1+'depto - Departamento'!$D$8/12)^-(12*W$3-$A89+3))+$AT91)</f>
        <v>17.3009048069852</v>
      </c>
      <c r="X89" s="597" cm="1">
        <f t="array" ref="X89">IF(X$3*12&lt;=$A89,0,$J88*'depto - Departamento'!$D$8/12/(1-(1+'depto - Departamento'!$D$8/12)^-(12*X$3-$A89+3))+$AT91)</f>
        <v>24.4301938417725</v>
      </c>
      <c r="Y89" s="597" cm="1">
        <f t="array" ref="Y89">IF(Y$3*12&lt;=$A89,0,$J88*'depto - Departamento'!$D$8/12/(1-(1+'depto - Departamento'!$D$8/12)^-(12*Y$3-$A89+3))+$AT90)</f>
        <v>35.4762431951324</v>
      </c>
      <c r="Z89" s="597" cm="1">
        <f t="array" ref="Z89">IF(Z$3*12&lt;=$A89,0,$J88*'depto - Departamento'!$D$8/12/(1-(1+'depto - Departamento'!$D$8/12)^-(12*Z$3-$A89+3))+$AT90)</f>
        <v>54.5675556530882</v>
      </c>
      <c r="AA89" s="597" cm="1">
        <f t="array" ref="AA89">IF(AA$3*12&lt;=$A89,0,$J88*'depto - Departamento'!$D$8/12/(1-(1+'depto - Departamento'!$D$8/12)^-(12*AA$3-$A89+3))+$AT90)</f>
        <v>0</v>
      </c>
      <c r="AB89" s="705" cm="1">
        <f t="array" ref="AB89">AB88-(AB87-AB88)</f>
        <v>79.02330000000001</v>
      </c>
      <c r="AC89" s="597"/>
      <c r="AD89" s="717" cm="1">
        <f t="array" ref="AD89">$E89*U89</f>
        <v>611830.874168101</v>
      </c>
      <c r="AE89" s="248" cm="1">
        <f t="array" ref="AE89">$E89*V89</f>
        <v>695748.210396834</v>
      </c>
      <c r="AF89" s="247" cm="1">
        <f t="array" ref="AF89">$E89*W89</f>
        <v>848876.827492266</v>
      </c>
      <c r="AG89" s="247" cm="1">
        <f t="array" ref="AG89">$E89*X89</f>
        <v>1198678.66304032</v>
      </c>
      <c r="AH89" s="247" cm="1">
        <f t="array" ref="AH89">$E89*Y89</f>
        <v>1740658.13960604</v>
      </c>
      <c r="AI89" s="247" cm="1">
        <f t="array" ref="AI89">$E89*Z89</f>
        <v>2677382.1394647</v>
      </c>
      <c r="AJ89" s="247" cm="1">
        <f t="array" ref="AJ89">$E89*AA89</f>
        <v>0</v>
      </c>
      <c r="AK89" s="704" cm="1">
        <f t="array" ref="AK89">$E89*AB89</f>
        <v>3877314.44975559</v>
      </c>
      <c r="AL89" s="597"/>
      <c r="AM89" s="691" cm="1">
        <f t="array" ref="AM89">J87-J89</f>
        <v>19.2404</v>
      </c>
      <c r="AN89" s="691" cm="1">
        <f t="array" ref="AN89">D89-AM89</f>
        <v>-1.9394951930148</v>
      </c>
      <c r="AO89" s="597"/>
      <c r="AP89" s="684" cm="1">
        <f t="array" ref="AP89">ROUND(AQ89*E89,0)</f>
        <v>50743</v>
      </c>
      <c r="AQ89" s="692">
        <v>1.0342</v>
      </c>
      <c r="AR89" s="684" cm="1">
        <f t="array" ref="AR89">ROUND(E89*AS89,0)</f>
        <v>3861</v>
      </c>
      <c r="AS89" s="692" cm="1">
        <f t="array" ref="AS89">0.0787</f>
        <v>0.07870000000000001</v>
      </c>
      <c r="AT89" s="693" cm="1">
        <f t="array" ref="AT89">SUM(AQ89,AS89)</f>
        <v>1.1129</v>
      </c>
      <c r="AU89" s="684" cm="1">
        <f t="array" ref="AU89">ROUND(SUM(AQ89,AS89)*E89,0)</f>
        <v>54605</v>
      </c>
      <c r="AV89" s="685">
        <v>112242</v>
      </c>
      <c r="AW89" s="694" cm="1">
        <f t="array" ref="AW89">ROUND(AV89/$E89,4)</f>
        <v>2.2876</v>
      </c>
      <c r="AX89" s="685" cm="1">
        <f t="array" ref="AX89">I89-SUM(AU89,AV89,BB89)</f>
        <v>360121</v>
      </c>
      <c r="AY89" s="694" cm="1">
        <f t="array" ref="AY89">ROUND(AX89/$E89,4)</f>
        <v>7.3396</v>
      </c>
      <c r="AZ89" s="686" cm="1">
        <f t="array" ref="AZ89">AX89+AV89</f>
        <v>472363</v>
      </c>
      <c r="BA89" s="694" cm="1">
        <f t="array" ref="BA89">ROUND((AV89+AX89)/E89,4)</f>
        <v>9.6272</v>
      </c>
      <c r="BB89" s="687">
        <v>321909</v>
      </c>
      <c r="BC89" s="695" cm="1">
        <f t="array" ref="BC89">ROUND(BB89/$E89,4)</f>
        <v>6.5608</v>
      </c>
      <c r="BD89" s="679" cm="1">
        <f t="array" ref="BD89">K88-K89</f>
        <v>132954</v>
      </c>
      <c r="BE89" s="679" cm="1">
        <f t="array" ref="BE89">AZ89-BD89</f>
        <v>339409</v>
      </c>
      <c r="BF89" s="679" cm="1">
        <f t="array" ref="BF89">-BE89</f>
        <v>-339409</v>
      </c>
      <c r="BG89" s="679" cm="1">
        <f t="array" ref="BG89">BB89+BE89</f>
        <v>661318</v>
      </c>
      <c r="BH89" s="679" cm="1">
        <f t="array" ref="BH89">AVERAGE(BG86:BG87,BG89)</f>
        <v>-163158.666666667</v>
      </c>
      <c r="BI89" s="699" cm="1">
        <f t="array" ref="BI89">BC87-BC89</f>
        <v>0.0263</v>
      </c>
      <c r="BJ89" s="596" cm="1">
        <f t="array" ref="BJ89">J88*0.0495/12-0.16</f>
        <v>7.580584775</v>
      </c>
      <c r="BK89" s="698" cm="1">
        <f t="array" ref="BK89">(AV89+AX89)/BB89</f>
        <v>1.46738053300778</v>
      </c>
      <c r="BL89" s="698" cm="1">
        <f t="array" ref="BL89">U89-AW89</f>
        <v>10.1820862596986</v>
      </c>
      <c r="BM89" s="698" cm="1">
        <f t="array" ref="BM89">(BN$2*(1+BN$2)^BM$2*J87)/((1+BN$2)^BM$2-1)</f>
        <v>10.0675352087061</v>
      </c>
      <c r="BN89" s="698"/>
      <c r="BO89" s="247" cm="1">
        <f t="array" ref="BO89">AV89+AX89+BO88</f>
        <v>86556047</v>
      </c>
      <c r="BP89" s="247" cm="1">
        <f t="array" ref="BP89">BB89+BP88</f>
        <v>30530574</v>
      </c>
      <c r="BQ89" s="596" cm="1">
        <f t="array" ref="BQ89">BA89+BQ88</f>
        <v>2116.7763</v>
      </c>
      <c r="BR89" s="596" cm="1">
        <f t="array" ref="BR89">BC89+BR88</f>
        <v>718.0121</v>
      </c>
      <c r="BS89" s="247" cm="1">
        <f t="array" ref="BS89">SUM(BE$6:BE89)</f>
        <v>31522750</v>
      </c>
      <c r="BT89" s="596"/>
      <c r="BU89" s="596"/>
      <c r="BV89" s="247" cm="1">
        <f t="array" ref="BV89">SUM(AZ$6:AZ89)</f>
        <v>86556047</v>
      </c>
      <c r="BW89" s="596"/>
      <c r="BX89" s="596"/>
    </row>
    <row r="90" ht="19.35" customHeight="1">
      <c r="A90" s="689">
        <v>86</v>
      </c>
      <c r="B90" s="703">
        <v>47949</v>
      </c>
      <c r="C90" s="704"/>
      <c r="D90" s="705" cm="1">
        <f t="array" ref="D90">W90</f>
        <v>17.2906812036505</v>
      </c>
      <c r="E90" s="836" cm="1">
        <f t="array" ref="E90">E89*(1+F90)</f>
        <v>49070.3650847353</v>
      </c>
      <c r="F90" s="837" cm="1">
        <f t="array" ref="F90">G90-SUM(F79:F89)</f>
        <v>0.0001</v>
      </c>
      <c r="G90" s="706" cm="1">
        <f t="array" ref="G90">'depto - Table 5'!$J$2</f>
        <v>0.03</v>
      </c>
      <c r="H90" s="706" cm="1">
        <f t="array" ref="H90">G90+4.95/100</f>
        <v>0.0795</v>
      </c>
      <c r="I90" s="247" cm="1">
        <f t="array" ref="I90">IF(J89=0,0,ROUND(D90*E90,0))</f>
        <v>848460</v>
      </c>
      <c r="J90" s="677" cm="1">
        <f t="array" ref="J90">IF(J89-BA90&lt;0,0,J89-BA90)</f>
        <v>1857.2606</v>
      </c>
      <c r="K90" s="679" cm="1">
        <f t="array" ref="K90">ROUND(J90*E90,0)</f>
        <v>91136456</v>
      </c>
      <c r="L90" s="679" cm="1">
        <f t="array" ref="L90">K90-K89</f>
        <v>-462779</v>
      </c>
      <c r="M90" s="681" cm="1">
        <f t="array" ref="M90">Q90-J90</f>
        <v>3542.7394</v>
      </c>
      <c r="N90" s="679" cm="1">
        <f t="array" ref="N90">ROUND(M90*E90,0)</f>
        <v>173843516</v>
      </c>
      <c r="O90" s="596" cm="1">
        <f t="array" ref="O90">$J$5-J90</f>
        <v>2092.7394</v>
      </c>
      <c r="P90" s="679" cm="1">
        <f t="array" ref="P90">N90-N89</f>
        <v>489275</v>
      </c>
      <c r="Q90" s="596">
        <v>5400</v>
      </c>
      <c r="R90" s="679" cm="1">
        <f t="array" ref="R90">Q90*E90</f>
        <v>264979971.457571</v>
      </c>
      <c r="S90" s="247" cm="1">
        <f t="array" ref="S90">-P90</f>
        <v>-489275</v>
      </c>
      <c r="T90" s="690"/>
      <c r="U90" s="716" cm="1">
        <f t="array" ref="U90">J89*4.95/12/100/(1-(1+4.95/12/100)^-(360-$A90+3))+AT90</f>
        <v>12.4332368929129</v>
      </c>
      <c r="V90" s="705" cm="1">
        <f t="array" ref="V90">IF(V$3*12&lt;=$A90,0,$J89*'depto - Departamento'!$D$8/12/(1-(1+'depto - Departamento'!$D$8/12)^-(12*V$3-$A90+3))+$AT91)</f>
        <v>14.1499669764996</v>
      </c>
      <c r="W90" s="597" cm="1">
        <f t="array" ref="W90">IF(W$3*12&lt;=$A90,0,$J89*'depto - Departamento'!$D$8/12/(1-(1+'depto - Departamento'!$D$8/12)^-(12*W$3-$A90+3))+$AT92)</f>
        <v>17.2906812036505</v>
      </c>
      <c r="X90" s="597" cm="1">
        <f t="array" ref="X90">IF(X$3*12&lt;=$A90,0,$J89*'depto - Departamento'!$D$8/12/(1-(1+'depto - Departamento'!$D$8/12)^-(12*X$3-$A90+3))+$AT92)</f>
        <v>24.5047407343</v>
      </c>
      <c r="Y90" s="597" cm="1">
        <f t="array" ref="Y90">IF(Y$3*12&lt;=$A90,0,$J89*'depto - Departamento'!$D$8/12/(1-(1+'depto - Departamento'!$D$8/12)^-(12*Y$3-$A90+3))+$AT91)</f>
        <v>35.7919519831694</v>
      </c>
      <c r="Z90" s="597" cm="1">
        <f t="array" ref="Z90">IF(Z$3*12&lt;=$A90,0,$J89*'depto - Departamento'!$D$8/12/(1-(1+'depto - Departamento'!$D$8/12)^-(12*Z$3-$A90+3))+$AT91)</f>
        <v>55.6212045456197</v>
      </c>
      <c r="AA90" s="597" cm="1">
        <f t="array" ref="AA90">IF(AA$3*12&lt;=$A90,0,$J89*'depto - Departamento'!$D$8/12/(1-(1+'depto - Departamento'!$D$8/12)^-(12*AA$3-$A90+3))+$AT91)</f>
        <v>0</v>
      </c>
      <c r="AB90" s="705" cm="1">
        <f t="array" ref="AB90">AB89-(AB88-AB89)</f>
        <v>79.01090000000001</v>
      </c>
      <c r="AC90" s="597"/>
      <c r="AD90" s="717" cm="1">
        <f t="array" ref="AD90">$E90*U90</f>
        <v>610103.473520236</v>
      </c>
      <c r="AE90" s="248" cm="1">
        <f t="array" ref="AE90">$E90*V90</f>
        <v>694344.045473783</v>
      </c>
      <c r="AF90" s="247" cm="1">
        <f t="array" ref="AF90">$E90*W90</f>
        <v>848460.0392269</v>
      </c>
      <c r="AG90" s="247" cm="1">
        <f t="array" ref="AG90">$E90*X90</f>
        <v>1202456.57413889</v>
      </c>
      <c r="AH90" s="247" cm="1">
        <f t="array" ref="AH90">$E90*Y90</f>
        <v>1756324.15090944</v>
      </c>
      <c r="AI90" s="247" cm="1">
        <f t="array" ref="AI90">$E90*Z90</f>
        <v>2729352.8135063</v>
      </c>
      <c r="AJ90" s="247" cm="1">
        <f t="array" ref="AJ90">$E90*AA90</f>
        <v>0</v>
      </c>
      <c r="AK90" s="704" cm="1">
        <f t="array" ref="AK90">$E90*AB90</f>
        <v>3877093.70867351</v>
      </c>
      <c r="AL90" s="597"/>
      <c r="AM90" s="691" cm="1">
        <f t="array" ref="AM90">J88-J90</f>
        <v>19.2448</v>
      </c>
      <c r="AN90" s="691" cm="1">
        <f t="array" ref="AN90">D90-AM90</f>
        <v>-1.9541187963495</v>
      </c>
      <c r="AO90" s="597"/>
      <c r="AP90" s="684" cm="1">
        <f t="array" ref="AP90">ROUND(AQ90*E90,0)</f>
        <v>50749</v>
      </c>
      <c r="AQ90" s="692">
        <v>1.0342</v>
      </c>
      <c r="AR90" s="684" cm="1">
        <f t="array" ref="AR90">ROUND(E90*AS90,0)</f>
        <v>3862</v>
      </c>
      <c r="AS90" s="692" cm="1">
        <f t="array" ref="AS90">0.0787</f>
        <v>0.07870000000000001</v>
      </c>
      <c r="AT90" s="693" cm="1">
        <f t="array" ref="AT90">SUM(AQ90,AS90)</f>
        <v>1.1129</v>
      </c>
      <c r="AU90" s="684" cm="1">
        <f t="array" ref="AU90">ROUND(SUM(AQ90,AS90)*E90,0)</f>
        <v>54610</v>
      </c>
      <c r="AV90" s="685">
        <v>112242</v>
      </c>
      <c r="AW90" s="694" cm="1">
        <f t="array" ref="AW90">ROUND(AV90/$E90,4)</f>
        <v>2.2874</v>
      </c>
      <c r="AX90" s="685" cm="1">
        <f t="array" ref="AX90">I90-SUM(AU90,AV90,BB90)</f>
        <v>359699</v>
      </c>
      <c r="AY90" s="694" cm="1">
        <f t="array" ref="AY90">ROUND(AX90/$E90,4)</f>
        <v>7.3303</v>
      </c>
      <c r="AZ90" s="686" cm="1">
        <f t="array" ref="AZ90">AX90+AV90</f>
        <v>471941</v>
      </c>
      <c r="BA90" s="694" cm="1">
        <f t="array" ref="BA90">ROUND((AV90+AX90)/E90,4)</f>
        <v>9.617599999999999</v>
      </c>
      <c r="BB90" s="687">
        <v>321909</v>
      </c>
      <c r="BC90" s="695" cm="1">
        <f t="array" ref="BC90">ROUND(BB90/$E90,4)</f>
        <v>6.5602</v>
      </c>
      <c r="BD90" s="679" cm="1">
        <f t="array" ref="BD90">K89-K90</f>
        <v>462779</v>
      </c>
      <c r="BE90" s="679" cm="1">
        <f t="array" ref="BE90">AZ90-BD90</f>
        <v>9162</v>
      </c>
      <c r="BF90" s="679" cm="1">
        <f t="array" ref="BF90">-BE90</f>
        <v>-9162</v>
      </c>
      <c r="BG90" s="679" cm="1">
        <f t="array" ref="BG90">BB90+BE90</f>
        <v>331071</v>
      </c>
      <c r="BH90" s="679" cm="1">
        <f t="array" ref="BH90">AVERAGE(BG87:BG88,BG90)</f>
        <v>-270351.333333333</v>
      </c>
      <c r="BI90" s="699" cm="1">
        <f t="array" ref="BI90">BC88-BC90</f>
        <v>0.0249</v>
      </c>
      <c r="BJ90" s="596" cm="1">
        <f t="array" ref="BJ90">J89*0.0495/12-0.16</f>
        <v>7.540872575</v>
      </c>
      <c r="BK90" s="698" cm="1">
        <f t="array" ref="BK90">(AV90+AX90)/BB90</f>
        <v>1.46606960352149</v>
      </c>
      <c r="BL90" s="698" cm="1">
        <f t="array" ref="BL90">U90-AW90</f>
        <v>10.1458368929129</v>
      </c>
      <c r="BM90" s="698" cm="1">
        <f t="array" ref="BM90">(BN$2*(1+BN$2)^BM$2*J88)/((1+BN$2)^BM$2-1)</f>
        <v>10.0162228312828</v>
      </c>
      <c r="BN90" s="698"/>
      <c r="BO90" s="247" cm="1">
        <f t="array" ref="BO90">AV90+AX90+BO89</f>
        <v>87027988</v>
      </c>
      <c r="BP90" s="247" cm="1">
        <f t="array" ref="BP90">BB90+BP89</f>
        <v>30852483</v>
      </c>
      <c r="BQ90" s="596" cm="1">
        <f t="array" ref="BQ90">BA90+BQ89</f>
        <v>2126.3939</v>
      </c>
      <c r="BR90" s="596" cm="1">
        <f t="array" ref="BR90">BC90+BR89</f>
        <v>724.5723</v>
      </c>
      <c r="BS90" s="247" cm="1">
        <f t="array" ref="BS90">SUM(BE$6:BE90)</f>
        <v>31531912</v>
      </c>
      <c r="BT90" s="596"/>
      <c r="BU90" s="596"/>
      <c r="BV90" s="247" cm="1">
        <f t="array" ref="BV90">SUM(AZ$6:AZ90)</f>
        <v>87027988</v>
      </c>
      <c r="BW90" s="596"/>
      <c r="BX90" s="596"/>
    </row>
    <row r="91" ht="19.35" customHeight="1">
      <c r="A91" s="689">
        <v>87</v>
      </c>
      <c r="B91" s="703">
        <v>47979</v>
      </c>
      <c r="C91" s="704"/>
      <c r="D91" s="705" cm="1">
        <f t="array" ref="D91">W91</f>
        <v>17.2807512409927</v>
      </c>
      <c r="E91" s="836" cm="1">
        <f t="array" ref="E91">E90*(1+F91)</f>
        <v>49364.7872752437</v>
      </c>
      <c r="F91" s="837" cm="1">
        <f t="array" ref="F91">G91-SUM(F80:F90)</f>
        <v>0.006</v>
      </c>
      <c r="G91" s="706" cm="1">
        <f t="array" ref="G91">'depto - Table 5'!$J$2</f>
        <v>0.03</v>
      </c>
      <c r="H91" s="706" cm="1">
        <f t="array" ref="H91">G91+4.95/100</f>
        <v>0.0795</v>
      </c>
      <c r="I91" s="247" cm="1">
        <f t="array" ref="I91">IF(J90=0,0,ROUND(D91*E91,0))</f>
        <v>853061</v>
      </c>
      <c r="J91" s="677" cm="1">
        <f t="array" ref="J91">IF(J90-BA91&lt;0,0,J90-BA91)</f>
        <v>1847.6138</v>
      </c>
      <c r="K91" s="679" cm="1">
        <f t="array" ref="K91">ROUND(J91*E91,0)</f>
        <v>91207062</v>
      </c>
      <c r="L91" s="679" cm="1">
        <f t="array" ref="L91">K91-K90</f>
        <v>70606</v>
      </c>
      <c r="M91" s="681" cm="1">
        <f t="array" ref="M91">Q91-J91</f>
        <v>3552.3862</v>
      </c>
      <c r="N91" s="679" cm="1">
        <f t="array" ref="N91">ROUND(M91*E91,0)</f>
        <v>175362789</v>
      </c>
      <c r="O91" s="596" cm="1">
        <f t="array" ref="O91">$J$5-J91</f>
        <v>2102.3862</v>
      </c>
      <c r="P91" s="679" cm="1">
        <f t="array" ref="P91">N91-N90</f>
        <v>1519273</v>
      </c>
      <c r="Q91" s="596">
        <v>5400</v>
      </c>
      <c r="R91" s="679" cm="1">
        <f t="array" ref="R91">Q91*E91</f>
        <v>266569851.286316</v>
      </c>
      <c r="S91" s="247" cm="1">
        <f t="array" ref="S91">-P91</f>
        <v>-1519273</v>
      </c>
      <c r="T91" s="690"/>
      <c r="U91" s="716" cm="1">
        <f t="array" ref="U91">J90*4.95/12/100/(1-(1+4.95/12/100)^-(360-$A91+3))+AT91</f>
        <v>12.3967948704765</v>
      </c>
      <c r="V91" s="705" cm="1">
        <f t="array" ref="V91">IF(V$3*12&lt;=$A91,0,$J90*'depto - Departamento'!$D$8/12/(1-(1+'depto - Departamento'!$D$8/12)^-(12*V$3-$A91+3))+$AT92)</f>
        <v>14.1199827100294</v>
      </c>
      <c r="W91" s="597" cm="1">
        <f t="array" ref="W91">IF(W$3*12&lt;=$A91,0,$J90*'depto - Departamento'!$D$8/12/(1-(1+'depto - Departamento'!$D$8/12)^-(12*W$3-$A91+3))+$AT93)</f>
        <v>17.2807512409927</v>
      </c>
      <c r="X91" s="597" cm="1">
        <f t="array" ref="X91">IF(X$3*12&lt;=$A91,0,$J90*'depto - Departamento'!$D$8/12/(1-(1+'depto - Departamento'!$D$8/12)^-(12*X$3-$A91+3))+$AT93)</f>
        <v>24.5814845980538</v>
      </c>
      <c r="Y91" s="597" cm="1">
        <f t="array" ref="Y91">IF(Y$3*12&lt;=$A91,0,$J90*'depto - Departamento'!$D$8/12/(1-(1+'depto - Departamento'!$D$8/12)^-(12*Y$3-$A91+3))+$AT92)</f>
        <v>36.1191699999181</v>
      </c>
      <c r="Z91" s="597" cm="1">
        <f t="array" ref="Z91">IF(Z$3*12&lt;=$A91,0,$J90*'depto - Departamento'!$D$8/12/(1-(1+'depto - Departamento'!$D$8/12)^-(12*Z$3-$A91+3))+$AT92)</f>
        <v>56.7349824946221</v>
      </c>
      <c r="AA91" s="597" cm="1">
        <f t="array" ref="AA91">IF(AA$3*12&lt;=$A91,0,$J90*'depto - Departamento'!$D$8/12/(1-(1+'depto - Departamento'!$D$8/12)^-(12*AA$3-$A91+3))+$AT92)</f>
        <v>0</v>
      </c>
      <c r="AB91" s="705" cm="1">
        <f t="array" ref="AB91">AB90-(AB89-AB90)</f>
        <v>78.99850000000001</v>
      </c>
      <c r="AC91" s="597"/>
      <c r="AD91" s="717" cm="1">
        <f t="array" ref="AD91">$E91*U91</f>
        <v>611965.141675905</v>
      </c>
      <c r="AE91" s="248" cm="1">
        <f t="array" ref="AE91">$E91*V91</f>
        <v>697029.9428107199</v>
      </c>
      <c r="AF91" s="247" cm="1">
        <f t="array" ref="AF91">$E91*W91</f>
        <v>853060.608968008</v>
      </c>
      <c r="AG91" s="247" cm="1">
        <f t="array" ref="AG91">$E91*X91</f>
        <v>1213459.75809261</v>
      </c>
      <c r="AH91" s="247" cm="1">
        <f t="array" ref="AH91">$E91*Y91</f>
        <v>1783015.14360432</v>
      </c>
      <c r="AI91" s="247" cm="1">
        <f t="array" ref="AI91">$E91*Z91</f>
        <v>2800710.3419117</v>
      </c>
      <c r="AJ91" s="247" cm="1">
        <f t="array" ref="AJ91">$E91*AA91</f>
        <v>0</v>
      </c>
      <c r="AK91" s="704" cm="1">
        <f t="array" ref="AK91">$E91*AB91</f>
        <v>3899744.14756334</v>
      </c>
      <c r="AL91" s="597"/>
      <c r="AM91" s="691" cm="1">
        <f t="array" ref="AM91">J89-J91</f>
        <v>19.2644</v>
      </c>
      <c r="AN91" s="691" cm="1">
        <f t="array" ref="AN91">D91-AM91</f>
        <v>-1.9836487590073</v>
      </c>
      <c r="AO91" s="597"/>
      <c r="AP91" s="684" cm="1">
        <f t="array" ref="AP91">ROUND(AQ91*E91,0)</f>
        <v>51053</v>
      </c>
      <c r="AQ91" s="692">
        <v>1.0342</v>
      </c>
      <c r="AR91" s="684" cm="1">
        <f t="array" ref="AR91">ROUND(E91*AS91,0)</f>
        <v>3885</v>
      </c>
      <c r="AS91" s="692" cm="1">
        <f t="array" ref="AS91">0.0787</f>
        <v>0.07870000000000001</v>
      </c>
      <c r="AT91" s="693" cm="1">
        <f t="array" ref="AT91">SUM(AQ91,AS91)</f>
        <v>1.1129</v>
      </c>
      <c r="AU91" s="684" cm="1">
        <f t="array" ref="AU91">ROUND(SUM(AQ91,AS91)*E91,0)</f>
        <v>54938</v>
      </c>
      <c r="AV91" s="685">
        <v>112242</v>
      </c>
      <c r="AW91" s="694" cm="1">
        <f t="array" ref="AW91">ROUND(AV91/$E91,4)</f>
        <v>2.2737</v>
      </c>
      <c r="AX91" s="685" cm="1">
        <f t="array" ref="AX91">I91-SUM(AU91,AV91,BB91)</f>
        <v>363972</v>
      </c>
      <c r="AY91" s="694" cm="1">
        <f t="array" ref="AY91">ROUND(AX91/$E91,4)</f>
        <v>7.3731</v>
      </c>
      <c r="AZ91" s="686" cm="1">
        <f t="array" ref="AZ91">AX91+AV91</f>
        <v>476214</v>
      </c>
      <c r="BA91" s="694" cm="1">
        <f t="array" ref="BA91">ROUND((AV91+AX91)/E91,4)</f>
        <v>9.646800000000001</v>
      </c>
      <c r="BB91" s="687">
        <v>321909</v>
      </c>
      <c r="BC91" s="695" cm="1">
        <f t="array" ref="BC91">ROUND(BB91/$E91,4)</f>
        <v>6.521</v>
      </c>
      <c r="BD91" s="679" cm="1">
        <f t="array" ref="BD91">K90-K91</f>
        <v>-70606</v>
      </c>
      <c r="BE91" s="679" cm="1">
        <f t="array" ref="BE91">AZ91-BD91</f>
        <v>546820</v>
      </c>
      <c r="BF91" s="679" cm="1">
        <f t="array" ref="BF91">-BE91</f>
        <v>-546820</v>
      </c>
      <c r="BG91" s="679" cm="1">
        <f t="array" ref="BG91">BB91+BE91</f>
        <v>868729</v>
      </c>
      <c r="BH91" s="679" cm="1">
        <f t="array" ref="BH91">AVERAGE(BG88:BG89,BG91)</f>
        <v>626536.666666667</v>
      </c>
      <c r="BI91" s="699" cm="1">
        <f t="array" ref="BI91">BC89-BC91</f>
        <v>0.0398</v>
      </c>
      <c r="BJ91" s="596" cm="1">
        <f t="array" ref="BJ91">J90*0.0495/12-0.16</f>
        <v>7.501199975</v>
      </c>
      <c r="BK91" s="698" cm="1">
        <f t="array" ref="BK91">(AV91+AX91)/BB91</f>
        <v>1.47934354118711</v>
      </c>
      <c r="BL91" s="698" cm="1">
        <f t="array" ref="BL91">U91-AW91</f>
        <v>10.1230948704765</v>
      </c>
      <c r="BM91" s="698" cm="1">
        <f t="array" ref="BM91">(BN$2*(1+BN$2)^BM$2*J89)/((1+BN$2)^BM$2-1)</f>
        <v>9.9648357260598</v>
      </c>
      <c r="BN91" s="698"/>
      <c r="BO91" s="247" cm="1">
        <f t="array" ref="BO91">AV91+AX91+BO90</f>
        <v>87504202</v>
      </c>
      <c r="BP91" s="247" cm="1">
        <f t="array" ref="BP91">BB91+BP90</f>
        <v>31174392</v>
      </c>
      <c r="BQ91" s="596" cm="1">
        <f t="array" ref="BQ91">BA91+BQ90</f>
        <v>2136.0407</v>
      </c>
      <c r="BR91" s="596" cm="1">
        <f t="array" ref="BR91">BC91+BR90</f>
        <v>731.0933</v>
      </c>
      <c r="BS91" s="247" cm="1">
        <f t="array" ref="BS91">SUM(BE$6:BE91)</f>
        <v>32078732</v>
      </c>
      <c r="BT91" s="596"/>
      <c r="BU91" s="596"/>
      <c r="BV91" s="247" cm="1">
        <f t="array" ref="BV91">SUM(AZ$6:AZ91)</f>
        <v>87504202</v>
      </c>
      <c r="BW91" s="596"/>
      <c r="BX91" s="596"/>
    </row>
    <row r="92" ht="19.35" customHeight="1">
      <c r="A92" s="689">
        <v>88</v>
      </c>
      <c r="B92" s="703">
        <v>48010</v>
      </c>
      <c r="C92" s="704"/>
      <c r="D92" s="705" cm="1">
        <f t="array" ref="D92">W92</f>
        <v>17.2707803332163</v>
      </c>
      <c r="E92" s="836" cm="1">
        <f t="array" ref="E92">E91*(1+F92)</f>
        <v>49759.7055734456</v>
      </c>
      <c r="F92" s="837" cm="1">
        <f t="array" ref="F92">G92-SUM(F81:F91)</f>
        <v>0.008</v>
      </c>
      <c r="G92" s="706" cm="1">
        <f t="array" ref="G92">'depto - Table 5'!$J$2</f>
        <v>0.03</v>
      </c>
      <c r="H92" s="706" cm="1">
        <f t="array" ref="H92">G92+4.95/100</f>
        <v>0.0795</v>
      </c>
      <c r="I92" s="247" cm="1">
        <f t="array" ref="I92">IF(J91=0,0,ROUND(D92*E92,0))</f>
        <v>859389</v>
      </c>
      <c r="J92" s="677" cm="1">
        <f t="array" ref="J92">IF(J91-BA92&lt;0,0,J91-BA92)</f>
        <v>1837.9252</v>
      </c>
      <c r="K92" s="679" cm="1">
        <f t="array" ref="K92">ROUND(J92*E92,0)</f>
        <v>91454617</v>
      </c>
      <c r="L92" s="679" cm="1">
        <f t="array" ref="L92">K92-K91</f>
        <v>247555</v>
      </c>
      <c r="M92" s="681" cm="1">
        <f t="array" ref="M92">Q92-J92</f>
        <v>3562.0748</v>
      </c>
      <c r="N92" s="679" cm="1">
        <f t="array" ref="N92">ROUND(M92*E92,0)</f>
        <v>177247793</v>
      </c>
      <c r="O92" s="596" cm="1">
        <f t="array" ref="O92">$J$5-J92</f>
        <v>2112.0748</v>
      </c>
      <c r="P92" s="679" cm="1">
        <f t="array" ref="P92">N92-N91</f>
        <v>1885004</v>
      </c>
      <c r="Q92" s="596">
        <v>5400</v>
      </c>
      <c r="R92" s="679" cm="1">
        <f t="array" ref="R92">Q92*E92</f>
        <v>268702410.096606</v>
      </c>
      <c r="S92" s="247" cm="1">
        <f t="array" ref="S92">-P92</f>
        <v>-1885004</v>
      </c>
      <c r="T92" s="690"/>
      <c r="U92" s="716" cm="1">
        <f t="array" ref="U92">J91*4.95/12/100/(1-(1+4.95/12/100)^-(360-$A92+3))+AT92</f>
        <v>12.3601235397376</v>
      </c>
      <c r="V92" s="705" cm="1">
        <f t="array" ref="V92">IF(V$3*12&lt;=$A92,0,$J91*'depto - Departamento'!$D$8/12/(1-(1+'depto - Departamento'!$D$8/12)^-(12*V$3-$A92+3))+$AT93)</f>
        <v>14.0897748467445</v>
      </c>
      <c r="W92" s="597" cm="1">
        <f t="array" ref="W92">IF(W$3*12&lt;=$A92,0,$J91*'depto - Departamento'!$D$8/12/(1-(1+'depto - Departamento'!$D$8/12)^-(12*W$3-$A92+3))+$AT94)</f>
        <v>17.2707803332163</v>
      </c>
      <c r="X92" s="597" cm="1">
        <f t="array" ref="X92">IF(X$3*12&lt;=$A92,0,$J91*'depto - Departamento'!$D$8/12/(1-(1+'depto - Departamento'!$D$8/12)^-(12*X$3-$A92+3))+$AT94)</f>
        <v>24.6599987846713</v>
      </c>
      <c r="Y92" s="597" cm="1">
        <f t="array" ref="Y92">IF(Y$3*12&lt;=$A92,0,$J91*'depto - Departamento'!$D$8/12/(1-(1+'depto - Departamento'!$D$8/12)^-(12*Y$3-$A92+3))+$AT93)</f>
        <v>36.4577377692359</v>
      </c>
      <c r="Z92" s="597" cm="1">
        <f t="array" ref="Z92">IF(Z$3*12&lt;=$A92,0,$J91*'depto - Departamento'!$D$8/12/(1-(1+'depto - Departamento'!$D$8/12)^-(12*Z$3-$A92+3))+$AT93)</f>
        <v>57.9128465256738</v>
      </c>
      <c r="AA92" s="597" cm="1">
        <f t="array" ref="AA92">IF(AA$3*12&lt;=$A92,0,$J91*'depto - Departamento'!$D$8/12/(1-(1+'depto - Departamento'!$D$8/12)^-(12*AA$3-$A92+3))+$AT93)</f>
        <v>0</v>
      </c>
      <c r="AB92" s="705" cm="1">
        <f t="array" ref="AB92">AB91-(AB90-AB91)</f>
        <v>78.98609999999999</v>
      </c>
      <c r="AC92" s="597"/>
      <c r="AD92" s="717" cm="1">
        <f t="array" ref="AD92">$E92*U92</f>
        <v>615036.108188757</v>
      </c>
      <c r="AE92" s="248" cm="1">
        <f t="array" ref="AE92">$E92*V92</f>
        <v>701103.0479701461</v>
      </c>
      <c r="AF92" s="247" cm="1">
        <f t="array" ref="AF92">$E92*W92</f>
        <v>859388.944404498</v>
      </c>
      <c r="AG92" s="247" cm="1">
        <f t="array" ref="AG92">$E92*X92</f>
        <v>1227074.27896677</v>
      </c>
      <c r="AH92" s="247" cm="1">
        <f t="array" ref="AH92">$E92*Y92</f>
        <v>1814126.29727107</v>
      </c>
      <c r="AI92" s="247" cm="1">
        <f t="array" ref="AI92">$E92*Z92</f>
        <v>2881726.19203767</v>
      </c>
      <c r="AJ92" s="247" cm="1">
        <f t="array" ref="AJ92">$E92*AA92</f>
        <v>0</v>
      </c>
      <c r="AK92" s="704" cm="1">
        <f t="array" ref="AK92">$E92*AB92</f>
        <v>3930325.08039473</v>
      </c>
      <c r="AL92" s="597"/>
      <c r="AM92" s="691" cm="1">
        <f t="array" ref="AM92">J90-J92</f>
        <v>19.3354</v>
      </c>
      <c r="AN92" s="691" cm="1">
        <f t="array" ref="AN92">D92-AM92</f>
        <v>-2.0646196667837</v>
      </c>
      <c r="AO92" s="597"/>
      <c r="AP92" s="684" cm="1">
        <f t="array" ref="AP92">ROUND(AQ92*E92,0)</f>
        <v>51461</v>
      </c>
      <c r="AQ92" s="692">
        <v>1.0342</v>
      </c>
      <c r="AR92" s="684" cm="1">
        <f t="array" ref="AR92">ROUND(E92*AS92,0)</f>
        <v>3916</v>
      </c>
      <c r="AS92" s="692" cm="1">
        <f t="array" ref="AS92">0.0787</f>
        <v>0.07870000000000001</v>
      </c>
      <c r="AT92" s="693" cm="1">
        <f t="array" ref="AT92">SUM(AQ92,AS92)</f>
        <v>1.1129</v>
      </c>
      <c r="AU92" s="684" cm="1">
        <f t="array" ref="AU92">ROUND(SUM(AQ92,AS92)*E92,0)</f>
        <v>55378</v>
      </c>
      <c r="AV92" s="685">
        <v>112242</v>
      </c>
      <c r="AW92" s="694" cm="1">
        <f t="array" ref="AW92">ROUND(AV92/$E92,4)</f>
        <v>2.2557</v>
      </c>
      <c r="AX92" s="685" cm="1">
        <f t="array" ref="AX92">I92-SUM(AU92,AV92,BB92)</f>
        <v>369860</v>
      </c>
      <c r="AY92" s="694" cm="1">
        <f t="array" ref="AY92">ROUND(AX92/$E92,4)</f>
        <v>7.4329</v>
      </c>
      <c r="AZ92" s="686" cm="1">
        <f t="array" ref="AZ92">AX92+AV92</f>
        <v>482102</v>
      </c>
      <c r="BA92" s="694" cm="1">
        <f t="array" ref="BA92">ROUND((AV92+AX92)/E92,4)</f>
        <v>9.688599999999999</v>
      </c>
      <c r="BB92" s="687">
        <v>321909</v>
      </c>
      <c r="BC92" s="695" cm="1">
        <f t="array" ref="BC92">ROUND(BB92/$E92,4)</f>
        <v>6.4693</v>
      </c>
      <c r="BD92" s="679" cm="1">
        <f t="array" ref="BD92">K91-K92</f>
        <v>-247555</v>
      </c>
      <c r="BE92" s="679" cm="1">
        <f t="array" ref="BE92">AZ92-BD92</f>
        <v>729657</v>
      </c>
      <c r="BF92" s="679" cm="1">
        <f t="array" ref="BF92">-BE92</f>
        <v>-729657</v>
      </c>
      <c r="BG92" s="679" cm="1">
        <f t="array" ref="BG92">BB92+BE92</f>
        <v>1051566</v>
      </c>
      <c r="BH92" s="679" cm="1">
        <f t="array" ref="BH92">AVERAGE(BG89:BG90,BG92)</f>
        <v>681318.333333333</v>
      </c>
      <c r="BI92" s="699" cm="1">
        <f t="array" ref="BI92">BC90-BC92</f>
        <v>0.09089999999999999</v>
      </c>
      <c r="BJ92" s="596" cm="1">
        <f t="array" ref="BJ92">J91*0.0495/12-0.16</f>
        <v>7.461406925</v>
      </c>
      <c r="BK92" s="698" cm="1">
        <f t="array" ref="BK92">(AV92+AX92)/BB92</f>
        <v>1.49763442463553</v>
      </c>
      <c r="BL92" s="698" cm="1">
        <f t="array" ref="BL92">U92-AW92</f>
        <v>10.1044235397376</v>
      </c>
      <c r="BM92" s="698" cm="1">
        <f t="array" ref="BM92">(BN$2*(1+BN$2)^BM$2*J90)/((1+BN$2)^BM$2-1)</f>
        <v>9.913499862756581</v>
      </c>
      <c r="BN92" s="698"/>
      <c r="BO92" s="247" cm="1">
        <f t="array" ref="BO92">AV92+AX92+BO91</f>
        <v>87986304</v>
      </c>
      <c r="BP92" s="247" cm="1">
        <f t="array" ref="BP92">BB92+BP91</f>
        <v>31496301</v>
      </c>
      <c r="BQ92" s="596" cm="1">
        <f t="array" ref="BQ92">BA92+BQ91</f>
        <v>2145.7293</v>
      </c>
      <c r="BR92" s="596" cm="1">
        <f t="array" ref="BR92">BC92+BR91</f>
        <v>737.5626</v>
      </c>
      <c r="BS92" s="247" cm="1">
        <f t="array" ref="BS92">SUM(BE$6:BE92)</f>
        <v>32808389</v>
      </c>
      <c r="BT92" s="596"/>
      <c r="BU92" s="596"/>
      <c r="BV92" s="247" cm="1">
        <f t="array" ref="BV92">SUM(AZ$6:AZ92)</f>
        <v>87986304</v>
      </c>
      <c r="BW92" s="596"/>
      <c r="BX92" s="596"/>
    </row>
    <row r="93" ht="19.35" customHeight="1">
      <c r="A93" s="689">
        <v>89</v>
      </c>
      <c r="B93" s="703">
        <v>48040</v>
      </c>
      <c r="C93" s="704"/>
      <c r="D93" s="705" cm="1">
        <f t="array" ref="D93">W93</f>
        <v>17.2606579075142</v>
      </c>
      <c r="E93" s="836" cm="1">
        <f t="array" ref="E93">E92*(1+F93)</f>
        <v>49734.8257206589</v>
      </c>
      <c r="F93" s="837" cm="1">
        <f t="array" ref="F93">G93-SUM(F82:F92)</f>
        <v>-0.0005</v>
      </c>
      <c r="G93" s="706" cm="1">
        <f t="array" ref="G93">'depto - Table 5'!$J$2</f>
        <v>0.03</v>
      </c>
      <c r="H93" s="706" cm="1">
        <f t="array" ref="H93">G93+4.95/100</f>
        <v>0.0795</v>
      </c>
      <c r="I93" s="247" cm="1">
        <f t="array" ref="I93">IF(J92=0,0,ROUND(D93*E93,0))</f>
        <v>858456</v>
      </c>
      <c r="J93" s="677" cm="1">
        <f t="array" ref="J93">IF(J92-BA93&lt;0,0,J92-BA93)</f>
        <v>1828.2499</v>
      </c>
      <c r="K93" s="679" cm="1">
        <f t="array" ref="K93">ROUND(J93*E93,0)</f>
        <v>90927690</v>
      </c>
      <c r="L93" s="679" cm="1">
        <f t="array" ref="L93">K93-K92</f>
        <v>-526927</v>
      </c>
      <c r="M93" s="681" cm="1">
        <f t="array" ref="M93">Q93-J93</f>
        <v>3571.7501</v>
      </c>
      <c r="N93" s="679" cm="1">
        <f t="array" ref="N93">ROUND(M93*E93,0)</f>
        <v>177640369</v>
      </c>
      <c r="O93" s="596" cm="1">
        <f t="array" ref="O93">$J$5-J93</f>
        <v>2121.7501</v>
      </c>
      <c r="P93" s="679" cm="1">
        <f t="array" ref="P93">N93-N92</f>
        <v>392576</v>
      </c>
      <c r="Q93" s="596">
        <v>5400</v>
      </c>
      <c r="R93" s="679" cm="1">
        <f t="array" ref="R93">Q93*E93</f>
        <v>268568058.891558</v>
      </c>
      <c r="S93" s="247" cm="1">
        <f t="array" ref="S93">-P93</f>
        <v>-392576</v>
      </c>
      <c r="T93" s="690"/>
      <c r="U93" s="716" cm="1">
        <f t="array" ref="U93">J92*4.95/12/100/(1-(1+4.95/12/100)^-(360-$A93+3))+AT93</f>
        <v>12.323144188125</v>
      </c>
      <c r="V93" s="705" cm="1">
        <f t="array" ref="V93">IF(V$3*12&lt;=$A93,0,$J92*'depto - Departamento'!$D$8/12/(1-(1+'depto - Departamento'!$D$8/12)^-(12*V$3-$A93+3))+$AT94)</f>
        <v>14.0592522475548</v>
      </c>
      <c r="W93" s="597" cm="1">
        <f t="array" ref="W93">IF(W$3*12&lt;=$A93,0,$J92*'depto - Departamento'!$D$8/12/(1-(1+'depto - Departamento'!$D$8/12)^-(12*W$3-$A93+3))+$AT95)</f>
        <v>17.2606579075142</v>
      </c>
      <c r="X93" s="597" cm="1">
        <f t="array" ref="X93">IF(X$3*12&lt;=$A93,0,$J92*'depto - Departamento'!$D$8/12/(1-(1+'depto - Departamento'!$D$8/12)^-(12*X$3-$A93+3))+$AT95)</f>
        <v>24.7401791480727</v>
      </c>
      <c r="Y93" s="597" cm="1">
        <f t="array" ref="Y93">IF(Y$3*12&lt;=$A93,0,$J92*'depto - Departamento'!$D$8/12/(1-(1+'depto - Departamento'!$D$8/12)^-(12*Y$3-$A93+3))+$AT94)</f>
        <v>36.8079996208225</v>
      </c>
      <c r="Z93" s="597" cm="1">
        <f t="array" ref="Z93">IF(Z$3*12&lt;=$A93,0,$J92*'depto - Departamento'!$D$8/12/(1-(1+'depto - Departamento'!$D$8/12)^-(12*Z$3-$A93+3))+$AT94)</f>
        <v>59.1600565348471</v>
      </c>
      <c r="AA93" s="597" cm="1">
        <f t="array" ref="AA93">IF(AA$3*12&lt;=$A93,0,$J92*'depto - Departamento'!$D$8/12/(1-(1+'depto - Departamento'!$D$8/12)^-(12*AA$3-$A93+3))+$AT94)</f>
        <v>0</v>
      </c>
      <c r="AB93" s="705" cm="1">
        <f t="array" ref="AB93">AB92-(AB91-AB92)</f>
        <v>78.97369999999999</v>
      </c>
      <c r="AC93" s="597"/>
      <c r="AD93" s="717" cm="1">
        <f t="array" ref="AD93">$E93*U93</f>
        <v>612889.428526947</v>
      </c>
      <c r="AE93" s="248" cm="1">
        <f t="array" ref="AE93">$E93*V93</f>
        <v>699234.46029492</v>
      </c>
      <c r="AF93" s="247" cm="1">
        <f t="array" ref="AF93">$E93*W93</f>
        <v>858455.812854132</v>
      </c>
      <c r="AG93" s="247" cm="1">
        <f t="array" ref="AG93">$E93*X93</f>
        <v>1230448.49822728</v>
      </c>
      <c r="AH93" s="247" cm="1">
        <f t="array" ref="AH93">$E93*Y93</f>
        <v>1830639.44626769</v>
      </c>
      <c r="AI93" s="247" cm="1">
        <f t="array" ref="AI93">$E93*Z93</f>
        <v>2942315.10138495</v>
      </c>
      <c r="AJ93" s="247" cm="1">
        <f t="array" ref="AJ93">$E93*AA93</f>
        <v>0</v>
      </c>
      <c r="AK93" s="704" cm="1">
        <f t="array" ref="AK93">$E93*AB93</f>
        <v>3927743.2060156</v>
      </c>
      <c r="AL93" s="597"/>
      <c r="AM93" s="691" cm="1">
        <f t="array" ref="AM93">J91-J93</f>
        <v>19.3639</v>
      </c>
      <c r="AN93" s="691" cm="1">
        <f t="array" ref="AN93">D93-AM93</f>
        <v>-2.1032420924858</v>
      </c>
      <c r="AO93" s="597"/>
      <c r="AP93" s="684" cm="1">
        <f t="array" ref="AP93">ROUND(AQ93*E93,0)</f>
        <v>51436</v>
      </c>
      <c r="AQ93" s="692">
        <v>1.0342</v>
      </c>
      <c r="AR93" s="684" cm="1">
        <f t="array" ref="AR93">ROUND(E93*AS93,0)</f>
        <v>3914</v>
      </c>
      <c r="AS93" s="692" cm="1">
        <f t="array" ref="AS93">0.0787</f>
        <v>0.07870000000000001</v>
      </c>
      <c r="AT93" s="693" cm="1">
        <f t="array" ref="AT93">SUM(AQ93,AS93)</f>
        <v>1.1129</v>
      </c>
      <c r="AU93" s="684" cm="1">
        <f t="array" ref="AU93">ROUND(SUM(AQ93,AS93)*E93,0)</f>
        <v>55350</v>
      </c>
      <c r="AV93" s="685">
        <v>112242</v>
      </c>
      <c r="AW93" s="694" cm="1">
        <f t="array" ref="AW93">ROUND(AV93/$E93,4)</f>
        <v>2.2568</v>
      </c>
      <c r="AX93" s="685" cm="1">
        <f t="array" ref="AX93">I93-SUM(AU93,AV93,BB93)</f>
        <v>368955</v>
      </c>
      <c r="AY93" s="694" cm="1">
        <f t="array" ref="AY93">ROUND(AX93/$E93,4)</f>
        <v>7.4184</v>
      </c>
      <c r="AZ93" s="686" cm="1">
        <f t="array" ref="AZ93">AX93+AV93</f>
        <v>481197</v>
      </c>
      <c r="BA93" s="694" cm="1">
        <f t="array" ref="BA93">ROUND((AV93+AX93)/E93,4)</f>
        <v>9.6753</v>
      </c>
      <c r="BB93" s="687">
        <v>321909</v>
      </c>
      <c r="BC93" s="695" cm="1">
        <f t="array" ref="BC93">ROUND(BB93/$E93,4)</f>
        <v>6.4725</v>
      </c>
      <c r="BD93" s="679" cm="1">
        <f t="array" ref="BD93">K92-K93</f>
        <v>526927</v>
      </c>
      <c r="BE93" s="679" cm="1">
        <f t="array" ref="BE93">AZ93-BD93</f>
        <v>-45730</v>
      </c>
      <c r="BF93" s="679" cm="1">
        <f t="array" ref="BF93">-BE93</f>
        <v>45730</v>
      </c>
      <c r="BG93" s="679" cm="1">
        <f t="array" ref="BG93">BB93+BE93</f>
        <v>276179</v>
      </c>
      <c r="BH93" s="679" cm="1">
        <f t="array" ref="BH93">AVERAGE(BG90:BG91,BG93)</f>
        <v>491993</v>
      </c>
      <c r="BI93" s="699" cm="1">
        <f t="array" ref="BI93">BC91-BC93</f>
        <v>0.0485</v>
      </c>
      <c r="BJ93" s="596" cm="1">
        <f t="array" ref="BJ93">J92*0.0495/12-0.16</f>
        <v>7.42144145</v>
      </c>
      <c r="BK93" s="698" cm="1">
        <f t="array" ref="BK93">(AV93+AX93)/BB93</f>
        <v>1.49482307111637</v>
      </c>
      <c r="BL93" s="698" cm="1">
        <f t="array" ref="BL93">U93-AW93</f>
        <v>10.066344188125</v>
      </c>
      <c r="BM93" s="698" cm="1">
        <f t="array" ref="BM93">(BN$2*(1+BN$2)^BM$2*J91)/((1+BN$2)^BM$2-1)</f>
        <v>9.86200813861403</v>
      </c>
      <c r="BN93" s="698"/>
      <c r="BO93" s="247" cm="1">
        <f t="array" ref="BO93">AV93+AX93+BO92</f>
        <v>88467501</v>
      </c>
      <c r="BP93" s="247" cm="1">
        <f t="array" ref="BP93">BB93+BP92</f>
        <v>31818210</v>
      </c>
      <c r="BQ93" s="596" cm="1">
        <f t="array" ref="BQ93">BA93+BQ92</f>
        <v>2155.4046</v>
      </c>
      <c r="BR93" s="596" cm="1">
        <f t="array" ref="BR93">BC93+BR92</f>
        <v>744.0351000000001</v>
      </c>
      <c r="BS93" s="247" cm="1">
        <f t="array" ref="BS93">SUM(BE$6:BE93)</f>
        <v>32762659</v>
      </c>
      <c r="BT93" s="596"/>
      <c r="BU93" s="596"/>
      <c r="BV93" s="247" cm="1">
        <f t="array" ref="BV93">SUM(AZ$6:AZ93)</f>
        <v>88467501</v>
      </c>
      <c r="BW93" s="596"/>
      <c r="BX93" s="596"/>
    </row>
    <row r="94" ht="19.35" customHeight="1">
      <c r="A94" s="689">
        <v>90</v>
      </c>
      <c r="B94" s="703">
        <v>48071</v>
      </c>
      <c r="C94" s="704"/>
      <c r="D94" s="705" cm="1">
        <f t="array" ref="D94">W94</f>
        <v>17.2508689055155</v>
      </c>
      <c r="E94" s="836" cm="1">
        <f t="array" ref="E94">E93*(1+F94)</f>
        <v>50679.7874093514</v>
      </c>
      <c r="F94" s="837" cm="1">
        <f t="array" ref="F94">G94-SUM(F83:F93)</f>
        <v>0.019</v>
      </c>
      <c r="G94" s="706" cm="1">
        <f t="array" ref="G94">'depto - Table 5'!$J$2</f>
        <v>0.03</v>
      </c>
      <c r="H94" s="706" cm="1">
        <f t="array" ref="H94">G94+4.95/100</f>
        <v>0.0795</v>
      </c>
      <c r="I94" s="247" cm="1">
        <f t="array" ref="I94">IF(J93=0,0,ROUND(D94*E94,0))</f>
        <v>874270</v>
      </c>
      <c r="J94" s="677" cm="1">
        <f t="array" ref="J94">IF(J93-BA94&lt;0,0,J93-BA94)</f>
        <v>1818.4638</v>
      </c>
      <c r="K94" s="679" cm="1">
        <f t="array" ref="K94">ROUND(J94*E94,0)</f>
        <v>92159359</v>
      </c>
      <c r="L94" s="679" cm="1">
        <f t="array" ref="L94">K94-K93</f>
        <v>1231669</v>
      </c>
      <c r="M94" s="681" cm="1">
        <f t="array" ref="M94">Q94-J94</f>
        <v>3581.5362</v>
      </c>
      <c r="N94" s="679" cm="1">
        <f t="array" ref="N94">ROUND(M94*E94,0)</f>
        <v>181511493</v>
      </c>
      <c r="O94" s="596" cm="1">
        <f t="array" ref="O94">$J$5-J94</f>
        <v>2131.5362</v>
      </c>
      <c r="P94" s="679" cm="1">
        <f t="array" ref="P94">N94-N93</f>
        <v>3871124</v>
      </c>
      <c r="Q94" s="596">
        <v>5400</v>
      </c>
      <c r="R94" s="679" cm="1">
        <f t="array" ref="R94">Q94*E94</f>
        <v>273670852.010498</v>
      </c>
      <c r="S94" s="247" cm="1">
        <f t="array" ref="S94">-P94</f>
        <v>-3871124</v>
      </c>
      <c r="T94" s="690"/>
      <c r="U94" s="716" cm="1">
        <f t="array" ref="U94">J93*4.95/12/100/(1-(1+4.95/12/100)^-(360-$A94+3))+AT94</f>
        <v>12.2861912121013</v>
      </c>
      <c r="V94" s="705" cm="1">
        <f t="array" ref="V94">IF(V$3*12&lt;=$A94,0,$J93*'depto - Departamento'!$D$8/12/(1-(1+'depto - Departamento'!$D$8/12)^-(12*V$3-$A94+3))+$AT95)</f>
        <v>14.0288009618494</v>
      </c>
      <c r="W94" s="597" cm="1">
        <f t="array" ref="W94">IF(W$3*12&lt;=$A94,0,$J93*'depto - Departamento'!$D$8/12/(1-(1+'depto - Departamento'!$D$8/12)^-(12*W$3-$A94+3))+$AT96)</f>
        <v>17.2508689055155</v>
      </c>
      <c r="X94" s="597" cm="1">
        <f t="array" ref="X94">IF(X$3*12&lt;=$A94,0,$J93*'depto - Departamento'!$D$8/12/(1-(1+'depto - Departamento'!$D$8/12)^-(12*X$3-$A94+3))+$AT96)</f>
        <v>24.8227962936589</v>
      </c>
      <c r="Y94" s="597" cm="1">
        <f t="array" ref="Y94">IF(Y$3*12&lt;=$A94,0,$J93*'depto - Departamento'!$D$8/12/(1-(1+'depto - Departamento'!$D$8/12)^-(12*Y$3-$A94+3))+$AT95)</f>
        <v>37.171661259916</v>
      </c>
      <c r="Z94" s="597" cm="1">
        <f t="array" ref="Z94">IF(Z$3*12&lt;=$A94,0,$J93*'depto - Departamento'!$D$8/12/(1-(1+'depto - Departamento'!$D$8/12)^-(12*Z$3-$A94+3))+$AT95)</f>
        <v>60.4847117953068</v>
      </c>
      <c r="AA94" s="597" cm="1">
        <f t="array" ref="AA94">IF(AA$3*12&lt;=$A94,0,$J93*'depto - Departamento'!$D$8/12/(1-(1+'depto - Departamento'!$D$8/12)^-(12*AA$3-$A94+3))+$AT95)</f>
        <v>0</v>
      </c>
      <c r="AB94" s="705" cm="1">
        <f t="array" ref="AB94">AB93-(AB92-AB93)</f>
        <v>78.96129999999999</v>
      </c>
      <c r="AC94" s="597"/>
      <c r="AD94" s="717" cm="1">
        <f t="array" ref="AD94">$E94*U94</f>
        <v>622661.558699935</v>
      </c>
      <c r="AE94" s="248" cm="1">
        <f t="array" ref="AE94">$E94*V94</f>
        <v>710976.6503546319</v>
      </c>
      <c r="AF94" s="247" cm="1">
        <f t="array" ref="AF94">$E94*W94</f>
        <v>874270.368758116</v>
      </c>
      <c r="AG94" s="247" cm="1">
        <f t="array" ref="AG94">$E94*X94</f>
        <v>1258014.03906827</v>
      </c>
      <c r="AH94" s="247" cm="1">
        <f t="array" ref="AH94">$E94*Y94</f>
        <v>1883851.89030497</v>
      </c>
      <c r="AI94" s="247" cm="1">
        <f t="array" ref="AI94">$E94*Z94</f>
        <v>3065352.33530204</v>
      </c>
      <c r="AJ94" s="247" cm="1">
        <f t="array" ref="AJ94">$E94*AA94</f>
        <v>0</v>
      </c>
      <c r="AK94" s="704" cm="1">
        <f t="array" ref="AK94">$E94*AB94</f>
        <v>4001741.89756602</v>
      </c>
      <c r="AL94" s="597"/>
      <c r="AM94" s="691" cm="1">
        <f t="array" ref="AM94">J92-J94</f>
        <v>19.4614</v>
      </c>
      <c r="AN94" s="691" cm="1">
        <f t="array" ref="AN94">D94-AM94</f>
        <v>-2.2105310944845</v>
      </c>
      <c r="AO94" s="597"/>
      <c r="AP94" s="684" cm="1">
        <f t="array" ref="AP94">ROUND(AQ94*E94,0)</f>
        <v>52413</v>
      </c>
      <c r="AQ94" s="692">
        <v>1.0342</v>
      </c>
      <c r="AR94" s="684" cm="1">
        <f t="array" ref="AR94">ROUND(E94*AS94,0)</f>
        <v>3988</v>
      </c>
      <c r="AS94" s="692" cm="1">
        <f t="array" ref="AS94">0.0787</f>
        <v>0.07870000000000001</v>
      </c>
      <c r="AT94" s="693" cm="1">
        <f t="array" ref="AT94">SUM(AQ94,AS94)</f>
        <v>1.1129</v>
      </c>
      <c r="AU94" s="684" cm="1">
        <f t="array" ref="AU94">ROUND(SUM(AQ94,AS94)*E94,0)</f>
        <v>56402</v>
      </c>
      <c r="AV94" s="685">
        <v>112242</v>
      </c>
      <c r="AW94" s="694" cm="1">
        <f t="array" ref="AW94">ROUND(AV94/$E94,4)</f>
        <v>2.2147</v>
      </c>
      <c r="AX94" s="685" cm="1">
        <f t="array" ref="AX94">I94-SUM(AU94,AV94,BB94)</f>
        <v>383717</v>
      </c>
      <c r="AY94" s="694" cm="1">
        <f t="array" ref="AY94">ROUND(AX94/$E94,4)</f>
        <v>7.5714</v>
      </c>
      <c r="AZ94" s="686" cm="1">
        <f t="array" ref="AZ94">AX94+AV94</f>
        <v>495959</v>
      </c>
      <c r="BA94" s="694" cm="1">
        <f t="array" ref="BA94">ROUND((AV94+AX94)/E94,4)</f>
        <v>9.786099999999999</v>
      </c>
      <c r="BB94" s="687">
        <v>321909</v>
      </c>
      <c r="BC94" s="695" cm="1">
        <f t="array" ref="BC94">ROUND(BB94/$E94,4)</f>
        <v>6.3518</v>
      </c>
      <c r="BD94" s="679" cm="1">
        <f t="array" ref="BD94">K93-K94</f>
        <v>-1231669</v>
      </c>
      <c r="BE94" s="679" cm="1">
        <f t="array" ref="BE94">AZ94-BD94</f>
        <v>1727628</v>
      </c>
      <c r="BF94" s="679" cm="1">
        <f t="array" ref="BF94">-BE94</f>
        <v>-1727628</v>
      </c>
      <c r="BG94" s="679" cm="1">
        <f t="array" ref="BG94">BB94+BE94</f>
        <v>2049537</v>
      </c>
      <c r="BH94" s="679" cm="1">
        <f t="array" ref="BH94">AVERAGE(BG91:BG92,BG94)</f>
        <v>1323277.33333333</v>
      </c>
      <c r="BI94" s="699" cm="1">
        <f t="array" ref="BI94">BC92-BC94</f>
        <v>0.1175</v>
      </c>
      <c r="BJ94" s="596" cm="1">
        <f t="array" ref="BJ94">J93*0.0495/12-0.16</f>
        <v>7.3815308375</v>
      </c>
      <c r="BK94" s="698" cm="1">
        <f t="array" ref="BK94">(AV94+AX94)/BB94</f>
        <v>1.54068075139247</v>
      </c>
      <c r="BL94" s="698" cm="1">
        <f t="array" ref="BL94">U94-AW94</f>
        <v>10.0714912121013</v>
      </c>
      <c r="BM94" s="698" cm="1">
        <f t="array" ref="BM94">(BN$2*(1+BN$2)^BM$2*J92)/((1+BN$2)^BM$2-1)</f>
        <v>9.810293298612409</v>
      </c>
      <c r="BN94" s="698"/>
      <c r="BO94" s="247" cm="1">
        <f t="array" ref="BO94">AV94+AX94+BO93</f>
        <v>88963460</v>
      </c>
      <c r="BP94" s="247" cm="1">
        <f t="array" ref="BP94">BB94+BP93</f>
        <v>32140119</v>
      </c>
      <c r="BQ94" s="596" cm="1">
        <f t="array" ref="BQ94">BA94+BQ93</f>
        <v>2165.1907</v>
      </c>
      <c r="BR94" s="596" cm="1">
        <f t="array" ref="BR94">BC94+BR93</f>
        <v>750.3869</v>
      </c>
      <c r="BS94" s="247" cm="1">
        <f t="array" ref="BS94">SUM(BE$6:BE94)</f>
        <v>34490287</v>
      </c>
      <c r="BT94" s="596"/>
      <c r="BU94" s="596"/>
      <c r="BV94" s="247" cm="1">
        <f t="array" ref="BV94">SUM(AZ$6:AZ94)</f>
        <v>88963460</v>
      </c>
      <c r="BW94" s="596"/>
      <c r="BX94" s="596"/>
    </row>
    <row r="95" ht="19.35" customHeight="1">
      <c r="A95" s="689">
        <v>91</v>
      </c>
      <c r="B95" s="703">
        <v>48102</v>
      </c>
      <c r="C95" s="704"/>
      <c r="D95" s="705" cm="1">
        <f t="array" ref="D95">W95</f>
        <v>17.2403181453471</v>
      </c>
      <c r="E95" s="836" cm="1">
        <f t="array" ref="E95">E94*(1+F95)</f>
        <v>51105.49762359</v>
      </c>
      <c r="F95" s="837" cm="1">
        <f t="array" ref="F95">G95-SUM(F84:F94)</f>
        <v>0.008399999999999999</v>
      </c>
      <c r="G95" s="706" cm="1">
        <f t="array" ref="G95">'depto - Table 5'!$J$2</f>
        <v>0.03</v>
      </c>
      <c r="H95" s="706" cm="1">
        <f t="array" ref="H95">G95+4.95/100</f>
        <v>0.0795</v>
      </c>
      <c r="I95" s="247" cm="1">
        <f t="array" ref="I95">IF(J94=0,0,ROUND(D95*E95,0))</f>
        <v>881075</v>
      </c>
      <c r="J95" s="677" cm="1">
        <f t="array" ref="J95">IF(J94-BA95&lt;0,0,J94-BA95)</f>
        <v>1808.6353</v>
      </c>
      <c r="K95" s="679" cm="1">
        <f t="array" ref="K95">ROUND(J95*E95,0)</f>
        <v>92431207</v>
      </c>
      <c r="L95" s="679" cm="1">
        <f t="array" ref="L95">K95-K94</f>
        <v>271848</v>
      </c>
      <c r="M95" s="681" cm="1">
        <f t="array" ref="M95">Q95-J95</f>
        <v>3591.3647</v>
      </c>
      <c r="N95" s="679" cm="1">
        <f t="array" ref="N95">ROUND(M95*E95,0)</f>
        <v>183538480</v>
      </c>
      <c r="O95" s="596" cm="1">
        <f t="array" ref="O95">$J$5-J95</f>
        <v>2141.3647</v>
      </c>
      <c r="P95" s="679" cm="1">
        <f t="array" ref="P95">N95-N94</f>
        <v>2026987</v>
      </c>
      <c r="Q95" s="596">
        <v>5400</v>
      </c>
      <c r="R95" s="679" cm="1">
        <f t="array" ref="R95">Q95*E95</f>
        <v>275969687.167386</v>
      </c>
      <c r="S95" s="247" cm="1">
        <f t="array" ref="S95">-P95</f>
        <v>-2026987</v>
      </c>
      <c r="T95" s="690"/>
      <c r="U95" s="716" cm="1">
        <f t="array" ref="U95">J94*4.95/12/100/(1-(1+4.95/12/100)^-(360-$A95+3))+AT95</f>
        <v>12.248504297037</v>
      </c>
      <c r="V95" s="705" cm="1">
        <f t="array" ref="V95">IF(V$3*12&lt;=$A95,0,$J94*'depto - Departamento'!$D$8/12/(1-(1+'depto - Departamento'!$D$8/12)^-(12*V$3-$A95+3))+$AT96)</f>
        <v>13.9975418521568</v>
      </c>
      <c r="W95" s="597" cm="1">
        <f t="array" ref="W95">IF(W$3*12&lt;=$A95,0,$J94*'depto - Departamento'!$D$8/12/(1-(1+'depto - Departamento'!$D$8/12)^-(12*W$3-$A95+3))+$AT97)</f>
        <v>17.2403181453471</v>
      </c>
      <c r="X95" s="597" cm="1">
        <f t="array" ref="X95">IF(X$3*12&lt;=$A95,0,$J94*'depto - Departamento'!$D$8/12/(1-(1+'depto - Departamento'!$D$8/12)^-(12*X$3-$A95+3))+$AT97)</f>
        <v>24.9063040438342</v>
      </c>
      <c r="Y95" s="597" cm="1">
        <f t="array" ref="Y95">IF(Y$3*12&lt;=$A95,0,$J94*'depto - Departamento'!$D$8/12/(1-(1+'depto - Departamento'!$D$8/12)^-(12*Y$3-$A95+3))+$AT96)</f>
        <v>37.5469510857037</v>
      </c>
      <c r="Z95" s="597" cm="1">
        <f t="array" ref="Z95">IF(Z$3*12&lt;=$A95,0,$J94*'depto - Departamento'!$D$8/12/(1-(1+'depto - Departamento'!$D$8/12)^-(12*Z$3-$A95+3))+$AT96)</f>
        <v>61.8899198734864</v>
      </c>
      <c r="AA95" s="597" cm="1">
        <f t="array" ref="AA95">IF(AA$3*12&lt;=$A95,0,$J94*'depto - Departamento'!$D$8/12/(1-(1+'depto - Departamento'!$D$8/12)^-(12*AA$3-$A95+3))+$AT96)</f>
        <v>0</v>
      </c>
      <c r="AB95" s="705" cm="1">
        <f t="array" ref="AB95">AB94-(AB93-AB94)</f>
        <v>78.94889999999999</v>
      </c>
      <c r="AC95" s="597"/>
      <c r="AD95" s="717" cm="1">
        <f t="array" ref="AD95">$E95*U95</f>
        <v>625965.907244756</v>
      </c>
      <c r="AE95" s="248" cm="1">
        <f t="array" ref="AE95">$E95*V95</f>
        <v>715351.341861501</v>
      </c>
      <c r="AF95" s="247" cm="1">
        <f t="array" ref="AF95">$E95*W95</f>
        <v>881075.0380069721</v>
      </c>
      <c r="AG95" s="247" cm="1">
        <f t="array" ref="AG95">$E95*X95</f>
        <v>1272849.06212458</v>
      </c>
      <c r="AH95" s="247" cm="1">
        <f t="array" ref="AH95">$E95*Y95</f>
        <v>1918855.61948348</v>
      </c>
      <c r="AI95" s="247" cm="1">
        <f t="array" ref="AI95">$E95*Z95</f>
        <v>3162915.15301863</v>
      </c>
      <c r="AJ95" s="247" cm="1">
        <f t="array" ref="AJ95">$E95*AA95</f>
        <v>0</v>
      </c>
      <c r="AK95" s="704" cm="1">
        <f t="array" ref="AK95">$E95*AB95</f>
        <v>4034722.82133504</v>
      </c>
      <c r="AL95" s="597"/>
      <c r="AM95" s="691" cm="1">
        <f t="array" ref="AM95">J93-J95</f>
        <v>19.6146</v>
      </c>
      <c r="AN95" s="691" cm="1">
        <f t="array" ref="AN95">D95-AM95</f>
        <v>-2.3742818546529</v>
      </c>
      <c r="AO95" s="597"/>
      <c r="AP95" s="684" cm="1">
        <f t="array" ref="AP95">ROUND(AQ95*E95,0)</f>
        <v>52853</v>
      </c>
      <c r="AQ95" s="692">
        <v>1.0342</v>
      </c>
      <c r="AR95" s="684" cm="1">
        <f t="array" ref="AR95">ROUND(E95*AS95,0)</f>
        <v>4022</v>
      </c>
      <c r="AS95" s="692" cm="1">
        <f t="array" ref="AS95">0.0787</f>
        <v>0.07870000000000001</v>
      </c>
      <c r="AT95" s="693" cm="1">
        <f t="array" ref="AT95">SUM(AQ95,AS95)</f>
        <v>1.1129</v>
      </c>
      <c r="AU95" s="684" cm="1">
        <f t="array" ref="AU95">ROUND(SUM(AQ95,AS95)*E95,0)</f>
        <v>56875</v>
      </c>
      <c r="AV95" s="685">
        <v>112242</v>
      </c>
      <c r="AW95" s="694" cm="1">
        <f t="array" ref="AW95">ROUND(AV95/$E95,4)</f>
        <v>2.1963</v>
      </c>
      <c r="AX95" s="685" cm="1">
        <f t="array" ref="AX95">I95-SUM(AU95,AV95,BB95)</f>
        <v>390049</v>
      </c>
      <c r="AY95" s="694" cm="1">
        <f t="array" ref="AY95">ROUND(AX95/$E95,4)</f>
        <v>7.6322</v>
      </c>
      <c r="AZ95" s="686" cm="1">
        <f t="array" ref="AZ95">AX95+AV95</f>
        <v>502291</v>
      </c>
      <c r="BA95" s="694" cm="1">
        <f t="array" ref="BA95">ROUND((AV95+AX95)/E95,4)</f>
        <v>9.8285</v>
      </c>
      <c r="BB95" s="687">
        <v>321909</v>
      </c>
      <c r="BC95" s="695" cm="1">
        <f t="array" ref="BC95">ROUND(BB95/$E95,4)</f>
        <v>6.2989</v>
      </c>
      <c r="BD95" s="679" cm="1">
        <f t="array" ref="BD95">K94-K95</f>
        <v>-271848</v>
      </c>
      <c r="BE95" s="679" cm="1">
        <f t="array" ref="BE95">AZ95-BD95</f>
        <v>774139</v>
      </c>
      <c r="BF95" s="679" cm="1">
        <f t="array" ref="BF95">-BE95</f>
        <v>-774139</v>
      </c>
      <c r="BG95" s="679" cm="1">
        <f t="array" ref="BG95">BB95+BE95</f>
        <v>1096048</v>
      </c>
      <c r="BH95" s="679" cm="1">
        <f t="array" ref="BH95">AVERAGE(BG92:BG93,BG95)</f>
        <v>807931</v>
      </c>
      <c r="BI95" s="699" cm="1">
        <f t="array" ref="BI95">BC93-BC95</f>
        <v>0.1736</v>
      </c>
      <c r="BJ95" s="596" cm="1">
        <f t="array" ref="BJ95">J94*0.0495/12-0.16</f>
        <v>7.341163175</v>
      </c>
      <c r="BK95" s="698" cm="1">
        <f t="array" ref="BK95">(AV95+AX95)/BB95</f>
        <v>1.56035090662268</v>
      </c>
      <c r="BL95" s="698" cm="1">
        <f t="array" ref="BL95">U95-AW95</f>
        <v>10.052204297037</v>
      </c>
      <c r="BM95" s="698" cm="1">
        <f t="array" ref="BM95">(BN$2*(1+BN$2)^BM$2*J93)/((1+BN$2)^BM$2-1)</f>
        <v>9.758649450020499</v>
      </c>
      <c r="BN95" s="698"/>
      <c r="BO95" s="247" cm="1">
        <f t="array" ref="BO95">AV95+AX95+BO94</f>
        <v>89465751</v>
      </c>
      <c r="BP95" s="247" cm="1">
        <f t="array" ref="BP95">BB95+BP94</f>
        <v>32462028</v>
      </c>
      <c r="BQ95" s="596" cm="1">
        <f t="array" ref="BQ95">BA95+BQ94</f>
        <v>2175.0192</v>
      </c>
      <c r="BR95" s="596" cm="1">
        <f t="array" ref="BR95">BC95+BR94</f>
        <v>756.6858</v>
      </c>
      <c r="BS95" s="247" cm="1">
        <f t="array" ref="BS95">SUM(BE$6:BE95)</f>
        <v>35264426</v>
      </c>
      <c r="BT95" s="596"/>
      <c r="BU95" s="596"/>
      <c r="BV95" s="247" cm="1">
        <f t="array" ref="BV95">SUM(AZ$6:AZ95)</f>
        <v>89465751</v>
      </c>
      <c r="BW95" s="596"/>
      <c r="BX95" s="596"/>
    </row>
    <row r="96" ht="19.35" customHeight="1">
      <c r="A96" s="689">
        <v>92</v>
      </c>
      <c r="B96" s="703">
        <v>48132</v>
      </c>
      <c r="C96" s="704"/>
      <c r="D96" s="705" cm="1">
        <f t="array" ref="D96">W96</f>
        <v>17.2296049692614</v>
      </c>
      <c r="E96" s="836" cm="1">
        <f t="array" ref="E96">E95*(1+F96)</f>
        <v>51120.8292728771</v>
      </c>
      <c r="F96" s="837" cm="1">
        <f t="array" ref="F96">G96-SUM(F85:F95)</f>
        <v>0.0003</v>
      </c>
      <c r="G96" s="706" cm="1">
        <f t="array" ref="G96">'depto - Table 5'!$J$2</f>
        <v>0.03</v>
      </c>
      <c r="H96" s="706" cm="1">
        <f t="array" ref="H96">G96+4.95/100</f>
        <v>0.0795</v>
      </c>
      <c r="I96" s="247" cm="1">
        <f t="array" ref="I96">IF(J95=0,0,ROUND(D96*E96,0))</f>
        <v>880792</v>
      </c>
      <c r="J96" s="677" cm="1">
        <f t="array" ref="J96">IF(J95-BA96&lt;0,0,J95-BA96)</f>
        <v>1798.8156</v>
      </c>
      <c r="K96" s="679" cm="1">
        <f t="array" ref="K96">ROUND(J96*E96,0)</f>
        <v>91956945</v>
      </c>
      <c r="L96" s="679" cm="1">
        <f t="array" ref="L96">K96-K95</f>
        <v>-474262</v>
      </c>
      <c r="M96" s="681" cm="1">
        <f t="array" ref="M96">Q96-J96</f>
        <v>3601.1844</v>
      </c>
      <c r="N96" s="679" cm="1">
        <f t="array" ref="N96">ROUND(M96*E96,0)</f>
        <v>184095533</v>
      </c>
      <c r="O96" s="596" cm="1">
        <f t="array" ref="O96">$J$5-J96</f>
        <v>2151.1844</v>
      </c>
      <c r="P96" s="679" cm="1">
        <f t="array" ref="P96">N96-N95</f>
        <v>557053</v>
      </c>
      <c r="Q96" s="596">
        <v>5400</v>
      </c>
      <c r="R96" s="679" cm="1">
        <f t="array" ref="R96">Q96*E96</f>
        <v>276052478.073536</v>
      </c>
      <c r="S96" s="247" cm="1">
        <f t="array" ref="S96">-P96</f>
        <v>-557053</v>
      </c>
      <c r="T96" s="690"/>
      <c r="U96" s="716" cm="1">
        <f t="array" ref="U96">J95*4.95/12/100/(1-(1+4.95/12/100)^-(360-$A96+3))+AT96</f>
        <v>12.2104981956258</v>
      </c>
      <c r="V96" s="705" cm="1">
        <f t="array" ref="V96">IF(V$3*12&lt;=$A96,0,$J95*'depto - Departamento'!$D$8/12/(1-(1+'depto - Departamento'!$D$8/12)^-(12*V$3-$A96+3))+$AT97)</f>
        <v>13.9659533411038</v>
      </c>
      <c r="W96" s="597" cm="1">
        <f t="array" ref="W96">IF(W$3*12&lt;=$A96,0,$J95*'depto - Departamento'!$D$8/12/(1-(1+'depto - Departamento'!$D$8/12)^-(12*W$3-$A96+3))+$AT98)</f>
        <v>17.2296049692614</v>
      </c>
      <c r="X96" s="597" cm="1">
        <f t="array" ref="X96">IF(X$3*12&lt;=$A96,0,$J95*'depto - Departamento'!$D$8/12/(1-(1+'depto - Departamento'!$D$8/12)^-(12*X$3-$A96+3))+$AT98)</f>
        <v>24.9916424220522</v>
      </c>
      <c r="Y96" s="597" cm="1">
        <f t="array" ref="Y96">IF(Y$3*12&lt;=$A96,0,$J95*'depto - Departamento'!$D$8/12/(1-(1+'depto - Departamento'!$D$8/12)^-(12*Y$3-$A96+3))+$AT97)</f>
        <v>37.9359079013683</v>
      </c>
      <c r="Z96" s="597" cm="1">
        <f t="array" ref="Z96">IF(Z$3*12&lt;=$A96,0,$J95*'depto - Departamento'!$D$8/12/(1-(1+'depto - Departamento'!$D$8/12)^-(12*Z$3-$A96+3))+$AT97)</f>
        <v>63.385851721160</v>
      </c>
      <c r="AA96" s="597" cm="1">
        <f t="array" ref="AA96">IF(AA$3*12&lt;=$A96,0,$J95*'depto - Departamento'!$D$8/12/(1-(1+'depto - Departamento'!$D$8/12)^-(12*AA$3-$A96+3))+$AT97)</f>
        <v>0</v>
      </c>
      <c r="AB96" s="705" cm="1">
        <f t="array" ref="AB96">AB95-(AB94-AB95)</f>
        <v>78.9365</v>
      </c>
      <c r="AC96" s="597"/>
      <c r="AD96" s="717" cm="1">
        <f t="array" ref="AD96">$E96*U96</f>
        <v>624210.79359536</v>
      </c>
      <c r="AE96" s="248" cm="1">
        <f t="array" ref="AE96">$E96*V96</f>
        <v>713951.116383535</v>
      </c>
      <c r="AF96" s="247" cm="1">
        <f t="array" ref="AF96">$E96*W96</f>
        <v>880791.694072727</v>
      </c>
      <c r="AG96" s="247" cm="1">
        <f t="array" ref="AG96">$E96*X96</f>
        <v>1277593.48550652</v>
      </c>
      <c r="AH96" s="247" cm="1">
        <f t="array" ref="AH96">$E96*Y96</f>
        <v>1939315.07113744</v>
      </c>
      <c r="AI96" s="247" cm="1">
        <f t="array" ref="AI96">$E96*Z96</f>
        <v>3240337.30415332</v>
      </c>
      <c r="AJ96" s="247" cm="1">
        <f t="array" ref="AJ96">$E96*AA96</f>
        <v>0</v>
      </c>
      <c r="AK96" s="704" cm="1">
        <f t="array" ref="AK96">$E96*AB96</f>
        <v>4035299.33989846</v>
      </c>
      <c r="AL96" s="597"/>
      <c r="AM96" s="691" cm="1">
        <f t="array" ref="AM96">J94-J96</f>
        <v>19.6482</v>
      </c>
      <c r="AN96" s="691" cm="1">
        <f t="array" ref="AN96">D96-AM96</f>
        <v>-2.4185950307386</v>
      </c>
      <c r="AO96" s="597"/>
      <c r="AP96" s="684" cm="1">
        <f t="array" ref="AP96">ROUND(AQ96*E96,0)</f>
        <v>52869</v>
      </c>
      <c r="AQ96" s="692">
        <v>1.0342</v>
      </c>
      <c r="AR96" s="684" cm="1">
        <f t="array" ref="AR96">ROUND(E96*AS96,0)</f>
        <v>4023</v>
      </c>
      <c r="AS96" s="692" cm="1">
        <f t="array" ref="AS96">0.0787</f>
        <v>0.07870000000000001</v>
      </c>
      <c r="AT96" s="693" cm="1">
        <f t="array" ref="AT96">SUM(AQ96,AS96)</f>
        <v>1.1129</v>
      </c>
      <c r="AU96" s="684" cm="1">
        <f t="array" ref="AU96">ROUND(SUM(AQ96,AS96)*E96,0)</f>
        <v>56892</v>
      </c>
      <c r="AV96" s="685">
        <v>112242</v>
      </c>
      <c r="AW96" s="694" cm="1">
        <f t="array" ref="AW96">ROUND(AV96/$E96,4)</f>
        <v>2.1956</v>
      </c>
      <c r="AX96" s="685" cm="1">
        <f t="array" ref="AX96">I96-SUM(AU96,AV96,BB96)</f>
        <v>389749</v>
      </c>
      <c r="AY96" s="694" cm="1">
        <f t="array" ref="AY96">ROUND(AX96/$E96,4)</f>
        <v>7.6241</v>
      </c>
      <c r="AZ96" s="686" cm="1">
        <f t="array" ref="AZ96">AX96+AV96</f>
        <v>501991</v>
      </c>
      <c r="BA96" s="694" cm="1">
        <f t="array" ref="BA96">ROUND((AV96+AX96)/E96,4)</f>
        <v>9.819699999999999</v>
      </c>
      <c r="BB96" s="687">
        <v>321909</v>
      </c>
      <c r="BC96" s="695" cm="1">
        <f t="array" ref="BC96">ROUND(BB96/$E96,4)</f>
        <v>6.297</v>
      </c>
      <c r="BD96" s="679" cm="1">
        <f t="array" ref="BD96">K95-K96</f>
        <v>474262</v>
      </c>
      <c r="BE96" s="679" cm="1">
        <f t="array" ref="BE96">AZ96-BD96</f>
        <v>27729</v>
      </c>
      <c r="BF96" s="679" cm="1">
        <f t="array" ref="BF96">-BE96</f>
        <v>-27729</v>
      </c>
      <c r="BG96" s="679" cm="1">
        <f t="array" ref="BG96">BB96+BE96</f>
        <v>349638</v>
      </c>
      <c r="BH96" s="679" cm="1">
        <f t="array" ref="BH96">AVERAGE(BG93:BG94,BG96)</f>
        <v>891784.666666667</v>
      </c>
      <c r="BI96" s="699" cm="1">
        <f t="array" ref="BI96">BC94-BC96</f>
        <v>0.0548</v>
      </c>
      <c r="BJ96" s="596" cm="1">
        <f t="array" ref="BJ96">J95*0.0495/12-0.16</f>
        <v>7.3006206125</v>
      </c>
      <c r="BK96" s="698" cm="1">
        <f t="array" ref="BK96">(AV96+AX96)/BB96</f>
        <v>1.55941896622959</v>
      </c>
      <c r="BL96" s="698" cm="1">
        <f t="array" ref="BL96">U96-AW96</f>
        <v>10.0148981956258</v>
      </c>
      <c r="BM96" s="698" cm="1">
        <f t="array" ref="BM96">(BN$2*(1+BN$2)^BM$2*J94)/((1+BN$2)^BM$2-1)</f>
        <v>9.706414184271081</v>
      </c>
      <c r="BN96" s="698"/>
      <c r="BO96" s="247" cm="1">
        <f t="array" ref="BO96">AV96+AX96+BO95</f>
        <v>89967742</v>
      </c>
      <c r="BP96" s="247" cm="1">
        <f t="array" ref="BP96">BB96+BP95</f>
        <v>32783937</v>
      </c>
      <c r="BQ96" s="596" cm="1">
        <f t="array" ref="BQ96">BA96+BQ95</f>
        <v>2184.8389</v>
      </c>
      <c r="BR96" s="596" cm="1">
        <f t="array" ref="BR96">BC96+BR95</f>
        <v>762.9828</v>
      </c>
      <c r="BS96" s="247" cm="1">
        <f t="array" ref="BS96">SUM(BE$6:BE96)</f>
        <v>35292155</v>
      </c>
      <c r="BT96" s="596"/>
      <c r="BU96" s="596"/>
      <c r="BV96" s="247" cm="1">
        <f t="array" ref="BV96">SUM(AZ$6:AZ96)</f>
        <v>89967742</v>
      </c>
      <c r="BW96" s="596"/>
      <c r="BX96" s="596"/>
    </row>
    <row r="97" ht="19.35" customHeight="1">
      <c r="A97" s="689">
        <v>93</v>
      </c>
      <c r="B97" s="703">
        <v>48163</v>
      </c>
      <c r="C97" s="704"/>
      <c r="D97" s="705" cm="1">
        <f t="array" ref="D97">W97</f>
        <v>17.2191861545014</v>
      </c>
      <c r="E97" s="836" cm="1">
        <f t="array" ref="E97">E96*(1+F97)</f>
        <v>51309.9763411867</v>
      </c>
      <c r="F97" s="837" cm="1">
        <f t="array" ref="F97">G97-SUM(F86:F96)</f>
        <v>0.0037</v>
      </c>
      <c r="G97" s="706" cm="1">
        <f t="array" ref="G97">'depto - Table 5'!$J$2</f>
        <v>0.03</v>
      </c>
      <c r="H97" s="706" cm="1">
        <f t="array" ref="H97">G97+4.95/100</f>
        <v>0.0795</v>
      </c>
      <c r="I97" s="247" cm="1">
        <f t="array" ref="I97">IF(J96=0,0,ROUND(D97*E97,0))</f>
        <v>883516</v>
      </c>
      <c r="J97" s="677" cm="1">
        <f t="array" ref="J97">IF(J96-BA97&lt;0,0,J96-BA97)</f>
        <v>1788.9831</v>
      </c>
      <c r="K97" s="679" cm="1">
        <f t="array" ref="K97">ROUND(J97*E97,0)</f>
        <v>91792681</v>
      </c>
      <c r="L97" s="679" cm="1">
        <f t="array" ref="L97">K97-K96</f>
        <v>-164264</v>
      </c>
      <c r="M97" s="681" cm="1">
        <f t="array" ref="M97">Q97-J97</f>
        <v>3611.0169</v>
      </c>
      <c r="N97" s="679" cm="1">
        <f t="array" ref="N97">ROUND(M97*E97,0)</f>
        <v>185281192</v>
      </c>
      <c r="O97" s="596" cm="1">
        <f t="array" ref="O97">$J$5-J97</f>
        <v>2161.0169</v>
      </c>
      <c r="P97" s="679" cm="1">
        <f t="array" ref="P97">N97-N96</f>
        <v>1185659</v>
      </c>
      <c r="Q97" s="596">
        <v>5400</v>
      </c>
      <c r="R97" s="679" cm="1">
        <f t="array" ref="R97">Q97*E97</f>
        <v>277073872.242408</v>
      </c>
      <c r="S97" s="247" cm="1">
        <f t="array" ref="S97">-P97</f>
        <v>-1185659</v>
      </c>
      <c r="T97" s="690"/>
      <c r="U97" s="716" cm="1">
        <f t="array" ref="U97">J96*4.95/12/100/(1-(1+4.95/12/100)^-(360-$A97+3))+AT97</f>
        <v>12.1724852134056</v>
      </c>
      <c r="V97" s="705" cm="1">
        <f t="array" ref="V97">IF(V$3*12&lt;=$A97,0,$J96*'depto - Departamento'!$D$8/12/(1-(1+'depto - Departamento'!$D$8/12)^-(12*V$3-$A97+3))+$AT98)</f>
        <v>13.9343969138319</v>
      </c>
      <c r="W97" s="597" cm="1">
        <f t="array" ref="W97">IF(W$3*12&lt;=$A97,0,$J96*'depto - Departamento'!$D$8/12/(1-(1+'depto - Departamento'!$D$8/12)^-(12*W$3-$A97+3))+$AT99)</f>
        <v>17.2191861545014</v>
      </c>
      <c r="X97" s="597" cm="1">
        <f t="array" ref="X97">IF(X$3*12&lt;=$A97,0,$J96*'depto - Departamento'!$D$8/12/(1-(1+'depto - Departamento'!$D$8/12)^-(12*X$3-$A97+3))+$AT99)</f>
        <v>25.0795569988679</v>
      </c>
      <c r="Y97" s="597" cm="1">
        <f t="array" ref="Y97">IF(Y$3*12&lt;=$A97,0,$J96*'depto - Departamento'!$D$8/12/(1-(1+'depto - Departamento'!$D$8/12)^-(12*Y$3-$A97+3))+$AT98)</f>
        <v>38.3403543037785</v>
      </c>
      <c r="Z97" s="597" cm="1">
        <f t="array" ref="Z97">IF(Z$3*12&lt;=$A97,0,$J96*'depto - Departamento'!$D$8/12/(1-(1+'depto - Departamento'!$D$8/12)^-(12*Z$3-$A97+3))+$AT98)</f>
        <v>64.9834040366076</v>
      </c>
      <c r="AA97" s="597" cm="1">
        <f t="array" ref="AA97">IF(AA$3*12&lt;=$A97,0,$J96*'depto - Departamento'!$D$8/12/(1-(1+'depto - Departamento'!$D$8/12)^-(12*AA$3-$A97+3))+$AT98)</f>
        <v>0</v>
      </c>
      <c r="AB97" s="705" cm="1">
        <f t="array" ref="AB97">AB96-(AB95-AB96)</f>
        <v>78.9241</v>
      </c>
      <c r="AC97" s="597"/>
      <c r="AD97" s="717" cm="1">
        <f t="array" ref="AD97">$E97*U97</f>
        <v>624569.928313286</v>
      </c>
      <c r="AE97" s="248" cm="1">
        <f t="array" ref="AE97">$E97*V97</f>
        <v>714973.57597742</v>
      </c>
      <c r="AF97" s="247" cm="1">
        <f t="array" ref="AF97">$E97*W97</f>
        <v>883516.034201956</v>
      </c>
      <c r="AG97" s="247" cm="1">
        <f t="array" ref="AG97">$E97*X97</f>
        <v>1286831.47625936</v>
      </c>
      <c r="AH97" s="247" cm="1">
        <f t="array" ref="AH97">$E97*Y97</f>
        <v>1967242.67223959</v>
      </c>
      <c r="AI97" s="247" cm="1">
        <f t="array" ref="AI97">$E97*Z97</f>
        <v>3334296.92368811</v>
      </c>
      <c r="AJ97" s="247" cm="1">
        <f t="array" ref="AJ97">$E97*AA97</f>
        <v>0</v>
      </c>
      <c r="AK97" s="704" cm="1">
        <f t="array" ref="AK97">$E97*AB97</f>
        <v>4049593.70374945</v>
      </c>
      <c r="AL97" s="597"/>
      <c r="AM97" s="691" cm="1">
        <f t="array" ref="AM97">J95-J97</f>
        <v>19.6522</v>
      </c>
      <c r="AN97" s="691" cm="1">
        <f t="array" ref="AN97">D97-AM97</f>
        <v>-2.4330138454986</v>
      </c>
      <c r="AO97" s="597"/>
      <c r="AP97" s="684" cm="1">
        <f t="array" ref="AP97">ROUND(AQ97*E97,0)</f>
        <v>53065</v>
      </c>
      <c r="AQ97" s="692">
        <v>1.0342</v>
      </c>
      <c r="AR97" s="684" cm="1">
        <f t="array" ref="AR97">ROUND(E97*AS97,0)</f>
        <v>4038</v>
      </c>
      <c r="AS97" s="692" cm="1">
        <f t="array" ref="AS97">0.0787</f>
        <v>0.07870000000000001</v>
      </c>
      <c r="AT97" s="693" cm="1">
        <f t="array" ref="AT97">SUM(AQ97,AS97)</f>
        <v>1.1129</v>
      </c>
      <c r="AU97" s="684" cm="1">
        <f t="array" ref="AU97">ROUND(SUM(AQ97,AS97)*E97,0)</f>
        <v>57103</v>
      </c>
      <c r="AV97" s="685">
        <v>112242</v>
      </c>
      <c r="AW97" s="694" cm="1">
        <f t="array" ref="AW97">ROUND(AV97/$E97,4)</f>
        <v>2.1875</v>
      </c>
      <c r="AX97" s="685" cm="1">
        <f t="array" ref="AX97">I97-SUM(AU97,AV97,BB97)</f>
        <v>392262</v>
      </c>
      <c r="AY97" s="694" cm="1">
        <f t="array" ref="AY97">ROUND(AX97/$E97,4)</f>
        <v>7.6449</v>
      </c>
      <c r="AZ97" s="686" cm="1">
        <f t="array" ref="AZ97">AX97+AV97</f>
        <v>504504</v>
      </c>
      <c r="BA97" s="694" cm="1">
        <f t="array" ref="BA97">ROUND((AV97+AX97)/E97,4)</f>
        <v>9.8325</v>
      </c>
      <c r="BB97" s="687">
        <v>321909</v>
      </c>
      <c r="BC97" s="695" cm="1">
        <f t="array" ref="BC97">ROUND(BB97/$E97,4)</f>
        <v>6.2738</v>
      </c>
      <c r="BD97" s="679" cm="1">
        <f t="array" ref="BD97">K96-K97</f>
        <v>164264</v>
      </c>
      <c r="BE97" s="679" cm="1">
        <f t="array" ref="BE97">AZ97-BD97</f>
        <v>340240</v>
      </c>
      <c r="BF97" s="679" cm="1">
        <f t="array" ref="BF97">-BE97</f>
        <v>-340240</v>
      </c>
      <c r="BG97" s="679" cm="1">
        <f t="array" ref="BG97">BB97+BE97</f>
        <v>662149</v>
      </c>
      <c r="BH97" s="679" cm="1">
        <f t="array" ref="BH97">AVERAGE(BG94:BG95,BG97)</f>
        <v>1269244.66666667</v>
      </c>
      <c r="BI97" s="699" cm="1">
        <f t="array" ref="BI97">BC95-BC97</f>
        <v>0.0251</v>
      </c>
      <c r="BJ97" s="596" cm="1">
        <f t="array" ref="BJ97">J96*0.0495/12-0.16</f>
        <v>7.26011435</v>
      </c>
      <c r="BK97" s="698" cm="1">
        <f t="array" ref="BK97">(AV97+AX97)/BB97</f>
        <v>1.56722552025572</v>
      </c>
      <c r="BL97" s="698" cm="1">
        <f t="array" ref="BL97">U97-AW97</f>
        <v>9.984985213405601</v>
      </c>
      <c r="BM97" s="698" cm="1">
        <f t="array" ref="BM97">(BN$2*(1+BN$2)^BM$2*J95)/((1+BN$2)^BM$2-1)</f>
        <v>9.65395260004262</v>
      </c>
      <c r="BN97" s="698"/>
      <c r="BO97" s="247" cm="1">
        <f t="array" ref="BO97">AV97+AX97+BO96</f>
        <v>90472246</v>
      </c>
      <c r="BP97" s="247" cm="1">
        <f t="array" ref="BP97">BB97+BP96</f>
        <v>33105846</v>
      </c>
      <c r="BQ97" s="596" cm="1">
        <f t="array" ref="BQ97">BA97+BQ96</f>
        <v>2194.6714</v>
      </c>
      <c r="BR97" s="596" cm="1">
        <f t="array" ref="BR97">BC97+BR96</f>
        <v>769.2566</v>
      </c>
      <c r="BS97" s="247" cm="1">
        <f t="array" ref="BS97">SUM(BE$6:BE97)</f>
        <v>35632395</v>
      </c>
      <c r="BT97" s="596"/>
      <c r="BU97" s="596"/>
      <c r="BV97" s="247" cm="1">
        <f t="array" ref="BV97">SUM(AZ$6:AZ97)</f>
        <v>90472246</v>
      </c>
      <c r="BW97" s="596"/>
      <c r="BX97" s="596"/>
    </row>
    <row r="98" ht="19.35" customHeight="1">
      <c r="A98" s="689">
        <v>94</v>
      </c>
      <c r="B98" s="703">
        <v>48193</v>
      </c>
      <c r="C98" s="704"/>
      <c r="D98" s="705" cm="1">
        <f t="array" ref="D98">W98</f>
        <v>17.2088723248682</v>
      </c>
      <c r="E98" s="836" cm="1">
        <f t="array" ref="E98">E97*(1+F98)</f>
        <v>51320.2383364549</v>
      </c>
      <c r="F98" s="837" cm="1">
        <f t="array" ref="F98">G98-SUM(F87:F97)</f>
        <v>0.0002</v>
      </c>
      <c r="G98" s="706" cm="1">
        <f t="array" ref="G98">'depto - Table 5'!$J$2</f>
        <v>0.03</v>
      </c>
      <c r="H98" s="706" cm="1">
        <f t="array" ref="H98">G98+4.95/100</f>
        <v>0.0795</v>
      </c>
      <c r="I98" s="247" cm="1">
        <f t="array" ref="I98">IF(J97=0,0,ROUND(D98*E98,0))</f>
        <v>883163</v>
      </c>
      <c r="J98" s="677" cm="1">
        <f t="array" ref="J98">IF(J97-BA98&lt;0,0,J97-BA98)</f>
        <v>1779.1597</v>
      </c>
      <c r="K98" s="679" cm="1">
        <f t="array" ref="K98">ROUND(J98*E98,0)</f>
        <v>91306900</v>
      </c>
      <c r="L98" s="679" cm="1">
        <f t="array" ref="L98">K98-K97</f>
        <v>-485781</v>
      </c>
      <c r="M98" s="681" cm="1">
        <f t="array" ref="M98">Q98-J98</f>
        <v>3620.8403</v>
      </c>
      <c r="N98" s="679" cm="1">
        <f t="array" ref="N98">ROUND(M98*E98,0)</f>
        <v>185822387</v>
      </c>
      <c r="O98" s="596" cm="1">
        <f t="array" ref="O98">$J$5-J98</f>
        <v>2170.8403</v>
      </c>
      <c r="P98" s="679" cm="1">
        <f t="array" ref="P98">N98-N97</f>
        <v>541195</v>
      </c>
      <c r="Q98" s="596">
        <v>5400</v>
      </c>
      <c r="R98" s="679" cm="1">
        <f t="array" ref="R98">Q98*E98</f>
        <v>277129287.016856</v>
      </c>
      <c r="S98" s="247" cm="1">
        <f t="array" ref="S98">-P98</f>
        <v>-541195</v>
      </c>
      <c r="T98" s="690"/>
      <c r="U98" s="716" cm="1">
        <f t="array" ref="U98">J97*4.95/12/100/(1-(1+4.95/12/100)^-(360-$A98+3))+AT98</f>
        <v>12.1343316682723</v>
      </c>
      <c r="V98" s="705" cm="1">
        <f t="array" ref="V98">IF(V$3*12&lt;=$A98,0,$J97*'depto - Departamento'!$D$8/12/(1-(1+'depto - Departamento'!$D$8/12)^-(12*V$3-$A98+3))+$AT99)</f>
        <v>13.9027179196652</v>
      </c>
      <c r="W98" s="597" cm="1">
        <f t="array" ref="W98">IF(W$3*12&lt;=$A98,0,$J97*'depto - Departamento'!$D$8/12/(1-(1+'depto - Departamento'!$D$8/12)^-(12*W$3-$A98+3))+$AT100)</f>
        <v>17.2088723248682</v>
      </c>
      <c r="X98" s="597" cm="1">
        <f t="array" ref="X98">IF(X$3*12&lt;=$A98,0,$J97*'depto - Departamento'!$D$8/12/(1-(1+'depto - Departamento'!$D$8/12)^-(12*X$3-$A98+3))+$AT100)</f>
        <v>25.1698425573684</v>
      </c>
      <c r="Y98" s="597" cm="1">
        <f t="array" ref="Y98">IF(Y$3*12&lt;=$A98,0,$J97*'depto - Departamento'!$D$8/12/(1-(1+'depto - Departamento'!$D$8/12)^-(12*Y$3-$A98+3))+$AT99)</f>
        <v>38.7607098546255</v>
      </c>
      <c r="Z98" s="597" cm="1">
        <f t="array" ref="Z98">IF(Z$3*12&lt;=$A98,0,$J97*'depto - Departamento'!$D$8/12/(1-(1+'depto - Departamento'!$D$8/12)^-(12*Z$3-$A98+3))+$AT99)</f>
        <v>66.6922926747543</v>
      </c>
      <c r="AA98" s="597" cm="1">
        <f t="array" ref="AA98">IF(AA$3*12&lt;=$A98,0,$J97*'depto - Departamento'!$D$8/12/(1-(1+'depto - Departamento'!$D$8/12)^-(12*AA$3-$A98+3))+$AT99)</f>
        <v>0</v>
      </c>
      <c r="AB98" s="705" cm="1">
        <f t="array" ref="AB98">AB97-(AB96-AB97)</f>
        <v>78.9117</v>
      </c>
      <c r="AC98" s="597"/>
      <c r="AD98" s="717" cm="1">
        <f t="array" ref="AD98">$E98*U98</f>
        <v>622736.793269327</v>
      </c>
      <c r="AE98" s="248" cm="1">
        <f t="array" ref="AE98">$E98*V98</f>
        <v>713490.797161721</v>
      </c>
      <c r="AF98" s="247" cm="1">
        <f t="array" ref="AF98">$E98*W98</f>
        <v>883163.429213859</v>
      </c>
      <c r="AG98" s="247" cm="1">
        <f t="array" ref="AG98">$E98*X98</f>
        <v>1291722.31893519</v>
      </c>
      <c r="AH98" s="247" cm="1">
        <f t="array" ref="AH98">$E98*Y98</f>
        <v>1989208.86782956</v>
      </c>
      <c r="AI98" s="247" cm="1">
        <f t="array" ref="AI98">$E98*Z98</f>
        <v>3422664.355273</v>
      </c>
      <c r="AJ98" s="247" cm="1">
        <f t="array" ref="AJ98">$E98*AA98</f>
        <v>0</v>
      </c>
      <c r="AK98" s="704" cm="1">
        <f t="array" ref="AK98">$E98*AB98</f>
        <v>4049767.25153483</v>
      </c>
      <c r="AL98" s="597"/>
      <c r="AM98" s="691" cm="1">
        <f t="array" ref="AM98">J96-J98</f>
        <v>19.6559</v>
      </c>
      <c r="AN98" s="691" cm="1">
        <f t="array" ref="AN98">D98-AM98</f>
        <v>-2.4470276751318</v>
      </c>
      <c r="AO98" s="597"/>
      <c r="AP98" s="684" cm="1">
        <f t="array" ref="AP98">ROUND(AQ98*E98,0)</f>
        <v>53075</v>
      </c>
      <c r="AQ98" s="692">
        <v>1.0342</v>
      </c>
      <c r="AR98" s="684" cm="1">
        <f t="array" ref="AR98">ROUND(E98*AS98,0)</f>
        <v>4039</v>
      </c>
      <c r="AS98" s="692" cm="1">
        <f t="array" ref="AS98">0.0787</f>
        <v>0.07870000000000001</v>
      </c>
      <c r="AT98" s="693" cm="1">
        <f t="array" ref="AT98">SUM(AQ98,AS98)</f>
        <v>1.1129</v>
      </c>
      <c r="AU98" s="684" cm="1">
        <f t="array" ref="AU98">ROUND(SUM(AQ98,AS98)*E98,0)</f>
        <v>57114</v>
      </c>
      <c r="AV98" s="685">
        <v>112242</v>
      </c>
      <c r="AW98" s="694" cm="1">
        <f t="array" ref="AW98">ROUND(AV98/$E98,4)</f>
        <v>2.1871</v>
      </c>
      <c r="AX98" s="685" cm="1">
        <f t="array" ref="AX98">I98-SUM(AU98,AV98,BB98)</f>
        <v>391898</v>
      </c>
      <c r="AY98" s="694" cm="1">
        <f t="array" ref="AY98">ROUND(AX98/$E98,4)</f>
        <v>7.6363</v>
      </c>
      <c r="AZ98" s="686" cm="1">
        <f t="array" ref="AZ98">AX98+AV98</f>
        <v>504140</v>
      </c>
      <c r="BA98" s="694" cm="1">
        <f t="array" ref="BA98">ROUND((AV98+AX98)/E98,4)</f>
        <v>9.823399999999999</v>
      </c>
      <c r="BB98" s="687">
        <v>321909</v>
      </c>
      <c r="BC98" s="695" cm="1">
        <f t="array" ref="BC98">ROUND(BB98/$E98,4)</f>
        <v>6.2726</v>
      </c>
      <c r="BD98" s="679" cm="1">
        <f t="array" ref="BD98">K97-K98</f>
        <v>485781</v>
      </c>
      <c r="BE98" s="679" cm="1">
        <f t="array" ref="BE98">AZ98-BD98</f>
        <v>18359</v>
      </c>
      <c r="BF98" s="679" cm="1">
        <f t="array" ref="BF98">-BE98</f>
        <v>-18359</v>
      </c>
      <c r="BG98" s="679" cm="1">
        <f t="array" ref="BG98">BB98+BE98</f>
        <v>340268</v>
      </c>
      <c r="BH98" s="679" cm="1">
        <f t="array" ref="BH98">AVERAGE(BG95:BG96,BG98)</f>
        <v>595318</v>
      </c>
      <c r="BI98" s="699" cm="1">
        <f t="array" ref="BI98">BC96-BC98</f>
        <v>0.0244</v>
      </c>
      <c r="BJ98" s="596" cm="1">
        <f t="array" ref="BJ98">J97*0.0495/12-0.16</f>
        <v>7.2195552875</v>
      </c>
      <c r="BK98" s="698" cm="1">
        <f t="array" ref="BK98">(AV98+AX98)/BB98</f>
        <v>1.56609476591211</v>
      </c>
      <c r="BL98" s="698" cm="1">
        <f t="array" ref="BL98">U98-AW98</f>
        <v>9.9472316682723</v>
      </c>
      <c r="BM98" s="698" cm="1">
        <f t="array" ref="BM98">(BN$2*(1+BN$2)^BM$2*J96)/((1+BN$2)^BM$2-1)</f>
        <v>9.601537987573961</v>
      </c>
      <c r="BN98" s="698"/>
      <c r="BO98" s="247" cm="1">
        <f t="array" ref="BO98">AV98+AX98+BO97</f>
        <v>90976386</v>
      </c>
      <c r="BP98" s="247" cm="1">
        <f t="array" ref="BP98">BB98+BP97</f>
        <v>33427755</v>
      </c>
      <c r="BQ98" s="596" cm="1">
        <f t="array" ref="BQ98">BA98+BQ97</f>
        <v>2204.4948</v>
      </c>
      <c r="BR98" s="596" cm="1">
        <f t="array" ref="BR98">BC98+BR97</f>
        <v>775.5291999999999</v>
      </c>
      <c r="BS98" s="247" cm="1">
        <f t="array" ref="BS98">SUM(BE$6:BE98)</f>
        <v>35650754</v>
      </c>
      <c r="BT98" s="596"/>
      <c r="BU98" s="596"/>
      <c r="BV98" s="247" cm="1">
        <f t="array" ref="BV98">SUM(AZ$6:AZ98)</f>
        <v>90976386</v>
      </c>
      <c r="BW98" s="596"/>
      <c r="BX98" s="596"/>
    </row>
    <row r="99" ht="19.35" customHeight="1">
      <c r="A99" s="689">
        <v>95</v>
      </c>
      <c r="B99" s="675">
        <v>48224</v>
      </c>
      <c r="C99" s="247"/>
      <c r="D99" s="597" cm="1">
        <f t="array" ref="D99">W99</f>
        <v>17.1988637304811</v>
      </c>
      <c r="E99" s="731" cm="1">
        <f t="array" ref="E99">E98*(1+F99)</f>
        <v>50334.889760395</v>
      </c>
      <c r="F99" s="835" cm="1">
        <f t="array" ref="F99">G99-SUM(F88:F98)</f>
        <v>-0.0192</v>
      </c>
      <c r="G99" s="676" cm="1">
        <f t="array" ref="G99">'depto - Table 5'!$J$2</f>
        <v>0.03</v>
      </c>
      <c r="H99" s="676" cm="1">
        <f t="array" ref="H99">G99+4.95/100</f>
        <v>0.0795</v>
      </c>
      <c r="I99" s="247" cm="1">
        <f t="array" ref="I99">IF(J98=0,0,ROUND(D99*E99,0))</f>
        <v>865703</v>
      </c>
      <c r="J99" s="677" cm="1">
        <f t="array" ref="J99">IF(J98-BA99&lt;0,0,J98-BA99)</f>
        <v>1769.4691</v>
      </c>
      <c r="K99" s="679" cm="1">
        <f t="array" ref="K99">ROUND(J99*E99,0)</f>
        <v>89066032</v>
      </c>
      <c r="L99" s="679" cm="1">
        <f t="array" ref="L99">K99-K98</f>
        <v>-2240868</v>
      </c>
      <c r="M99" s="681" cm="1">
        <f t="array" ref="M99">Q99-J99</f>
        <v>3630.5309</v>
      </c>
      <c r="N99" s="679" cm="1">
        <f t="array" ref="N99">ROUND(M99*E99,0)</f>
        <v>182742373</v>
      </c>
      <c r="O99" s="596" cm="1">
        <f t="array" ref="O99">$J$5-J99</f>
        <v>2180.5309</v>
      </c>
      <c r="P99" s="679" cm="1">
        <f t="array" ref="P99">N99-N98</f>
        <v>-3080014</v>
      </c>
      <c r="Q99" s="596">
        <v>5400</v>
      </c>
      <c r="R99" s="679" cm="1">
        <f t="array" ref="R99">Q99*E99</f>
        <v>271808404.706133</v>
      </c>
      <c r="S99" s="247" cm="1">
        <f t="array" ref="S99">-P99</f>
        <v>3080014</v>
      </c>
      <c r="T99" s="690"/>
      <c r="U99" s="682" cm="1">
        <f t="array" ref="U99">J98*4.95/12/100/(1-(1+4.95/12/100)^-(360-$A99+3))+AT99</f>
        <v>12.096171321514</v>
      </c>
      <c r="V99" s="597" cm="1">
        <f t="array" ref="V99">IF(V$3*12&lt;=$A99,0,$J98*'depto - Departamento'!$D$8/12/(1-(1+'depto - Departamento'!$D$8/12)^-(12*V$3-$A99+3))+$AT100)</f>
        <v>13.8710717641472</v>
      </c>
      <c r="W99" s="597" cm="1">
        <f t="array" ref="W99">IF(W$3*12&lt;=$A99,0,$J98*'depto - Departamento'!$D$8/12/(1-(1+'depto - Departamento'!$D$8/12)^-(12*W$3-$A99+3))+$AT101)</f>
        <v>17.1988637304811</v>
      </c>
      <c r="X99" s="597" cm="1">
        <f t="array" ref="X99">IF(X$3*12&lt;=$A99,0,$J98*'depto - Departamento'!$D$8/12/(1-(1+'depto - Departamento'!$D$8/12)^-(12*X$3-$A99+3))+$AT101)</f>
        <v>25.2628772843096</v>
      </c>
      <c r="Y99" s="597" cm="1">
        <f t="array" ref="Y99">IF(Y$3*12&lt;=$A99,0,$J98*'depto - Departamento'!$D$8/12/(1-(1+'depto - Departamento'!$D$8/12)^-(12*Y$3-$A99+3))+$AT100)</f>
        <v>39.1983612449276</v>
      </c>
      <c r="Z99" s="597" cm="1">
        <f t="array" ref="Z99">IF(Z$3*12&lt;=$A99,0,$J98*'depto - Departamento'!$D$8/12/(1-(1+'depto - Departamento'!$D$8/12)^-(12*Z$3-$A99+3))+$AT100)</f>
        <v>68.52527630254551</v>
      </c>
      <c r="AA99" s="597" cm="1">
        <f t="array" ref="AA99">IF(AA$3*12&lt;=$A99,0,$J98*'depto - Departamento'!$D$8/12/(1-(1+'depto - Departamento'!$D$8/12)^-(12*AA$3-$A99+3))+$AT100)</f>
        <v>0</v>
      </c>
      <c r="AB99" s="597" cm="1">
        <f t="array" ref="AB99">AB98-(AB97-AB98)</f>
        <v>78.8993</v>
      </c>
      <c r="AC99" s="597"/>
      <c r="AD99" s="696" cm="1">
        <f t="array" ref="AD99">$E99*U99</f>
        <v>608859.449991259</v>
      </c>
      <c r="AE99" s="247" cm="1">
        <f t="array" ref="AE99">$E99*V99</f>
        <v>698198.868106877</v>
      </c>
      <c r="AF99" s="247" cm="1">
        <f t="array" ref="AF99">$E99*W99</f>
        <v>865702.909877822</v>
      </c>
      <c r="AG99" s="247" cm="1">
        <f t="array" ref="AG99">$E99*X99</f>
        <v>1271604.14313611</v>
      </c>
      <c r="AH99" s="247" cm="1">
        <f t="array" ref="AH99">$E99*Y99</f>
        <v>1973045.19205157</v>
      </c>
      <c r="AI99" s="247" cm="1">
        <f t="array" ref="AI99">$E99*Z99</f>
        <v>3449212.22848924</v>
      </c>
      <c r="AJ99" s="247" cm="1">
        <f t="array" ref="AJ99">$E99*AA99</f>
        <v>0</v>
      </c>
      <c r="AK99" s="247" cm="1">
        <f t="array" ref="AK99">$E99*AB99</f>
        <v>3971387.56767233</v>
      </c>
      <c r="AL99" s="597"/>
      <c r="AM99" s="691" cm="1">
        <f t="array" ref="AM99">J97-J99</f>
        <v>19.514</v>
      </c>
      <c r="AN99" s="691" cm="1">
        <f t="array" ref="AN99">D99-AM99</f>
        <v>-2.3151362695189</v>
      </c>
      <c r="AO99" s="597"/>
      <c r="AP99" s="684" cm="1">
        <f t="array" ref="AP99">ROUND(AQ99*E99,0)</f>
        <v>52056</v>
      </c>
      <c r="AQ99" s="692">
        <v>1.0342</v>
      </c>
      <c r="AR99" s="684" cm="1">
        <f t="array" ref="AR99">ROUND(E99*AS99,0)</f>
        <v>3961</v>
      </c>
      <c r="AS99" s="692" cm="1">
        <f t="array" ref="AS99">0.0787</f>
        <v>0.07870000000000001</v>
      </c>
      <c r="AT99" s="693" cm="1">
        <f t="array" ref="AT99">SUM(AQ99,AS99)</f>
        <v>1.1129</v>
      </c>
      <c r="AU99" s="684" cm="1">
        <f t="array" ref="AU99">ROUND(SUM(AQ99,AS99)*E99,0)</f>
        <v>56018</v>
      </c>
      <c r="AV99" s="685">
        <v>112242</v>
      </c>
      <c r="AW99" s="694" cm="1">
        <f t="array" ref="AW99">ROUND(AV99/$E99,4)</f>
        <v>2.2299</v>
      </c>
      <c r="AX99" s="685" cm="1">
        <f t="array" ref="AX99">I99-SUM(AU99,AV99,BB99)</f>
        <v>375534</v>
      </c>
      <c r="AY99" s="694" cm="1">
        <f t="array" ref="AY99">ROUND(AX99/$E99,4)</f>
        <v>7.4607</v>
      </c>
      <c r="AZ99" s="686" cm="1">
        <f t="array" ref="AZ99">AX99+AV99</f>
        <v>487776</v>
      </c>
      <c r="BA99" s="694" cm="1">
        <f t="array" ref="BA99">ROUND((AV99+AX99)/E99,4)</f>
        <v>9.6906</v>
      </c>
      <c r="BB99" s="687">
        <v>321909</v>
      </c>
      <c r="BC99" s="695" cm="1">
        <f t="array" ref="BC99">ROUND(BB99/$E99,4)</f>
        <v>6.3953</v>
      </c>
      <c r="BD99" s="679" cm="1">
        <f t="array" ref="BD99">K98-K99</f>
        <v>2240868</v>
      </c>
      <c r="BE99" s="679" cm="1">
        <f t="array" ref="BE99">AZ99-BD99</f>
        <v>-1753092</v>
      </c>
      <c r="BF99" s="679" cm="1">
        <f t="array" ref="BF99">-BE99</f>
        <v>1753092</v>
      </c>
      <c r="BG99" s="679" cm="1">
        <f t="array" ref="BG99">BB99+BE99</f>
        <v>-1431183</v>
      </c>
      <c r="BH99" s="679" cm="1">
        <f t="array" ref="BH99">AVERAGE(BG96:BG97,BG99)</f>
        <v>-139798.666666667</v>
      </c>
      <c r="BI99" s="699" cm="1">
        <f t="array" ref="BI99">BC97-BC99</f>
        <v>-0.1215</v>
      </c>
      <c r="BJ99" s="596" cm="1">
        <f t="array" ref="BJ99">J98*0.0495/12-0.16</f>
        <v>7.1790337625</v>
      </c>
      <c r="BK99" s="698" cm="1">
        <f t="array" ref="BK99">(AV99+AX99)/BB99</f>
        <v>1.51526052393689</v>
      </c>
      <c r="BL99" s="698" cm="1">
        <f t="array" ref="BL99">U99-AW99</f>
        <v>9.866271321514001</v>
      </c>
      <c r="BM99" s="698" cm="1">
        <f t="array" ref="BM99">(BN$2*(1+BN$2)^BM$2*J97)/((1+BN$2)^BM$2-1)</f>
        <v>9.54905505254559</v>
      </c>
      <c r="BN99" s="698"/>
      <c r="BO99" s="247" cm="1">
        <f t="array" ref="BO99">AV99+AX99+BO98</f>
        <v>91464162</v>
      </c>
      <c r="BP99" s="247" cm="1">
        <f t="array" ref="BP99">BB99+BP98</f>
        <v>33749664</v>
      </c>
      <c r="BQ99" s="596" cm="1">
        <f t="array" ref="BQ99">BA99+BQ98</f>
        <v>2214.1854</v>
      </c>
      <c r="BR99" s="596" cm="1">
        <f t="array" ref="BR99">BC99+BR98</f>
        <v>781.9245</v>
      </c>
      <c r="BS99" s="247" cm="1">
        <f t="array" ref="BS99">SUM(BE$6:BE99)</f>
        <v>33897662</v>
      </c>
      <c r="BT99" s="596"/>
      <c r="BU99" s="596"/>
      <c r="BV99" s="247" cm="1">
        <f t="array" ref="BV99">SUM(AZ$6:AZ99)</f>
        <v>91464162</v>
      </c>
      <c r="BW99" s="596"/>
      <c r="BX99" s="596"/>
    </row>
    <row r="100" ht="19.35" customHeight="1">
      <c r="A100" s="689">
        <v>96</v>
      </c>
      <c r="B100" s="675">
        <v>48255</v>
      </c>
      <c r="C100" s="247"/>
      <c r="D100" s="597" cm="1">
        <f t="array" ref="D100">W100</f>
        <v>17.1902895481404</v>
      </c>
      <c r="E100" s="731" cm="1">
        <f t="array" ref="E100">E99*(1+F100)</f>
        <v>50349.9902273231</v>
      </c>
      <c r="F100" s="835" cm="1">
        <f t="array" ref="F100">G100-SUM(F89:F99)</f>
        <v>0.0003</v>
      </c>
      <c r="G100" s="676" cm="1">
        <f t="array" ref="G100">'depto - Table 5'!$J$2</f>
        <v>0.03</v>
      </c>
      <c r="H100" s="676" cm="1">
        <f t="array" ref="H100">G100+4.95/100</f>
        <v>0.0795</v>
      </c>
      <c r="I100" s="247" cm="1">
        <f t="array" ref="I100">IF(J99=0,0,ROUND(D100*E100,0))</f>
        <v>865531</v>
      </c>
      <c r="J100" s="677" cm="1">
        <f t="array" ref="J100">IF(J99-BA100&lt;0,0,J99-BA100)</f>
        <v>1759.7851</v>
      </c>
      <c r="K100" s="679" cm="1">
        <f t="array" ref="K100">ROUND(J100*E100,0)</f>
        <v>88605163</v>
      </c>
      <c r="L100" s="679" cm="1">
        <f t="array" ref="L100">K100-K99</f>
        <v>-460869</v>
      </c>
      <c r="M100" s="681" cm="1">
        <f t="array" ref="M100">Q100-J100</f>
        <v>3640.2149</v>
      </c>
      <c r="N100" s="679" cm="1">
        <f t="array" ref="N100">ROUND(M100*E100,0)</f>
        <v>183284785</v>
      </c>
      <c r="O100" s="596" cm="1">
        <f t="array" ref="O100">$J$5-J100</f>
        <v>2190.2149</v>
      </c>
      <c r="P100" s="679" cm="1">
        <f t="array" ref="P100">N100-N99</f>
        <v>542412</v>
      </c>
      <c r="Q100" s="596">
        <v>5400</v>
      </c>
      <c r="R100" s="679" cm="1">
        <f t="array" ref="R100">Q100*E100</f>
        <v>271889947.227545</v>
      </c>
      <c r="S100" s="247" cm="1">
        <f t="array" ref="S100">-P100</f>
        <v>-542412</v>
      </c>
      <c r="T100" s="690"/>
      <c r="U100" s="682" cm="1">
        <f t="array" ref="U100">J99*4.95/12/100/(1-(1+4.95/12/100)^-(360-$A100+3))+AT100</f>
        <v>12.0587687527376</v>
      </c>
      <c r="V100" s="597" cm="1">
        <f t="array" ref="V100">IF(V$3*12&lt;=$A100,0,$J99*'depto - Departamento'!$D$8/12/(1-(1+'depto - Departamento'!$D$8/12)^-(12*V$3-$A100+3))+$AT101)</f>
        <v>13.8403479666389</v>
      </c>
      <c r="W100" s="597" cm="1">
        <f t="array" ref="W100">IF(W$3*12&lt;=$A100,0,$J99*'depto - Departamento'!$D$8/12/(1-(1+'depto - Departamento'!$D$8/12)^-(12*W$3-$A100+3))+$AT102)</f>
        <v>17.1902895481404</v>
      </c>
      <c r="X100" s="597" cm="1">
        <f t="array" ref="X100">IF(X$3*12&lt;=$A100,0,$J99*'depto - Departamento'!$D$8/12/(1-(1+'depto - Departamento'!$D$8/12)^-(12*X$3-$A100+3))+$AT102)</f>
        <v>25.3604494213092</v>
      </c>
      <c r="Y100" s="597" cm="1">
        <f t="array" ref="Y100">IF(Y$3*12&lt;=$A100,0,$J99*'depto - Departamento'!$D$8/12/(1-(1+'depto - Departamento'!$D$8/12)^-(12*Y$3-$A100+3))+$AT101)</f>
        <v>39.6570176244957</v>
      </c>
      <c r="Z100" s="597" cm="1">
        <f t="array" ref="Z100">IF(Z$3*12&lt;=$A100,0,$J99*'depto - Departamento'!$D$8/12/(1-(1+'depto - Departamento'!$D$8/12)^-(12*Z$3-$A100+3))+$AT101)</f>
        <v>70.5009887992011</v>
      </c>
      <c r="AA100" s="597" cm="1">
        <f t="array" ref="AA100">IF(AA$3*12&lt;=$A100,0,$J99*'depto - Departamento'!$D$8/12/(1-(1+'depto - Departamento'!$D$8/12)^-(12*AA$3-$A100+3))+$AT101)</f>
        <v>0</v>
      </c>
      <c r="AB100" s="597" cm="1">
        <f t="array" ref="AB100">AB99-(AB98-AB99)</f>
        <v>78.8869</v>
      </c>
      <c r="AC100" s="597"/>
      <c r="AD100" s="696" cm="1">
        <f t="array" ref="AD100">$E100*U100</f>
        <v>607158.888853887</v>
      </c>
      <c r="AE100" s="247" cm="1">
        <f t="array" ref="AE100">$E100*V100</f>
        <v>696861.38486302</v>
      </c>
      <c r="AF100" s="247" cm="1">
        <f t="array" ref="AF100">$E100*W100</f>
        <v>865530.910753724</v>
      </c>
      <c r="AG100" s="247" cm="1">
        <f t="array" ref="AG100">$E100*X100</f>
        <v>1276898.38052344</v>
      </c>
      <c r="AH100" s="247" cm="1">
        <f t="array" ref="AH100">$E100*Y100</f>
        <v>1996730.44983814</v>
      </c>
      <c r="AI100" s="247" cm="1">
        <f t="array" ref="AI100">$E100*Z100</f>
        <v>3549724.09705639</v>
      </c>
      <c r="AJ100" s="247" cm="1">
        <f t="array" ref="AJ100">$E100*AA100</f>
        <v>0</v>
      </c>
      <c r="AK100" s="247" cm="1">
        <f t="array" ref="AK100">$E100*AB100</f>
        <v>3971954.64406381</v>
      </c>
      <c r="AL100" s="597"/>
      <c r="AM100" s="691" cm="1">
        <f t="array" ref="AM100">J98-J100</f>
        <v>19.3746</v>
      </c>
      <c r="AN100" s="691" cm="1">
        <f t="array" ref="AN100">D100-AM100</f>
        <v>-2.1843104518596</v>
      </c>
      <c r="AO100" s="597"/>
      <c r="AP100" s="684" cm="1">
        <f t="array" ref="AP100">ROUND(AQ100*E100,0)</f>
        <v>52072</v>
      </c>
      <c r="AQ100" s="692">
        <v>1.0342</v>
      </c>
      <c r="AR100" s="684" cm="1">
        <f t="array" ref="AR100">ROUND(E100*AS100,0)</f>
        <v>3963</v>
      </c>
      <c r="AS100" s="692" cm="1">
        <f t="array" ref="AS100">0.0787</f>
        <v>0.07870000000000001</v>
      </c>
      <c r="AT100" s="693" cm="1">
        <f t="array" ref="AT100">SUM(AQ100,AS100)</f>
        <v>1.1129</v>
      </c>
      <c r="AU100" s="684" cm="1">
        <f t="array" ref="AU100">ROUND(SUM(AQ100,AS100)*E100,0)</f>
        <v>56035</v>
      </c>
      <c r="AV100" s="685">
        <v>112242</v>
      </c>
      <c r="AW100" s="694" cm="1">
        <f t="array" ref="AW100">ROUND(AV100/$E100,4)</f>
        <v>2.2292</v>
      </c>
      <c r="AX100" s="685" cm="1">
        <f t="array" ref="AX100">I100-SUM(AU100,AV100,BB100)</f>
        <v>375345</v>
      </c>
      <c r="AY100" s="694" cm="1">
        <f t="array" ref="AY100">ROUND(AX100/$E100,4)</f>
        <v>7.4547</v>
      </c>
      <c r="AZ100" s="686" cm="1">
        <f t="array" ref="AZ100">AX100+AV100</f>
        <v>487587</v>
      </c>
      <c r="BA100" s="694" cm="1">
        <f t="array" ref="BA100">ROUND((AV100+AX100)/E100,4)</f>
        <v>9.683999999999999</v>
      </c>
      <c r="BB100" s="687">
        <v>321909</v>
      </c>
      <c r="BC100" s="695" cm="1">
        <f t="array" ref="BC100">ROUND(BB100/$E100,4)</f>
        <v>6.3934</v>
      </c>
      <c r="BD100" s="679" cm="1">
        <f t="array" ref="BD100">K99-K100</f>
        <v>460869</v>
      </c>
      <c r="BE100" s="679" cm="1">
        <f t="array" ref="BE100">AZ100-BD100</f>
        <v>26718</v>
      </c>
      <c r="BF100" s="679" cm="1">
        <f t="array" ref="BF100">-BE100</f>
        <v>-26718</v>
      </c>
      <c r="BG100" s="679" cm="1">
        <f t="array" ref="BG100">BB100+BE100</f>
        <v>348627</v>
      </c>
      <c r="BH100" s="679" cm="1">
        <f t="array" ref="BH100">AVERAGE(BG97:BG98,BG100)</f>
        <v>450348</v>
      </c>
      <c r="BI100" s="699" cm="1">
        <f t="array" ref="BI100">BC98-BC100</f>
        <v>-0.1208</v>
      </c>
      <c r="BJ100" s="596" cm="1">
        <f t="array" ref="BJ100">J99*0.0495/12-0.16</f>
        <v>7.1390600375</v>
      </c>
      <c r="BK100" s="698" cm="1">
        <f t="array" ref="BK100">(AV100+AX100)/BB100</f>
        <v>1.51467340148924</v>
      </c>
      <c r="BL100" s="698" cm="1">
        <f t="array" ref="BL100">U100-AW100</f>
        <v>9.8295687527376</v>
      </c>
      <c r="BM100" s="698" cm="1">
        <f t="array" ref="BM100">(BN$2*(1+BN$2)^BM$2*J98)/((1+BN$2)^BM$2-1)</f>
        <v>9.49662069058701</v>
      </c>
      <c r="BN100" s="698"/>
      <c r="BO100" s="247" cm="1">
        <f t="array" ref="BO100">AV100+AX100+BO99</f>
        <v>91951749</v>
      </c>
      <c r="BP100" s="247" cm="1">
        <f t="array" ref="BP100">BB100+BP99</f>
        <v>34071573</v>
      </c>
      <c r="BQ100" s="596" cm="1">
        <f t="array" ref="BQ100">BA100+BQ99</f>
        <v>2223.8694</v>
      </c>
      <c r="BR100" s="596" cm="1">
        <f t="array" ref="BR100">BC100+BR99</f>
        <v>788.3179</v>
      </c>
      <c r="BS100" s="247" cm="1">
        <f t="array" ref="BS100">SUM(BE$6:BE100)</f>
        <v>33924380</v>
      </c>
      <c r="BT100" s="596"/>
      <c r="BU100" s="596"/>
      <c r="BV100" s="247" cm="1">
        <f t="array" ref="BV100">SUM(AZ$6:AZ100)</f>
        <v>91951749</v>
      </c>
      <c r="BW100" s="596"/>
      <c r="BX100" s="596"/>
    </row>
    <row r="101" ht="19.35" customHeight="1">
      <c r="A101" s="689">
        <v>97</v>
      </c>
      <c r="B101" s="675">
        <v>48284</v>
      </c>
      <c r="C101" s="247"/>
      <c r="D101" s="597" cm="1">
        <f t="array" ref="D101">W101</f>
        <v>17.1820196023306</v>
      </c>
      <c r="E101" s="731" cm="1">
        <f t="array" ref="E101">E100*(1+F101)</f>
        <v>50536.2851911642</v>
      </c>
      <c r="F101" s="835" cm="1">
        <f t="array" ref="F101">G101-SUM(F90:F100)</f>
        <v>0.0037</v>
      </c>
      <c r="G101" s="676" cm="1">
        <f t="array" ref="G101">'depto - Table 5'!$J$2</f>
        <v>0.03</v>
      </c>
      <c r="H101" s="676" cm="1">
        <f t="array" ref="H101">G101+4.95/100</f>
        <v>0.0795</v>
      </c>
      <c r="I101" s="247" cm="1">
        <f t="array" ref="I101">IF(J100=0,0,ROUND(D101*E101,0))</f>
        <v>868315</v>
      </c>
      <c r="J101" s="677" cm="1">
        <f t="array" ref="J101">IF(J100-BA101&lt;0,0,J100-BA101)</f>
        <v>1750.0859</v>
      </c>
      <c r="K101" s="679" cm="1">
        <f t="array" ref="K101">ROUND(J101*E101,0)</f>
        <v>88442840</v>
      </c>
      <c r="L101" s="679" cm="1">
        <f t="array" ref="L101">K101-K100</f>
        <v>-162323</v>
      </c>
      <c r="M101" s="681" cm="1">
        <f t="array" ref="M101">Q101-J101</f>
        <v>3649.9141</v>
      </c>
      <c r="N101" s="679" cm="1">
        <f t="array" ref="N101">ROUND(M101*E101,0)</f>
        <v>184453100</v>
      </c>
      <c r="O101" s="596" cm="1">
        <f t="array" ref="O101">$J$5-J101</f>
        <v>2199.9141</v>
      </c>
      <c r="P101" s="679" cm="1">
        <f t="array" ref="P101">N101-N100</f>
        <v>1168315</v>
      </c>
      <c r="Q101" s="596">
        <v>5400</v>
      </c>
      <c r="R101" s="679" cm="1">
        <f t="array" ref="R101">Q101*E101</f>
        <v>272895940.032287</v>
      </c>
      <c r="S101" s="247" cm="1">
        <f t="array" ref="S101">-P101</f>
        <v>-1168315</v>
      </c>
      <c r="T101" s="690"/>
      <c r="U101" s="682" cm="1">
        <f t="array" ref="U101">J100*4.95/12/100/(1-(1+4.95/12/100)^-(360-$A101+3))+AT101</f>
        <v>12.0213457890768</v>
      </c>
      <c r="V101" s="597" cm="1">
        <f t="array" ref="V101">IF(V$3*12&lt;=$A101,0,$J100*'depto - Departamento'!$D$8/12/(1-(1+'depto - Departamento'!$D$8/12)^-(12*V$3-$A101+3))+$AT102)</f>
        <v>13.8096439807119</v>
      </c>
      <c r="W101" s="597" cm="1">
        <f t="array" ref="W101">IF(W$3*12&lt;=$A101,0,$J100*'depto - Departamento'!$D$8/12/(1-(1+'depto - Departamento'!$D$8/12)^-(12*W$3-$A101+3))+$AT103)</f>
        <v>17.1820196023306</v>
      </c>
      <c r="X101" s="597" cm="1">
        <f t="array" ref="X101">IF(X$3*12&lt;=$A101,0,$J100*'depto - Departamento'!$D$8/12/(1-(1+'depto - Departamento'!$D$8/12)^-(12*X$3-$A101+3))+$AT103)</f>
        <v>25.4609595461474</v>
      </c>
      <c r="Y101" s="597" cm="1">
        <f t="array" ref="Y101">IF(Y$3*12&lt;=$A101,0,$J100*'depto - Departamento'!$D$8/12/(1-(1+'depto - Departamento'!$D$8/12)^-(12*Y$3-$A101+3))+$AT102)</f>
        <v>40.1351216660139</v>
      </c>
      <c r="Z101" s="597" cm="1">
        <f t="array" ref="Z101">IF(Z$3*12&lt;=$A101,0,$J100*'depto - Departamento'!$D$8/12/(1-(1+'depto - Departamento'!$D$8/12)^-(12*Z$3-$A101+3))+$AT102)</f>
        <v>72.63073416199209</v>
      </c>
      <c r="AA101" s="597" cm="1">
        <f t="array" ref="AA101">IF(AA$3*12&lt;=$A101,0,$J100*'depto - Departamento'!$D$8/12/(1-(1+'depto - Departamento'!$D$8/12)^-(12*AA$3-$A101+3))+$AT102)</f>
        <v>0</v>
      </c>
      <c r="AB101" s="597" cm="1">
        <f t="array" ref="AB101">AB100-(AB99-AB100)</f>
        <v>78.8745</v>
      </c>
      <c r="AC101" s="597"/>
      <c r="AD101" s="696" cm="1">
        <f t="array" ref="AD101">$E101*U101</f>
        <v>607514.159178386</v>
      </c>
      <c r="AE101" s="247" cm="1">
        <f t="array" ref="AE101">$E101*V101</f>
        <v>697888.106597701</v>
      </c>
      <c r="AF101" s="247" cm="1">
        <f t="array" ref="AF101">$E101*W101</f>
        <v>868315.442783553</v>
      </c>
      <c r="AG101" s="247" cm="1">
        <f t="array" ref="AG101">$E101*X101</f>
        <v>1286702.3128648</v>
      </c>
      <c r="AH101" s="247" cm="1">
        <f t="array" ref="AH101">$E101*Y101</f>
        <v>2028279.95469575</v>
      </c>
      <c r="AI101" s="247" cm="1">
        <f t="array" ref="AI101">$E101*Z101</f>
        <v>3670487.49525407</v>
      </c>
      <c r="AJ101" s="247" cm="1">
        <f t="array" ref="AJ101">$E101*AA101</f>
        <v>0</v>
      </c>
      <c r="AK101" s="247" cm="1">
        <f t="array" ref="AK101">$E101*AB101</f>
        <v>3986024.22631048</v>
      </c>
      <c r="AL101" s="597"/>
      <c r="AM101" s="691" cm="1">
        <f t="array" ref="AM101">J99-J101</f>
        <v>19.3832</v>
      </c>
      <c r="AN101" s="691" cm="1">
        <f t="array" ref="AN101">D101-AM101</f>
        <v>-2.2011803976694</v>
      </c>
      <c r="AO101" s="597"/>
      <c r="AP101" s="684" cm="1">
        <f t="array" ref="AP101">ROUND(AQ101*E101,0)</f>
        <v>52265</v>
      </c>
      <c r="AQ101" s="692">
        <v>1.0342</v>
      </c>
      <c r="AR101" s="684" cm="1">
        <f t="array" ref="AR101">ROUND(E101*AS101,0)</f>
        <v>3977</v>
      </c>
      <c r="AS101" s="692" cm="1">
        <f t="array" ref="AS101">0.0787</f>
        <v>0.07870000000000001</v>
      </c>
      <c r="AT101" s="693" cm="1">
        <f t="array" ref="AT101">SUM(AQ101,AS101)</f>
        <v>1.1129</v>
      </c>
      <c r="AU101" s="684" cm="1">
        <f t="array" ref="AU101">ROUND(SUM(AQ101,AS101)*E101,0)</f>
        <v>56242</v>
      </c>
      <c r="AV101" s="685">
        <v>112242</v>
      </c>
      <c r="AW101" s="694" cm="1">
        <f t="array" ref="AW101">ROUND(AV101/$E101,4)</f>
        <v>2.221</v>
      </c>
      <c r="AX101" s="685" cm="1">
        <f t="array" ref="AX101">I101-SUM(AU101,AV101,BB101)</f>
        <v>377922</v>
      </c>
      <c r="AY101" s="694" cm="1">
        <f t="array" ref="AY101">ROUND(AX101/$E101,4)</f>
        <v>7.4782</v>
      </c>
      <c r="AZ101" s="686" cm="1">
        <f t="array" ref="AZ101">AX101+AV101</f>
        <v>490164</v>
      </c>
      <c r="BA101" s="694" cm="1">
        <f t="array" ref="BA101">ROUND((AV101+AX101)/E101,4)</f>
        <v>9.699199999999999</v>
      </c>
      <c r="BB101" s="687">
        <v>321909</v>
      </c>
      <c r="BC101" s="695" cm="1">
        <f t="array" ref="BC101">ROUND(BB101/$E101,4)</f>
        <v>6.3699</v>
      </c>
      <c r="BD101" s="679" cm="1">
        <f t="array" ref="BD101">K100-K101</f>
        <v>162323</v>
      </c>
      <c r="BE101" s="679" cm="1">
        <f t="array" ref="BE101">AZ101-BD101</f>
        <v>327841</v>
      </c>
      <c r="BF101" s="679" cm="1">
        <f t="array" ref="BF101">-BE101</f>
        <v>-327841</v>
      </c>
      <c r="BG101" s="679" cm="1">
        <f t="array" ref="BG101">BB101+BE101</f>
        <v>649750</v>
      </c>
      <c r="BH101" s="679" cm="1">
        <f t="array" ref="BH101">AVERAGE(BG98:BG99,BG101)</f>
        <v>-147055</v>
      </c>
      <c r="BI101" s="699" cm="1">
        <f t="array" ref="BI101">BC99-BC101</f>
        <v>0.0254</v>
      </c>
      <c r="BJ101" s="596" cm="1">
        <f t="array" ref="BJ101">J100*0.0495/12-0.16</f>
        <v>7.0991135375</v>
      </c>
      <c r="BK101" s="698" cm="1">
        <f t="array" ref="BK101">(AV101+AX101)/BB101</f>
        <v>1.5226787694659</v>
      </c>
      <c r="BL101" s="698" cm="1">
        <f t="array" ref="BL101">U101-AW101</f>
        <v>9.8003457890768</v>
      </c>
      <c r="BM101" s="698" cm="1">
        <f t="array" ref="BM101">(BN$2*(1+BN$2)^BM$2*J99)/((1+BN$2)^BM$2-1)</f>
        <v>9.44489517518544</v>
      </c>
      <c r="BN101" s="698"/>
      <c r="BO101" s="247" cm="1">
        <f t="array" ref="BO101">AV101+AX101+BO100</f>
        <v>92441913</v>
      </c>
      <c r="BP101" s="247" cm="1">
        <f t="array" ref="BP101">BB101+BP100</f>
        <v>34393482</v>
      </c>
      <c r="BQ101" s="596" cm="1">
        <f t="array" ref="BQ101">BA101+BQ100</f>
        <v>2233.5686</v>
      </c>
      <c r="BR101" s="596" cm="1">
        <f t="array" ref="BR101">BC101+BR100</f>
        <v>794.6878</v>
      </c>
      <c r="BS101" s="247" cm="1">
        <f t="array" ref="BS101">SUM(BE$6:BE101)</f>
        <v>34252221</v>
      </c>
      <c r="BT101" s="596"/>
      <c r="BU101" s="596"/>
      <c r="BV101" s="247" cm="1">
        <f t="array" ref="BV101">SUM(AZ$6:AZ101)</f>
        <v>92441913</v>
      </c>
      <c r="BW101" s="596"/>
      <c r="BX101" s="596"/>
    </row>
    <row r="102" ht="19.35" customHeight="1">
      <c r="A102" s="689">
        <v>98</v>
      </c>
      <c r="B102" s="675">
        <v>48315</v>
      </c>
      <c r="C102" s="247"/>
      <c r="D102" s="597" cm="1">
        <f t="array" ref="D102">W102</f>
        <v>17.1738592557081</v>
      </c>
      <c r="E102" s="731" cm="1">
        <f t="array" ref="E102">E101*(1+F102)</f>
        <v>50541.3388196833</v>
      </c>
      <c r="F102" s="835" cm="1">
        <f t="array" ref="F102">G102-SUM(F91:F101)</f>
        <v>0.0001</v>
      </c>
      <c r="G102" s="676" cm="1">
        <f t="array" ref="G102">'depto - Table 5'!$J$2</f>
        <v>0.03</v>
      </c>
      <c r="H102" s="676" cm="1">
        <f t="array" ref="H102">G102+4.95/100</f>
        <v>0.0795</v>
      </c>
      <c r="I102" s="247" cm="1">
        <f t="array" ref="I102">IF(J101=0,0,ROUND(D102*E102,0))</f>
        <v>867990</v>
      </c>
      <c r="J102" s="677" cm="1">
        <f t="array" ref="J102">IF(J101-BA102&lt;0,0,J101-BA102)</f>
        <v>1740.3942</v>
      </c>
      <c r="K102" s="679" cm="1">
        <f t="array" ref="K102">ROUND(J102*E102,0)</f>
        <v>87961853</v>
      </c>
      <c r="L102" s="679" cm="1">
        <f t="array" ref="L102">K102-K101</f>
        <v>-480987</v>
      </c>
      <c r="M102" s="681" cm="1">
        <f t="array" ref="M102">Q102-J102</f>
        <v>3659.6058</v>
      </c>
      <c r="N102" s="679" cm="1">
        <f t="array" ref="N102">ROUND(M102*E102,0)</f>
        <v>184961377</v>
      </c>
      <c r="O102" s="596" cm="1">
        <f t="array" ref="O102">$J$5-J102</f>
        <v>2209.6058</v>
      </c>
      <c r="P102" s="679" cm="1">
        <f t="array" ref="P102">N102-N101</f>
        <v>508277</v>
      </c>
      <c r="Q102" s="596">
        <v>5400</v>
      </c>
      <c r="R102" s="679" cm="1">
        <f t="array" ref="R102">Q102*E102</f>
        <v>272923229.62629</v>
      </c>
      <c r="S102" s="247" cm="1">
        <f t="array" ref="S102">-P102</f>
        <v>-508277</v>
      </c>
      <c r="T102" s="690"/>
      <c r="U102" s="682" cm="1">
        <f t="array" ref="U102">J101*4.95/12/100/(1-(1+4.95/12/100)^-(360-$A102+3))+AT102</f>
        <v>11.9837663173886</v>
      </c>
      <c r="V102" s="597" cm="1">
        <f t="array" ref="V102">IF(V$3*12&lt;=$A102,0,$J101*'depto - Departamento'!$D$8/12/(1-(1+'depto - Departamento'!$D$8/12)^-(12*V$3-$A102+3))+$AT103)</f>
        <v>13.7788017111174</v>
      </c>
      <c r="W102" s="597" cm="1">
        <f t="array" ref="W102">IF(W$3*12&lt;=$A102,0,$J101*'depto - Departamento'!$D$8/12/(1-(1+'depto - Departamento'!$D$8/12)^-(12*W$3-$A102+3))+$AT104)</f>
        <v>17.1738592557081</v>
      </c>
      <c r="X102" s="597" cm="1">
        <f t="array" ref="X102">IF(X$3*12&lt;=$A102,0,$J101*'depto - Departamento'!$D$8/12/(1-(1+'depto - Departamento'!$D$8/12)^-(12*X$3-$A102+3))+$AT104)</f>
        <v>25.5642052986771</v>
      </c>
      <c r="Y102" s="597" cm="1">
        <f t="array" ref="Y102">IF(Y$3*12&lt;=$A102,0,$J101*'depto - Departamento'!$D$8/12/(1-(1+'depto - Departamento'!$D$8/12)^-(12*Y$3-$A102+3))+$AT103)</f>
        <v>40.6333692102346</v>
      </c>
      <c r="Z102" s="597" cm="1">
        <f t="array" ref="Z102">IF(Z$3*12&lt;=$A102,0,$J101*'depto - Departamento'!$D$8/12/(1-(1+'depto - Departamento'!$D$8/12)^-(12*Z$3-$A102+3))+$AT103)</f>
        <v>74.93207184416799</v>
      </c>
      <c r="AA102" s="597" cm="1">
        <f t="array" ref="AA102">IF(AA$3*12&lt;=$A102,0,$J101*'depto - Departamento'!$D$8/12/(1-(1+'depto - Departamento'!$D$8/12)^-(12*AA$3-$A102+3))+$AT103)</f>
        <v>0</v>
      </c>
      <c r="AB102" s="597" cm="1">
        <f t="array" ref="AB102">AB101-(AB100-AB101)</f>
        <v>78.8621</v>
      </c>
      <c r="AC102" s="597"/>
      <c r="AD102" s="696" cm="1">
        <f t="array" ref="AD102">$E102*U102</f>
        <v>605675.593783046</v>
      </c>
      <c r="AE102" s="247" cm="1">
        <f t="array" ref="AE102">$E102*V102</f>
        <v>696399.085810817</v>
      </c>
      <c r="AF102" s="247" cm="1">
        <f t="array" ref="AF102">$E102*W102</f>
        <v>867989.839484297</v>
      </c>
      <c r="AG102" s="247" cm="1">
        <f t="array" ref="AG102">$E102*X102</f>
        <v>1292049.16165638</v>
      </c>
      <c r="AH102" s="247" cm="1">
        <f t="array" ref="AH102">$E102*Y102</f>
        <v>2053664.88063975</v>
      </c>
      <c r="AI102" s="247" cm="1">
        <f t="array" ref="AI102">$E102*Z102</f>
        <v>3787167.23153695</v>
      </c>
      <c r="AJ102" s="247" cm="1">
        <f t="array" ref="AJ102">$E102*AA102</f>
        <v>0</v>
      </c>
      <c r="AK102" s="247" cm="1">
        <f t="array" ref="AK102">$E102*AB102</f>
        <v>3985796.11613175</v>
      </c>
      <c r="AL102" s="597"/>
      <c r="AM102" s="691" cm="1">
        <f t="array" ref="AM102">J100-J102</f>
        <v>19.3909</v>
      </c>
      <c r="AN102" s="691" cm="1">
        <f t="array" ref="AN102">D102-AM102</f>
        <v>-2.2170407442919</v>
      </c>
      <c r="AO102" s="597"/>
      <c r="AP102" s="684" cm="1">
        <f t="array" ref="AP102">ROUND(AQ102*E102,0)</f>
        <v>52270</v>
      </c>
      <c r="AQ102" s="692">
        <v>1.0342</v>
      </c>
      <c r="AR102" s="684" cm="1">
        <f t="array" ref="AR102">ROUND(E102*AS102,0)</f>
        <v>3978</v>
      </c>
      <c r="AS102" s="692" cm="1">
        <f t="array" ref="AS102">0.0787</f>
        <v>0.07870000000000001</v>
      </c>
      <c r="AT102" s="693" cm="1">
        <f t="array" ref="AT102">SUM(AQ102,AS102)</f>
        <v>1.1129</v>
      </c>
      <c r="AU102" s="684" cm="1">
        <f t="array" ref="AU102">ROUND(SUM(AQ102,AS102)*E102,0)</f>
        <v>56247</v>
      </c>
      <c r="AV102" s="685">
        <v>112242</v>
      </c>
      <c r="AW102" s="694" cm="1">
        <f t="array" ref="AW102">ROUND(AV102/$E102,4)</f>
        <v>2.2208</v>
      </c>
      <c r="AX102" s="685" cm="1">
        <f t="array" ref="AX102">I102-SUM(AU102,AV102,BB102)</f>
        <v>377592</v>
      </c>
      <c r="AY102" s="694" cm="1">
        <f t="array" ref="AY102">ROUND(AX102/$E102,4)</f>
        <v>7.471</v>
      </c>
      <c r="AZ102" s="686" cm="1">
        <f t="array" ref="AZ102">AX102+AV102</f>
        <v>489834</v>
      </c>
      <c r="BA102" s="694" cm="1">
        <f t="array" ref="BA102">ROUND((AV102+AX102)/E102,4)</f>
        <v>9.691700000000001</v>
      </c>
      <c r="BB102" s="687">
        <v>321909</v>
      </c>
      <c r="BC102" s="695" cm="1">
        <f t="array" ref="BC102">ROUND(BB102/$E102,4)</f>
        <v>6.3692</v>
      </c>
      <c r="BD102" s="679" cm="1">
        <f t="array" ref="BD102">K101-K102</f>
        <v>480987</v>
      </c>
      <c r="BE102" s="679" cm="1">
        <f t="array" ref="BE102">AZ102-BD102</f>
        <v>8847</v>
      </c>
      <c r="BF102" s="679" cm="1">
        <f t="array" ref="BF102">-BE102</f>
        <v>-8847</v>
      </c>
      <c r="BG102" s="679" cm="1">
        <f t="array" ref="BG102">BB102+BE102</f>
        <v>330756</v>
      </c>
      <c r="BH102" s="679" cm="1">
        <f t="array" ref="BH102">AVERAGE(BG99:BG100,BG102)</f>
        <v>-250600</v>
      </c>
      <c r="BI102" s="699" cm="1">
        <f t="array" ref="BI102">BC100-BC102</f>
        <v>0.0242</v>
      </c>
      <c r="BJ102" s="596" cm="1">
        <f t="array" ref="BJ102">J101*0.0495/12-0.16</f>
        <v>7.0591043375</v>
      </c>
      <c r="BK102" s="698" cm="1">
        <f t="array" ref="BK102">(AV102+AX102)/BB102</f>
        <v>1.5216536350335</v>
      </c>
      <c r="BL102" s="698" cm="1">
        <f t="array" ref="BL102">U102-AW102</f>
        <v>9.762966317388599</v>
      </c>
      <c r="BM102" s="698" cm="1">
        <f t="array" ref="BM102">(BN$2*(1+BN$2)^BM$2*J100)/((1+BN$2)^BM$2-1)</f>
        <v>9.393204888603719</v>
      </c>
      <c r="BN102" s="698"/>
      <c r="BO102" s="247" cm="1">
        <f t="array" ref="BO102">AV102+AX102+BO101</f>
        <v>92931747</v>
      </c>
      <c r="BP102" s="247" cm="1">
        <f t="array" ref="BP102">BB102+BP101</f>
        <v>34715391</v>
      </c>
      <c r="BQ102" s="596" cm="1">
        <f t="array" ref="BQ102">BA102+BQ101</f>
        <v>2243.2603</v>
      </c>
      <c r="BR102" s="596" cm="1">
        <f t="array" ref="BR102">BC102+BR101</f>
        <v>801.057</v>
      </c>
      <c r="BS102" s="247" cm="1">
        <f t="array" ref="BS102">SUM(BE$6:BE102)</f>
        <v>34261068</v>
      </c>
      <c r="BT102" s="596"/>
      <c r="BU102" s="596"/>
      <c r="BV102" s="247" cm="1">
        <f t="array" ref="BV102">SUM(AZ$6:AZ102)</f>
        <v>92931747</v>
      </c>
      <c r="BW102" s="596"/>
      <c r="BX102" s="596"/>
    </row>
    <row r="103" ht="19.35" customHeight="1">
      <c r="A103" s="689">
        <v>99</v>
      </c>
      <c r="B103" s="675">
        <v>48345</v>
      </c>
      <c r="C103" s="247"/>
      <c r="D103" s="597" cm="1">
        <f t="array" ref="D103">W103</f>
        <v>17.1660204192906</v>
      </c>
      <c r="E103" s="731" cm="1">
        <f t="array" ref="E103">E102*(1+F103)</f>
        <v>50844.5868526014</v>
      </c>
      <c r="F103" s="835" cm="1">
        <f t="array" ref="F103">G103-SUM(F92:F102)</f>
        <v>0.006</v>
      </c>
      <c r="G103" s="676" cm="1">
        <f t="array" ref="G103">'depto - Table 5'!$J$2</f>
        <v>0.03</v>
      </c>
      <c r="H103" s="676" cm="1">
        <f t="array" ref="H103">G103+4.95/100</f>
        <v>0.0795</v>
      </c>
      <c r="I103" s="247" cm="1">
        <f t="array" ref="I103">IF(J102=0,0,ROUND(D103*E103,0))</f>
        <v>872799</v>
      </c>
      <c r="J103" s="677" cm="1">
        <f t="array" ref="J103">IF(J102-BA103&lt;0,0,J102-BA103)</f>
        <v>1730.6723</v>
      </c>
      <c r="K103" s="679" cm="1">
        <f t="array" ref="K103">ROUND(J103*E103,0)</f>
        <v>87995318</v>
      </c>
      <c r="L103" s="679" cm="1">
        <f t="array" ref="L103">K103-K102</f>
        <v>33465</v>
      </c>
      <c r="M103" s="681" cm="1">
        <f t="array" ref="M103">Q103-J103</f>
        <v>3669.3277</v>
      </c>
      <c r="N103" s="679" cm="1">
        <f t="array" ref="N103">ROUND(M103*E103,0)</f>
        <v>186565451</v>
      </c>
      <c r="O103" s="596" cm="1">
        <f t="array" ref="O103">$J$5-J103</f>
        <v>2219.3277</v>
      </c>
      <c r="P103" s="679" cm="1">
        <f t="array" ref="P103">N103-N102</f>
        <v>1604074</v>
      </c>
      <c r="Q103" s="596">
        <v>5400</v>
      </c>
      <c r="R103" s="679" cm="1">
        <f t="array" ref="R103">Q103*E103</f>
        <v>274560769.004048</v>
      </c>
      <c r="S103" s="247" cm="1">
        <f t="array" ref="S103">-P103</f>
        <v>-1604074</v>
      </c>
      <c r="T103" s="690"/>
      <c r="U103" s="682" cm="1">
        <f t="array" ref="U103">J102*4.95/12/100/(1-(1+4.95/12/100)^-(360-$A103+3))+AT103</f>
        <v>11.9461700763666</v>
      </c>
      <c r="V103" s="597" cm="1">
        <f t="array" ref="V103">IF(V$3*12&lt;=$A103,0,$J102*'depto - Departamento'!$D$8/12/(1-(1+'depto - Departamento'!$D$8/12)^-(12*V$3-$A103+3))+$AT104)</f>
        <v>13.7479841515671</v>
      </c>
      <c r="W103" s="597" cm="1">
        <f t="array" ref="W103">IF(W$3*12&lt;=$A103,0,$J102*'depto - Departamento'!$D$8/12/(1-(1+'depto - Departamento'!$D$8/12)^-(12*W$3-$A103+3))+$AT105)</f>
        <v>17.1660204192906</v>
      </c>
      <c r="X103" s="597" cm="1">
        <f t="array" ref="X103">IF(X$3*12&lt;=$A103,0,$J102*'depto - Departamento'!$D$8/12/(1-(1+'depto - Departamento'!$D$8/12)^-(12*X$3-$A103+3))+$AT105)</f>
        <v>25.6706049856264</v>
      </c>
      <c r="Y103" s="597" cm="1">
        <f t="array" ref="Y103">IF(Y$3*12&lt;=$A103,0,$J102*'depto - Departamento'!$D$8/12/(1-(1+'depto - Departamento'!$D$8/12)^-(12*Y$3-$A103+3))+$AT104)</f>
        <v>41.1535418781009</v>
      </c>
      <c r="Z103" s="597" cm="1">
        <f t="array" ref="Z103">IF(Z$3*12&lt;=$A103,0,$J102*'depto - Departamento'!$D$8/12/(1-(1+'depto - Departamento'!$D$8/12)^-(12*Z$3-$A103+3))+$AT104)</f>
        <v>77.4274469042147</v>
      </c>
      <c r="AA103" s="597" cm="1">
        <f t="array" ref="AA103">IF(AA$3*12&lt;=$A103,0,$J102*'depto - Departamento'!$D$8/12/(1-(1+'depto - Departamento'!$D$8/12)^-(12*AA$3-$A103+3))+$AT104)</f>
        <v>0</v>
      </c>
      <c r="AB103" s="597" cm="1">
        <f t="array" ref="AB103">AB102-(AB101-AB102)</f>
        <v>78.8497</v>
      </c>
      <c r="AC103" s="597"/>
      <c r="AD103" s="696" cm="1">
        <f t="array" ref="AD103">$E103*U103</f>
        <v>607398.082003769</v>
      </c>
      <c r="AE103" s="247" cm="1">
        <f t="array" ref="AE103">$E103*V103</f>
        <v>699010.574242541</v>
      </c>
      <c r="AF103" s="247" cm="1">
        <f t="array" ref="AF103">$E103*W103</f>
        <v>872799.21612215</v>
      </c>
      <c r="AG103" s="247" cm="1">
        <f t="array" ref="AG103">$E103*X103</f>
        <v>1305211.3047505</v>
      </c>
      <c r="AH103" s="247" cm="1">
        <f t="array" ref="AH103">$E103*Y103</f>
        <v>2092434.83431327</v>
      </c>
      <c r="AI103" s="247" cm="1">
        <f t="array" ref="AI103">$E103*Z103</f>
        <v>3936766.54889653</v>
      </c>
      <c r="AJ103" s="247" cm="1">
        <f t="array" ref="AJ103">$E103*AA103</f>
        <v>0</v>
      </c>
      <c r="AK103" s="247" cm="1">
        <f t="array" ref="AK103">$E103*AB103</f>
        <v>4009080.41995156</v>
      </c>
      <c r="AL103" s="597"/>
      <c r="AM103" s="691" cm="1">
        <f t="array" ref="AM103">J101-J103</f>
        <v>19.4136</v>
      </c>
      <c r="AN103" s="691" cm="1">
        <f t="array" ref="AN103">D103-AM103</f>
        <v>-2.2475795807094</v>
      </c>
      <c r="AO103" s="597"/>
      <c r="AP103" s="684" cm="1">
        <f t="array" ref="AP103">ROUND(AQ103*E103,0)</f>
        <v>52583</v>
      </c>
      <c r="AQ103" s="692">
        <v>1.0342</v>
      </c>
      <c r="AR103" s="684" cm="1">
        <f t="array" ref="AR103">ROUND(E103*AS103,0)</f>
        <v>4001</v>
      </c>
      <c r="AS103" s="692" cm="1">
        <f t="array" ref="AS103">0.0787</f>
        <v>0.07870000000000001</v>
      </c>
      <c r="AT103" s="693" cm="1">
        <f t="array" ref="AT103">SUM(AQ103,AS103)</f>
        <v>1.1129</v>
      </c>
      <c r="AU103" s="684" cm="1">
        <f t="array" ref="AU103">ROUND(SUM(AQ103,AS103)*E103,0)</f>
        <v>56585</v>
      </c>
      <c r="AV103" s="685">
        <v>112242</v>
      </c>
      <c r="AW103" s="694" cm="1">
        <f t="array" ref="AW103">ROUND(AV103/$E103,4)</f>
        <v>2.2076</v>
      </c>
      <c r="AX103" s="685" cm="1">
        <f t="array" ref="AX103">I103-SUM(AU103,AV103,BB103)</f>
        <v>382063</v>
      </c>
      <c r="AY103" s="694" cm="1">
        <f t="array" ref="AY103">ROUND(AX103/$E103,4)</f>
        <v>7.5143</v>
      </c>
      <c r="AZ103" s="686" cm="1">
        <f t="array" ref="AZ103">AX103+AV103</f>
        <v>494305</v>
      </c>
      <c r="BA103" s="694" cm="1">
        <f t="array" ref="BA103">ROUND((AV103+AX103)/E103,4)</f>
        <v>9.7219</v>
      </c>
      <c r="BB103" s="687">
        <v>321909</v>
      </c>
      <c r="BC103" s="695" cm="1">
        <f t="array" ref="BC103">ROUND(BB103/$E103,4)</f>
        <v>6.3312</v>
      </c>
      <c r="BD103" s="679" cm="1">
        <f t="array" ref="BD103">K102-K103</f>
        <v>-33465</v>
      </c>
      <c r="BE103" s="679" cm="1">
        <f t="array" ref="BE103">AZ103-BD103</f>
        <v>527770</v>
      </c>
      <c r="BF103" s="679" cm="1">
        <f t="array" ref="BF103">-BE103</f>
        <v>-527770</v>
      </c>
      <c r="BG103" s="679" cm="1">
        <f t="array" ref="BG103">BB103+BE103</f>
        <v>849679</v>
      </c>
      <c r="BH103" s="679" cm="1">
        <f t="array" ref="BH103">AVERAGE(BG100:BG101,BG103)</f>
        <v>616018.666666667</v>
      </c>
      <c r="BI103" s="699" cm="1">
        <f t="array" ref="BI103">BC101-BC103</f>
        <v>0.0387</v>
      </c>
      <c r="BJ103" s="596" cm="1">
        <f t="array" ref="BJ103">J102*0.0495/12-0.16</f>
        <v>7.019126075</v>
      </c>
      <c r="BK103" s="698" cm="1">
        <f t="array" ref="BK103">(AV103+AX103)/BB103</f>
        <v>1.53554265335856</v>
      </c>
      <c r="BL103" s="698" cm="1">
        <f t="array" ref="BL103">U103-AW103</f>
        <v>9.738570076366599</v>
      </c>
      <c r="BM103" s="698" cm="1">
        <f t="array" ref="BM103">(BN$2*(1+BN$2)^BM$2*J101)/((1+BN$2)^BM$2-1)</f>
        <v>9.34143346898235</v>
      </c>
      <c r="BN103" s="698"/>
      <c r="BO103" s="247" cm="1">
        <f t="array" ref="BO103">AV103+AX103+BO102</f>
        <v>93426052</v>
      </c>
      <c r="BP103" s="247" cm="1">
        <f t="array" ref="BP103">BB103+BP102</f>
        <v>35037300</v>
      </c>
      <c r="BQ103" s="596" cm="1">
        <f t="array" ref="BQ103">BA103+BQ102</f>
        <v>2252.9822</v>
      </c>
      <c r="BR103" s="596" cm="1">
        <f t="array" ref="BR103">BC103+BR102</f>
        <v>807.3882</v>
      </c>
      <c r="BS103" s="247" cm="1">
        <f t="array" ref="BS103">SUM(BE$6:BE103)</f>
        <v>34788838</v>
      </c>
      <c r="BT103" s="596"/>
      <c r="BU103" s="596"/>
      <c r="BV103" s="247" cm="1">
        <f t="array" ref="BV103">SUM(AZ$6:AZ103)</f>
        <v>93426052</v>
      </c>
      <c r="BW103" s="596"/>
      <c r="BX103" s="596"/>
    </row>
    <row r="104" ht="19.35" customHeight="1">
      <c r="A104" s="689">
        <v>100</v>
      </c>
      <c r="B104" s="675">
        <v>48376</v>
      </c>
      <c r="C104" s="247"/>
      <c r="D104" s="597" cm="1">
        <f t="array" ref="D104">W104</f>
        <v>17.1581593896874</v>
      </c>
      <c r="E104" s="731" cm="1">
        <f t="array" ref="E104">E103*(1+F104)</f>
        <v>51251.3435474222</v>
      </c>
      <c r="F104" s="835" cm="1">
        <f t="array" ref="F104">G104-SUM(F93:F103)</f>
        <v>0.008</v>
      </c>
      <c r="G104" s="676" cm="1">
        <f t="array" ref="G104">'depto - Table 5'!$J$2</f>
        <v>0.03</v>
      </c>
      <c r="H104" s="676" cm="1">
        <f t="array" ref="H104">G104+4.95/100</f>
        <v>0.0795</v>
      </c>
      <c r="I104" s="247" cm="1">
        <f t="array" ref="I104">IF(J103=0,0,ROUND(D104*E104,0))</f>
        <v>879379</v>
      </c>
      <c r="J104" s="677" cm="1">
        <f t="array" ref="J104">IF(J103-BA104&lt;0,0,J103-BA104)</f>
        <v>1720.908</v>
      </c>
      <c r="K104" s="679" cm="1">
        <f t="array" ref="K104">ROUND(J104*E104,0)</f>
        <v>88198847</v>
      </c>
      <c r="L104" s="679" cm="1">
        <f t="array" ref="L104">K104-K103</f>
        <v>203529</v>
      </c>
      <c r="M104" s="681" cm="1">
        <f t="array" ref="M104">Q104-J104</f>
        <v>3679.092</v>
      </c>
      <c r="N104" s="679" cm="1">
        <f t="array" ref="N104">ROUND(M104*E104,0)</f>
        <v>188558408</v>
      </c>
      <c r="O104" s="596" cm="1">
        <f t="array" ref="O104">$J$5-J104</f>
        <v>2229.092</v>
      </c>
      <c r="P104" s="679" cm="1">
        <f t="array" ref="P104">N104-N103</f>
        <v>1992957</v>
      </c>
      <c r="Q104" s="596">
        <v>5400</v>
      </c>
      <c r="R104" s="679" cm="1">
        <f t="array" ref="R104">Q104*E104</f>
        <v>276757255.15608</v>
      </c>
      <c r="S104" s="247" cm="1">
        <f t="array" ref="S104">-P104</f>
        <v>-1992957</v>
      </c>
      <c r="T104" s="690"/>
      <c r="U104" s="682" cm="1">
        <f t="array" ref="U104">J103*4.95/12/100/(1-(1+4.95/12/100)^-(360-$A104+3))+AT104</f>
        <v>11.9083212116136</v>
      </c>
      <c r="V104" s="597" cm="1">
        <f t="array" ref="V104">IF(V$3*12&lt;=$A104,0,$J103*'depto - Departamento'!$D$8/12/(1-(1+'depto - Departamento'!$D$8/12)^-(12*V$3-$A104+3))+$AT105)</f>
        <v>13.7169164548124</v>
      </c>
      <c r="W104" s="597" cm="1">
        <f t="array" ref="W104">IF(W$3*12&lt;=$A104,0,$J103*'depto - Departamento'!$D$8/12/(1-(1+'depto - Departamento'!$D$8/12)^-(12*W$3-$A104+3))+$AT106)</f>
        <v>17.1581593896874</v>
      </c>
      <c r="X104" s="597" cm="1">
        <f t="array" ref="X104">IF(X$3*12&lt;=$A104,0,$J103*'depto - Departamento'!$D$8/12/(1-(1+'depto - Departamento'!$D$8/12)^-(12*X$3-$A104+3))+$AT106)</f>
        <v>25.7797336897167</v>
      </c>
      <c r="Y104" s="597" cm="1">
        <f t="array" ref="Y104">IF(Y$3*12&lt;=$A104,0,$J103*'depto - Departamento'!$D$8/12/(1-(1+'depto - Departamento'!$D$8/12)^-(12*Y$3-$A104+3))+$AT105)</f>
        <v>41.6961523230685</v>
      </c>
      <c r="Z104" s="597" cm="1">
        <f t="array" ref="Z104">IF(Z$3*12&lt;=$A104,0,$J103*'depto - Departamento'!$D$8/12/(1-(1+'depto - Departamento'!$D$8/12)^-(12*Z$3-$A104+3))+$AT105)</f>
        <v>80.1404414317978</v>
      </c>
      <c r="AA104" s="597" cm="1">
        <f t="array" ref="AA104">IF(AA$3*12&lt;=$A104,0,$J103*'depto - Departamento'!$D$8/12/(1-(1+'depto - Departamento'!$D$8/12)^-(12*AA$3-$A104+3))+$AT105)</f>
        <v>0</v>
      </c>
      <c r="AB104" s="597" cm="1">
        <f t="array" ref="AB104">AB103-(AB102-AB103)</f>
        <v>78.8373</v>
      </c>
      <c r="AC104" s="597"/>
      <c r="AD104" s="696" cm="1">
        <f t="array" ref="AD104">$E104*U104</f>
        <v>610317.461489464</v>
      </c>
      <c r="AE104" s="247" cm="1">
        <f t="array" ref="AE104">$E104*V104</f>
        <v>703010.397636879</v>
      </c>
      <c r="AF104" s="247" cm="1">
        <f t="array" ref="AF104">$E104*W104</f>
        <v>879378.721522297</v>
      </c>
      <c r="AG104" s="247" cm="1">
        <f t="array" ref="AG104">$E104*X104</f>
        <v>1321245.98789272</v>
      </c>
      <c r="AH104" s="247" cm="1">
        <f t="array" ref="AH104">$E104*Y104</f>
        <v>2136983.82731523</v>
      </c>
      <c r="AI104" s="247" cm="1">
        <f t="array" ref="AI104">$E104*Z104</f>
        <v>4107305.29586314</v>
      </c>
      <c r="AJ104" s="247" cm="1">
        <f t="array" ref="AJ104">$E104*AA104</f>
        <v>0</v>
      </c>
      <c r="AK104" s="247" cm="1">
        <f t="array" ref="AK104">$E104*AB104</f>
        <v>4040517.54665119</v>
      </c>
      <c r="AL104" s="597"/>
      <c r="AM104" s="691" cm="1">
        <f t="array" ref="AM104">J102-J104</f>
        <v>19.4862</v>
      </c>
      <c r="AN104" s="691" cm="1">
        <f t="array" ref="AN104">D104-AM104</f>
        <v>-2.3280406103126</v>
      </c>
      <c r="AO104" s="597"/>
      <c r="AP104" s="684" cm="1">
        <f t="array" ref="AP104">ROUND(AQ104*E104,0)</f>
        <v>53004</v>
      </c>
      <c r="AQ104" s="692">
        <v>1.0342</v>
      </c>
      <c r="AR104" s="684" cm="1">
        <f t="array" ref="AR104">ROUND(E104*AS104,0)</f>
        <v>4033</v>
      </c>
      <c r="AS104" s="692" cm="1">
        <f t="array" ref="AS104">0.0787</f>
        <v>0.07870000000000001</v>
      </c>
      <c r="AT104" s="693" cm="1">
        <f t="array" ref="AT104">SUM(AQ104,AS104)</f>
        <v>1.1129</v>
      </c>
      <c r="AU104" s="684" cm="1">
        <f t="array" ref="AU104">ROUND(SUM(AQ104,AS104)*E104,0)</f>
        <v>57038</v>
      </c>
      <c r="AV104" s="685">
        <v>112242</v>
      </c>
      <c r="AW104" s="694" cm="1">
        <f t="array" ref="AW104">ROUND(AV104/$E104,4)</f>
        <v>2.19</v>
      </c>
      <c r="AX104" s="685" cm="1">
        <f t="array" ref="AX104">I104-SUM(AU104,AV104,BB104)</f>
        <v>388190</v>
      </c>
      <c r="AY104" s="694" cm="1">
        <f t="array" ref="AY104">ROUND(AX104/$E104,4)</f>
        <v>7.5742</v>
      </c>
      <c r="AZ104" s="686" cm="1">
        <f t="array" ref="AZ104">AX104+AV104</f>
        <v>500432</v>
      </c>
      <c r="BA104" s="694" cm="1">
        <f t="array" ref="BA104">ROUND((AV104+AX104)/E104,4)</f>
        <v>9.7643</v>
      </c>
      <c r="BB104" s="687">
        <v>321909</v>
      </c>
      <c r="BC104" s="695" cm="1">
        <f t="array" ref="BC104">ROUND(BB104/$E104,4)</f>
        <v>6.281</v>
      </c>
      <c r="BD104" s="679" cm="1">
        <f t="array" ref="BD104">K103-K104</f>
        <v>-203529</v>
      </c>
      <c r="BE104" s="679" cm="1">
        <f t="array" ref="BE104">AZ104-BD104</f>
        <v>703961</v>
      </c>
      <c r="BF104" s="679" cm="1">
        <f t="array" ref="BF104">-BE104</f>
        <v>-703961</v>
      </c>
      <c r="BG104" s="679" cm="1">
        <f t="array" ref="BG104">BB104+BE104</f>
        <v>1025870</v>
      </c>
      <c r="BH104" s="679" cm="1">
        <f t="array" ref="BH104">AVERAGE(BG101:BG102,BG104)</f>
        <v>668792</v>
      </c>
      <c r="BI104" s="699" cm="1">
        <f t="array" ref="BI104">BC102-BC104</f>
        <v>0.0882</v>
      </c>
      <c r="BJ104" s="596" cm="1">
        <f t="array" ref="BJ104">J103*0.0495/12-0.16</f>
        <v>6.9790232375</v>
      </c>
      <c r="BK104" s="698" cm="1">
        <f t="array" ref="BK104">(AV104+AX104)/BB104</f>
        <v>1.55457598265348</v>
      </c>
      <c r="BL104" s="698" cm="1">
        <f t="array" ref="BL104">U104-AW104</f>
        <v>9.718321211613601</v>
      </c>
      <c r="BM104" s="698" cm="1">
        <f t="array" ref="BM104">(BN$2*(1+BN$2)^BM$2*J102)/((1+BN$2)^BM$2-1)</f>
        <v>9.2897020821108</v>
      </c>
      <c r="BN104" s="698"/>
      <c r="BO104" s="247" cm="1">
        <f t="array" ref="BO104">AV104+AX104+BO103</f>
        <v>93926484</v>
      </c>
      <c r="BP104" s="247" cm="1">
        <f t="array" ref="BP104">BB104+BP103</f>
        <v>35359209</v>
      </c>
      <c r="BQ104" s="596" cm="1">
        <f t="array" ref="BQ104">BA104+BQ103</f>
        <v>2262.7465</v>
      </c>
      <c r="BR104" s="596" cm="1">
        <f t="array" ref="BR104">BC104+BR103</f>
        <v>813.6692</v>
      </c>
      <c r="BS104" s="247" cm="1">
        <f t="array" ref="BS104">SUM(BE$6:BE104)</f>
        <v>35492799</v>
      </c>
      <c r="BT104" s="596"/>
      <c r="BU104" s="596"/>
      <c r="BV104" s="247" cm="1">
        <f t="array" ref="BV104">SUM(AZ$6:AZ104)</f>
        <v>93926484</v>
      </c>
      <c r="BW104" s="596"/>
      <c r="BX104" s="596"/>
    </row>
    <row r="105" ht="19.35" customHeight="1">
      <c r="A105" s="689">
        <v>101</v>
      </c>
      <c r="B105" s="675">
        <v>48406</v>
      </c>
      <c r="C105" s="247"/>
      <c r="D105" s="597" cm="1">
        <f t="array" ref="D105">W105</f>
        <v>17.1501630321681</v>
      </c>
      <c r="E105" s="731" cm="1">
        <f t="array" ref="E105">E104*(1+F105)</f>
        <v>51225.7178756485</v>
      </c>
      <c r="F105" s="835" cm="1">
        <f t="array" ref="F105">G105-SUM(F94:F104)</f>
        <v>-0.0005</v>
      </c>
      <c r="G105" s="676" cm="1">
        <f t="array" ref="G105">'depto - Table 5'!$J$2</f>
        <v>0.03</v>
      </c>
      <c r="H105" s="676" cm="1">
        <f t="array" ref="H105">G105+4.95/100</f>
        <v>0.0795</v>
      </c>
      <c r="I105" s="247" cm="1">
        <f t="array" ref="I105">IF(J104=0,0,ROUND(D105*E105,0))</f>
        <v>878529</v>
      </c>
      <c r="J105" s="677" cm="1">
        <f t="array" ref="J105">IF(J104-BA105&lt;0,0,J104-BA105)</f>
        <v>1711.1549</v>
      </c>
      <c r="K105" s="679" cm="1">
        <f t="array" ref="K105">ROUND(J105*E105,0)</f>
        <v>87655138</v>
      </c>
      <c r="L105" s="679" cm="1">
        <f t="array" ref="L105">K105-K104</f>
        <v>-543709</v>
      </c>
      <c r="M105" s="681" cm="1">
        <f t="array" ref="M105">Q105-J105</f>
        <v>3688.8451</v>
      </c>
      <c r="N105" s="679" cm="1">
        <f t="array" ref="N105">ROUND(M105*E105,0)</f>
        <v>188963738</v>
      </c>
      <c r="O105" s="596" cm="1">
        <f t="array" ref="O105">$J$5-J105</f>
        <v>2238.8451</v>
      </c>
      <c r="P105" s="679" cm="1">
        <f t="array" ref="P105">N105-N104</f>
        <v>405330</v>
      </c>
      <c r="Q105" s="596">
        <v>5400</v>
      </c>
      <c r="R105" s="679" cm="1">
        <f t="array" ref="R105">Q105*E105</f>
        <v>276618876.528502</v>
      </c>
      <c r="S105" s="247" cm="1">
        <f t="array" ref="S105">-P105</f>
        <v>-405330</v>
      </c>
      <c r="T105" s="690"/>
      <c r="U105" s="682" cm="1">
        <f t="array" ref="U105">J104*4.95/12/100/(1-(1+4.95/12/100)^-(360-$A105+3))+AT105</f>
        <v>11.870141264914</v>
      </c>
      <c r="V105" s="597" cm="1">
        <f t="array" ref="V105">IF(V$3*12&lt;=$A105,0,$J104*'depto - Departamento'!$D$8/12/(1-(1+'depto - Departamento'!$D$8/12)^-(12*V$3-$A105+3))+$AT106)</f>
        <v>13.6855065870126</v>
      </c>
      <c r="W105" s="597" cm="1">
        <f t="array" ref="W105">IF(W$3*12&lt;=$A105,0,$J104*'depto - Departamento'!$D$8/12/(1-(1+'depto - Departamento'!$D$8/12)^-(12*W$3-$A105+3))+$AT107)</f>
        <v>17.1501630321681</v>
      </c>
      <c r="X105" s="597" cm="1">
        <f t="array" ref="X105">IF(X$3*12&lt;=$A105,0,$J104*'depto - Departamento'!$D$8/12/(1-(1+'depto - Departamento'!$D$8/12)^-(12*X$3-$A105+3))+$AT107)</f>
        <v>25.8915171512645</v>
      </c>
      <c r="Y105" s="597" cm="1">
        <f t="array" ref="Y105">IF(Y$3*12&lt;=$A105,0,$J104*'depto - Departamento'!$D$8/12/(1-(1+'depto - Departamento'!$D$8/12)^-(12*Y$3-$A105+3))+$AT106)</f>
        <v>42.262374714473</v>
      </c>
      <c r="Z105" s="597" cm="1">
        <f t="array" ref="Z105">IF(Z$3*12&lt;=$A105,0,$J104*'depto - Departamento'!$D$8/12/(1-(1+'depto - Departamento'!$D$8/12)^-(12*Z$3-$A105+3))+$AT106)</f>
        <v>83.10015461510569</v>
      </c>
      <c r="AA105" s="597" cm="1">
        <f t="array" ref="AA105">IF(AA$3*12&lt;=$A105,0,$J104*'depto - Departamento'!$D$8/12/(1-(1+'depto - Departamento'!$D$8/12)^-(12*AA$3-$A105+3))+$AT106)</f>
        <v>0</v>
      </c>
      <c r="AB105" s="597" cm="1">
        <f t="array" ref="AB105">AB104-(AB103-AB104)</f>
        <v>78.8249</v>
      </c>
      <c r="AC105" s="597"/>
      <c r="AD105" s="696" cm="1">
        <f t="array" ref="AD105">$E105*U105</f>
        <v>608056.507580578</v>
      </c>
      <c r="AE105" s="247" cm="1">
        <f t="array" ref="AE105">$E105*V105</f>
        <v>701049.899411637</v>
      </c>
      <c r="AF105" s="247" cm="1">
        <f t="array" ref="AF105">$E105*W105</f>
        <v>878529.41300722</v>
      </c>
      <c r="AG105" s="247" cm="1">
        <f t="array" ref="AG105">$E105*X105</f>
        <v>1326311.55296319</v>
      </c>
      <c r="AH105" s="247" cm="1">
        <f t="array" ref="AH105">$E105*Y105</f>
        <v>2164920.48387853</v>
      </c>
      <c r="AI105" s="247" cm="1">
        <f t="array" ref="AI105">$E105*Z105</f>
        <v>4256865.07573617</v>
      </c>
      <c r="AJ105" s="247" cm="1">
        <f t="array" ref="AJ105">$E105*AA105</f>
        <v>0</v>
      </c>
      <c r="AK105" s="247" cm="1">
        <f t="array" ref="AK105">$E105*AB105</f>
        <v>4037862.08897621</v>
      </c>
      <c r="AL105" s="597"/>
      <c r="AM105" s="691" cm="1">
        <f t="array" ref="AM105">J103-J105</f>
        <v>19.5174</v>
      </c>
      <c r="AN105" s="691" cm="1">
        <f t="array" ref="AN105">D105-AM105</f>
        <v>-2.3672369678319</v>
      </c>
      <c r="AO105" s="597"/>
      <c r="AP105" s="684" cm="1">
        <f t="array" ref="AP105">ROUND(AQ105*E105,0)</f>
        <v>52978</v>
      </c>
      <c r="AQ105" s="692">
        <v>1.0342</v>
      </c>
      <c r="AR105" s="684" cm="1">
        <f t="array" ref="AR105">ROUND(E105*AS105,0)</f>
        <v>4031</v>
      </c>
      <c r="AS105" s="692" cm="1">
        <f t="array" ref="AS105">0.0787</f>
        <v>0.07870000000000001</v>
      </c>
      <c r="AT105" s="693" cm="1">
        <f t="array" ref="AT105">SUM(AQ105,AS105)</f>
        <v>1.1129</v>
      </c>
      <c r="AU105" s="684" cm="1">
        <f t="array" ref="AU105">ROUND(SUM(AQ105,AS105)*E105,0)</f>
        <v>57009</v>
      </c>
      <c r="AV105" s="685">
        <v>112242</v>
      </c>
      <c r="AW105" s="694" cm="1">
        <f t="array" ref="AW105">ROUND(AV105/$E105,4)</f>
        <v>2.1911</v>
      </c>
      <c r="AX105" s="685" cm="1">
        <f t="array" ref="AX105">I105-SUM(AU105,AV105,BB105)</f>
        <v>387369</v>
      </c>
      <c r="AY105" s="694" cm="1">
        <f t="array" ref="AY105">ROUND(AX105/$E105,4)</f>
        <v>7.562</v>
      </c>
      <c r="AZ105" s="686" cm="1">
        <f t="array" ref="AZ105">AX105+AV105</f>
        <v>499611</v>
      </c>
      <c r="BA105" s="694" cm="1">
        <f t="array" ref="BA105">ROUND((AV105+AX105)/E105,4)</f>
        <v>9.7531</v>
      </c>
      <c r="BB105" s="687">
        <v>321909</v>
      </c>
      <c r="BC105" s="695" cm="1">
        <f t="array" ref="BC105">ROUND(BB105/$E105,4)</f>
        <v>6.2841</v>
      </c>
      <c r="BD105" s="679" cm="1">
        <f t="array" ref="BD105">K104-K105</f>
        <v>543709</v>
      </c>
      <c r="BE105" s="679" cm="1">
        <f t="array" ref="BE105">AZ105-BD105</f>
        <v>-44098</v>
      </c>
      <c r="BF105" s="679" cm="1">
        <f t="array" ref="BF105">-BE105</f>
        <v>44098</v>
      </c>
      <c r="BG105" s="679" cm="1">
        <f t="array" ref="BG105">BB105+BE105</f>
        <v>277811</v>
      </c>
      <c r="BH105" s="679" cm="1">
        <f t="array" ref="BH105">AVERAGE(BG102:BG103,BG105)</f>
        <v>486082</v>
      </c>
      <c r="BI105" s="699" cm="1">
        <f t="array" ref="BI105">BC103-BC105</f>
        <v>0.0471</v>
      </c>
      <c r="BJ105" s="596" cm="1">
        <f t="array" ref="BJ105">J104*0.0495/12-0.16</f>
        <v>6.9387455</v>
      </c>
      <c r="BK105" s="698" cm="1">
        <f t="array" ref="BK105">(AV105+AX105)/BB105</f>
        <v>1.55202557244439</v>
      </c>
      <c r="BL105" s="698" cm="1">
        <f t="array" ref="BL105">U105-AW105</f>
        <v>9.679041264914</v>
      </c>
      <c r="BM105" s="698" cm="1">
        <f t="array" ref="BM105">(BN$2*(1+BN$2)^BM$2*J103)/((1+BN$2)^BM$2-1)</f>
        <v>9.23780949669994</v>
      </c>
      <c r="BN105" s="698"/>
      <c r="BO105" s="247" cm="1">
        <f t="array" ref="BO105">AV105+AX105+BO104</f>
        <v>94426095</v>
      </c>
      <c r="BP105" s="247" cm="1">
        <f t="array" ref="BP105">BB105+BP104</f>
        <v>35681118</v>
      </c>
      <c r="BQ105" s="596" cm="1">
        <f t="array" ref="BQ105">BA105+BQ104</f>
        <v>2272.4996</v>
      </c>
      <c r="BR105" s="596" cm="1">
        <f t="array" ref="BR105">BC105+BR104</f>
        <v>819.9533</v>
      </c>
      <c r="BS105" s="247" cm="1">
        <f t="array" ref="BS105">SUM(BE$6:BE105)</f>
        <v>35448701</v>
      </c>
      <c r="BT105" s="596"/>
      <c r="BU105" s="596"/>
      <c r="BV105" s="247" cm="1">
        <f t="array" ref="BV105">SUM(AZ$6:AZ105)</f>
        <v>94426095</v>
      </c>
      <c r="BW105" s="596"/>
      <c r="BX105" s="596"/>
    </row>
    <row r="106" ht="19.35" customHeight="1">
      <c r="A106" s="689">
        <v>102</v>
      </c>
      <c r="B106" s="675">
        <v>48437</v>
      </c>
      <c r="C106" s="247"/>
      <c r="D106" s="597" cm="1">
        <f t="array" ref="D106">W106</f>
        <v>17.1425322458534</v>
      </c>
      <c r="E106" s="731" cm="1">
        <f t="array" ref="E106">E105*(1+F106)</f>
        <v>52199.0065152858</v>
      </c>
      <c r="F106" s="835" cm="1">
        <f t="array" ref="F106">G106-SUM(F95:F105)</f>
        <v>0.019</v>
      </c>
      <c r="G106" s="676" cm="1">
        <f t="array" ref="G106">'depto - Table 5'!$J$2</f>
        <v>0.03</v>
      </c>
      <c r="H106" s="676" cm="1">
        <f t="array" ref="H106">G106+4.95/100</f>
        <v>0.0795</v>
      </c>
      <c r="I106" s="247" cm="1">
        <f t="array" ref="I106">IF(J105=0,0,ROUND(D106*E106,0))</f>
        <v>894823</v>
      </c>
      <c r="J106" s="677" cm="1">
        <f t="array" ref="J106">IF(J105-BA106&lt;0,0,J105-BA106)</f>
        <v>1701.2922</v>
      </c>
      <c r="K106" s="679" cm="1">
        <f t="array" ref="K106">ROUND(J106*E106,0)</f>
        <v>88805763</v>
      </c>
      <c r="L106" s="679" cm="1">
        <f t="array" ref="L106">K106-K105</f>
        <v>1150625</v>
      </c>
      <c r="M106" s="681" cm="1">
        <f t="array" ref="M106">Q106-J106</f>
        <v>3698.7078</v>
      </c>
      <c r="N106" s="679" cm="1">
        <f t="array" ref="N106">ROUND(M106*E106,0)</f>
        <v>193068873</v>
      </c>
      <c r="O106" s="596" cm="1">
        <f t="array" ref="O106">$J$5-J106</f>
        <v>2248.7078</v>
      </c>
      <c r="P106" s="679" cm="1">
        <f t="array" ref="P106">N106-N105</f>
        <v>4105135</v>
      </c>
      <c r="Q106" s="596">
        <v>5400</v>
      </c>
      <c r="R106" s="679" cm="1">
        <f t="array" ref="R106">Q106*E106</f>
        <v>281874635.182543</v>
      </c>
      <c r="S106" s="247" cm="1">
        <f t="array" ref="S106">-P106</f>
        <v>-4105135</v>
      </c>
      <c r="T106" s="690"/>
      <c r="U106" s="682" cm="1">
        <f t="array" ref="U106">J105*4.95/12/100/(1-(1+4.95/12/100)^-(360-$A106+3))+AT106</f>
        <v>11.8319632785414</v>
      </c>
      <c r="V106" s="597" cm="1">
        <f t="array" ref="V106">IF(V$3*12&lt;=$A106,0,$J105*'depto - Departamento'!$D$8/12/(1-(1+'depto - Departamento'!$D$8/12)^-(12*V$3-$A106+3))+$AT107)</f>
        <v>13.654143571596</v>
      </c>
      <c r="W106" s="597" cm="1">
        <f t="array" ref="W106">IF(W$3*12&lt;=$A106,0,$J105*'depto - Departamento'!$D$8/12/(1-(1+'depto - Departamento'!$D$8/12)^-(12*W$3-$A106+3))+$AT108)</f>
        <v>17.1425322458534</v>
      </c>
      <c r="X106" s="597" cm="1">
        <f t="array" ref="X106">IF(X$3*12&lt;=$A106,0,$J105*'depto - Departamento'!$D$8/12/(1-(1+'depto - Departamento'!$D$8/12)^-(12*X$3-$A106+3))+$AT108)</f>
        <v>26.006836078144</v>
      </c>
      <c r="Y106" s="597" cm="1">
        <f t="array" ref="Y106">IF(Y$3*12&lt;=$A106,0,$J105*'depto - Departamento'!$D$8/12/(1-(1+'depto - Departamento'!$D$8/12)^-(12*Y$3-$A106+3))+$AT107)</f>
        <v>42.8550950923607</v>
      </c>
      <c r="Z106" s="597" cm="1">
        <f t="array" ref="Z106">IF(Z$3*12&lt;=$A106,0,$J105*'depto - Departamento'!$D$8/12/(1-(1+'depto - Departamento'!$D$8/12)^-(12*Z$3-$A106+3))+$AT107)</f>
        <v>86.3445107124374</v>
      </c>
      <c r="AA106" s="597" cm="1">
        <f t="array" ref="AA106">IF(AA$3*12&lt;=$A106,0,$J105*'depto - Departamento'!$D$8/12/(1-(1+'depto - Departamento'!$D$8/12)^-(12*AA$3-$A106+3))+$AT107)</f>
        <v>0</v>
      </c>
      <c r="AB106" s="597" cm="1">
        <f t="array" ref="AB106">AB105-(AB104-AB105)</f>
        <v>78.8125</v>
      </c>
      <c r="AC106" s="597"/>
      <c r="AD106" s="696" cm="1">
        <f t="array" ref="AD106">$E106*U106</f>
        <v>617616.728265205</v>
      </c>
      <c r="AE106" s="247" cm="1">
        <f t="array" ref="AE106">$E106*V106</f>
        <v>712732.729254387</v>
      </c>
      <c r="AF106" s="247" cm="1">
        <f t="array" ref="AF106">$E106*W106</f>
        <v>894823.152389799</v>
      </c>
      <c r="AG106" s="247" cm="1">
        <f t="array" ref="AG106">$E106*X106</f>
        <v>1357531.00588501</v>
      </c>
      <c r="AH106" s="247" cm="1">
        <f t="array" ref="AH106">$E106*Y106</f>
        <v>2236993.38793933</v>
      </c>
      <c r="AI106" s="247" cm="1">
        <f t="array" ref="AI106">$E106*Z106</f>
        <v>4507097.67723768</v>
      </c>
      <c r="AJ106" s="247" cm="1">
        <f t="array" ref="AJ106">$E106*AA106</f>
        <v>0</v>
      </c>
      <c r="AK106" s="247" cm="1">
        <f t="array" ref="AK106">$E106*AB106</f>
        <v>4113934.20098596</v>
      </c>
      <c r="AL106" s="597"/>
      <c r="AM106" s="691" cm="1">
        <f t="array" ref="AM106">J104-J106</f>
        <v>19.6158</v>
      </c>
      <c r="AN106" s="691" cm="1">
        <f t="array" ref="AN106">D106-AM106</f>
        <v>-2.4732677541466</v>
      </c>
      <c r="AO106" s="597"/>
      <c r="AP106" s="684" cm="1">
        <f t="array" ref="AP106">ROUND(AQ106*E106,0)</f>
        <v>53984</v>
      </c>
      <c r="AQ106" s="692">
        <v>1.0342</v>
      </c>
      <c r="AR106" s="684" cm="1">
        <f t="array" ref="AR106">ROUND(E106*AS106,0)</f>
        <v>4108</v>
      </c>
      <c r="AS106" s="692" cm="1">
        <f t="array" ref="AS106">0.0787</f>
        <v>0.07870000000000001</v>
      </c>
      <c r="AT106" s="693" cm="1">
        <f t="array" ref="AT106">SUM(AQ106,AS106)</f>
        <v>1.1129</v>
      </c>
      <c r="AU106" s="684" cm="1">
        <f t="array" ref="AU106">ROUND(SUM(AQ106,AS106)*E106,0)</f>
        <v>58092</v>
      </c>
      <c r="AV106" s="685">
        <v>112242</v>
      </c>
      <c r="AW106" s="694" cm="1">
        <f t="array" ref="AW106">ROUND(AV106/$E106,4)</f>
        <v>2.1503</v>
      </c>
      <c r="AX106" s="685" cm="1">
        <f t="array" ref="AX106">I106-SUM(AU106,AV106,BB106)</f>
        <v>402580</v>
      </c>
      <c r="AY106" s="694" cm="1">
        <f t="array" ref="AY106">ROUND(AX106/$E106,4)</f>
        <v>7.7124</v>
      </c>
      <c r="AZ106" s="686" cm="1">
        <f t="array" ref="AZ106">AX106+AV106</f>
        <v>514822</v>
      </c>
      <c r="BA106" s="694" cm="1">
        <f t="array" ref="BA106">ROUND((AV106+AX106)/E106,4)</f>
        <v>9.8627</v>
      </c>
      <c r="BB106" s="687">
        <v>321909</v>
      </c>
      <c r="BC106" s="695" cm="1">
        <f t="array" ref="BC106">ROUND(BB106/$E106,4)</f>
        <v>6.167</v>
      </c>
      <c r="BD106" s="679" cm="1">
        <f t="array" ref="BD106">K105-K106</f>
        <v>-1150625</v>
      </c>
      <c r="BE106" s="679" cm="1">
        <f t="array" ref="BE106">AZ106-BD106</f>
        <v>1665447</v>
      </c>
      <c r="BF106" s="679" cm="1">
        <f t="array" ref="BF106">-BE106</f>
        <v>-1665447</v>
      </c>
      <c r="BG106" s="679" cm="1">
        <f t="array" ref="BG106">BB106+BE106</f>
        <v>1987356</v>
      </c>
      <c r="BH106" s="679" cm="1">
        <f t="array" ref="BH106">AVERAGE(BG103:BG104,BG106)</f>
        <v>1287635</v>
      </c>
      <c r="BI106" s="699" cm="1">
        <f t="array" ref="BI106">BC104-BC106</f>
        <v>0.114</v>
      </c>
      <c r="BJ106" s="596" cm="1">
        <f t="array" ref="BJ106">J105*0.0495/12-0.16</f>
        <v>6.8985139625</v>
      </c>
      <c r="BK106" s="698" cm="1">
        <f t="array" ref="BK106">(AV106+AX106)/BB106</f>
        <v>1.59927805684215</v>
      </c>
      <c r="BL106" s="698" cm="1">
        <f t="array" ref="BL106">U106-AW106</f>
        <v>9.6816632785414</v>
      </c>
      <c r="BM106" s="698" cm="1">
        <f t="array" ref="BM106">(BN$2*(1+BN$2)^BM$2*J104)/((1+BN$2)^BM$2-1)</f>
        <v>9.18569059281003</v>
      </c>
      <c r="BN106" s="698"/>
      <c r="BO106" s="247" cm="1">
        <f t="array" ref="BO106">AV106+AX106+BO105</f>
        <v>94940917</v>
      </c>
      <c r="BP106" s="247" cm="1">
        <f t="array" ref="BP106">BB106+BP105</f>
        <v>36003027</v>
      </c>
      <c r="BQ106" s="596" cm="1">
        <f t="array" ref="BQ106">BA106+BQ105</f>
        <v>2282.3623</v>
      </c>
      <c r="BR106" s="596" cm="1">
        <f t="array" ref="BR106">BC106+BR105</f>
        <v>826.1203</v>
      </c>
      <c r="BS106" s="247" cm="1">
        <f t="array" ref="BS106">SUM(BE$6:BE106)</f>
        <v>37114148</v>
      </c>
      <c r="BT106" s="596"/>
      <c r="BU106" s="596"/>
      <c r="BV106" s="247" cm="1">
        <f t="array" ref="BV106">SUM(AZ$6:AZ106)</f>
        <v>94940917</v>
      </c>
      <c r="BW106" s="596"/>
      <c r="BX106" s="596"/>
    </row>
    <row r="107" ht="19.35" customHeight="1">
      <c r="A107" s="689">
        <v>103</v>
      </c>
      <c r="B107" s="675">
        <v>48468</v>
      </c>
      <c r="C107" s="247"/>
      <c r="D107" s="597" cm="1">
        <f t="array" ref="D107">W107</f>
        <v>17.134136133055</v>
      </c>
      <c r="E107" s="731" cm="1">
        <f t="array" ref="E107">E106*(1+F107)</f>
        <v>52637.4781700142</v>
      </c>
      <c r="F107" s="835" cm="1">
        <f t="array" ref="F107">G107-SUM(F96:F106)</f>
        <v>0.008399999999999999</v>
      </c>
      <c r="G107" s="676" cm="1">
        <f t="array" ref="G107">'depto - Table 5'!$J$2</f>
        <v>0.03</v>
      </c>
      <c r="H107" s="676" cm="1">
        <f t="array" ref="H107">G107+4.95/100</f>
        <v>0.0795</v>
      </c>
      <c r="I107" s="247" cm="1">
        <f t="array" ref="I107">IF(J106=0,0,ROUND(D107*E107,0))</f>
        <v>901898</v>
      </c>
      <c r="J107" s="677" cm="1">
        <f t="array" ref="J107">IF(J106-BA107&lt;0,0,J106-BA107)</f>
        <v>1691.3865</v>
      </c>
      <c r="K107" s="679" cm="1">
        <f t="array" ref="K107">ROUND(J107*E107,0)</f>
        <v>89030320</v>
      </c>
      <c r="L107" s="679" cm="1">
        <f t="array" ref="L107">K107-K106</f>
        <v>224557</v>
      </c>
      <c r="M107" s="681" cm="1">
        <f t="array" ref="M107">Q107-J107</f>
        <v>3708.6135</v>
      </c>
      <c r="N107" s="679" cm="1">
        <f t="array" ref="N107">ROUND(M107*E107,0)</f>
        <v>195212062</v>
      </c>
      <c r="O107" s="596" cm="1">
        <f t="array" ref="O107">$J$5-J107</f>
        <v>2258.6135</v>
      </c>
      <c r="P107" s="679" cm="1">
        <f t="array" ref="P107">N107-N106</f>
        <v>2143189</v>
      </c>
      <c r="Q107" s="596">
        <v>5400</v>
      </c>
      <c r="R107" s="679" cm="1">
        <f t="array" ref="R107">Q107*E107</f>
        <v>284242382.118077</v>
      </c>
      <c r="S107" s="247" cm="1">
        <f t="array" ref="S107">-P107</f>
        <v>-2143189</v>
      </c>
      <c r="T107" s="690"/>
      <c r="U107" s="682" cm="1">
        <f t="array" ref="U107">J106*4.95/12/100/(1-(1+4.95/12/100)^-(360-$A107+3))+AT107</f>
        <v>11.7930283060082</v>
      </c>
      <c r="V107" s="597" cm="1">
        <f t="array" ref="V107">IF(V$3*12&lt;=$A107,0,$J106*'depto - Departamento'!$D$8/12/(1-(1+'depto - Departamento'!$D$8/12)^-(12*V$3-$A107+3))+$AT108)</f>
        <v>13.6219390973352</v>
      </c>
      <c r="W107" s="597" cm="1">
        <f t="array" ref="W107">IF(W$3*12&lt;=$A107,0,$J106*'depto - Departamento'!$D$8/12/(1-(1+'depto - Departamento'!$D$8/12)^-(12*W$3-$A107+3))+$AT109)</f>
        <v>17.134136133055</v>
      </c>
      <c r="X107" s="597" cm="1">
        <f t="array" ref="X107">IF(X$3*12&lt;=$A107,0,$J106*'depto - Departamento'!$D$8/12/(1-(1+'depto - Departamento'!$D$8/12)^-(12*X$3-$A107+3))+$AT109)</f>
        <v>26.1240451679276</v>
      </c>
      <c r="Y107" s="597" cm="1">
        <f t="array" ref="Y107">IF(Y$3*12&lt;=$A107,0,$J106*'depto - Departamento'!$D$8/12/(1-(1+'depto - Departamento'!$D$8/12)^-(12*Y$3-$A107+3))+$AT108)</f>
        <v>43.4731088256383</v>
      </c>
      <c r="Z107" s="597" cm="1">
        <f t="array" ref="Z107">IF(Z$3*12&lt;=$A107,0,$J106*'depto - Departamento'!$D$8/12/(1-(1+'depto - Departamento'!$D$8/12)^-(12*Z$3-$A107+3))+$AT108)</f>
        <v>89.909893456945</v>
      </c>
      <c r="AA107" s="597" cm="1">
        <f t="array" ref="AA107">IF(AA$3*12&lt;=$A107,0,$J106*'depto - Departamento'!$D$8/12/(1-(1+'depto - Departamento'!$D$8/12)^-(12*AA$3-$A107+3))+$AT108)</f>
        <v>0</v>
      </c>
      <c r="AB107" s="597" cm="1">
        <f t="array" ref="AB107">AB106-(AB105-AB106)</f>
        <v>78.8001</v>
      </c>
      <c r="AC107" s="597"/>
      <c r="AD107" s="696" cm="1">
        <f t="array" ref="AD107">$E107*U107</f>
        <v>620755.270015866</v>
      </c>
      <c r="AE107" s="247" cm="1">
        <f t="array" ref="AE107">$E107*V107</f>
        <v>717024.521869245</v>
      </c>
      <c r="AF107" s="247" cm="1">
        <f t="array" ref="AF107">$E107*W107</f>
        <v>901897.716665734</v>
      </c>
      <c r="AG107" s="247" cm="1">
        <f t="array" ref="AG107">$E107*X107</f>
        <v>1375103.85723925</v>
      </c>
      <c r="AH107" s="247" cm="1">
        <f t="array" ref="AH107">$E107*Y107</f>
        <v>2288314.81679219</v>
      </c>
      <c r="AI107" s="247" cm="1">
        <f t="array" ref="AI107">$E107*Z107</f>
        <v>4732630.05410824</v>
      </c>
      <c r="AJ107" s="247" cm="1">
        <f t="array" ref="AJ107">$E107*AA107</f>
        <v>0</v>
      </c>
      <c r="AK107" s="247" cm="1">
        <f t="array" ref="AK107">$E107*AB107</f>
        <v>4147838.54354494</v>
      </c>
      <c r="AL107" s="597"/>
      <c r="AM107" s="691" cm="1">
        <f t="array" ref="AM107">J105-J107</f>
        <v>19.7684</v>
      </c>
      <c r="AN107" s="691" cm="1">
        <f t="array" ref="AN107">D107-AM107</f>
        <v>-2.634263866945</v>
      </c>
      <c r="AO107" s="597"/>
      <c r="AP107" s="684" cm="1">
        <f t="array" ref="AP107">ROUND(AQ107*E107,0)</f>
        <v>54438</v>
      </c>
      <c r="AQ107" s="692">
        <v>1.0342</v>
      </c>
      <c r="AR107" s="684" cm="1">
        <f t="array" ref="AR107">ROUND(E107*AS107,0)</f>
        <v>4143</v>
      </c>
      <c r="AS107" s="692" cm="1">
        <f t="array" ref="AS107">0.0787</f>
        <v>0.07870000000000001</v>
      </c>
      <c r="AT107" s="693" cm="1">
        <f t="array" ref="AT107">SUM(AQ107,AS107)</f>
        <v>1.1129</v>
      </c>
      <c r="AU107" s="684" cm="1">
        <f t="array" ref="AU107">ROUND(SUM(AQ107,AS107)*E107,0)</f>
        <v>58580</v>
      </c>
      <c r="AV107" s="685">
        <v>112242</v>
      </c>
      <c r="AW107" s="694" cm="1">
        <f t="array" ref="AW107">ROUND(AV107/$E107,4)</f>
        <v>2.1324</v>
      </c>
      <c r="AX107" s="685" cm="1">
        <f t="array" ref="AX107">I107-SUM(AU107,AV107,BB107)</f>
        <v>409167</v>
      </c>
      <c r="AY107" s="694" cm="1">
        <f t="array" ref="AY107">ROUND(AX107/$E107,4)</f>
        <v>7.7733</v>
      </c>
      <c r="AZ107" s="686" cm="1">
        <f t="array" ref="AZ107">AX107+AV107</f>
        <v>521409</v>
      </c>
      <c r="BA107" s="694" cm="1">
        <f t="array" ref="BA107">ROUND((AV107+AX107)/E107,4)</f>
        <v>9.9057</v>
      </c>
      <c r="BB107" s="687">
        <v>321909</v>
      </c>
      <c r="BC107" s="695" cm="1">
        <f t="array" ref="BC107">ROUND(BB107/$E107,4)</f>
        <v>6.1156</v>
      </c>
      <c r="BD107" s="679" cm="1">
        <f t="array" ref="BD107">K106-K107</f>
        <v>-224557</v>
      </c>
      <c r="BE107" s="679" cm="1">
        <f t="array" ref="BE107">AZ107-BD107</f>
        <v>745966</v>
      </c>
      <c r="BF107" s="679" cm="1">
        <f t="array" ref="BF107">-BE107</f>
        <v>-745966</v>
      </c>
      <c r="BG107" s="679" cm="1">
        <f t="array" ref="BG107">BB107+BE107</f>
        <v>1067875</v>
      </c>
      <c r="BH107" s="679" cm="1">
        <f t="array" ref="BH107">AVERAGE(BG104:BG105,BG107)</f>
        <v>790518.666666667</v>
      </c>
      <c r="BI107" s="699" cm="1">
        <f t="array" ref="BI107">BC105-BC107</f>
        <v>0.1685</v>
      </c>
      <c r="BJ107" s="596" cm="1">
        <f t="array" ref="BJ107">J106*0.0495/12-0.16</f>
        <v>6.857830325</v>
      </c>
      <c r="BK107" s="698" cm="1">
        <f t="array" ref="BK107">(AV107+AX107)/BB107</f>
        <v>1.61974036140648</v>
      </c>
      <c r="BL107" s="698" cm="1">
        <f t="array" ref="BL107">U107-AW107</f>
        <v>9.660628306008199</v>
      </c>
      <c r="BM107" s="698" cm="1">
        <f t="array" ref="BM107">(BN$2*(1+BN$2)^BM$2*J105)/((1+BN$2)^BM$2-1)</f>
        <v>9.13363147115987</v>
      </c>
      <c r="BN107" s="698"/>
      <c r="BO107" s="247" cm="1">
        <f t="array" ref="BO107">AV107+AX107+BO106</f>
        <v>95462326</v>
      </c>
      <c r="BP107" s="247" cm="1">
        <f t="array" ref="BP107">BB107+BP106</f>
        <v>36324936</v>
      </c>
      <c r="BQ107" s="596" cm="1">
        <f t="array" ref="BQ107">BA107+BQ106</f>
        <v>2292.268</v>
      </c>
      <c r="BR107" s="596" cm="1">
        <f t="array" ref="BR107">BC107+BR106</f>
        <v>832.2359</v>
      </c>
      <c r="BS107" s="247" cm="1">
        <f t="array" ref="BS107">SUM(BE$6:BE107)</f>
        <v>37860114</v>
      </c>
      <c r="BT107" s="596"/>
      <c r="BU107" s="596"/>
      <c r="BV107" s="247" cm="1">
        <f t="array" ref="BV107">SUM(AZ$6:AZ107)</f>
        <v>95462326</v>
      </c>
      <c r="BW107" s="596"/>
      <c r="BX107" s="596"/>
    </row>
    <row r="108" ht="19.35" customHeight="1">
      <c r="A108" s="689">
        <v>104</v>
      </c>
      <c r="B108" s="675">
        <v>48498</v>
      </c>
      <c r="C108" s="247"/>
      <c r="D108" s="597" cm="1">
        <f t="array" ref="D108">W108</f>
        <v>17.1255939336619</v>
      </c>
      <c r="E108" s="731" cm="1">
        <f t="array" ref="E108">E107*(1+F108)</f>
        <v>52653.2694134652</v>
      </c>
      <c r="F108" s="835" cm="1">
        <f t="array" ref="F108">G108-SUM(F97:F107)</f>
        <v>0.0003</v>
      </c>
      <c r="G108" s="676" cm="1">
        <f t="array" ref="G108">'depto - Table 5'!$J$2</f>
        <v>0.03</v>
      </c>
      <c r="H108" s="676" cm="1">
        <f t="array" ref="H108">G108+4.95/100</f>
        <v>0.0795</v>
      </c>
      <c r="I108" s="247" cm="1">
        <f t="array" ref="I108">IF(J107=0,0,ROUND(D108*E108,0))</f>
        <v>901719</v>
      </c>
      <c r="J108" s="677" cm="1">
        <f t="array" ref="J108">IF(J107-BA108&lt;0,0,J107-BA108)</f>
        <v>1681.4876</v>
      </c>
      <c r="K108" s="679" cm="1">
        <f t="array" ref="K108">ROUND(J108*E108,0)</f>
        <v>88535820</v>
      </c>
      <c r="L108" s="679" cm="1">
        <f t="array" ref="L108">K108-K107</f>
        <v>-494500</v>
      </c>
      <c r="M108" s="681" cm="1">
        <f t="array" ref="M108">Q108-J108</f>
        <v>3718.5124</v>
      </c>
      <c r="N108" s="679" cm="1">
        <f t="array" ref="N108">ROUND(M108*E108,0)</f>
        <v>195791835</v>
      </c>
      <c r="O108" s="596" cm="1">
        <f t="array" ref="O108">$J$5-J108</f>
        <v>2268.5124</v>
      </c>
      <c r="P108" s="679" cm="1">
        <f t="array" ref="P108">N108-N107</f>
        <v>579773</v>
      </c>
      <c r="Q108" s="596">
        <v>5400</v>
      </c>
      <c r="R108" s="679" cm="1">
        <f t="array" ref="R108">Q108*E108</f>
        <v>284327654.832712</v>
      </c>
      <c r="S108" s="247" cm="1">
        <f t="array" ref="S108">-P108</f>
        <v>-579773</v>
      </c>
      <c r="T108" s="690"/>
      <c r="U108" s="682" cm="1">
        <f t="array" ref="U108">J107*4.95/12/100/(1-(1+4.95/12/100)^-(360-$A108+3))+AT108</f>
        <v>11.7537498186598</v>
      </c>
      <c r="V108" s="597" cm="1">
        <f t="array" ref="V108">IF(V$3*12&lt;=$A108,0,$J107*'depto - Departamento'!$D$8/12/(1-(1+'depto - Departamento'!$D$8/12)^-(12*V$3-$A108+3))+$AT109)</f>
        <v>13.5893756988896</v>
      </c>
      <c r="W108" s="597" cm="1">
        <f t="array" ref="W108">IF(W$3*12&lt;=$A108,0,$J107*'depto - Departamento'!$D$8/12/(1-(1+'depto - Departamento'!$D$8/12)^-(12*W$3-$A108+3))+$AT110)</f>
        <v>17.1255939336619</v>
      </c>
      <c r="X108" s="597" cm="1">
        <f t="array" ref="X108">IF(X$3*12&lt;=$A108,0,$J107*'depto - Departamento'!$D$8/12/(1-(1+'depto - Departamento'!$D$8/12)^-(12*X$3-$A108+3))+$AT110)</f>
        <v>26.2442142660494</v>
      </c>
      <c r="Y108" s="597" cm="1">
        <f t="array" ref="Y108">IF(Y$3*12&lt;=$A108,0,$J107*'depto - Departamento'!$D$8/12/(1-(1+'depto - Departamento'!$D$8/12)^-(12*Y$3-$A108+3))+$AT109)</f>
        <v>44.119888818176</v>
      </c>
      <c r="Z108" s="597" cm="1">
        <f t="array" ref="Z108">IF(Z$3*12&lt;=$A108,0,$J107*'depto - Departamento'!$D$8/12/(1-(1+'depto - Departamento'!$D$8/12)^-(12*Z$3-$A108+3))+$AT109)</f>
        <v>93.85067521674949</v>
      </c>
      <c r="AA108" s="597" cm="1">
        <f t="array" ref="AA108">IF(AA$3*12&lt;=$A108,0,$J107*'depto - Departamento'!$D$8/12/(1-(1+'depto - Departamento'!$D$8/12)^-(12*AA$3-$A108+3))+$AT109)</f>
        <v>0</v>
      </c>
      <c r="AB108" s="597" cm="1">
        <f t="array" ref="AB108">AB107-(AB106-AB107)</f>
        <v>78.7877</v>
      </c>
      <c r="AC108" s="597"/>
      <c r="AD108" s="696" cm="1">
        <f t="array" ref="AD108">$E108*U108</f>
        <v>618873.355820362</v>
      </c>
      <c r="AE108" s="247" cm="1">
        <f t="array" ref="AE108">$E108*V108</f>
        <v>715525.059834431</v>
      </c>
      <c r="AF108" s="247" cm="1">
        <f t="array" ref="AF108">$E108*W108</f>
        <v>901718.511254705</v>
      </c>
      <c r="AG108" s="247" cm="1">
        <f t="array" ref="AG108">$E108*X108</f>
        <v>1381843.68429501</v>
      </c>
      <c r="AH108" s="247" cm="1">
        <f t="array" ref="AH108">$E108*Y108</f>
        <v>2323056.39243555</v>
      </c>
      <c r="AI108" s="247" cm="1">
        <f t="array" ref="AI108">$E108*Z108</f>
        <v>4941544.88682313</v>
      </c>
      <c r="AJ108" s="247" cm="1">
        <f t="array" ref="AJ108">$E108*AA108</f>
        <v>0</v>
      </c>
      <c r="AK108" s="247" cm="1">
        <f t="array" ref="AK108">$E108*AB108</f>
        <v>4148429.99456727</v>
      </c>
      <c r="AL108" s="597"/>
      <c r="AM108" s="691" cm="1">
        <f t="array" ref="AM108">J106-J108</f>
        <v>19.8046</v>
      </c>
      <c r="AN108" s="691" cm="1">
        <f t="array" ref="AN108">D108-AM108</f>
        <v>-2.6790060663381</v>
      </c>
      <c r="AO108" s="597"/>
      <c r="AP108" s="684" cm="1">
        <f t="array" ref="AP108">ROUND(AQ108*E108,0)</f>
        <v>54454</v>
      </c>
      <c r="AQ108" s="692">
        <v>1.0342</v>
      </c>
      <c r="AR108" s="684" cm="1">
        <f t="array" ref="AR108">ROUND(E108*AS108,0)</f>
        <v>4144</v>
      </c>
      <c r="AS108" s="692" cm="1">
        <f t="array" ref="AS108">0.0787</f>
        <v>0.07870000000000001</v>
      </c>
      <c r="AT108" s="693" cm="1">
        <f t="array" ref="AT108">SUM(AQ108,AS108)</f>
        <v>1.1129</v>
      </c>
      <c r="AU108" s="684" cm="1">
        <f t="array" ref="AU108">ROUND(SUM(AQ108,AS108)*E108,0)</f>
        <v>58598</v>
      </c>
      <c r="AV108" s="685">
        <v>112242</v>
      </c>
      <c r="AW108" s="694" cm="1">
        <f t="array" ref="AW108">ROUND(AV108/$E108,4)</f>
        <v>2.1317</v>
      </c>
      <c r="AX108" s="685" cm="1">
        <f t="array" ref="AX108">I108-SUM(AU108,AV108,BB108)</f>
        <v>408970</v>
      </c>
      <c r="AY108" s="694" cm="1">
        <f t="array" ref="AY108">ROUND(AX108/$E108,4)</f>
        <v>7.7672</v>
      </c>
      <c r="AZ108" s="686" cm="1">
        <f t="array" ref="AZ108">AX108+AV108</f>
        <v>521212</v>
      </c>
      <c r="BA108" s="694" cm="1">
        <f t="array" ref="BA108">ROUND((AV108+AX108)/E108,4)</f>
        <v>9.898899999999999</v>
      </c>
      <c r="BB108" s="687">
        <v>321909</v>
      </c>
      <c r="BC108" s="695" cm="1">
        <f t="array" ref="BC108">ROUND(BB108/$E108,4)</f>
        <v>6.1138</v>
      </c>
      <c r="BD108" s="679" cm="1">
        <f t="array" ref="BD108">K107-K108</f>
        <v>494500</v>
      </c>
      <c r="BE108" s="679" cm="1">
        <f t="array" ref="BE108">AZ108-BD108</f>
        <v>26712</v>
      </c>
      <c r="BF108" s="679" cm="1">
        <f t="array" ref="BF108">-BE108</f>
        <v>-26712</v>
      </c>
      <c r="BG108" s="679" cm="1">
        <f t="array" ref="BG108">BB108+BE108</f>
        <v>348621</v>
      </c>
      <c r="BH108" s="679" cm="1">
        <f t="array" ref="BH108">AVERAGE(BG105:BG106,BG108)</f>
        <v>871262.666666667</v>
      </c>
      <c r="BI108" s="699" cm="1">
        <f t="array" ref="BI108">BC106-BC108</f>
        <v>0.0532</v>
      </c>
      <c r="BJ108" s="596" cm="1">
        <f t="array" ref="BJ108">J107*0.0495/12-0.16</f>
        <v>6.8169693125</v>
      </c>
      <c r="BK108" s="698" cm="1">
        <f t="array" ref="BK108">(AV108+AX108)/BB108</f>
        <v>1.61912838721502</v>
      </c>
      <c r="BL108" s="698" cm="1">
        <f t="array" ref="BL108">U108-AW108</f>
        <v>9.6220498186598</v>
      </c>
      <c r="BM108" s="698" cm="1">
        <f t="array" ref="BM108">(BN$2*(1+BN$2)^BM$2*J106)/((1+BN$2)^BM$2-1)</f>
        <v>9.08098733759218</v>
      </c>
      <c r="BN108" s="698"/>
      <c r="BO108" s="247" cm="1">
        <f t="array" ref="BO108">AV108+AX108+BO107</f>
        <v>95983538</v>
      </c>
      <c r="BP108" s="247" cm="1">
        <f t="array" ref="BP108">BB108+BP107</f>
        <v>36646845</v>
      </c>
      <c r="BQ108" s="596" cm="1">
        <f t="array" ref="BQ108">BA108+BQ107</f>
        <v>2302.1669</v>
      </c>
      <c r="BR108" s="596" cm="1">
        <f t="array" ref="BR108">BC108+BR107</f>
        <v>838.3497</v>
      </c>
      <c r="BS108" s="247" cm="1">
        <f t="array" ref="BS108">SUM(BE$6:BE108)</f>
        <v>37886826</v>
      </c>
      <c r="BT108" s="596"/>
      <c r="BU108" s="596"/>
      <c r="BV108" s="247" cm="1">
        <f t="array" ref="BV108">SUM(AZ$6:AZ108)</f>
        <v>95983538</v>
      </c>
      <c r="BW108" s="596"/>
      <c r="BX108" s="596"/>
    </row>
    <row r="109" ht="19.35" customHeight="1">
      <c r="A109" s="689">
        <v>105</v>
      </c>
      <c r="B109" s="675">
        <v>48529</v>
      </c>
      <c r="C109" s="247"/>
      <c r="D109" s="597" cm="1">
        <f t="array" ref="D109">W109</f>
        <v>16.0044781897429</v>
      </c>
      <c r="E109" s="731" cm="1">
        <f t="array" ref="E109">E108*(1+F109)</f>
        <v>52848.086510295</v>
      </c>
      <c r="F109" s="835" cm="1">
        <f t="array" ref="F109">G109-SUM(F98:F108)</f>
        <v>0.0037</v>
      </c>
      <c r="G109" s="676" cm="1">
        <f t="array" ref="G109">'depto - Table 5'!$J$2</f>
        <v>0.03</v>
      </c>
      <c r="H109" s="676" cm="1">
        <f t="array" ref="H109">G109+4.95/100</f>
        <v>0.0795</v>
      </c>
      <c r="I109" s="247" cm="1">
        <f t="array" ref="I109">IF(J108=0,0,ROUND(D109*E109,0))</f>
        <v>845806</v>
      </c>
      <c r="J109" s="677" cm="1">
        <f t="array" ref="J109">IF(J108-BA109&lt;0,0,J108-BA109)</f>
        <v>1672.6872</v>
      </c>
      <c r="K109" s="679" cm="1">
        <f t="array" ref="K109">ROUND(J109*E109,0)</f>
        <v>88398318</v>
      </c>
      <c r="L109" s="679" cm="1">
        <f t="array" ref="L109">K109-K108</f>
        <v>-137502</v>
      </c>
      <c r="M109" s="681" cm="1">
        <f t="array" ref="M109">Q109-J109</f>
        <v>3727.3128</v>
      </c>
      <c r="N109" s="679" cm="1">
        <f t="array" ref="N109">ROUND(M109*E109,0)</f>
        <v>196981349</v>
      </c>
      <c r="O109" s="596" cm="1">
        <f t="array" ref="O109">$J$5-J109</f>
        <v>2277.3128</v>
      </c>
      <c r="P109" s="679" cm="1">
        <f t="array" ref="P109">N109-N108</f>
        <v>1189514</v>
      </c>
      <c r="Q109" s="596">
        <v>5400</v>
      </c>
      <c r="R109" s="679" cm="1">
        <f t="array" ref="R109">Q109*E109</f>
        <v>285379667.155593</v>
      </c>
      <c r="S109" s="247" cm="1">
        <f t="array" ref="S109">-P109</f>
        <v>-1189514</v>
      </c>
      <c r="T109" s="690"/>
      <c r="U109" s="682" cm="1">
        <f t="array" ref="U109">J108*4.95/12/100/(1-(1+4.95/12/100)^-(360-$A109+3))+AT109</f>
        <v>11.714438912185</v>
      </c>
      <c r="V109" s="597" cm="1">
        <f t="array" ref="V109">IF(V$3*12&lt;=$A109,0,$J108*'depto - Departamento'!$D$8/12/(1-(1+'depto - Departamento'!$D$8/12)^-(12*V$3-$A109+3))+$AT110)</f>
        <v>13.5568178063868</v>
      </c>
      <c r="W109" s="597" cm="1">
        <f t="array" ref="W109">IF(W$3*12&lt;=$A109,0,$J108*'depto - Departamento'!$D$8/12/(1-(1+'depto - Departamento'!$D$8/12)^-(12*W$3-$A109+3))+$AT111)</f>
        <v>16.0044781897429</v>
      </c>
      <c r="X109" s="597" cm="1">
        <f t="array" ref="X109">IF(X$3*12&lt;=$A109,0,$J108*'depto - Departamento'!$D$8/12/(1-(1+'depto - Departamento'!$D$8/12)^-(12*X$3-$A109+3))+$AT111)</f>
        <v>25.2553079276031</v>
      </c>
      <c r="Y109" s="597" cm="1">
        <f t="array" ref="Y109">IF(Y$3*12&lt;=$A109,0,$J108*'depto - Departamento'!$D$8/12/(1-(1+'depto - Departamento'!$D$8/12)^-(12*Y$3-$A109+3))+$AT110)</f>
        <v>44.7987883649682</v>
      </c>
      <c r="Z109" s="597" cm="1">
        <f t="array" ref="Z109">IF(Z$3*12&lt;=$A109,0,$J108*'depto - Departamento'!$D$8/12/(1-(1+'depto - Departamento'!$D$8/12)^-(12*Z$3-$A109+3))+$AT110)</f>
        <v>98.2323093691753</v>
      </c>
      <c r="AA109" s="597" cm="1">
        <f t="array" ref="AA109">IF(AA$3*12&lt;=$A109,0,$J108*'depto - Departamento'!$D$8/12/(1-(1+'depto - Departamento'!$D$8/12)^-(12*AA$3-$A109+3))+$AT110)</f>
        <v>0</v>
      </c>
      <c r="AB109" s="597" cm="1">
        <f t="array" ref="AB109">AB108-(AB107-AB108)</f>
        <v>78.7753</v>
      </c>
      <c r="AC109" s="597"/>
      <c r="AD109" s="696" cm="1">
        <f t="array" ref="AD109">$E109*U109</f>
        <v>619085.681050719</v>
      </c>
      <c r="AE109" s="247" cm="1">
        <f t="array" ref="AE109">$E109*V109</f>
        <v>716451.880236237</v>
      </c>
      <c r="AF109" s="247" cm="1">
        <f t="array" ref="AF109">$E109*W109</f>
        <v>845806.047923662</v>
      </c>
      <c r="AG109" s="247" cm="1">
        <f t="array" ref="AG109">$E109*X109</f>
        <v>1334694.69820211</v>
      </c>
      <c r="AH109" s="247" cm="1">
        <f t="array" ref="AH109">$E109*Y109</f>
        <v>2367530.24306824</v>
      </c>
      <c r="AI109" s="247" cm="1">
        <f t="array" ref="AI109">$E109*Z109</f>
        <v>5191389.58364824</v>
      </c>
      <c r="AJ109" s="247" cm="1">
        <f t="array" ref="AJ109">$E109*AA109</f>
        <v>0</v>
      </c>
      <c r="AK109" s="247" cm="1">
        <f t="array" ref="AK109">$E109*AB109</f>
        <v>4163123.86927444</v>
      </c>
      <c r="AL109" s="597"/>
      <c r="AM109" s="691" cm="1">
        <f t="array" ref="AM109">J107-J109</f>
        <v>18.6993</v>
      </c>
      <c r="AN109" s="691" cm="1">
        <f t="array" ref="AN109">D109-AM109</f>
        <v>-2.6948218102571</v>
      </c>
      <c r="AO109" s="597"/>
      <c r="AP109" s="684" cm="1">
        <f t="array" ref="AP109">ROUND(AQ109*E109,0)</f>
        <v>54655</v>
      </c>
      <c r="AQ109" s="692">
        <v>1.0342</v>
      </c>
      <c r="AR109" s="684" cm="1">
        <f t="array" ref="AR109">ROUND(E109*AS109,0)</f>
        <v>4159</v>
      </c>
      <c r="AS109" s="692" cm="1">
        <f t="array" ref="AS109">0.0787</f>
        <v>0.07870000000000001</v>
      </c>
      <c r="AT109" s="693" cm="1">
        <f t="array" ref="AT109">SUM(AQ109,AS109)</f>
        <v>1.1129</v>
      </c>
      <c r="AU109" s="684" cm="1">
        <f t="array" ref="AU109">ROUND(SUM(AQ109,AS109)*E109,0)</f>
        <v>58815</v>
      </c>
      <c r="AV109" s="685">
        <v>112242</v>
      </c>
      <c r="AW109" s="694" cm="1">
        <f t="array" ref="AW109">ROUND(AV109/$E109,4)</f>
        <v>2.1239</v>
      </c>
      <c r="AX109" s="685" cm="1">
        <f t="array" ref="AX109">I109-SUM(AU109,AV109,BB109)</f>
        <v>352840</v>
      </c>
      <c r="AY109" s="694" cm="1">
        <f t="array" ref="AY109">ROUND(AX109/$E109,4)</f>
        <v>6.6765</v>
      </c>
      <c r="AZ109" s="686" cm="1">
        <f t="array" ref="AZ109">AX109+AV109</f>
        <v>465082</v>
      </c>
      <c r="BA109" s="694" cm="1">
        <f t="array" ref="BA109">ROUND((AV109+AX109)/E109,4)</f>
        <v>8.8004</v>
      </c>
      <c r="BB109" s="687">
        <v>321909</v>
      </c>
      <c r="BC109" s="695" cm="1">
        <f t="array" ref="BC109">ROUND(BB109/$E109,4)</f>
        <v>6.0912</v>
      </c>
      <c r="BD109" s="679" cm="1">
        <f t="array" ref="BD109">K108-K109</f>
        <v>137502</v>
      </c>
      <c r="BE109" s="679" cm="1">
        <f t="array" ref="BE109">AZ109-BD109</f>
        <v>327580</v>
      </c>
      <c r="BF109" s="679" cm="1">
        <f t="array" ref="BF109">-BE109</f>
        <v>-327580</v>
      </c>
      <c r="BG109" s="679" cm="1">
        <f t="array" ref="BG109">BB109+BE109</f>
        <v>649489</v>
      </c>
      <c r="BH109" s="679" cm="1">
        <f t="array" ref="BH109">AVERAGE(BG106:BG107,BG109)</f>
        <v>1234906.66666667</v>
      </c>
      <c r="BI109" s="699" cm="1">
        <f t="array" ref="BI109">BC107-BC109</f>
        <v>0.0244</v>
      </c>
      <c r="BJ109" s="596" cm="1">
        <f t="array" ref="BJ109">J108*0.0495/12-0.16</f>
        <v>6.77613635</v>
      </c>
      <c r="BK109" s="698" cm="1">
        <f t="array" ref="BK109">(AV109+AX109)/BB109</f>
        <v>1.44476233966742</v>
      </c>
      <c r="BL109" s="698" cm="1">
        <f t="array" ref="BL109">U109-AW109</f>
        <v>9.590538912185</v>
      </c>
      <c r="BM109" s="698" cm="1">
        <f t="array" ref="BM109">(BN$2*(1+BN$2)^BM$2*J107)/((1+BN$2)^BM$2-1)</f>
        <v>9.028113682925451</v>
      </c>
      <c r="BN109" s="698"/>
      <c r="BO109" s="247" cm="1">
        <f t="array" ref="BO109">AV109+AX109+BO108</f>
        <v>96448620</v>
      </c>
      <c r="BP109" s="247" cm="1">
        <f t="array" ref="BP109">BB109+BP108</f>
        <v>36968754</v>
      </c>
      <c r="BQ109" s="596" cm="1">
        <f t="array" ref="BQ109">BA109+BQ108</f>
        <v>2310.9673</v>
      </c>
      <c r="BR109" s="596" cm="1">
        <f t="array" ref="BR109">BC109+BR108</f>
        <v>844.4409000000001</v>
      </c>
      <c r="BS109" s="247" cm="1">
        <f t="array" ref="BS109">SUM(BE$6:BE109)</f>
        <v>38214406</v>
      </c>
      <c r="BT109" s="596"/>
      <c r="BU109" s="596"/>
      <c r="BV109" s="247" cm="1">
        <f t="array" ref="BV109">SUM(AZ$6:AZ109)</f>
        <v>96448620</v>
      </c>
      <c r="BW109" s="596"/>
      <c r="BX109" s="596"/>
    </row>
    <row r="110" ht="19.35" customHeight="1">
      <c r="A110" s="734">
        <v>106</v>
      </c>
      <c r="B110" s="735">
        <v>48559</v>
      </c>
      <c r="C110" s="262"/>
      <c r="D110" s="736" cm="1">
        <f t="array" ref="D110">W110</f>
        <v>16.0070423011697</v>
      </c>
      <c r="E110" s="738" cm="1">
        <f t="array" ref="E110">E109*(1+F110)</f>
        <v>52858.6561275971</v>
      </c>
      <c r="F110" s="838" cm="1">
        <f t="array" ref="F110">G110-SUM(F99:F109)</f>
        <v>0.0002</v>
      </c>
      <c r="G110" s="737" cm="1">
        <f t="array" ref="G110">'depto - Table 5'!$J$2</f>
        <v>0.03</v>
      </c>
      <c r="H110" s="737" cm="1">
        <f t="array" ref="H110">G110+4.95/100</f>
        <v>0.0795</v>
      </c>
      <c r="I110" s="262" cm="1">
        <f t="array" ref="I110">IF(J109=0,0,ROUND(D110*E110,0))</f>
        <v>846111</v>
      </c>
      <c r="J110" s="742" cm="1">
        <f t="array" ref="J110">IF(J109-BA110&lt;0,0,J109-BA110)</f>
        <v>1663.883</v>
      </c>
      <c r="K110" s="744" cm="1">
        <f t="array" ref="K110">ROUND(J110*E110,0)</f>
        <v>87950619</v>
      </c>
      <c r="L110" s="744" cm="1">
        <f t="array" ref="L110">K110-K109</f>
        <v>-447699</v>
      </c>
      <c r="M110" s="746" cm="1">
        <f t="array" ref="M110">Q110-J110</f>
        <v>3736.117</v>
      </c>
      <c r="N110" s="744" cm="1">
        <f t="array" ref="N110">ROUND(M110*E110,0)</f>
        <v>197486124</v>
      </c>
      <c r="O110" s="747" cm="1">
        <f t="array" ref="O110">$J$5-J110</f>
        <v>2286.117</v>
      </c>
      <c r="P110" s="744" cm="1">
        <f t="array" ref="P110">N110-N109</f>
        <v>504775</v>
      </c>
      <c r="Q110" s="747">
        <v>5400</v>
      </c>
      <c r="R110" s="744" cm="1">
        <f t="array" ref="R110">Q110*E110</f>
        <v>285436743.089024</v>
      </c>
      <c r="S110" s="262" cm="1">
        <f t="array" ref="S110">-P110</f>
        <v>-504775</v>
      </c>
      <c r="T110" s="748"/>
      <c r="U110" s="749" cm="1">
        <f t="array" ref="U110">J109*4.95/12/100/(1-(1+4.95/12/100)^-(360-$A110+3))+AT110</f>
        <v>11.681992759527</v>
      </c>
      <c r="V110" s="736" cm="1">
        <f t="array" ref="V110">IF(V$3*12&lt;=$A110,0,$J109*'depto - Departamento'!$D$8/12/(1-(1+'depto - Departamento'!$D$8/12)^-(12*V$3-$A110+3))+$AT111)</f>
        <v>12.4194705701664</v>
      </c>
      <c r="W110" s="736" cm="1">
        <f t="array" ref="W110">IF(W$3*12&lt;=$A110,0,$J109*'depto - Departamento'!$D$8/12/(1-(1+'depto - Departamento'!$D$8/12)^-(12*W$3-$A110+3))+$AT112)</f>
        <v>16.0070423011697</v>
      </c>
      <c r="X110" s="736" cm="1">
        <f t="array" ref="X110">IF(X$3*12&lt;=$A110,0,$J109*'depto - Departamento'!$D$8/12/(1-(1+'depto - Departamento'!$D$8/12)^-(12*X$3-$A110+3))+$AT112)</f>
        <v>25.3998510196776</v>
      </c>
      <c r="Y110" s="736" cm="1">
        <f t="array" ref="Y110">IF(Y$3*12&lt;=$A110,0,$J109*'depto - Departamento'!$D$8/12/(1-(1+'depto - Departamento'!$D$8/12)^-(12*Y$3-$A110+3))+$AT111)</f>
        <v>44.4282512123331</v>
      </c>
      <c r="Z110" s="736" cm="1">
        <f t="array" ref="Z110">IF(Z$3*12&lt;=$A110,0,$J109*'depto - Departamento'!$D$8/12/(1-(1+'depto - Departamento'!$D$8/12)^-(12*Z$3-$A110+3))+$AT111)</f>
        <v>102.086313830112</v>
      </c>
      <c r="AA110" s="736" cm="1">
        <f t="array" ref="AA110">IF(AA$3*12&lt;=$A110,0,$J109*'depto - Departamento'!$D$8/12/(1-(1+'depto - Departamento'!$D$8/12)^-(12*AA$3-$A110+3))+$AT111)</f>
        <v>0</v>
      </c>
      <c r="AB110" s="736" cm="1">
        <f t="array" ref="AB110">AB109-(AB108-AB109)</f>
        <v>78.7629</v>
      </c>
      <c r="AC110" s="736"/>
      <c r="AD110" s="750" cm="1">
        <f t="array" ref="AD110">$E110*U110</f>
        <v>617494.438160917</v>
      </c>
      <c r="AE110" s="262" cm="1">
        <f t="array" ref="AE110">$E110*V110</f>
        <v>656476.5241552379</v>
      </c>
      <c r="AF110" s="262" cm="1">
        <f t="array" ref="AF110">$E110*W110</f>
        <v>846110.74461743</v>
      </c>
      <c r="AG110" s="262" cm="1">
        <f t="array" ref="AG110">$E110*X110</f>
        <v>1342601.99074133</v>
      </c>
      <c r="AH110" s="262" cm="1">
        <f t="array" ref="AH110">$E110*Y110</f>
        <v>2348417.65318321</v>
      </c>
      <c r="AI110" s="262" cm="1">
        <f t="array" ref="AI110">$E110*Z110</f>
        <v>5396145.35807985</v>
      </c>
      <c r="AJ110" s="262" cm="1">
        <f t="array" ref="AJ110">$E110*AA110</f>
        <v>0</v>
      </c>
      <c r="AK110" s="262" cm="1">
        <f t="array" ref="AK110">$E110*AB110</f>
        <v>4163301.04671232</v>
      </c>
      <c r="AL110" s="736"/>
      <c r="AM110" s="751" cm="1">
        <f t="array" ref="AM110">J108-J110</f>
        <v>17.6046</v>
      </c>
      <c r="AN110" s="751" cm="1">
        <f t="array" ref="AN110">D110-AM110</f>
        <v>-1.5975576988303</v>
      </c>
      <c r="AO110" s="736"/>
      <c r="AP110" s="752" cm="1">
        <f t="array" ref="AP110">ROUND(AQ110*E110,0)</f>
        <v>54666</v>
      </c>
      <c r="AQ110" s="753">
        <v>1.0342</v>
      </c>
      <c r="AR110" s="752" cm="1">
        <f t="array" ref="AR110">ROUND(E110*AS110,0)</f>
        <v>4160</v>
      </c>
      <c r="AS110" s="753" cm="1">
        <f t="array" ref="AS110">0.0787</f>
        <v>0.07870000000000001</v>
      </c>
      <c r="AT110" s="754" cm="1">
        <f t="array" ref="AT110">SUM(AQ110,AS110)</f>
        <v>1.1129</v>
      </c>
      <c r="AU110" s="752" cm="1">
        <f t="array" ref="AU110">ROUND(SUM(AQ110,AS110)*E110,0)</f>
        <v>58826</v>
      </c>
      <c r="AV110" s="755">
        <v>112242</v>
      </c>
      <c r="AW110" s="756" cm="1">
        <f t="array" ref="AW110">ROUND(AV110/$E110,4)</f>
        <v>2.1234</v>
      </c>
      <c r="AX110" s="755" cm="1">
        <f t="array" ref="AX110">I110-SUM(AU110,AV110,BB110)</f>
        <v>353134</v>
      </c>
      <c r="AY110" s="756" cm="1">
        <f t="array" ref="AY110">ROUND(AX110/$E110,4)</f>
        <v>6.6807</v>
      </c>
      <c r="AZ110" s="757" cm="1">
        <f t="array" ref="AZ110">AX110+AV110</f>
        <v>465376</v>
      </c>
      <c r="BA110" s="756" cm="1">
        <f t="array" ref="BA110">ROUND((AV110+AX110)/E110,4)</f>
        <v>8.8042</v>
      </c>
      <c r="BB110" s="758">
        <v>321909</v>
      </c>
      <c r="BC110" s="839" cm="1">
        <f t="array" ref="BC110">ROUND(BB110/$E110,4)</f>
        <v>6.09</v>
      </c>
      <c r="BD110" s="744" cm="1">
        <f t="array" ref="BD110">K109-K110</f>
        <v>447699</v>
      </c>
      <c r="BE110" s="744" cm="1">
        <f t="array" ref="BE110">AZ110-BD110</f>
        <v>17677</v>
      </c>
      <c r="BF110" s="744" cm="1">
        <f t="array" ref="BF110">-BE110</f>
        <v>-17677</v>
      </c>
      <c r="BG110" s="744" cm="1">
        <f t="array" ref="BG110">BB110+BE110</f>
        <v>339586</v>
      </c>
      <c r="BH110" s="744" cm="1">
        <f t="array" ref="BH110">AVERAGE(BG107:BG108,BG110)</f>
        <v>585360.666666667</v>
      </c>
      <c r="BI110" s="760" cm="1">
        <f t="array" ref="BI110">BC108-BC110</f>
        <v>0.0238</v>
      </c>
      <c r="BJ110" s="747" cm="1">
        <f t="array" ref="BJ110">J109*0.0495/12-0.16</f>
        <v>6.7398347</v>
      </c>
      <c r="BK110" s="761" cm="1">
        <f t="array" ref="BK110">(AV110+AX110)/BB110</f>
        <v>1.44567564125265</v>
      </c>
      <c r="BL110" s="761" cm="1">
        <f t="array" ref="BL110">U110-AW110</f>
        <v>9.558592759527</v>
      </c>
      <c r="BM110" s="761" cm="1">
        <f t="array" ref="BM110">(BN$2*(1+BN$2)^BM$2*J108)/((1+BN$2)^BM$2-1)</f>
        <v>8.97527632461858</v>
      </c>
      <c r="BN110" s="761"/>
      <c r="BO110" s="262" cm="1">
        <f t="array" ref="BO110">AV110+AX110+BO109</f>
        <v>96913996</v>
      </c>
      <c r="BP110" s="262" cm="1">
        <f t="array" ref="BP110">BB110+BP109</f>
        <v>37290663</v>
      </c>
      <c r="BQ110" s="747" cm="1">
        <f t="array" ref="BQ110">BA110+BQ109</f>
        <v>2319.7715</v>
      </c>
      <c r="BR110" s="747" cm="1">
        <f t="array" ref="BR110">BC110+BR109</f>
        <v>850.5309</v>
      </c>
      <c r="BS110" s="262" cm="1">
        <f t="array" ref="BS110">SUM(BE$6:BE110)</f>
        <v>38232083</v>
      </c>
      <c r="BT110" s="747"/>
      <c r="BU110" s="747"/>
      <c r="BV110" s="262" cm="1">
        <f t="array" ref="BV110">SUM(AZ$6:AZ110)</f>
        <v>96913996</v>
      </c>
      <c r="BW110" s="747"/>
      <c r="BX110" s="747"/>
    </row>
    <row r="111" ht="20.55" customHeight="1">
      <c r="A111" s="817"/>
      <c r="B111" s="666"/>
      <c r="C111" s="366" cm="1">
        <f t="array" ref="C111">SUM(C5:C110)</f>
        <v>127319518</v>
      </c>
      <c r="D111" s="666" cm="1">
        <f t="array" ref="D111">D$112+D5</f>
        <v>3014.521658398970</v>
      </c>
      <c r="E111" s="666"/>
      <c r="F111" s="666"/>
      <c r="G111" s="666"/>
      <c r="H111" s="666"/>
      <c r="I111" s="46"/>
      <c r="J111" s="46"/>
      <c r="K111" s="819"/>
      <c r="L111" s="819"/>
      <c r="M111" s="819"/>
      <c r="N111" s="819"/>
      <c r="O111" s="819"/>
      <c r="P111" s="666"/>
      <c r="Q111" s="819"/>
      <c r="R111" s="819"/>
      <c r="S111" s="366"/>
      <c r="T111" s="366"/>
      <c r="U111" s="366"/>
      <c r="V111" s="366"/>
      <c r="W111" s="366"/>
      <c r="X111" s="366"/>
      <c r="Y111" s="366"/>
      <c r="Z111" s="366"/>
      <c r="AA111" s="366"/>
      <c r="AB111" s="366"/>
      <c r="AC111" s="366"/>
      <c r="AD111" s="366"/>
      <c r="AE111" s="366"/>
      <c r="AF111" s="366"/>
      <c r="AG111" s="366"/>
      <c r="AH111" s="366"/>
      <c r="AI111" s="366"/>
      <c r="AJ111" s="366"/>
      <c r="AK111" s="366"/>
      <c r="AL111" s="366"/>
      <c r="AM111" s="46"/>
      <c r="AN111" s="366"/>
      <c r="AO111" s="366"/>
      <c r="AP111" s="366"/>
      <c r="AQ111" s="366"/>
      <c r="AR111" s="366"/>
      <c r="AS111" s="366"/>
      <c r="AT111" s="366"/>
      <c r="AU111" s="366"/>
      <c r="AV111" s="820" cm="1">
        <f t="array" ref="AV111">SUM(AV5:AV110)</f>
        <v>13375818.9588129</v>
      </c>
      <c r="AW111" s="821" cm="1">
        <f t="array" ref="AW111">SUM(AW5:AW110)</f>
        <v>306.0441</v>
      </c>
      <c r="AX111" s="820" cm="1">
        <f t="array" ref="AX111">SUM(AX5:AX110)</f>
        <v>83538177.04118709</v>
      </c>
      <c r="AY111" s="821" cm="1">
        <f t="array" ref="AY111">SUM(AY5:AY110)</f>
        <v>2013.7276</v>
      </c>
      <c r="AZ111" s="820" cm="1">
        <f t="array" ref="AZ111">SUM(AZ5:AZ110)</f>
        <v>96913996</v>
      </c>
      <c r="BA111" s="46"/>
      <c r="BB111" s="46"/>
      <c r="BC111" s="46"/>
      <c r="BD111" s="46"/>
      <c r="BE111" s="46"/>
      <c r="BF111" s="46"/>
      <c r="BG111" s="46"/>
      <c r="BH111" s="46"/>
      <c r="BI111" s="366"/>
      <c r="BJ111" s="366"/>
      <c r="BK111" s="366"/>
      <c r="BL111" s="366"/>
      <c r="BM111" s="366"/>
      <c r="BN111" s="366"/>
      <c r="BO111" s="366"/>
      <c r="BP111" s="366"/>
      <c r="BQ111" s="366"/>
      <c r="BR111" s="366"/>
      <c r="BS111" s="366"/>
      <c r="BT111" s="366"/>
      <c r="BU111" s="366"/>
      <c r="BV111" s="366"/>
      <c r="BW111" s="366"/>
      <c r="BX111" s="366"/>
    </row>
    <row r="112" ht="20.35" customHeight="1">
      <c r="A112" s="822" cm="1">
        <f t="array" ref="A112">'depto - Departamento'!D3</f>
        <v>5400</v>
      </c>
      <c r="B112" s="681"/>
      <c r="C112" s="371" cm="1">
        <f t="array" ref="C112">SUM(C5:C110)-C5</f>
        <v>73492386</v>
      </c>
      <c r="D112" s="823" cm="1">
        <f t="array" ref="D112">SUM(D7:D29)</f>
        <v>1564.521658398970</v>
      </c>
      <c r="E112" t="s" s="50">
        <v>597</v>
      </c>
      <c r="F112" s="51"/>
      <c r="G112" s="51"/>
      <c r="H112" s="825"/>
      <c r="I112" s="371"/>
      <c r="J112" s="681"/>
      <c r="K112" s="677"/>
      <c r="L112" s="371"/>
      <c r="M112" s="677"/>
      <c r="N112" s="51"/>
      <c r="O112" s="371"/>
      <c r="P112" s="681"/>
      <c r="Q112" s="677"/>
      <c r="R112" s="677"/>
      <c r="S112" s="371"/>
      <c r="T112" s="371"/>
      <c r="U112" s="371"/>
      <c r="V112" s="371"/>
      <c r="W112" s="371"/>
      <c r="X112" s="371"/>
      <c r="Y112" s="371"/>
      <c r="Z112" s="371"/>
      <c r="AA112" s="371"/>
      <c r="AB112" s="371"/>
      <c r="AC112" s="371"/>
      <c r="AD112" s="371"/>
      <c r="AE112" s="371"/>
      <c r="AF112" s="371"/>
      <c r="AG112" s="371"/>
      <c r="AH112" s="371"/>
      <c r="AI112" s="371"/>
      <c r="AJ112" s="371"/>
      <c r="AK112" s="371"/>
      <c r="AL112" s="371"/>
      <c r="AM112" s="371"/>
      <c r="AN112" s="371"/>
      <c r="AO112" s="371"/>
      <c r="AP112" s="371"/>
      <c r="AQ112" s="371"/>
      <c r="AR112" s="371"/>
      <c r="AS112" s="371"/>
      <c r="AT112" s="371"/>
      <c r="AU112" s="371"/>
      <c r="AV112" s="371"/>
      <c r="AW112" s="371"/>
      <c r="AX112" s="51"/>
      <c r="AY112" s="374"/>
      <c r="AZ112" s="51"/>
      <c r="BA112" s="51"/>
      <c r="BB112" s="51"/>
      <c r="BC112" s="51"/>
      <c r="BD112" s="51"/>
      <c r="BE112" s="51"/>
      <c r="BF112" s="51"/>
      <c r="BG112" s="51"/>
      <c r="BH112" s="51"/>
      <c r="BI112" s="371"/>
      <c r="BJ112" s="371"/>
      <c r="BK112" s="371"/>
      <c r="BL112" s="371"/>
      <c r="BM112" s="371"/>
      <c r="BN112" s="371"/>
      <c r="BO112" s="371"/>
      <c r="BP112" s="371"/>
      <c r="BQ112" s="371"/>
      <c r="BR112" s="371"/>
      <c r="BS112" s="371"/>
      <c r="BT112" s="371"/>
      <c r="BU112" s="371"/>
      <c r="BV112" s="371"/>
      <c r="BW112" s="371"/>
      <c r="BX112" s="371"/>
    </row>
    <row r="113" ht="20.35" customHeight="1">
      <c r="A113" s="681" cm="1">
        <f t="array" ref="A113">D$113</f>
        <v>2432.6243</v>
      </c>
      <c r="B113" s="681"/>
      <c r="C113" s="371" cm="1">
        <f t="array" ref="C113">ROUND(D$113*'depto - Table 2'!B1,0)</f>
        <v>98790551</v>
      </c>
      <c r="D113" s="823" cm="1">
        <f t="array" ref="D113">J29</f>
        <v>2432.6243</v>
      </c>
      <c r="E113" t="s" s="50">
        <v>598</v>
      </c>
      <c r="F113" s="51"/>
      <c r="G113" s="51"/>
      <c r="H113" s="51"/>
      <c r="I113" s="51"/>
      <c r="J113" s="51"/>
      <c r="K113" t="s" s="56">
        <v>1023</v>
      </c>
      <c r="L113" s="677" cm="1">
        <f t="array" ref="L113">ROUND(L$112/E12,4)</f>
        <v>0</v>
      </c>
      <c r="M113" s="826" cm="1">
        <f t="array" ref="M113">SUM(M$114:M$115)</f>
        <v>1.1393</v>
      </c>
      <c r="N113" t="s" s="50">
        <v>599</v>
      </c>
      <c r="O113" s="247"/>
      <c r="P113" s="681"/>
      <c r="Q113" s="371"/>
      <c r="R113" s="677"/>
      <c r="S113" s="374"/>
      <c r="T113" s="374"/>
      <c r="U113" s="374"/>
      <c r="V113" s="374"/>
      <c r="W113" s="374"/>
      <c r="X113" s="374"/>
      <c r="Y113" s="374"/>
      <c r="Z113" s="374"/>
      <c r="AA113" s="374"/>
      <c r="AB113" s="374"/>
      <c r="AC113" s="374"/>
      <c r="AD113" s="374"/>
      <c r="AE113" s="374"/>
      <c r="AF113" s="374"/>
      <c r="AG113" s="374"/>
      <c r="AH113" s="374"/>
      <c r="AI113" s="374"/>
      <c r="AJ113" s="374"/>
      <c r="AK113" s="374"/>
      <c r="AL113" s="374"/>
      <c r="AM113" s="51"/>
      <c r="AN113" s="374"/>
      <c r="AO113" s="374"/>
      <c r="AP113" s="374"/>
      <c r="AQ113" s="374"/>
      <c r="AR113" s="374"/>
      <c r="AS113" s="374"/>
      <c r="AT113" s="374"/>
      <c r="AU113" s="374"/>
      <c r="AV113" s="374"/>
      <c r="AW113" s="374"/>
      <c r="AX113" s="51"/>
      <c r="AY113" s="51"/>
      <c r="AZ113" t="s" s="50">
        <v>1176</v>
      </c>
      <c r="BA113" s="51"/>
      <c r="BB113" t="s" s="50">
        <v>1022</v>
      </c>
      <c r="BC113" s="51"/>
      <c r="BD113" s="51"/>
      <c r="BE113" s="51"/>
      <c r="BF113" s="51"/>
      <c r="BG113" s="51"/>
      <c r="BH113" s="51"/>
      <c r="BI113" s="374"/>
      <c r="BJ113" s="374"/>
      <c r="BK113" s="374"/>
      <c r="BL113" s="374"/>
      <c r="BM113" s="374"/>
      <c r="BN113" s="374"/>
      <c r="BO113" s="374"/>
      <c r="BP113" s="374"/>
      <c r="BQ113" s="374"/>
      <c r="BR113" s="374"/>
      <c r="BS113" s="374"/>
      <c r="BT113" s="374"/>
      <c r="BU113" s="374"/>
      <c r="BV113" s="374"/>
      <c r="BW113" s="374"/>
      <c r="BX113" s="374"/>
    </row>
    <row r="114" ht="20.35" customHeight="1">
      <c r="A114" s="681"/>
      <c r="B114" s="681"/>
      <c r="C114" s="371" cm="1">
        <f t="array" ref="C114">ROUND(D$114*'depto - Table 2'!B1,0)</f>
        <v>120507175</v>
      </c>
      <c r="D114" s="822" cm="1">
        <f t="array" ref="D114">A$112-D$113</f>
        <v>2967.3757</v>
      </c>
      <c r="E114" t="s" s="50">
        <v>1177</v>
      </c>
      <c r="F114" s="51"/>
      <c r="G114" s="51"/>
      <c r="H114" s="51"/>
      <c r="I114" s="51"/>
      <c r="J114" s="840"/>
      <c r="K114" s="51"/>
      <c r="L114" s="677"/>
      <c r="M114" s="677" cm="1">
        <f t="array" ref="M114">ROUND($AS$11/$J$10*D$113,4)</f>
        <v>0.1051</v>
      </c>
      <c r="N114" t="s" s="827">
        <v>1149</v>
      </c>
      <c r="O114" s="677"/>
      <c r="P114" s="681"/>
      <c r="Q114" s="677"/>
      <c r="R114" s="51"/>
      <c r="S114" s="374"/>
      <c r="T114" s="374"/>
      <c r="U114" s="374"/>
      <c r="V114" s="374"/>
      <c r="W114" s="374"/>
      <c r="X114" s="374"/>
      <c r="Y114" s="374"/>
      <c r="Z114" s="374"/>
      <c r="AA114" s="374"/>
      <c r="AB114" s="374"/>
      <c r="AC114" s="374"/>
      <c r="AD114" s="51"/>
      <c r="AE114" s="374"/>
      <c r="AF114" s="374"/>
      <c r="AG114" s="374"/>
      <c r="AH114" s="374"/>
      <c r="AI114" s="374"/>
      <c r="AJ114" s="374"/>
      <c r="AK114" s="374"/>
      <c r="AL114" s="374"/>
      <c r="AM114" s="374"/>
      <c r="AN114" s="374"/>
      <c r="AO114" s="374"/>
      <c r="AP114" s="374"/>
      <c r="AQ114" s="374"/>
      <c r="AR114" s="374"/>
      <c r="AS114" s="374"/>
      <c r="AT114" s="374"/>
      <c r="AU114" s="374"/>
      <c r="AV114" s="374"/>
      <c r="AW114" s="374"/>
      <c r="AX114" s="51"/>
      <c r="AY114" s="374"/>
      <c r="AZ114" s="371" cm="1">
        <f t="array" ref="AZ114">SUM(AV$111,AX$111)</f>
        <v>96913996</v>
      </c>
      <c r="BA114" s="681" cm="1">
        <f t="array" ref="BA114">SUM(BA5:BA110)</f>
        <v>2319.7715</v>
      </c>
      <c r="BB114" s="371" cm="1">
        <f t="array" ref="BB114">SUM(BB5:BB110)</f>
        <v>37290663</v>
      </c>
      <c r="BC114" s="681" cm="1">
        <f t="array" ref="BC114">SUM(BC5:BC110)</f>
        <v>850.5309</v>
      </c>
      <c r="BD114" s="681"/>
      <c r="BE114" s="681"/>
      <c r="BF114" s="681"/>
      <c r="BG114" s="681"/>
      <c r="BH114" s="681"/>
      <c r="BI114" s="374"/>
      <c r="BJ114" s="374"/>
      <c r="BK114" s="374"/>
      <c r="BL114" s="374"/>
      <c r="BM114" s="374"/>
      <c r="BN114" s="374"/>
      <c r="BO114" s="374"/>
      <c r="BP114" s="374"/>
      <c r="BQ114" s="374"/>
      <c r="BR114" s="374"/>
      <c r="BS114" s="374"/>
      <c r="BT114" s="374"/>
      <c r="BU114" s="374"/>
      <c r="BV114" s="374"/>
      <c r="BW114" s="374"/>
      <c r="BX114" s="374"/>
    </row>
    <row r="115" ht="20.35" customHeight="1">
      <c r="A115" s="374"/>
      <c r="B115" s="374"/>
      <c r="C115" s="51"/>
      <c r="D115" s="829" cm="1">
        <f t="array" ref="D115">COUNT(C5:C110)-COUNT(C5,C28)</f>
        <v>22</v>
      </c>
      <c r="E115" t="s" s="50">
        <v>966</v>
      </c>
      <c r="F115" s="88"/>
      <c r="G115" s="51"/>
      <c r="H115" s="51"/>
      <c r="I115" s="51"/>
      <c r="J115" s="51"/>
      <c r="K115" s="677"/>
      <c r="L115" s="677"/>
      <c r="M115" s="677">
        <v>1.0342</v>
      </c>
      <c r="N115" t="s" s="50">
        <v>1148</v>
      </c>
      <c r="O115" s="677"/>
      <c r="P115" s="374"/>
      <c r="Q115" s="677"/>
      <c r="R115" s="51"/>
      <c r="S115" s="374"/>
      <c r="T115" s="374"/>
      <c r="U115" s="374"/>
      <c r="V115" s="374"/>
      <c r="W115" s="374"/>
      <c r="X115" s="374"/>
      <c r="Y115" s="374"/>
      <c r="Z115" s="374"/>
      <c r="AA115" s="374"/>
      <c r="AB115" s="374"/>
      <c r="AC115" s="374"/>
      <c r="AD115" s="51"/>
      <c r="AE115" s="374"/>
      <c r="AF115" s="374"/>
      <c r="AG115" s="374"/>
      <c r="AH115" s="374"/>
      <c r="AI115" s="374"/>
      <c r="AJ115" s="374"/>
      <c r="AK115" s="374"/>
      <c r="AL115" s="374"/>
      <c r="AM115" s="51"/>
      <c r="AN115" s="374"/>
      <c r="AO115" s="374"/>
      <c r="AP115" s="374"/>
      <c r="AQ115" s="374"/>
      <c r="AR115" s="374"/>
      <c r="AS115" s="374"/>
      <c r="AT115" s="374"/>
      <c r="AU115" s="374"/>
      <c r="AV115" s="374"/>
      <c r="AW115" s="374"/>
      <c r="AX115" s="677"/>
      <c r="AY115" s="374"/>
      <c r="AZ115" s="374"/>
      <c r="BA115" s="374"/>
      <c r="BB115" s="374"/>
      <c r="BC115" s="374"/>
      <c r="BD115" s="677" cm="1">
        <f t="array" ref="BD115">I$113-J15</f>
        <v>-3562.1843</v>
      </c>
      <c r="BE115" s="374"/>
      <c r="BF115" s="374"/>
      <c r="BG115" s="374"/>
      <c r="BH115" s="374"/>
      <c r="BI115" s="374"/>
      <c r="BJ115" s="374"/>
      <c r="BK115" s="374"/>
      <c r="BL115" s="374"/>
      <c r="BM115" s="374"/>
      <c r="BN115" s="374"/>
      <c r="BO115" s="374"/>
      <c r="BP115" s="374"/>
      <c r="BQ115" s="374"/>
      <c r="BR115" s="374"/>
      <c r="BS115" s="374"/>
      <c r="BT115" s="374"/>
      <c r="BU115" s="374"/>
      <c r="BV115" s="374"/>
      <c r="BW115" s="374"/>
      <c r="BX115" s="374"/>
    </row>
  </sheetData>
  <mergeCells count="1">
    <mergeCell ref="A1:BX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67.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68.xml><?xml version="1.0" encoding="utf-8"?>
<worksheet xmlns:r="http://schemas.openxmlformats.org/officeDocument/2006/relationships" xmlns="http://schemas.openxmlformats.org/spreadsheetml/2006/main">
  <sheetPr>
    <pageSetUpPr fitToPage="1"/>
  </sheetPr>
  <dimension ref="A1:B24"/>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2" width="16.3516" style="841" customWidth="1"/>
    <col min="3" max="16384" width="16.3516" style="841" customWidth="1"/>
  </cols>
  <sheetData>
    <row r="1" ht="20.55" customHeight="1">
      <c r="A1" s="7"/>
      <c r="B1" s="7"/>
    </row>
    <row r="2" ht="20.55" customHeight="1">
      <c r="A2" t="s" s="10">
        <v>1184</v>
      </c>
      <c r="B2" s="842">
        <v>40610.69</v>
      </c>
    </row>
    <row r="3" ht="20.35" customHeight="1">
      <c r="A3" t="s" s="17">
        <v>1185</v>
      </c>
      <c r="B3" s="83">
        <v>72188</v>
      </c>
    </row>
    <row r="4" ht="20.35" customHeight="1">
      <c r="A4" t="s" s="17">
        <v>1186</v>
      </c>
      <c r="B4" s="83">
        <v>834504</v>
      </c>
    </row>
    <row r="5" ht="20.35" customHeight="1">
      <c r="A5" t="s" s="17">
        <v>1187</v>
      </c>
      <c r="B5" s="843">
        <v>965</v>
      </c>
    </row>
    <row r="6" ht="20.35" customHeight="1">
      <c r="A6" s="28"/>
      <c r="B6" s="29"/>
    </row>
    <row r="7" ht="20.35" customHeight="1">
      <c r="A7" s="28"/>
      <c r="B7" s="29"/>
    </row>
    <row r="8" ht="20.35" customHeight="1">
      <c r="A8" t="s" s="17">
        <v>1188</v>
      </c>
      <c r="B8" s="83">
        <v>539000</v>
      </c>
    </row>
    <row r="9" ht="20.35" customHeight="1">
      <c r="A9" s="28"/>
      <c r="B9" s="607"/>
    </row>
    <row r="10" ht="20.35" customHeight="1">
      <c r="A10" s="28"/>
      <c r="B10" s="607"/>
    </row>
    <row r="11" ht="20.35" customHeight="1">
      <c r="A11" s="28"/>
      <c r="B11" s="607"/>
    </row>
    <row r="12" ht="20.35" customHeight="1">
      <c r="A12" s="28"/>
      <c r="B12" s="844">
        <v>931</v>
      </c>
    </row>
    <row r="13" ht="20.35" customHeight="1">
      <c r="A13" t="s" s="17">
        <v>1189</v>
      </c>
      <c r="B13" s="845">
        <v>886.9400000000001</v>
      </c>
    </row>
    <row r="14" ht="20.35" customHeight="1">
      <c r="A14" t="s" s="17">
        <v>1190</v>
      </c>
      <c r="B14" s="845">
        <v>1039.59</v>
      </c>
    </row>
    <row r="15" ht="20.35" customHeight="1">
      <c r="A15" s="28"/>
      <c r="B15" s="607"/>
    </row>
    <row r="16" ht="20.35" customHeight="1">
      <c r="A16" s="28"/>
      <c r="B16" s="607"/>
    </row>
    <row r="17" ht="20.35" customHeight="1">
      <c r="A17" s="28"/>
      <c r="B17" s="607"/>
    </row>
    <row r="18" ht="20.35" customHeight="1">
      <c r="A18" s="28"/>
      <c r="B18" s="607"/>
    </row>
    <row r="19" ht="20.35" customHeight="1">
      <c r="A19" s="28"/>
      <c r="B19" s="607"/>
    </row>
    <row r="20" ht="20.35" customHeight="1">
      <c r="A20" s="28"/>
      <c r="B20" s="607"/>
    </row>
    <row r="21" ht="20.35" customHeight="1">
      <c r="A21" s="28"/>
      <c r="B21" s="607"/>
    </row>
    <row r="22" ht="20.35" customHeight="1">
      <c r="A22" s="28"/>
      <c r="B22" s="607"/>
    </row>
    <row r="23" ht="20.35" customHeight="1">
      <c r="A23" s="28"/>
      <c r="B23" s="607"/>
    </row>
    <row r="24" ht="20.35" customHeight="1">
      <c r="A24" s="28"/>
      <c r="B24" s="607"/>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1:D121"/>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3516" style="846" customWidth="1"/>
    <col min="2" max="4" width="18.1719" style="846" customWidth="1"/>
    <col min="5" max="16384" width="16.3516" style="846" customWidth="1"/>
  </cols>
  <sheetData>
    <row r="1" ht="20.55" customHeight="1">
      <c r="A1" s="7"/>
      <c r="B1" t="s" s="8">
        <v>558</v>
      </c>
      <c r="C1" t="s" s="8">
        <v>700</v>
      </c>
      <c r="D1" t="s" s="8">
        <v>1192</v>
      </c>
    </row>
    <row r="2" ht="8.75" customHeight="1" hidden="1">
      <c r="A2" s="400">
        <v>42916</v>
      </c>
      <c r="B2" s="847">
        <v>664.7</v>
      </c>
      <c r="C2" s="503">
        <v>742.8493999999999</v>
      </c>
      <c r="D2" s="503"/>
    </row>
    <row r="3" ht="8.75" customHeight="1" hidden="1">
      <c r="A3" s="400">
        <v>42947</v>
      </c>
      <c r="B3" s="847">
        <v>653.2</v>
      </c>
      <c r="C3" s="503">
        <v>746.3625</v>
      </c>
      <c r="D3" s="503"/>
    </row>
    <row r="4" ht="8.75" customHeight="1" hidden="1">
      <c r="A4" s="400">
        <v>42978</v>
      </c>
      <c r="B4" s="847">
        <v>631.4</v>
      </c>
      <c r="C4" s="503">
        <v>733.6709</v>
      </c>
      <c r="D4" s="503"/>
    </row>
    <row r="5" ht="8.75" customHeight="1" hidden="1">
      <c r="A5" s="400">
        <v>43007</v>
      </c>
      <c r="B5" s="847">
        <v>635.4</v>
      </c>
      <c r="C5" s="503">
        <v>737.8011</v>
      </c>
      <c r="D5" s="503"/>
    </row>
    <row r="6" ht="8.75" customHeight="1" hidden="1">
      <c r="A6" s="400">
        <v>43039</v>
      </c>
      <c r="B6" s="847">
        <v>621.02</v>
      </c>
      <c r="C6" s="503">
        <v>723.27</v>
      </c>
      <c r="D6" s="503"/>
    </row>
    <row r="7" ht="8.75" customHeight="1" hidden="1">
      <c r="A7" s="400">
        <v>43069</v>
      </c>
      <c r="B7" s="847">
        <v>643.8</v>
      </c>
      <c r="C7" s="503">
        <v>746.1437</v>
      </c>
      <c r="D7" s="503"/>
    </row>
    <row r="8" ht="8.75" customHeight="1" hidden="1">
      <c r="A8" s="400">
        <v>43098</v>
      </c>
      <c r="B8" s="847">
        <v>614.4</v>
      </c>
      <c r="C8" s="503">
        <v>719.7698</v>
      </c>
      <c r="D8" s="503"/>
    </row>
    <row r="9" ht="8.75" customHeight="1" hidden="1">
      <c r="A9" s="400">
        <v>43131</v>
      </c>
      <c r="B9" s="847">
        <v>606.4</v>
      </c>
      <c r="C9" s="503">
        <v>737.4093</v>
      </c>
      <c r="D9" s="503"/>
    </row>
    <row r="10" ht="8.75" customHeight="1" hidden="1">
      <c r="A10" s="400">
        <v>43159</v>
      </c>
      <c r="B10" s="847">
        <v>591.5</v>
      </c>
      <c r="C10" s="503">
        <v>710.7716</v>
      </c>
      <c r="D10" s="503"/>
    </row>
    <row r="11" ht="8.75" customHeight="1" hidden="1">
      <c r="A11" s="400">
        <v>43189</v>
      </c>
      <c r="B11" s="847">
        <v>603.4</v>
      </c>
      <c r="C11" s="503">
        <v>730.6884</v>
      </c>
      <c r="D11" s="503"/>
    </row>
    <row r="12" ht="8.75" customHeight="1" hidden="1">
      <c r="A12" s="400">
        <v>43220</v>
      </c>
      <c r="B12" s="847">
        <v>605.7</v>
      </c>
      <c r="C12" s="503">
        <v>714.3232</v>
      </c>
      <c r="D12" s="503"/>
    </row>
    <row r="13" ht="8.75" customHeight="1" hidden="1">
      <c r="A13" s="400">
        <v>43251</v>
      </c>
      <c r="B13" s="847">
        <v>627.2</v>
      </c>
      <c r="C13" s="503">
        <v>717.9465</v>
      </c>
      <c r="D13" s="503"/>
    </row>
    <row r="14" ht="8.75" customHeight="1" hidden="1">
      <c r="A14" s="400">
        <v>43280</v>
      </c>
      <c r="B14" s="847">
        <v>649</v>
      </c>
      <c r="C14" s="503">
        <v>735.0977</v>
      </c>
      <c r="D14" s="503"/>
    </row>
    <row r="15" ht="8.75" customHeight="1" hidden="1">
      <c r="A15" s="400">
        <v>43312</v>
      </c>
      <c r="B15" s="847">
        <v>638.1</v>
      </c>
      <c r="C15" s="503">
        <v>737.49</v>
      </c>
      <c r="D15" s="503"/>
    </row>
    <row r="16" ht="8.75" customHeight="1" hidden="1">
      <c r="A16" s="400">
        <v>43343</v>
      </c>
      <c r="B16" s="847">
        <v>679</v>
      </c>
      <c r="C16" s="503">
        <v>767.16</v>
      </c>
      <c r="D16" s="503"/>
    </row>
    <row r="17" ht="8.75" customHeight="1" hidden="1">
      <c r="A17" s="400">
        <v>43371</v>
      </c>
      <c r="B17" s="847">
        <v>659.4</v>
      </c>
      <c r="C17" s="503">
        <v>763.12</v>
      </c>
      <c r="D17" s="503"/>
    </row>
    <row r="18" ht="8.75" customHeight="1" hidden="1">
      <c r="A18" s="400">
        <v>43404</v>
      </c>
      <c r="B18" s="847">
        <v>693</v>
      </c>
      <c r="C18" s="503">
        <v>772.79</v>
      </c>
      <c r="D18" s="503"/>
    </row>
    <row r="19" ht="8.75" customHeight="1" hidden="1">
      <c r="A19" s="400">
        <v>43434</v>
      </c>
      <c r="B19" s="847">
        <v>670</v>
      </c>
      <c r="C19" s="503">
        <v>746.52</v>
      </c>
      <c r="D19" s="503"/>
    </row>
    <row r="20" ht="8.75" customHeight="1" hidden="1">
      <c r="A20" s="400">
        <v>43465</v>
      </c>
      <c r="B20" s="847">
        <v>693.5</v>
      </c>
      <c r="C20" s="503">
        <v>783.9299999999999</v>
      </c>
      <c r="D20" s="503"/>
    </row>
    <row r="21" ht="8.75" customHeight="1" hidden="1">
      <c r="A21" s="400">
        <v>43496</v>
      </c>
      <c r="B21" s="847">
        <v>663.4</v>
      </c>
      <c r="C21" s="503">
        <v>748.97</v>
      </c>
      <c r="D21" s="503"/>
    </row>
    <row r="22" ht="8.75" customHeight="1" hidden="1">
      <c r="A22" s="400">
        <v>43524</v>
      </c>
      <c r="B22" s="847">
        <v>648.7</v>
      </c>
      <c r="C22" s="503">
        <v>725.17</v>
      </c>
      <c r="D22" s="503"/>
    </row>
    <row r="23" ht="8.75" customHeight="1" hidden="1">
      <c r="A23" s="400">
        <v>43553</v>
      </c>
      <c r="B23" s="847">
        <v>682.1</v>
      </c>
      <c r="C23" s="503">
        <v>752.6900000000001</v>
      </c>
      <c r="D23" s="503"/>
    </row>
    <row r="24" ht="8.75" customHeight="1" hidden="1">
      <c r="A24" s="400">
        <v>43585</v>
      </c>
      <c r="B24" s="847">
        <v>678.14</v>
      </c>
      <c r="C24" s="503">
        <v>739.03</v>
      </c>
      <c r="D24" s="503"/>
    </row>
    <row r="25" ht="8.75" customHeight="1" hidden="1">
      <c r="A25" s="400">
        <v>43616</v>
      </c>
      <c r="B25" s="847">
        <v>709.64</v>
      </c>
      <c r="C25" s="503">
        <v>770.79</v>
      </c>
      <c r="D25" s="503"/>
    </row>
    <row r="26" ht="8.75" customHeight="1" hidden="1">
      <c r="A26" s="400">
        <v>43644</v>
      </c>
      <c r="B26" s="847">
        <v>680.17</v>
      </c>
      <c r="C26" s="503">
        <v>758.97</v>
      </c>
      <c r="D26" s="503"/>
    </row>
    <row r="27" ht="8.75" customHeight="1" hidden="1">
      <c r="A27" s="400">
        <v>43677</v>
      </c>
      <c r="B27" s="847">
        <v>699</v>
      </c>
      <c r="C27" s="503">
        <v>762.1900000000001</v>
      </c>
      <c r="D27" s="503"/>
    </row>
    <row r="28" ht="8.75" customHeight="1" hidden="1">
      <c r="A28" s="400">
        <v>43707</v>
      </c>
      <c r="B28" s="847">
        <v>720.84</v>
      </c>
      <c r="C28" s="503">
        <v>787.27</v>
      </c>
      <c r="D28" s="503"/>
    </row>
    <row r="29" ht="8.75" customHeight="1" hidden="1">
      <c r="A29" s="400">
        <v>43738</v>
      </c>
      <c r="B29" s="847">
        <v>725.99</v>
      </c>
      <c r="C29" s="503">
        <v>781.1900000000001</v>
      </c>
      <c r="D29" s="503"/>
    </row>
    <row r="30" ht="8.75" customHeight="1" hidden="1">
      <c r="A30" s="400">
        <v>43769</v>
      </c>
      <c r="B30" s="847">
        <v>741.7677</v>
      </c>
      <c r="C30" s="503">
        <v>793.8416</v>
      </c>
      <c r="D30" s="503"/>
    </row>
    <row r="31" ht="8.75" customHeight="1" hidden="1">
      <c r="A31" s="400">
        <v>43798</v>
      </c>
      <c r="B31" s="847">
        <v>828.4</v>
      </c>
      <c r="C31" s="503">
        <v>898.7109</v>
      </c>
      <c r="D31" s="503"/>
    </row>
    <row r="32" ht="8.75" customHeight="1" hidden="1">
      <c r="A32" s="400">
        <v>43830</v>
      </c>
      <c r="B32" s="847">
        <v>732.2</v>
      </c>
      <c r="C32" s="503">
        <v>820.9046</v>
      </c>
      <c r="D32" s="503"/>
    </row>
    <row r="33" ht="8.75" customHeight="1" hidden="1">
      <c r="A33" s="400">
        <v>43861</v>
      </c>
      <c r="B33" s="847">
        <v>796.8</v>
      </c>
      <c r="C33" s="503">
        <v>864.3607</v>
      </c>
      <c r="D33" s="503"/>
    </row>
    <row r="34" ht="8.75" customHeight="1" hidden="1">
      <c r="A34" s="400">
        <v>43889</v>
      </c>
      <c r="B34" s="847">
        <v>814</v>
      </c>
      <c r="C34" s="503">
        <v>878.648</v>
      </c>
      <c r="D34" s="503"/>
    </row>
    <row r="35" ht="8.75" customHeight="1" hidden="1">
      <c r="A35" s="400">
        <v>43921</v>
      </c>
      <c r="B35" s="847">
        <v>859.2</v>
      </c>
      <c r="C35" s="503">
        <v>909.9953</v>
      </c>
      <c r="D35" s="503"/>
    </row>
    <row r="36" ht="8.75" customHeight="1" hidden="1">
      <c r="A36" s="400">
        <v>43951</v>
      </c>
      <c r="B36" s="847">
        <v>834.1</v>
      </c>
      <c r="C36" s="503">
        <v>902.4459000000001</v>
      </c>
      <c r="D36" s="503"/>
    </row>
    <row r="37" ht="8.75" customHeight="1" hidden="1">
      <c r="A37" s="400">
        <v>43980</v>
      </c>
      <c r="B37" s="847">
        <v>808.1</v>
      </c>
      <c r="C37" s="503">
        <v>888.7721</v>
      </c>
      <c r="D37" s="503"/>
    </row>
    <row r="38" ht="8.75" customHeight="1" hidden="1">
      <c r="A38" s="400">
        <v>44012</v>
      </c>
      <c r="B38" s="847">
        <v>821</v>
      </c>
      <c r="C38" s="503">
        <v>913.1496</v>
      </c>
      <c r="D38" s="503"/>
    </row>
    <row r="39" ht="8.75" customHeight="1" hidden="1">
      <c r="A39" s="400">
        <v>44043</v>
      </c>
      <c r="B39" s="847">
        <v>761</v>
      </c>
      <c r="C39" s="503">
        <v>875.7329</v>
      </c>
      <c r="D39" s="503"/>
    </row>
    <row r="40" ht="8.75" customHeight="1" hidden="1">
      <c r="A40" s="400">
        <v>44074</v>
      </c>
      <c r="B40" s="847">
        <v>779</v>
      </c>
      <c r="C40" s="503">
        <v>919.8125</v>
      </c>
      <c r="D40" s="503"/>
    </row>
    <row r="41" ht="8.75" customHeight="1" hidden="1">
      <c r="A41" s="400">
        <v>44104</v>
      </c>
      <c r="B41" s="847">
        <v>784.1</v>
      </c>
      <c r="C41" s="503">
        <v>900.8071</v>
      </c>
      <c r="D41" s="503"/>
    </row>
    <row r="42" ht="8.75" customHeight="1" hidden="1">
      <c r="A42" s="400">
        <v>44134</v>
      </c>
      <c r="B42" s="847">
        <v>771.5</v>
      </c>
      <c r="C42" s="503">
        <v>892.073</v>
      </c>
      <c r="D42" s="503"/>
    </row>
    <row r="43" ht="8.75" customHeight="1" hidden="1">
      <c r="A43" s="400">
        <v>44165</v>
      </c>
      <c r="B43" s="847">
        <v>768.2</v>
      </c>
      <c r="C43" s="503">
        <v>897.9272999999999</v>
      </c>
      <c r="D43" s="503"/>
    </row>
    <row r="44" ht="8.75" customHeight="1" hidden="1">
      <c r="A44" s="400">
        <v>44196</v>
      </c>
      <c r="B44" s="847">
        <v>711</v>
      </c>
      <c r="C44" s="503">
        <v>860.8159000000001</v>
      </c>
      <c r="D44" s="503"/>
    </row>
    <row r="45" ht="8.75" customHeight="1" hidden="1">
      <c r="A45" s="400">
        <v>44225</v>
      </c>
      <c r="B45" s="847">
        <v>735.5</v>
      </c>
      <c r="C45" s="503">
        <v>884.7625</v>
      </c>
      <c r="D45" s="503"/>
    </row>
    <row r="46" ht="8.75" customHeight="1" hidden="1">
      <c r="A46" s="400">
        <v>44253</v>
      </c>
      <c r="B46" s="847">
        <v>715.5</v>
      </c>
      <c r="C46" s="503">
        <v>845.1425</v>
      </c>
      <c r="D46" s="503"/>
    </row>
    <row r="47" ht="8.75" customHeight="1" hidden="1">
      <c r="A47" s="400">
        <v>44286</v>
      </c>
      <c r="B47" s="847">
        <v>728.8</v>
      </c>
      <c r="C47" s="503">
        <v>848.8997000000001</v>
      </c>
      <c r="D47" s="503"/>
    </row>
    <row r="48" ht="8.75" customHeight="1" hidden="1">
      <c r="A48" s="400">
        <v>44316</v>
      </c>
      <c r="B48" s="847">
        <v>708.9</v>
      </c>
      <c r="C48" s="503">
        <v>830.0257</v>
      </c>
      <c r="D48" s="503"/>
    </row>
    <row r="49" ht="8.75" customHeight="1" hidden="1">
      <c r="A49" s="400">
        <v>44347</v>
      </c>
      <c r="B49" s="847">
        <v>724</v>
      </c>
      <c r="C49" s="503">
        <v>868.4923</v>
      </c>
      <c r="D49" s="503"/>
    </row>
    <row r="50" ht="8.75" customHeight="1" hidden="1">
      <c r="A50" s="400">
        <v>44377</v>
      </c>
      <c r="B50" s="847">
        <v>727.2</v>
      </c>
      <c r="C50" s="503">
        <v>861.1616</v>
      </c>
      <c r="D50" s="503"/>
    </row>
    <row r="51" ht="8.75" customHeight="1" hidden="1">
      <c r="A51" s="400">
        <v>44407</v>
      </c>
      <c r="B51" s="847">
        <v>759.78</v>
      </c>
      <c r="C51" s="503">
        <v>890.7714999999999</v>
      </c>
      <c r="D51" s="503"/>
    </row>
    <row r="52" ht="8.75" customHeight="1" hidden="1">
      <c r="A52" s="400">
        <v>44439</v>
      </c>
      <c r="B52" s="847">
        <v>782.22</v>
      </c>
      <c r="C52" s="503">
        <v>909.615</v>
      </c>
      <c r="D52" s="503"/>
    </row>
    <row r="53" ht="8.75" customHeight="1" hidden="1">
      <c r="A53" s="400">
        <v>44469</v>
      </c>
      <c r="B53" s="847">
        <v>809.5</v>
      </c>
      <c r="C53" s="503">
        <v>920.7844</v>
      </c>
      <c r="D53" s="503"/>
    </row>
    <row r="54" ht="8.75" customHeight="1" hidden="1">
      <c r="A54" s="400">
        <v>44498</v>
      </c>
      <c r="B54" s="847">
        <v>805.39</v>
      </c>
      <c r="C54" s="503">
        <v>920.7875</v>
      </c>
      <c r="D54" s="503"/>
    </row>
    <row r="55" ht="8.75" customHeight="1" hidden="1">
      <c r="A55" s="400">
        <v>44530</v>
      </c>
      <c r="B55" s="847">
        <v>843.5</v>
      </c>
      <c r="C55" s="503">
        <v>929.8951</v>
      </c>
      <c r="D55" s="503"/>
    </row>
    <row r="56" ht="8.75" customHeight="1" hidden="1">
      <c r="A56" s="400">
        <v>44561</v>
      </c>
      <c r="B56" s="847">
        <v>851.5</v>
      </c>
      <c r="C56" s="503">
        <v>942.165</v>
      </c>
      <c r="D56" s="503"/>
    </row>
    <row r="57" ht="8.75" customHeight="1" hidden="1">
      <c r="A57" s="400">
        <v>44592</v>
      </c>
      <c r="B57" s="847">
        <v>794.6882000000001</v>
      </c>
      <c r="C57" s="503">
        <v>886.0296</v>
      </c>
      <c r="D57" s="503"/>
    </row>
    <row r="58" ht="8.75" customHeight="1" hidden="1">
      <c r="A58" s="400">
        <v>44620</v>
      </c>
      <c r="B58" s="847">
        <v>791.4637</v>
      </c>
      <c r="C58" s="503">
        <v>891.8213</v>
      </c>
      <c r="D58" s="503"/>
    </row>
    <row r="59" ht="8.75" customHeight="1" hidden="1">
      <c r="A59" s="400">
        <v>44651</v>
      </c>
      <c r="B59" s="847">
        <v>788.63</v>
      </c>
      <c r="C59" s="503">
        <v>853.9329</v>
      </c>
      <c r="D59" s="503"/>
    </row>
    <row r="60" ht="8.75" customHeight="1" hidden="1">
      <c r="A60" s="400">
        <v>44680</v>
      </c>
      <c r="B60" s="847">
        <v>857.51</v>
      </c>
      <c r="C60" s="503">
        <v>875.1144</v>
      </c>
      <c r="D60" s="503"/>
    </row>
    <row r="61" ht="8.75" customHeight="1" hidden="1">
      <c r="A61" s="400">
        <v>44712</v>
      </c>
      <c r="B61" s="847">
        <v>829.99</v>
      </c>
      <c r="C61" s="503">
        <v>876.5414</v>
      </c>
      <c r="D61" s="503"/>
    </row>
    <row r="62" ht="8.75" customHeight="1" hidden="1">
      <c r="A62" s="400">
        <v>44742</v>
      </c>
      <c r="B62" s="847">
        <v>926.3</v>
      </c>
      <c r="C62" s="503">
        <v>944.6199</v>
      </c>
      <c r="D62" s="503"/>
    </row>
    <row r="63" ht="8.75" customHeight="1" hidden="1">
      <c r="A63" s="400">
        <v>44771</v>
      </c>
      <c r="B63" s="847">
        <v>908.45</v>
      </c>
      <c r="C63" s="503">
        <v>908.4201</v>
      </c>
      <c r="D63" s="503"/>
    </row>
    <row r="64" ht="8.75" customHeight="1" hidden="1">
      <c r="A64" s="400">
        <v>44804</v>
      </c>
      <c r="B64" s="847">
        <v>889.95</v>
      </c>
      <c r="C64" s="503">
        <v>871.2755</v>
      </c>
      <c r="D64" s="503"/>
    </row>
    <row r="65" ht="8.75" customHeight="1" hidden="1">
      <c r="A65" s="400">
        <v>44834</v>
      </c>
      <c r="B65" s="847">
        <v>963.25</v>
      </c>
      <c r="C65" s="503">
        <v>915.2403</v>
      </c>
      <c r="D65" s="503"/>
    </row>
    <row r="66" ht="8.75" customHeight="1" hidden="1">
      <c r="A66" s="400">
        <v>44865</v>
      </c>
      <c r="B66" s="847">
        <v>942.9</v>
      </c>
      <c r="C66" s="503">
        <v>924.7953</v>
      </c>
      <c r="D66" s="503"/>
    </row>
    <row r="67" ht="8.75" customHeight="1" hidden="1">
      <c r="A67" s="400">
        <v>44895</v>
      </c>
      <c r="B67" s="847">
        <v>900.05</v>
      </c>
      <c r="C67" s="503">
        <v>924.7338</v>
      </c>
      <c r="D67" s="503"/>
    </row>
    <row r="68" ht="8.75" customHeight="1" hidden="1">
      <c r="A68" s="400">
        <v>44925</v>
      </c>
      <c r="B68" s="847">
        <v>856</v>
      </c>
      <c r="C68" s="503">
        <v>904.0767</v>
      </c>
      <c r="D68" s="503"/>
    </row>
    <row r="69" ht="8.75" customHeight="1" hidden="1">
      <c r="A69" s="400">
        <v>44957</v>
      </c>
      <c r="B69" s="847">
        <v>807</v>
      </c>
      <c r="C69" s="503">
        <v>870.1857</v>
      </c>
      <c r="D69" s="503"/>
    </row>
    <row r="70" ht="8.75" customHeight="1" hidden="1">
      <c r="A70" s="400">
        <v>44985</v>
      </c>
      <c r="B70" s="847">
        <v>833.14</v>
      </c>
      <c r="C70" s="503">
        <v>858.9617</v>
      </c>
      <c r="D70" s="503"/>
    </row>
    <row r="71" ht="8.75" customHeight="1" hidden="1">
      <c r="A71" s="400">
        <v>45016</v>
      </c>
      <c r="B71" s="847">
        <v>788.8200000000001</v>
      </c>
      <c r="C71" s="503">
        <v>849.6</v>
      </c>
      <c r="D71" s="503"/>
    </row>
    <row r="72" ht="8.75" customHeight="1" hidden="1">
      <c r="A72" s="400">
        <v>45044</v>
      </c>
      <c r="B72" s="847">
        <v>802.86</v>
      </c>
      <c r="C72" s="503">
        <v>875.21</v>
      </c>
      <c r="D72" s="503"/>
    </row>
    <row r="73" ht="8.75" customHeight="1" hidden="1">
      <c r="A73" s="400">
        <v>45077</v>
      </c>
      <c r="B73" s="847">
        <v>804.35</v>
      </c>
      <c r="C73" s="503">
        <v>850.55</v>
      </c>
      <c r="D73" s="503"/>
    </row>
    <row r="74" ht="8.75" customHeight="1" hidden="1">
      <c r="A74" s="400">
        <v>45107</v>
      </c>
      <c r="B74" s="847">
        <v>802.85</v>
      </c>
      <c r="C74" s="503">
        <v>860.9299999999999</v>
      </c>
      <c r="D74" s="503"/>
    </row>
    <row r="75" ht="8.75" customHeight="1" hidden="1">
      <c r="A75" s="400">
        <v>45138</v>
      </c>
      <c r="B75" s="847">
        <v>827.79</v>
      </c>
      <c r="C75" s="503">
        <v>898.77</v>
      </c>
      <c r="D75" s="503"/>
    </row>
    <row r="76" ht="8.75" customHeight="1" hidden="1">
      <c r="A76" s="400">
        <v>45169</v>
      </c>
      <c r="B76" s="847">
        <v>851.8099999999999</v>
      </c>
      <c r="C76" s="503">
        <v>921.2</v>
      </c>
      <c r="D76" s="503"/>
    </row>
    <row r="77" ht="8.75" customHeight="1" hidden="1">
      <c r="A77" s="400">
        <v>45198</v>
      </c>
      <c r="B77" s="847">
        <v>904.9</v>
      </c>
      <c r="C77" s="503">
        <v>943.48</v>
      </c>
      <c r="D77" s="503"/>
    </row>
    <row r="78" ht="8.75" customHeight="1" hidden="1">
      <c r="A78" s="400">
        <v>45230</v>
      </c>
      <c r="B78" s="847">
        <v>906.9400000000001</v>
      </c>
      <c r="C78" s="503">
        <v>947.91</v>
      </c>
      <c r="D78" s="503"/>
    </row>
    <row r="79" ht="8.75" customHeight="1" hidden="1">
      <c r="A79" s="400">
        <v>45260</v>
      </c>
      <c r="B79" s="847">
        <v>869.15</v>
      </c>
      <c r="C79" s="503">
        <v>938.4299999999999</v>
      </c>
      <c r="D79" s="503"/>
    </row>
    <row r="80" ht="8.75" customHeight="1" hidden="1">
      <c r="A80" s="400">
        <v>45289</v>
      </c>
      <c r="B80" s="847">
        <v>884.64</v>
      </c>
      <c r="C80" s="503">
        <v>965.73</v>
      </c>
      <c r="D80" s="503"/>
    </row>
    <row r="81" ht="20.55" customHeight="1">
      <c r="A81" s="177">
        <v>45322</v>
      </c>
      <c r="B81" s="848">
        <v>932.15</v>
      </c>
      <c r="C81" s="509">
        <v>994.24</v>
      </c>
      <c r="D81" s="509">
        <v>36733.04</v>
      </c>
    </row>
    <row r="82" ht="20.35" customHeight="1">
      <c r="A82" s="186">
        <v>45350</v>
      </c>
      <c r="B82" s="849">
        <v>980.98</v>
      </c>
      <c r="C82" s="514">
        <v>1058.02</v>
      </c>
      <c r="D82" s="514">
        <v>36856.5</v>
      </c>
    </row>
    <row r="83" ht="20.35" customHeight="1">
      <c r="A83" s="186">
        <v>45380</v>
      </c>
      <c r="B83" s="849">
        <v>980.46</v>
      </c>
      <c r="C83" s="514">
        <v>1048.9399</v>
      </c>
      <c r="D83" s="514">
        <v>37093.52</v>
      </c>
    </row>
    <row r="84" ht="20.35" customHeight="1">
      <c r="A84" s="186">
        <v>45412</v>
      </c>
      <c r="B84" s="849">
        <v>941.54</v>
      </c>
      <c r="C84" s="514">
        <v>1003.45</v>
      </c>
      <c r="D84" s="514">
        <v>37261.98</v>
      </c>
    </row>
    <row r="85" ht="20.35" customHeight="1">
      <c r="A85" s="186">
        <v>45443</v>
      </c>
      <c r="B85" s="849">
        <v>916.84</v>
      </c>
      <c r="C85" s="514">
        <v>970.05</v>
      </c>
      <c r="D85" s="514">
        <v>37438.91</v>
      </c>
    </row>
    <row r="86" ht="20.35" customHeight="1">
      <c r="A86" s="186">
        <v>45471</v>
      </c>
      <c r="B86" s="849">
        <v>954.13</v>
      </c>
      <c r="C86" s="514">
        <v>1004.97</v>
      </c>
      <c r="D86" s="514">
        <v>37571.86</v>
      </c>
    </row>
    <row r="87" ht="20.35" customHeight="1">
      <c r="A87" s="186">
        <v>45504</v>
      </c>
      <c r="B87" s="849">
        <v>955.54</v>
      </c>
      <c r="C87" s="514">
        <v>1022.39</v>
      </c>
      <c r="D87" s="514">
        <v>37578.95</v>
      </c>
    </row>
    <row r="88" ht="20.35" customHeight="1">
      <c r="A88" s="186">
        <v>45534</v>
      </c>
      <c r="B88" s="849">
        <v>914.58</v>
      </c>
      <c r="C88" s="514">
        <v>997.8200000000001</v>
      </c>
      <c r="D88" s="514">
        <v>37754.47</v>
      </c>
    </row>
    <row r="89" ht="20.35" customHeight="1">
      <c r="A89" s="186">
        <v>45565</v>
      </c>
      <c r="B89" s="849">
        <v>899.75</v>
      </c>
      <c r="C89" s="514">
        <v>992.3099999999999</v>
      </c>
      <c r="D89" s="514">
        <v>37910.42</v>
      </c>
    </row>
    <row r="90" ht="20.35" customHeight="1">
      <c r="A90" s="186">
        <v>45596</v>
      </c>
      <c r="B90" s="849">
        <v>961.34</v>
      </c>
      <c r="C90" s="514">
        <v>1022.83</v>
      </c>
      <c r="D90" s="514">
        <v>37971.42</v>
      </c>
    </row>
    <row r="91" ht="20.35" customHeight="1">
      <c r="A91" s="186">
        <v>45625</v>
      </c>
      <c r="B91" s="849">
        <v>977.4400000000001</v>
      </c>
      <c r="C91" s="514">
        <v>1014.17</v>
      </c>
      <c r="D91" s="514">
        <v>38247.92</v>
      </c>
    </row>
    <row r="92" ht="20.35" customHeight="1">
      <c r="A92" s="186">
        <v>45657</v>
      </c>
      <c r="B92" s="849">
        <v>993.35</v>
      </c>
      <c r="C92" s="514">
        <v>1024.67</v>
      </c>
      <c r="D92" s="514">
        <v>38416.69</v>
      </c>
    </row>
    <row r="93" ht="20.35" customHeight="1">
      <c r="A93" s="850">
        <v>45688</v>
      </c>
      <c r="B93" s="849">
        <v>983.77</v>
      </c>
      <c r="C93" s="514">
        <v>1014.84</v>
      </c>
      <c r="D93" s="514">
        <v>38384.41</v>
      </c>
    </row>
    <row r="94" ht="20.35" customHeight="1">
      <c r="A94" s="850">
        <v>45716</v>
      </c>
      <c r="B94" s="849">
        <v>952.24</v>
      </c>
      <c r="C94" s="514">
        <v>972.83</v>
      </c>
      <c r="D94" s="514">
        <v>38647.94</v>
      </c>
    </row>
    <row r="95" ht="20.35" customHeight="1">
      <c r="A95" s="850">
        <v>45747</v>
      </c>
      <c r="B95" s="849">
        <v>916.3353</v>
      </c>
      <c r="C95" s="514">
        <v>997.66</v>
      </c>
      <c r="D95" s="514">
        <v>38894.11</v>
      </c>
    </row>
    <row r="96" ht="20.35" customHeight="1">
      <c r="A96" s="850">
        <v>45777</v>
      </c>
      <c r="B96" s="849">
        <v>945.1900000000001</v>
      </c>
      <c r="C96" s="514">
        <v>1060.11</v>
      </c>
      <c r="D96" s="514">
        <v>39075.41</v>
      </c>
    </row>
    <row r="97" ht="20.35" customHeight="1">
      <c r="A97" s="850">
        <v>45807</v>
      </c>
      <c r="B97" s="849">
        <v>938.4299999999999</v>
      </c>
      <c r="C97" s="514">
        <v>1048.41</v>
      </c>
      <c r="D97" s="514">
        <v>39189.45</v>
      </c>
    </row>
    <row r="98" ht="20.35" customHeight="1">
      <c r="A98" s="850">
        <v>45838</v>
      </c>
      <c r="B98" s="849">
        <v>919.1043</v>
      </c>
      <c r="C98" s="514">
        <v>1077.42</v>
      </c>
      <c r="D98" s="514">
        <v>39267.07</v>
      </c>
    </row>
    <row r="99" ht="20.35" customHeight="1">
      <c r="A99" s="850">
        <v>45869</v>
      </c>
      <c r="B99" s="849">
        <v>981.4299999999999</v>
      </c>
      <c r="C99" s="514">
        <v>1106.88</v>
      </c>
      <c r="D99" s="514">
        <v>39179.01</v>
      </c>
    </row>
    <row r="100" ht="20.35" customHeight="1">
      <c r="A100" s="850">
        <v>45898</v>
      </c>
      <c r="B100" s="849">
        <v>967.8200000000001</v>
      </c>
      <c r="C100" s="514">
        <v>1116.4</v>
      </c>
      <c r="D100" s="514">
        <v>39383.07</v>
      </c>
    </row>
    <row r="101" ht="20.35" customHeight="1">
      <c r="A101" s="850">
        <v>45930.458333333336</v>
      </c>
      <c r="B101" s="849">
        <v>964.9400000000001</v>
      </c>
      <c r="C101" s="514">
        <v>1107.63</v>
      </c>
      <c r="D101" s="514">
        <v>39485.65</v>
      </c>
    </row>
    <row r="102" ht="20.35" customHeight="1">
      <c r="A102" s="850">
        <v>45960</v>
      </c>
      <c r="B102" s="849">
        <v>940.51</v>
      </c>
      <c r="C102" s="514">
        <v>1081.02</v>
      </c>
      <c r="D102" s="514">
        <v>39597.67</v>
      </c>
    </row>
    <row r="103" ht="20.35" customHeight="1">
      <c r="A103" s="850">
        <v>45989</v>
      </c>
      <c r="B103" s="849">
        <v>926.88</v>
      </c>
      <c r="C103" s="514">
        <v>1059.72</v>
      </c>
      <c r="D103" s="514">
        <v>39643.59</v>
      </c>
    </row>
    <row r="104" ht="20.35" customHeight="1">
      <c r="A104" s="850">
        <v>46022</v>
      </c>
      <c r="B104" s="849">
        <v>899.9400000000001</v>
      </c>
      <c r="C104" s="514">
        <v>1060.28</v>
      </c>
      <c r="D104" s="514">
        <v>39727.96</v>
      </c>
    </row>
    <row r="105" ht="20.35" customHeight="1">
      <c r="A105" s="186">
        <v>46052.75</v>
      </c>
      <c r="B105" s="849">
        <v>859.16</v>
      </c>
      <c r="C105" s="514">
        <v>1010.94</v>
      </c>
      <c r="D105" s="514">
        <v>39706.07</v>
      </c>
    </row>
    <row r="106" ht="20.35" customHeight="1">
      <c r="A106" s="186">
        <v>46080.75</v>
      </c>
      <c r="B106" s="849">
        <v>865.17</v>
      </c>
      <c r="C106" s="514">
        <v>998.6799999999999</v>
      </c>
      <c r="D106" s="514">
        <v>39790.63</v>
      </c>
    </row>
    <row r="107" ht="20.35" customHeight="1">
      <c r="A107" s="186">
        <v>46112.708333333336</v>
      </c>
      <c r="B107" s="849">
        <v>930.22</v>
      </c>
      <c r="C107" s="514">
        <v>1051.64</v>
      </c>
      <c r="D107" s="514">
        <v>39841.72</v>
      </c>
    </row>
    <row r="108" ht="20.35" customHeight="1">
      <c r="A108" s="186">
        <v>46142</v>
      </c>
      <c r="B108" s="849">
        <v>904.47</v>
      </c>
      <c r="C108" s="514">
        <v>1027.2</v>
      </c>
      <c r="D108" s="514">
        <v>40120.2</v>
      </c>
    </row>
    <row r="109" ht="20.35" customHeight="1">
      <c r="A109" s="186">
        <v>46173</v>
      </c>
      <c r="B109" s="849">
        <v>886.9400000000001</v>
      </c>
      <c r="C109" s="514">
        <v>1039.59</v>
      </c>
      <c r="D109" s="514">
        <v>40610.69</v>
      </c>
    </row>
    <row r="110" ht="20.35" customHeight="1">
      <c r="A110" s="186">
        <v>46203</v>
      </c>
      <c r="B110" s="849">
        <v>886.9400000000001</v>
      </c>
      <c r="C110" s="514">
        <v>1039.59</v>
      </c>
      <c r="D110" s="514">
        <v>41233.595045472</v>
      </c>
    </row>
    <row r="111" ht="20.35" customHeight="1">
      <c r="A111" s="186">
        <v>46205</v>
      </c>
      <c r="B111" s="849">
        <v>886.9400000000001</v>
      </c>
      <c r="C111" s="514">
        <v>1039.59</v>
      </c>
      <c r="D111" s="514">
        <v>41233.595045472</v>
      </c>
    </row>
    <row r="112" ht="20.35" customHeight="1">
      <c r="A112" s="186">
        <v>46236</v>
      </c>
      <c r="B112" s="849">
        <v>886.9400000000001</v>
      </c>
      <c r="C112" s="514">
        <v>1039.59</v>
      </c>
      <c r="D112" s="514">
        <v>41233.595045472</v>
      </c>
    </row>
    <row r="113" ht="20.35" customHeight="1">
      <c r="A113" s="186">
        <v>46268</v>
      </c>
      <c r="B113" s="849">
        <v>886.9400000000001</v>
      </c>
      <c r="C113" s="514">
        <v>1039.59</v>
      </c>
      <c r="D113" s="514">
        <v>41291.3220785357</v>
      </c>
    </row>
    <row r="114" ht="20.35" customHeight="1">
      <c r="A114" s="186">
        <v>46300</v>
      </c>
      <c r="B114" s="849">
        <v>886.9400000000001</v>
      </c>
      <c r="C114" s="514">
        <v>1039.59</v>
      </c>
      <c r="D114" s="514">
        <v>41510.1660855519</v>
      </c>
    </row>
    <row r="115" ht="20.35" customHeight="1">
      <c r="A115" s="186">
        <v>46331</v>
      </c>
      <c r="B115" s="849">
        <v>886.9400000000001</v>
      </c>
      <c r="C115" s="514">
        <v>1039.59</v>
      </c>
      <c r="D115" s="514">
        <v>41663.7537000684</v>
      </c>
    </row>
    <row r="116" ht="20.35" customHeight="1">
      <c r="A116" s="186">
        <v>46361</v>
      </c>
      <c r="B116" s="849">
        <v>886.9400000000001</v>
      </c>
      <c r="C116" s="514">
        <v>1039.59</v>
      </c>
      <c r="D116" s="514" cm="1">
        <f t="array" ref="D116">'depto - dividendos'!F40</f>
        <v>41672.2718797779</v>
      </c>
    </row>
    <row r="117" ht="20.35" customHeight="1">
      <c r="A117" s="850">
        <v>46392</v>
      </c>
      <c r="B117" s="849">
        <v>886.9400000000001</v>
      </c>
      <c r="C117" s="514">
        <v>1039.59</v>
      </c>
      <c r="D117" s="514" cm="1">
        <f t="array" ref="D117">'depto - dividendos'!F41</f>
        <v>41705.6096972817</v>
      </c>
    </row>
    <row r="118" ht="20.35" customHeight="1">
      <c r="A118" s="850">
        <v>46423</v>
      </c>
      <c r="B118" s="849">
        <v>886.9400000000001</v>
      </c>
      <c r="C118" s="514">
        <v>1039.59</v>
      </c>
      <c r="D118" s="514" cm="1">
        <f t="array" ref="D118">'depto - dividendos'!F42</f>
        <v>41718.1213801909</v>
      </c>
    </row>
    <row r="119" ht="20.35" customHeight="1">
      <c r="A119" s="850">
        <v>46451</v>
      </c>
      <c r="B119" s="849">
        <v>886.9400000000001</v>
      </c>
      <c r="C119" s="514">
        <v>1039.59</v>
      </c>
      <c r="D119" s="514" cm="1">
        <f t="array" ref="D119">'depto - dividendos'!F43</f>
        <v>41872.4784292976</v>
      </c>
    </row>
    <row r="120" ht="20.35" customHeight="1">
      <c r="A120" s="850">
        <v>46482</v>
      </c>
      <c r="B120" s="849">
        <v>886.9400000000001</v>
      </c>
      <c r="C120" s="514">
        <v>1039.59</v>
      </c>
      <c r="D120" s="514" cm="1">
        <f t="array" ref="D120">'depto - dividendos'!F44</f>
        <v>41901.7891641981</v>
      </c>
    </row>
    <row r="121" ht="20.35" customHeight="1">
      <c r="A121" s="850">
        <v>46512</v>
      </c>
      <c r="B121" s="849">
        <v>886.9400000000001</v>
      </c>
      <c r="C121" s="514">
        <v>1039.59</v>
      </c>
      <c r="D121" s="514" cm="1">
        <f t="array" ref="D121">'depto - dividendos'!F45</f>
        <v>42329.1874136729</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2:H11"/>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5" width="16.3516" style="851" customWidth="1"/>
    <col min="6" max="6" width="30.3125" style="851" customWidth="1"/>
    <col min="7" max="8" width="16.3516" style="851" customWidth="1"/>
    <col min="9" max="16384" width="16.3516" style="851" customWidth="1"/>
  </cols>
  <sheetData>
    <row r="1" ht="28" customHeight="1">
      <c r="A1" t="s" s="90">
        <v>52</v>
      </c>
      <c r="B1" s="90"/>
      <c r="C1" s="90"/>
      <c r="D1" s="90"/>
      <c r="E1" s="90"/>
      <c r="F1" s="90"/>
      <c r="G1" s="90"/>
      <c r="H1" s="90"/>
    </row>
    <row r="2" ht="20.55" customHeight="1">
      <c r="A2" s="7"/>
      <c r="B2" s="7"/>
      <c r="C2" s="7"/>
      <c r="D2" s="7"/>
      <c r="E2" s="7"/>
      <c r="F2" s="7"/>
      <c r="G2" s="7"/>
      <c r="H2" s="7"/>
    </row>
    <row r="3" ht="20.55" customHeight="1">
      <c r="A3" s="224"/>
      <c r="B3" s="524"/>
      <c r="C3" s="82"/>
      <c r="D3" s="82"/>
      <c r="E3" s="82"/>
      <c r="F3" s="82"/>
      <c r="G3" s="82"/>
      <c r="H3" s="82"/>
    </row>
    <row r="4" ht="32.35" customHeight="1">
      <c r="A4" t="s" s="17">
        <v>1194</v>
      </c>
      <c r="B4" s="18">
        <v>30</v>
      </c>
      <c r="C4" t="s" s="23">
        <v>1195</v>
      </c>
      <c r="D4" s="32"/>
      <c r="E4" s="26" cm="1">
        <f t="array" ref="E4">B4*'variables - Table 1'!B3</f>
        <v>2165640</v>
      </c>
      <c r="F4" t="s" s="23">
        <v>1196</v>
      </c>
      <c r="G4" s="32"/>
      <c r="H4" s="32"/>
    </row>
    <row r="5" ht="20.35" customHeight="1">
      <c r="A5" s="28"/>
      <c r="B5" s="29"/>
      <c r="C5" s="32"/>
      <c r="D5" s="32"/>
      <c r="E5" s="32"/>
      <c r="F5" s="32"/>
      <c r="G5" s="32"/>
      <c r="H5" s="32"/>
    </row>
    <row r="6" ht="20.35" customHeight="1">
      <c r="A6" s="28"/>
      <c r="B6" s="29"/>
      <c r="C6" s="32"/>
      <c r="D6" s="32"/>
      <c r="E6" s="32"/>
      <c r="F6" s="32"/>
      <c r="G6" s="32"/>
      <c r="H6" s="32"/>
    </row>
    <row r="7" ht="20.35" customHeight="1">
      <c r="A7" s="28"/>
      <c r="B7" s="29"/>
      <c r="C7" s="32"/>
      <c r="D7" s="32"/>
      <c r="E7" s="32"/>
      <c r="F7" s="32"/>
      <c r="G7" s="32"/>
      <c r="H7" s="32"/>
    </row>
    <row r="8" ht="20.35" customHeight="1">
      <c r="A8" s="28"/>
      <c r="B8" s="29"/>
      <c r="C8" s="32"/>
      <c r="D8" s="32"/>
      <c r="E8" s="32"/>
      <c r="F8" s="32"/>
      <c r="G8" s="32"/>
      <c r="H8" s="32"/>
    </row>
    <row r="9" ht="20.35" customHeight="1">
      <c r="A9" s="28"/>
      <c r="B9" s="29"/>
      <c r="C9" s="32"/>
      <c r="D9" s="32"/>
      <c r="E9" s="32"/>
      <c r="F9" s="32"/>
      <c r="G9" s="32"/>
      <c r="H9" s="32"/>
    </row>
    <row r="10" ht="20.35" customHeight="1">
      <c r="A10" s="28"/>
      <c r="B10" s="29"/>
      <c r="C10" s="32"/>
      <c r="D10" s="32"/>
      <c r="E10" s="32"/>
      <c r="F10" s="32"/>
      <c r="G10" s="32"/>
      <c r="H10" s="32"/>
    </row>
    <row r="11" ht="20.35" customHeight="1">
      <c r="A11" s="28"/>
      <c r="B11" s="29"/>
      <c r="C11" s="32"/>
      <c r="D11" s="32"/>
      <c r="E11" s="32"/>
      <c r="F11" s="32"/>
      <c r="G11" s="32"/>
      <c r="H11" s="32"/>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1.xml><?xml version="1.0" encoding="utf-8"?>
<worksheet xmlns:r="http://schemas.openxmlformats.org/officeDocument/2006/relationships" xmlns="http://schemas.openxmlformats.org/spreadsheetml/2006/main">
  <sheetPr>
    <pageSetUpPr fitToPage="1"/>
  </sheetPr>
  <dimension ref="A1:C2"/>
  <sheetViews>
    <sheetView workbookViewId="0" showGridLines="0" defaultGridColor="1">
      <pane topLeftCell="B1" xSplit="1" ySplit="0" activePane="topRight" state="frozen"/>
    </sheetView>
  </sheetViews>
  <sheetFormatPr defaultColWidth="16.3333" defaultRowHeight="18" customHeight="1" outlineLevelRow="0" outlineLevelCol="0"/>
  <cols>
    <col min="1" max="2" width="16.3516" style="852" customWidth="1"/>
    <col min="3" max="3" width="13.6406" style="852" customWidth="1"/>
    <col min="4" max="16384" width="16.3516" style="852" customWidth="1"/>
  </cols>
  <sheetData>
    <row r="1" ht="20.35" customHeight="1">
      <c r="A1" t="s" s="17">
        <v>1198</v>
      </c>
      <c r="B1" s="388" cm="1">
        <f t="array" ref="B1">(C1*'variables - Table 1'!B13)</f>
        <v>70536653.014</v>
      </c>
      <c r="C1" s="387">
        <v>79528.100000000006</v>
      </c>
    </row>
    <row r="2" ht="20.35" customHeight="1">
      <c r="A2" t="s" s="17">
        <v>1199</v>
      </c>
      <c r="B2" s="388" cm="1">
        <f t="array" ref="B2">(C2*'variables - Table 1'!B13)</f>
        <v>2006613.056</v>
      </c>
      <c r="C2" s="387">
        <v>2262.4</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2.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5" width="16.3516" style="853" customWidth="1"/>
    <col min="6" max="16384" width="16.3516" style="853" customWidth="1"/>
  </cols>
  <sheetData>
    <row r="1" ht="28" customHeight="1">
      <c r="A1" t="s" s="90">
        <v>80</v>
      </c>
      <c r="B1" s="90"/>
      <c r="C1" s="90"/>
      <c r="D1" s="90"/>
      <c r="E1" s="90"/>
    </row>
    <row r="2" ht="20.55" customHeight="1">
      <c r="A2" s="7"/>
      <c r="B2" s="7"/>
      <c r="C2" s="7"/>
      <c r="D2" s="7"/>
      <c r="E2" s="7"/>
    </row>
    <row r="3" ht="20.55" customHeight="1">
      <c r="A3" s="224"/>
      <c r="B3" s="524"/>
      <c r="C3" s="82"/>
      <c r="D3" s="82"/>
      <c r="E3" s="82"/>
    </row>
    <row r="4" ht="20.35" customHeight="1">
      <c r="A4" t="s" s="17">
        <v>1201</v>
      </c>
      <c r="B4" s="854">
        <v>40240.14</v>
      </c>
      <c r="C4" s="32"/>
      <c r="D4" s="32"/>
      <c r="E4" s="32"/>
    </row>
    <row r="5" ht="20.35" customHeight="1">
      <c r="A5" s="28"/>
      <c r="B5" s="29"/>
      <c r="C5" s="32"/>
      <c r="D5" s="32"/>
      <c r="E5" s="32"/>
    </row>
    <row r="6" ht="20.35" customHeight="1">
      <c r="A6" t="s" s="17">
        <v>1202</v>
      </c>
      <c r="B6" s="855">
        <v>0.013</v>
      </c>
      <c r="C6" s="32"/>
      <c r="D6" s="32"/>
      <c r="E6" s="32"/>
    </row>
    <row r="7" ht="20.35" customHeight="1">
      <c r="A7" t="s" s="17">
        <v>1203</v>
      </c>
      <c r="B7" s="18" cm="1">
        <f t="array" ref="B7">DAY(DATE(YEAR(TODAY()),MONTH(TODAY())+1,0))</f>
        <v>31</v>
      </c>
      <c r="C7" s="68" cm="1">
        <f t="array" ref="C7">DAY(DATE(YEAR(TODAY()),MONTH(TODAY())+1,0))</f>
        <v>31</v>
      </c>
      <c r="D7" s="32"/>
      <c r="E7" s="32"/>
    </row>
    <row r="8" ht="20.35" customHeight="1">
      <c r="A8" t="s" s="17">
        <v>1204</v>
      </c>
      <c r="B8" s="18" cm="1">
        <f t="array" ref="B8">ROUND(B4*(B6/B7),2)</f>
        <v>16.87</v>
      </c>
      <c r="C8" s="68" cm="1">
        <f t="array" ref="C8">ROUND((C9-B4)/B7,2)</f>
        <v>16.87</v>
      </c>
      <c r="D8" s="32"/>
      <c r="E8" s="32"/>
    </row>
    <row r="9" ht="20.35" customHeight="1">
      <c r="A9" t="s" s="17">
        <v>1205</v>
      </c>
      <c r="B9" s="854" cm="1">
        <f t="array" ref="B9">B4+B8*B7</f>
        <v>40763.11</v>
      </c>
      <c r="C9" s="68" cm="1">
        <f t="array" ref="C9">B4*(1+B6)</f>
        <v>40763.26182</v>
      </c>
      <c r="D9" s="32"/>
      <c r="E9" s="32"/>
    </row>
    <row r="10" ht="20.55" customHeight="1">
      <c r="A10" s="84"/>
      <c r="B10" s="85"/>
      <c r="C10" s="73"/>
      <c r="D10" s="73"/>
      <c r="E10" s="73"/>
    </row>
    <row r="11" ht="20.55" customHeight="1">
      <c r="A11" s="46"/>
      <c r="B11" s="46"/>
      <c r="C11" s="46"/>
      <c r="D11" s="46"/>
      <c r="E11" s="46"/>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3.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74.xml><?xml version="1.0" encoding="utf-8"?>
<worksheet xmlns:r="http://schemas.openxmlformats.org/officeDocument/2006/relationships" xmlns="http://schemas.openxmlformats.org/spreadsheetml/2006/main">
  <sheetPr>
    <pageSetUpPr fitToPage="1"/>
  </sheetPr>
  <dimension ref="A2:A11"/>
  <sheetViews>
    <sheetView workbookViewId="0" showGridLines="0" defaultGridColor="1">
      <pane topLeftCell="A3" xSplit="0" ySplit="2" activePane="bottomLeft" state="frozen"/>
    </sheetView>
  </sheetViews>
  <sheetFormatPr defaultColWidth="16.3333" defaultRowHeight="18" customHeight="1" outlineLevelRow="0" outlineLevelCol="0"/>
  <cols>
    <col min="1" max="1" width="16.3516" style="856" customWidth="1"/>
    <col min="2" max="16384" width="16.3516" style="856" customWidth="1"/>
  </cols>
  <sheetData>
    <row r="1" ht="28" customHeight="1">
      <c r="A1" t="s" s="90">
        <v>1207</v>
      </c>
    </row>
    <row r="2" ht="20.55" customHeight="1">
      <c r="A2" s="7"/>
    </row>
    <row r="3" ht="20.55" customHeight="1">
      <c r="A3" s="59">
        <v>126691.519025468</v>
      </c>
    </row>
    <row r="4" ht="20.35" customHeight="1">
      <c r="A4" s="26" cm="1">
        <f t="array" ref="A4">0.001*'variables - Table 1-4'!B2</f>
        <v>2006.613056</v>
      </c>
    </row>
    <row r="5" ht="20.35" customHeight="1">
      <c r="A5" s="32"/>
    </row>
    <row r="6" ht="20.35" customHeight="1">
      <c r="A6" s="32"/>
    </row>
    <row r="7" ht="20.35" customHeight="1">
      <c r="A7" s="32"/>
    </row>
    <row r="8" ht="20.35" customHeight="1">
      <c r="A8" s="32"/>
    </row>
    <row r="9" ht="20.35" customHeight="1">
      <c r="A9" s="32"/>
    </row>
    <row r="10" ht="20.55" customHeight="1">
      <c r="A10" s="73"/>
    </row>
    <row r="11" ht="20.55" customHeight="1">
      <c r="A11" s="79" cm="1">
        <f t="array" ref="A11">SUM(A3:A10)</f>
        <v>128698.132081468</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5.xml><?xml version="1.0" encoding="utf-8"?>
<worksheet xmlns:r="http://schemas.openxmlformats.org/officeDocument/2006/relationships" xmlns="http://schemas.openxmlformats.org/spreadsheetml/2006/main">
  <sheetPr>
    <pageSetUpPr fitToPage="1"/>
  </sheetPr>
  <dimension ref="A2:G122"/>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3" width="16.3516" style="857" customWidth="1"/>
    <col min="4" max="4" width="5.35156" style="857" customWidth="1"/>
    <col min="5" max="7" width="16.3516" style="857" customWidth="1"/>
    <col min="8" max="16384" width="16.3516" style="857" customWidth="1"/>
  </cols>
  <sheetData>
    <row r="1" ht="28" customHeight="1">
      <c r="A1" t="s" s="90">
        <v>1209</v>
      </c>
      <c r="B1" s="90"/>
      <c r="C1" s="90"/>
      <c r="D1" s="90"/>
      <c r="E1" s="90"/>
      <c r="F1" s="90"/>
      <c r="G1" s="90"/>
    </row>
    <row r="2" ht="20.55" customHeight="1">
      <c r="A2" s="7"/>
      <c r="B2" t="s" s="8">
        <v>665</v>
      </c>
      <c r="C2" s="858"/>
      <c r="D2" s="858"/>
      <c r="E2" t="s" s="8">
        <v>1211</v>
      </c>
      <c r="F2" s="858"/>
      <c r="G2" s="858"/>
    </row>
    <row r="3" ht="20.55" customHeight="1">
      <c r="A3" s="177">
        <v>42856</v>
      </c>
      <c r="B3" s="91"/>
      <c r="C3" s="859"/>
      <c r="D3" s="859"/>
      <c r="E3" s="859"/>
      <c r="F3" s="859"/>
      <c r="G3" s="859"/>
    </row>
    <row r="4" ht="20.35" customHeight="1">
      <c r="A4" s="186">
        <v>42887</v>
      </c>
      <c r="B4" s="92"/>
      <c r="C4" s="860"/>
      <c r="D4" s="860"/>
      <c r="E4" s="860"/>
      <c r="F4" s="860"/>
      <c r="G4" s="860"/>
    </row>
    <row r="5" ht="20.35" customHeight="1">
      <c r="A5" s="186">
        <v>42917</v>
      </c>
      <c r="B5" s="29"/>
      <c r="C5" s="32"/>
      <c r="D5" s="32"/>
      <c r="E5" s="32"/>
      <c r="F5" s="32"/>
      <c r="G5" s="32"/>
    </row>
    <row r="6" ht="20.35" customHeight="1">
      <c r="A6" s="186">
        <v>42948</v>
      </c>
      <c r="B6" s="861"/>
      <c r="C6" s="32"/>
      <c r="D6" s="32"/>
      <c r="E6" s="32"/>
      <c r="F6" s="32"/>
      <c r="G6" s="32"/>
    </row>
    <row r="7" ht="20.35" customHeight="1">
      <c r="A7" s="186">
        <v>42979</v>
      </c>
      <c r="B7" s="92"/>
      <c r="C7" s="862"/>
      <c r="D7" s="862"/>
      <c r="E7" s="862"/>
      <c r="F7" s="862"/>
      <c r="G7" s="862"/>
    </row>
    <row r="8" ht="20.35" customHeight="1">
      <c r="A8" s="186">
        <v>43009</v>
      </c>
      <c r="B8" s="92"/>
      <c r="C8" s="862"/>
      <c r="D8" s="862"/>
      <c r="E8" s="862"/>
      <c r="F8" s="862"/>
      <c r="G8" s="862"/>
    </row>
    <row r="9" ht="20.35" customHeight="1">
      <c r="A9" s="186">
        <v>43040</v>
      </c>
      <c r="B9" s="92">
        <v>699397</v>
      </c>
      <c r="C9" s="863">
        <v>0.1273763</v>
      </c>
      <c r="D9" s="864" cm="1">
        <f t="array" ref="D9">_xlfn.IFERROR((C9*'variables - Table 1-4'!$B$1)/B9-1,"")</f>
        <v>11.8463488909835</v>
      </c>
      <c r="E9" s="863"/>
      <c r="F9" s="863"/>
      <c r="G9" s="863"/>
    </row>
    <row r="10" ht="20.35" customHeight="1">
      <c r="A10" s="186">
        <v>43070</v>
      </c>
      <c r="B10" s="92" cm="1">
        <f t="array" ref="B10">100000+50000+4479+100001+214485+88556</f>
        <v>557521</v>
      </c>
      <c r="C10" s="865" cm="1">
        <f t="array" ref="C10">0.0272+0.01801917+0.00764121</f>
        <v>0.05286038</v>
      </c>
      <c r="D10" s="864" cm="1">
        <f t="array" ref="D10">_xlfn.IFERROR((C10*'variables - Table 1-4'!$B$1)/B10-1,"")</f>
        <v>5.68780957533113</v>
      </c>
      <c r="E10" s="30" cm="1">
        <f t="array" ref="E10">600000</f>
        <v>600000</v>
      </c>
      <c r="F10" s="866" cm="1">
        <f t="array" ref="F10">0.05023668</f>
        <v>0.05023668</v>
      </c>
      <c r="G10" s="866"/>
    </row>
    <row r="11" ht="20.35" customHeight="1">
      <c r="A11" s="186">
        <v>43101</v>
      </c>
      <c r="B11" s="92"/>
      <c r="C11" s="865"/>
      <c r="D11" s="865"/>
      <c r="E11" s="26" cm="1">
        <f t="array" ref="E11">0.025*8931192+0.00504*8986875</f>
        <v>268573.65</v>
      </c>
      <c r="F11" s="867" cm="1">
        <f t="array" ref="F11">0.025+0.00504</f>
        <v>0.03004</v>
      </c>
      <c r="G11" s="867"/>
    </row>
    <row r="12" ht="20.35" customHeight="1">
      <c r="A12" s="186">
        <v>43132</v>
      </c>
      <c r="B12" s="92"/>
      <c r="C12" s="865"/>
      <c r="D12" s="865"/>
      <c r="E12" s="26"/>
      <c r="F12" s="867"/>
      <c r="G12" s="867"/>
    </row>
    <row r="13" ht="20.35" customHeight="1">
      <c r="A13" s="186">
        <v>43160</v>
      </c>
      <c r="B13" s="92">
        <v>70000</v>
      </c>
      <c r="C13" s="865" cm="1">
        <f t="array" ref="C13">0.01233808</f>
        <v>0.01233808</v>
      </c>
      <c r="D13" s="864" cm="1">
        <f t="array" ref="D13">_xlfn.IFERROR((C13*'variables - Table 1-4'!$B$1)/B13-1,"")</f>
        <v>11.432669540271</v>
      </c>
      <c r="E13" s="26"/>
      <c r="F13" s="867"/>
      <c r="G13" s="867"/>
    </row>
    <row r="14" ht="20.35" customHeight="1">
      <c r="A14" s="186">
        <v>43191</v>
      </c>
      <c r="B14" s="92"/>
      <c r="C14" s="865"/>
      <c r="D14" s="864"/>
      <c r="E14" s="26"/>
      <c r="F14" s="867"/>
      <c r="G14" s="867"/>
    </row>
    <row r="15" ht="20.35" customHeight="1">
      <c r="A15" s="186">
        <v>43221</v>
      </c>
      <c r="B15" s="92"/>
      <c r="C15" s="865"/>
      <c r="D15" s="864"/>
      <c r="E15" s="26"/>
      <c r="F15" s="867"/>
      <c r="G15" s="867"/>
    </row>
    <row r="16" ht="20.35" customHeight="1">
      <c r="A16" s="186">
        <v>43252</v>
      </c>
      <c r="B16" s="92"/>
      <c r="C16" s="865"/>
      <c r="D16" s="864"/>
      <c r="E16" s="26"/>
      <c r="F16" s="867"/>
      <c r="G16" s="867"/>
    </row>
    <row r="17" ht="20.35" customHeight="1">
      <c r="A17" s="186">
        <v>43282</v>
      </c>
      <c r="B17" s="92"/>
      <c r="C17" s="865"/>
      <c r="D17" s="864"/>
      <c r="E17" s="26"/>
      <c r="F17" s="867"/>
      <c r="G17" s="867"/>
    </row>
    <row r="18" ht="20.35" customHeight="1">
      <c r="A18" s="186">
        <v>43313</v>
      </c>
      <c r="B18" s="92"/>
      <c r="C18" s="865"/>
      <c r="D18" s="864"/>
      <c r="E18" s="26"/>
      <c r="F18" s="867"/>
      <c r="G18" s="867"/>
    </row>
    <row r="19" ht="20.35" customHeight="1">
      <c r="A19" s="186">
        <v>43344</v>
      </c>
      <c r="B19" s="92"/>
      <c r="C19" s="865"/>
      <c r="D19" s="864"/>
      <c r="E19" s="26"/>
      <c r="F19" s="867"/>
      <c r="G19" s="867"/>
    </row>
    <row r="20" ht="20.35" customHeight="1">
      <c r="A20" s="186">
        <v>43374</v>
      </c>
      <c r="B20" s="92"/>
      <c r="C20" s="865"/>
      <c r="D20" s="864"/>
      <c r="E20" s="26"/>
      <c r="F20" s="867"/>
      <c r="G20" s="867"/>
    </row>
    <row r="21" ht="20.35" customHeight="1">
      <c r="A21" s="186">
        <v>43405</v>
      </c>
      <c r="B21" s="92"/>
      <c r="C21" s="865"/>
      <c r="D21" s="864"/>
      <c r="E21" s="26"/>
      <c r="F21" s="867"/>
      <c r="G21" s="867"/>
    </row>
    <row r="22" ht="20.35" customHeight="1">
      <c r="A22" s="186">
        <v>43435</v>
      </c>
      <c r="B22" s="92"/>
      <c r="C22" s="865"/>
      <c r="D22" s="864"/>
      <c r="E22" s="26"/>
      <c r="F22" s="867"/>
      <c r="G22" s="867"/>
    </row>
    <row r="23" ht="20.35" customHeight="1">
      <c r="A23" s="186">
        <v>43466</v>
      </c>
      <c r="B23" s="92"/>
      <c r="C23" s="865"/>
      <c r="D23" s="864"/>
      <c r="E23" s="26"/>
      <c r="F23" s="867"/>
      <c r="G23" s="867"/>
    </row>
    <row r="24" ht="20.35" customHeight="1">
      <c r="A24" s="186">
        <v>43497</v>
      </c>
      <c r="B24" s="92"/>
      <c r="C24" s="865"/>
      <c r="D24" s="864"/>
      <c r="E24" s="26"/>
      <c r="F24" s="867"/>
      <c r="G24" s="867"/>
    </row>
    <row r="25" ht="20.35" customHeight="1">
      <c r="A25" s="186">
        <v>43525</v>
      </c>
      <c r="B25" s="92"/>
      <c r="C25" s="865"/>
      <c r="D25" s="864"/>
      <c r="E25" s="26"/>
      <c r="F25" s="867"/>
      <c r="G25" s="867"/>
    </row>
    <row r="26" ht="20.35" customHeight="1">
      <c r="A26" s="186">
        <v>43556</v>
      </c>
      <c r="B26" s="92"/>
      <c r="C26" s="865"/>
      <c r="D26" s="864"/>
      <c r="E26" s="26"/>
      <c r="F26" s="867"/>
      <c r="G26" s="867"/>
    </row>
    <row r="27" ht="20.35" customHeight="1">
      <c r="A27" s="186">
        <v>43586</v>
      </c>
      <c r="B27" s="92"/>
      <c r="C27" s="865"/>
      <c r="D27" s="864"/>
      <c r="E27" s="26"/>
      <c r="F27" s="867"/>
      <c r="G27" s="867"/>
    </row>
    <row r="28" ht="20.35" customHeight="1">
      <c r="A28" s="186">
        <v>43617</v>
      </c>
      <c r="B28" s="92"/>
      <c r="C28" s="865"/>
      <c r="D28" s="864"/>
      <c r="E28" s="26"/>
      <c r="F28" s="867"/>
      <c r="G28" s="867"/>
    </row>
    <row r="29" ht="20.35" customHeight="1">
      <c r="A29" s="186">
        <v>43647</v>
      </c>
      <c r="B29" s="92"/>
      <c r="C29" s="865"/>
      <c r="D29" s="864"/>
      <c r="E29" s="26"/>
      <c r="F29" s="867"/>
      <c r="G29" s="867"/>
    </row>
    <row r="30" ht="20.35" customHeight="1">
      <c r="A30" s="186">
        <v>43678</v>
      </c>
      <c r="B30" s="92"/>
      <c r="C30" s="865"/>
      <c r="D30" s="864"/>
      <c r="E30" s="26"/>
      <c r="F30" s="867"/>
      <c r="G30" s="867"/>
    </row>
    <row r="31" ht="20.35" customHeight="1">
      <c r="A31" s="186">
        <v>43709</v>
      </c>
      <c r="B31" s="92"/>
      <c r="C31" s="865"/>
      <c r="D31" s="864"/>
      <c r="E31" s="26"/>
      <c r="F31" s="867"/>
      <c r="G31" s="867"/>
    </row>
    <row r="32" ht="20.35" customHeight="1">
      <c r="A32" s="186">
        <v>43739</v>
      </c>
      <c r="B32" s="92"/>
      <c r="C32" s="865"/>
      <c r="D32" s="864"/>
      <c r="E32" s="26"/>
      <c r="F32" s="867"/>
      <c r="G32" s="867"/>
    </row>
    <row r="33" ht="20.35" customHeight="1">
      <c r="A33" s="186">
        <v>43770</v>
      </c>
      <c r="B33" s="92"/>
      <c r="C33" s="865"/>
      <c r="D33" s="864"/>
      <c r="E33" s="26"/>
      <c r="F33" s="867"/>
      <c r="G33" s="867"/>
    </row>
    <row r="34" ht="20.35" customHeight="1">
      <c r="A34" s="186">
        <v>43800</v>
      </c>
      <c r="B34" s="92"/>
      <c r="C34" s="865"/>
      <c r="D34" s="864"/>
      <c r="E34" s="26"/>
      <c r="F34" s="867"/>
      <c r="G34" s="867"/>
    </row>
    <row r="35" ht="20.35" customHeight="1">
      <c r="A35" s="186">
        <v>43831</v>
      </c>
      <c r="B35" s="92"/>
      <c r="C35" s="865"/>
      <c r="D35" s="864"/>
      <c r="E35" s="26"/>
      <c r="F35" s="867"/>
      <c r="G35" s="867"/>
    </row>
    <row r="36" ht="20.35" customHeight="1">
      <c r="A36" s="186">
        <v>43862</v>
      </c>
      <c r="B36" s="92"/>
      <c r="C36" s="865"/>
      <c r="D36" s="864"/>
      <c r="E36" s="26"/>
      <c r="F36" s="867"/>
      <c r="G36" s="867"/>
    </row>
    <row r="37" ht="20.35" customHeight="1">
      <c r="A37" s="186">
        <v>43891</v>
      </c>
      <c r="B37" s="92"/>
      <c r="C37" s="865"/>
      <c r="D37" s="864"/>
      <c r="E37" s="26"/>
      <c r="F37" s="867"/>
      <c r="G37" s="867"/>
    </row>
    <row r="38" ht="20.35" customHeight="1">
      <c r="A38" s="186">
        <v>43922</v>
      </c>
      <c r="B38" s="92"/>
      <c r="C38" s="865"/>
      <c r="D38" s="864"/>
      <c r="E38" s="26"/>
      <c r="F38" s="867"/>
      <c r="G38" s="867"/>
    </row>
    <row r="39" ht="20.35" customHeight="1">
      <c r="A39" s="186">
        <v>43952</v>
      </c>
      <c r="B39" s="92"/>
      <c r="C39" s="865"/>
      <c r="D39" s="864"/>
      <c r="E39" s="26"/>
      <c r="F39" s="867"/>
      <c r="G39" s="867"/>
    </row>
    <row r="40" ht="20.35" customHeight="1">
      <c r="A40" s="186">
        <v>43983</v>
      </c>
      <c r="B40" s="92"/>
      <c r="C40" s="865"/>
      <c r="D40" s="864"/>
      <c r="E40" s="26"/>
      <c r="F40" s="867"/>
      <c r="G40" s="867"/>
    </row>
    <row r="41" ht="20.35" customHeight="1">
      <c r="A41" s="186">
        <v>44013</v>
      </c>
      <c r="B41" s="92"/>
      <c r="C41" s="865"/>
      <c r="D41" s="864"/>
      <c r="E41" s="26"/>
      <c r="F41" s="867"/>
      <c r="G41" s="867"/>
    </row>
    <row r="42" ht="20.35" customHeight="1">
      <c r="A42" s="186">
        <v>44044</v>
      </c>
      <c r="B42" s="92"/>
      <c r="C42" s="865"/>
      <c r="D42" s="864"/>
      <c r="E42" s="26"/>
      <c r="F42" s="867"/>
      <c r="G42" s="867"/>
    </row>
    <row r="43" ht="20.35" customHeight="1">
      <c r="A43" s="186">
        <v>44075</v>
      </c>
      <c r="B43" s="92"/>
      <c r="C43" s="865"/>
      <c r="D43" s="864"/>
      <c r="E43" s="26"/>
      <c r="F43" s="867"/>
      <c r="G43" s="867"/>
    </row>
    <row r="44" ht="20.35" customHeight="1">
      <c r="A44" s="186">
        <v>44105</v>
      </c>
      <c r="B44" s="92"/>
      <c r="C44" s="865"/>
      <c r="D44" s="864"/>
      <c r="E44" s="26"/>
      <c r="F44" s="867"/>
      <c r="G44" s="867"/>
    </row>
    <row r="45" ht="20.35" customHeight="1">
      <c r="A45" s="186">
        <v>44136</v>
      </c>
      <c r="B45" s="92"/>
      <c r="C45" s="865"/>
      <c r="D45" s="864"/>
      <c r="E45" s="26"/>
      <c r="F45" s="867"/>
      <c r="G45" s="867"/>
    </row>
    <row r="46" ht="20.35" customHeight="1">
      <c r="A46" s="186">
        <v>44166</v>
      </c>
      <c r="B46" s="92"/>
      <c r="C46" s="865"/>
      <c r="D46" s="864"/>
      <c r="E46" s="26"/>
      <c r="F46" s="867"/>
      <c r="G46" s="867"/>
    </row>
    <row r="47" ht="20.35" customHeight="1">
      <c r="A47" s="186">
        <v>44197</v>
      </c>
      <c r="B47" s="92"/>
      <c r="C47" s="865"/>
      <c r="D47" s="864"/>
      <c r="E47" s="26">
        <v>600000</v>
      </c>
      <c r="F47" s="867" cm="1">
        <f t="array" ref="F47">0.02446116</f>
        <v>0.02446116</v>
      </c>
      <c r="G47" s="868" cm="1">
        <f t="array" ref="G47">E47/F47</f>
        <v>24528681.387146</v>
      </c>
    </row>
    <row r="48" ht="20.35" customHeight="1">
      <c r="A48" s="186">
        <v>44228</v>
      </c>
      <c r="B48" s="92"/>
      <c r="C48" s="865"/>
      <c r="D48" s="864"/>
      <c r="E48" s="26">
        <v>450000</v>
      </c>
      <c r="F48" s="867" cm="1">
        <f t="array" ref="F48">0.0110133</f>
        <v>0.0110133</v>
      </c>
      <c r="G48" s="868" cm="1">
        <f t="array" ref="G48">E48/F48</f>
        <v>40859687.831985</v>
      </c>
    </row>
    <row r="49" ht="20.35" customHeight="1">
      <c r="A49" s="186">
        <v>44256</v>
      </c>
      <c r="B49" s="92"/>
      <c r="C49" s="865"/>
      <c r="D49" s="864"/>
      <c r="E49" s="26"/>
      <c r="F49" s="867"/>
      <c r="G49" s="867"/>
    </row>
    <row r="50" ht="20.35" customHeight="1">
      <c r="A50" s="186">
        <v>44287</v>
      </c>
      <c r="B50" s="92"/>
      <c r="C50" s="865"/>
      <c r="D50" s="864"/>
      <c r="E50" s="26"/>
      <c r="F50" s="867"/>
      <c r="G50" s="867"/>
    </row>
    <row r="51" ht="20.35" customHeight="1">
      <c r="A51" s="186">
        <v>44317</v>
      </c>
      <c r="B51" s="92"/>
      <c r="C51" s="865"/>
      <c r="D51" s="864"/>
      <c r="E51" s="26"/>
      <c r="F51" s="867"/>
      <c r="G51" s="867"/>
    </row>
    <row r="52" ht="20.35" customHeight="1">
      <c r="A52" s="186">
        <v>44348</v>
      </c>
      <c r="B52" s="92"/>
      <c r="C52" s="865"/>
      <c r="D52" s="864"/>
      <c r="E52" s="26"/>
      <c r="F52" s="867"/>
      <c r="G52" s="867"/>
    </row>
    <row r="53" ht="20.35" customHeight="1">
      <c r="A53" s="186">
        <v>44378</v>
      </c>
      <c r="B53" s="92"/>
      <c r="C53" s="865"/>
      <c r="D53" s="864"/>
      <c r="E53" s="26"/>
      <c r="F53" s="867"/>
      <c r="G53" s="867"/>
    </row>
    <row r="54" ht="20.35" customHeight="1">
      <c r="A54" s="186">
        <v>44409</v>
      </c>
      <c r="B54" s="92"/>
      <c r="C54" s="865"/>
      <c r="D54" s="864"/>
      <c r="E54" s="26"/>
      <c r="F54" s="867"/>
      <c r="G54" s="867"/>
    </row>
    <row r="55" ht="20.35" customHeight="1">
      <c r="A55" s="186">
        <v>44440</v>
      </c>
      <c r="B55" s="92"/>
      <c r="C55" s="865"/>
      <c r="D55" s="864"/>
      <c r="E55" s="26"/>
      <c r="F55" s="867"/>
      <c r="G55" s="867"/>
    </row>
    <row r="56" ht="20.35" customHeight="1">
      <c r="A56" s="186">
        <v>44470</v>
      </c>
      <c r="B56" s="92"/>
      <c r="C56" s="865"/>
      <c r="D56" s="864"/>
      <c r="E56" s="26"/>
      <c r="F56" s="867"/>
      <c r="G56" s="867"/>
    </row>
    <row r="57" ht="20.35" customHeight="1">
      <c r="A57" s="186">
        <v>44501</v>
      </c>
      <c r="B57" s="92"/>
      <c r="C57" s="865"/>
      <c r="D57" s="864"/>
      <c r="E57" s="26"/>
      <c r="F57" s="867"/>
      <c r="G57" s="867"/>
    </row>
    <row r="58" ht="20.35" customHeight="1">
      <c r="A58" s="186">
        <v>44531</v>
      </c>
      <c r="B58" s="92"/>
      <c r="C58" s="865"/>
      <c r="D58" s="864"/>
      <c r="E58" s="26"/>
      <c r="F58" s="867"/>
      <c r="G58" s="867"/>
    </row>
    <row r="59" ht="20.35" customHeight="1">
      <c r="A59" s="186">
        <v>44562</v>
      </c>
      <c r="B59" s="92"/>
      <c r="C59" s="865"/>
      <c r="D59" s="864"/>
      <c r="E59" s="26"/>
      <c r="F59" s="867"/>
      <c r="G59" s="867"/>
    </row>
    <row r="60" ht="20.35" customHeight="1">
      <c r="A60" s="186">
        <v>44593</v>
      </c>
      <c r="B60" s="92"/>
      <c r="C60" s="865"/>
      <c r="D60" s="864"/>
      <c r="E60" s="26"/>
      <c r="F60" s="867"/>
      <c r="G60" s="867"/>
    </row>
    <row r="61" ht="20.35" customHeight="1">
      <c r="A61" s="186">
        <v>44621</v>
      </c>
      <c r="B61" s="92"/>
      <c r="C61" s="865"/>
      <c r="D61" s="864"/>
      <c r="E61" s="26"/>
      <c r="F61" s="867"/>
      <c r="G61" s="867"/>
    </row>
    <row r="62" ht="20.35" customHeight="1">
      <c r="A62" s="186">
        <v>44652</v>
      </c>
      <c r="B62" s="92"/>
      <c r="C62" s="865"/>
      <c r="D62" s="864"/>
      <c r="E62" s="26"/>
      <c r="F62" s="867"/>
      <c r="G62" s="867"/>
    </row>
    <row r="63" ht="20.35" customHeight="1">
      <c r="A63" s="186">
        <v>44682</v>
      </c>
      <c r="B63" s="92"/>
      <c r="C63" s="865"/>
      <c r="D63" s="864"/>
      <c r="E63" s="26"/>
      <c r="F63" s="867"/>
      <c r="G63" s="867"/>
    </row>
    <row r="64" ht="20.35" customHeight="1">
      <c r="A64" s="186">
        <v>44713</v>
      </c>
      <c r="B64" s="92"/>
      <c r="C64" s="865"/>
      <c r="D64" s="864"/>
      <c r="E64" s="26"/>
      <c r="F64" s="867"/>
      <c r="G64" s="867"/>
    </row>
    <row r="65" ht="20.35" customHeight="1">
      <c r="A65" s="186">
        <v>44743</v>
      </c>
      <c r="B65" s="92"/>
      <c r="C65" s="865"/>
      <c r="D65" s="864"/>
      <c r="E65" s="26"/>
      <c r="F65" s="867"/>
      <c r="G65" s="867"/>
    </row>
    <row r="66" ht="20.35" customHeight="1">
      <c r="A66" s="186">
        <v>44774</v>
      </c>
      <c r="B66" s="92"/>
      <c r="C66" s="865"/>
      <c r="D66" s="864"/>
      <c r="E66" s="26"/>
      <c r="F66" s="867"/>
      <c r="G66" s="867"/>
    </row>
    <row r="67" ht="20.35" customHeight="1">
      <c r="A67" s="186">
        <v>44805</v>
      </c>
      <c r="B67" s="92"/>
      <c r="C67" s="865"/>
      <c r="D67" s="864"/>
      <c r="E67" s="26"/>
      <c r="F67" s="867"/>
      <c r="G67" s="867"/>
    </row>
    <row r="68" ht="20.35" customHeight="1">
      <c r="A68" s="186">
        <v>44835</v>
      </c>
      <c r="B68" s="92"/>
      <c r="C68" s="865"/>
      <c r="D68" s="864"/>
      <c r="E68" s="26"/>
      <c r="F68" s="867"/>
      <c r="G68" s="867"/>
    </row>
    <row r="69" ht="20.35" customHeight="1">
      <c r="A69" s="186">
        <v>44866</v>
      </c>
      <c r="B69" s="92"/>
      <c r="C69" s="865"/>
      <c r="D69" s="864"/>
      <c r="E69" s="26"/>
      <c r="F69" s="867"/>
      <c r="G69" s="867"/>
    </row>
    <row r="70" ht="20.35" customHeight="1">
      <c r="A70" s="186">
        <v>44896</v>
      </c>
      <c r="B70" s="92"/>
      <c r="C70" s="865"/>
      <c r="D70" s="864"/>
      <c r="E70" s="26"/>
      <c r="F70" s="867"/>
      <c r="G70" s="867"/>
    </row>
    <row r="71" ht="20.35" customHeight="1">
      <c r="A71" s="186">
        <v>44927</v>
      </c>
      <c r="B71" s="92"/>
      <c r="C71" s="865"/>
      <c r="D71" s="864"/>
      <c r="E71" s="26"/>
      <c r="F71" s="867"/>
      <c r="G71" s="867"/>
    </row>
    <row r="72" ht="20.35" customHeight="1">
      <c r="A72" s="186">
        <v>44958</v>
      </c>
      <c r="B72" s="92"/>
      <c r="C72" s="865"/>
      <c r="D72" s="864"/>
      <c r="E72" s="26"/>
      <c r="F72" s="867"/>
      <c r="G72" s="867"/>
    </row>
    <row r="73" ht="20.35" customHeight="1">
      <c r="A73" s="186">
        <v>44986</v>
      </c>
      <c r="B73" s="92"/>
      <c r="C73" s="865"/>
      <c r="D73" s="864"/>
      <c r="E73" s="26"/>
      <c r="F73" s="867"/>
      <c r="G73" s="867"/>
    </row>
    <row r="74" ht="20.35" customHeight="1">
      <c r="A74" s="186">
        <v>45017</v>
      </c>
      <c r="B74" s="92"/>
      <c r="C74" s="865"/>
      <c r="D74" s="864"/>
      <c r="E74" s="26"/>
      <c r="F74" s="867"/>
      <c r="G74" s="867"/>
    </row>
    <row r="75" ht="20.35" customHeight="1">
      <c r="A75" s="186">
        <v>45047</v>
      </c>
      <c r="B75" s="92"/>
      <c r="C75" s="865"/>
      <c r="D75" s="864"/>
      <c r="E75" s="26"/>
      <c r="F75" s="867"/>
      <c r="G75" s="867"/>
    </row>
    <row r="76" ht="20.35" customHeight="1">
      <c r="A76" s="186">
        <v>45078</v>
      </c>
      <c r="B76" s="92"/>
      <c r="C76" s="865"/>
      <c r="D76" s="864"/>
      <c r="E76" s="26"/>
      <c r="F76" s="867"/>
      <c r="G76" s="867"/>
    </row>
    <row r="77" ht="20.35" customHeight="1">
      <c r="A77" s="186">
        <v>45108</v>
      </c>
      <c r="B77" s="92"/>
      <c r="C77" s="865"/>
      <c r="D77" s="864"/>
      <c r="E77" s="26"/>
      <c r="F77" s="867"/>
      <c r="G77" s="867"/>
    </row>
    <row r="78" ht="20.35" customHeight="1">
      <c r="A78" s="186">
        <v>45139</v>
      </c>
      <c r="B78" s="92"/>
      <c r="C78" s="865"/>
      <c r="D78" s="864"/>
      <c r="E78" s="26"/>
      <c r="F78" s="867"/>
      <c r="G78" s="867"/>
    </row>
    <row r="79" ht="20.35" customHeight="1">
      <c r="A79" s="186">
        <v>45170</v>
      </c>
      <c r="B79" s="92"/>
      <c r="C79" s="865"/>
      <c r="D79" s="864"/>
      <c r="E79" s="26"/>
      <c r="F79" s="867"/>
      <c r="G79" s="867"/>
    </row>
    <row r="80" ht="20.35" customHeight="1">
      <c r="A80" s="186">
        <v>45200</v>
      </c>
      <c r="B80" s="92"/>
      <c r="C80" s="865"/>
      <c r="D80" s="864"/>
      <c r="E80" s="26"/>
      <c r="F80" s="867"/>
      <c r="G80" s="867"/>
    </row>
    <row r="81" ht="20.35" customHeight="1">
      <c r="A81" s="186">
        <v>45231</v>
      </c>
      <c r="B81" s="92"/>
      <c r="C81" s="865"/>
      <c r="D81" s="864"/>
      <c r="E81" s="26"/>
      <c r="F81" s="866">
        <v>0.0183</v>
      </c>
      <c r="G81" s="867"/>
    </row>
    <row r="82" ht="20.35" customHeight="1">
      <c r="A82" s="186">
        <v>45261</v>
      </c>
      <c r="B82" s="92"/>
      <c r="C82" s="865"/>
      <c r="D82" s="864"/>
      <c r="E82" s="26"/>
      <c r="F82" s="867"/>
      <c r="G82" s="867"/>
    </row>
    <row r="83" ht="20.35" customHeight="1">
      <c r="A83" s="186">
        <v>45292</v>
      </c>
      <c r="B83" s="92"/>
      <c r="C83" s="865"/>
      <c r="D83" s="864"/>
      <c r="E83" s="26"/>
      <c r="F83" s="867"/>
      <c r="G83" s="867"/>
    </row>
    <row r="84" ht="20.35" customHeight="1">
      <c r="A84" s="186">
        <v>45323</v>
      </c>
      <c r="B84" s="92"/>
      <c r="C84" s="865"/>
      <c r="D84" s="864"/>
      <c r="E84" s="26"/>
      <c r="F84" s="867"/>
      <c r="G84" s="867"/>
    </row>
    <row r="85" ht="20.35" customHeight="1">
      <c r="A85" s="186">
        <v>45352</v>
      </c>
      <c r="B85" s="92"/>
      <c r="C85" s="865"/>
      <c r="D85" s="864"/>
      <c r="E85" s="26"/>
      <c r="F85" s="867"/>
      <c r="G85" s="867"/>
    </row>
    <row r="86" ht="20.35" customHeight="1">
      <c r="A86" s="186">
        <v>45383</v>
      </c>
      <c r="B86" s="92"/>
      <c r="C86" s="865"/>
      <c r="D86" s="864"/>
      <c r="E86" s="26"/>
      <c r="F86" s="867"/>
      <c r="G86" s="867"/>
    </row>
    <row r="87" ht="20.35" customHeight="1">
      <c r="A87" s="186">
        <v>45413</v>
      </c>
      <c r="B87" s="92"/>
      <c r="C87" s="865"/>
      <c r="D87" s="864"/>
      <c r="E87" s="26"/>
      <c r="F87" s="867"/>
      <c r="G87" s="867"/>
    </row>
    <row r="88" ht="20.35" customHeight="1">
      <c r="A88" s="186">
        <v>45444</v>
      </c>
      <c r="B88" s="92"/>
      <c r="C88" s="865"/>
      <c r="D88" s="864"/>
      <c r="E88" s="26"/>
      <c r="F88" s="867"/>
      <c r="G88" s="867"/>
    </row>
    <row r="89" ht="20.35" customHeight="1">
      <c r="A89" s="186">
        <v>45474</v>
      </c>
      <c r="B89" s="92"/>
      <c r="C89" s="865"/>
      <c r="D89" s="864"/>
      <c r="E89" s="26"/>
      <c r="F89" s="867"/>
      <c r="G89" s="867"/>
    </row>
    <row r="90" ht="20.35" customHeight="1">
      <c r="A90" s="186">
        <v>45505</v>
      </c>
      <c r="B90" s="92"/>
      <c r="C90" s="865"/>
      <c r="D90" s="864"/>
      <c r="E90" s="26"/>
      <c r="F90" s="867"/>
      <c r="G90" s="30"/>
    </row>
    <row r="91" ht="20.35" customHeight="1">
      <c r="A91" s="186">
        <v>45536</v>
      </c>
      <c r="B91" s="92"/>
      <c r="C91" s="865"/>
      <c r="D91" s="864"/>
      <c r="E91" s="26"/>
      <c r="F91" s="867"/>
      <c r="G91" s="30"/>
    </row>
    <row r="92" ht="20.35" customHeight="1">
      <c r="A92" s="186">
        <v>45566</v>
      </c>
      <c r="B92" s="92"/>
      <c r="C92" s="865"/>
      <c r="D92" s="864"/>
      <c r="E92" s="26"/>
      <c r="F92" s="867"/>
      <c r="G92" s="30"/>
    </row>
    <row r="93" ht="20.35" customHeight="1">
      <c r="A93" s="186">
        <v>45597</v>
      </c>
      <c r="B93" s="92"/>
      <c r="C93" s="865"/>
      <c r="D93" s="864"/>
      <c r="E93" s="26"/>
      <c r="F93" s="867"/>
      <c r="G93" s="30"/>
    </row>
    <row r="94" ht="20.35" customHeight="1">
      <c r="A94" s="186">
        <v>45627</v>
      </c>
      <c r="B94" s="92"/>
      <c r="C94" s="865"/>
      <c r="D94" s="864"/>
      <c r="E94" s="26"/>
      <c r="F94" s="867"/>
      <c r="G94" s="30"/>
    </row>
    <row r="95" ht="20.35" customHeight="1">
      <c r="A95" s="186">
        <v>45658</v>
      </c>
      <c r="B95" s="92"/>
      <c r="C95" s="865"/>
      <c r="D95" s="864"/>
      <c r="E95" s="26">
        <v>900000</v>
      </c>
      <c r="F95" s="867" cm="1">
        <f t="array" ref="F95">0.00878702+0.00010672</f>
        <v>0.008893740000000001</v>
      </c>
      <c r="G95" s="30">
        <v>102423802</v>
      </c>
    </row>
    <row r="96" ht="20.35" customHeight="1">
      <c r="A96" s="186">
        <v>45689</v>
      </c>
      <c r="B96" s="92"/>
      <c r="C96" s="865"/>
      <c r="D96" s="864"/>
      <c r="E96" s="26"/>
      <c r="F96" s="867"/>
      <c r="G96" s="30"/>
    </row>
    <row r="97" ht="20.35" customHeight="1">
      <c r="A97" s="186">
        <v>45717</v>
      </c>
      <c r="B97" s="92"/>
      <c r="C97" s="865"/>
      <c r="D97" s="864"/>
      <c r="E97" s="26">
        <v>2000000</v>
      </c>
      <c r="F97" s="867" cm="1">
        <f t="array" ref="F97">0.02763804+(0.00033166)*0</f>
        <v>0.02763804</v>
      </c>
      <c r="G97" s="30">
        <v>73242956</v>
      </c>
    </row>
    <row r="98" ht="20.35" customHeight="1">
      <c r="A98" s="186">
        <v>45748</v>
      </c>
      <c r="B98" s="92"/>
      <c r="C98" s="865"/>
      <c r="D98" s="864"/>
      <c r="E98" s="26"/>
      <c r="F98" s="867"/>
      <c r="G98" s="30"/>
    </row>
    <row r="99" ht="20.35" customHeight="1">
      <c r="A99" s="186">
        <v>45778</v>
      </c>
      <c r="B99" s="92"/>
      <c r="C99" s="865"/>
      <c r="D99" s="864"/>
      <c r="E99" s="32"/>
      <c r="F99" s="32"/>
      <c r="G99" s="32"/>
    </row>
    <row r="100" ht="20.35" customHeight="1">
      <c r="A100" s="186">
        <v>45809</v>
      </c>
      <c r="B100" s="92"/>
      <c r="C100" s="865"/>
      <c r="D100" s="864"/>
      <c r="E100" s="26"/>
      <c r="F100" s="867"/>
      <c r="G100" s="30"/>
    </row>
    <row r="101" ht="20.35" customHeight="1">
      <c r="A101" s="186">
        <v>45839</v>
      </c>
      <c r="B101" s="92"/>
      <c r="C101" s="865"/>
      <c r="D101" s="864"/>
      <c r="E101" s="26"/>
      <c r="F101" s="867"/>
      <c r="G101" s="30"/>
    </row>
    <row r="102" ht="20.35" customHeight="1">
      <c r="A102" s="186">
        <v>45870</v>
      </c>
      <c r="B102" s="92"/>
      <c r="C102" s="865"/>
      <c r="D102" s="864"/>
      <c r="E102" s="26"/>
      <c r="F102" s="867"/>
      <c r="G102" s="30"/>
    </row>
    <row r="103" ht="20.35" customHeight="1">
      <c r="A103" s="186">
        <v>45901</v>
      </c>
      <c r="B103" s="92"/>
      <c r="C103" s="865"/>
      <c r="D103" s="864"/>
      <c r="E103" s="26"/>
      <c r="F103" s="867"/>
      <c r="G103" s="30"/>
    </row>
    <row r="104" ht="20.35" customHeight="1">
      <c r="A104" s="186">
        <v>45931</v>
      </c>
      <c r="B104" s="92"/>
      <c r="C104" s="865"/>
      <c r="D104" s="864"/>
      <c r="E104" s="26"/>
      <c r="F104" s="867"/>
      <c r="G104" s="30"/>
    </row>
    <row r="105" ht="20.35" customHeight="1">
      <c r="A105" s="186">
        <v>45962</v>
      </c>
      <c r="B105" s="92"/>
      <c r="C105" s="865"/>
      <c r="D105" s="864"/>
      <c r="E105" s="26"/>
      <c r="F105" s="867"/>
      <c r="G105" s="30"/>
    </row>
    <row r="106" ht="20.35" customHeight="1">
      <c r="A106" s="186">
        <v>45992</v>
      </c>
      <c r="B106" s="92"/>
      <c r="C106" s="865"/>
      <c r="D106" s="864"/>
      <c r="E106" s="26"/>
      <c r="F106" s="867"/>
      <c r="G106" s="30"/>
    </row>
    <row r="107" ht="20.35" customHeight="1">
      <c r="A107" s="186">
        <v>46023</v>
      </c>
      <c r="B107" s="92"/>
      <c r="C107" s="865"/>
      <c r="D107" s="864"/>
      <c r="E107" s="26"/>
      <c r="F107" s="867"/>
      <c r="G107" s="30"/>
    </row>
    <row r="108" ht="20.35" customHeight="1">
      <c r="A108" s="186">
        <v>46054</v>
      </c>
      <c r="B108" s="92"/>
      <c r="C108" s="865"/>
      <c r="D108" s="864"/>
      <c r="E108" s="26"/>
      <c r="F108" s="867"/>
      <c r="G108" s="30"/>
    </row>
    <row r="109" ht="20.35" customHeight="1">
      <c r="A109" s="186">
        <v>46082</v>
      </c>
      <c r="B109" s="92"/>
      <c r="C109" s="865"/>
      <c r="D109" s="864"/>
      <c r="E109" s="26"/>
      <c r="F109" s="867"/>
      <c r="G109" s="30"/>
    </row>
    <row r="110" ht="20.35" customHeight="1">
      <c r="A110" s="186">
        <v>46113</v>
      </c>
      <c r="B110" s="92"/>
      <c r="C110" s="865"/>
      <c r="D110" s="864"/>
      <c r="E110" s="26"/>
      <c r="F110" s="867"/>
      <c r="G110" s="30"/>
    </row>
    <row r="111" ht="20.35" customHeight="1">
      <c r="A111" s="186">
        <v>46143</v>
      </c>
      <c r="B111" s="92"/>
      <c r="C111" s="865"/>
      <c r="D111" s="864"/>
      <c r="E111" s="26"/>
      <c r="F111" s="867"/>
      <c r="G111" s="30"/>
    </row>
    <row r="112" ht="20.35" customHeight="1">
      <c r="A112" s="186">
        <v>46174</v>
      </c>
      <c r="B112" s="92"/>
      <c r="C112" s="865"/>
      <c r="D112" s="864"/>
      <c r="E112" s="26"/>
      <c r="F112" s="867"/>
      <c r="G112" s="30"/>
    </row>
    <row r="113" ht="20.35" customHeight="1">
      <c r="A113" s="186">
        <v>46204</v>
      </c>
      <c r="B113" s="92"/>
      <c r="C113" s="865"/>
      <c r="D113" s="864"/>
      <c r="E113" s="26"/>
      <c r="F113" s="867"/>
      <c r="G113" s="30"/>
    </row>
    <row r="114" ht="20.35" customHeight="1">
      <c r="A114" s="186">
        <v>46235</v>
      </c>
      <c r="B114" s="92"/>
      <c r="C114" s="865"/>
      <c r="D114" s="864"/>
      <c r="E114" s="26"/>
      <c r="F114" s="867"/>
      <c r="G114" s="30"/>
    </row>
    <row r="115" ht="20.35" customHeight="1">
      <c r="A115" s="186">
        <v>46266</v>
      </c>
      <c r="B115" s="92"/>
      <c r="C115" s="865"/>
      <c r="D115" s="864"/>
      <c r="E115" s="26"/>
      <c r="F115" s="867"/>
      <c r="G115" s="30"/>
    </row>
    <row r="116" ht="20.35" customHeight="1">
      <c r="A116" s="186">
        <v>46296</v>
      </c>
      <c r="B116" s="92"/>
      <c r="C116" s="865"/>
      <c r="D116" s="864"/>
      <c r="E116" s="26"/>
      <c r="F116" s="867"/>
      <c r="G116" s="30"/>
    </row>
    <row r="117" ht="20.35" customHeight="1">
      <c r="A117" s="186">
        <v>46327</v>
      </c>
      <c r="B117" s="92"/>
      <c r="C117" s="865"/>
      <c r="D117" s="864"/>
      <c r="E117" s="26"/>
      <c r="F117" s="867"/>
      <c r="G117" s="30"/>
    </row>
    <row r="118" ht="20.35" customHeight="1">
      <c r="A118" s="186">
        <v>46357</v>
      </c>
      <c r="B118" s="92"/>
      <c r="C118" s="865"/>
      <c r="D118" s="864"/>
      <c r="E118" s="26"/>
      <c r="F118" s="867"/>
      <c r="G118" s="30"/>
    </row>
    <row r="119" ht="20.55" customHeight="1">
      <c r="A119" s="196">
        <v>46388</v>
      </c>
      <c r="B119" s="171"/>
      <c r="C119" s="869"/>
      <c r="D119" s="870"/>
      <c r="E119" s="44"/>
      <c r="F119" s="871"/>
      <c r="G119" s="75"/>
    </row>
    <row r="120" ht="20.55" customHeight="1">
      <c r="A120" t="s" s="45">
        <v>665</v>
      </c>
      <c r="B120" s="48" cm="1">
        <f t="array" ref="B120">SUM(B3:B119)-E$120</f>
        <v>-3491655.65</v>
      </c>
      <c r="C120" s="872" cm="1">
        <f t="array" ref="C120">SUM(C3:C119)-F$120</f>
        <v>0.02199184</v>
      </c>
      <c r="D120" s="873" cm="1">
        <f t="array" ref="D120">_xlfn.IFERROR((C120*'variables - Table 1-4'!$B$1)/B120-1,"")</f>
        <v>-1.4442679756291</v>
      </c>
      <c r="E120" s="48" cm="1">
        <f t="array" ref="E120">SUM(E3:E119)</f>
        <v>4818573.65</v>
      </c>
      <c r="F120" s="872" cm="1">
        <f t="array" ref="F120">SUM(F3:F119)</f>
        <v>0.17058292</v>
      </c>
      <c r="G120" s="874" cm="1">
        <f t="array" ref="G120">E120/F120</f>
        <v>28247691.2108199</v>
      </c>
    </row>
    <row r="121" ht="20.35" customHeight="1">
      <c r="A121" s="51"/>
      <c r="B121" s="26"/>
      <c r="C121" s="866"/>
      <c r="D121" s="864"/>
      <c r="E121" s="26"/>
      <c r="F121" s="866"/>
      <c r="G121" s="866"/>
    </row>
    <row r="122" ht="20.35" customHeight="1">
      <c r="A122" t="s" s="50">
        <v>757</v>
      </c>
      <c r="B122" s="26" cm="1">
        <f t="array" ref="B122">C$120*'variables - Table 1-4'!B1</f>
        <v>1551230.78721941</v>
      </c>
      <c r="C122" s="866"/>
      <c r="D122" s="864"/>
      <c r="E122" s="26"/>
      <c r="F122" s="866"/>
      <c r="G122" s="866"/>
    </row>
  </sheetData>
  <mergeCells count="1">
    <mergeCell ref="A1:G1"/>
  </mergeCells>
  <conditionalFormatting sqref="B3:B4 B7:B119 C9 E9:G9">
    <cfRule type="cellIs" dxfId="27" priority="1" operator="equal"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6.xml><?xml version="1.0" encoding="utf-8"?>
<worksheet xmlns:r="http://schemas.openxmlformats.org/officeDocument/2006/relationships" xmlns="http://schemas.openxmlformats.org/spreadsheetml/2006/main">
  <sheetPr>
    <pageSetUpPr fitToPage="1"/>
  </sheetPr>
  <dimension ref="A2:J125"/>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3" width="16.3516" style="875" customWidth="1"/>
    <col min="4" max="4" width="4.85156" style="875" customWidth="1"/>
    <col min="5" max="7" width="16.3516" style="875" customWidth="1"/>
    <col min="8" max="8" width="6.07031" style="875" customWidth="1"/>
    <col min="9" max="10" width="16.3516" style="875" customWidth="1"/>
    <col min="11" max="16384" width="16.3516" style="875" customWidth="1"/>
  </cols>
  <sheetData>
    <row r="1" ht="28" customHeight="1">
      <c r="A1" t="s" s="90">
        <v>1212</v>
      </c>
      <c r="B1" s="90"/>
      <c r="C1" s="90"/>
      <c r="D1" s="90"/>
      <c r="E1" s="90"/>
      <c r="F1" s="90"/>
      <c r="G1" s="90"/>
      <c r="H1" s="90"/>
      <c r="I1" s="90"/>
      <c r="J1" s="90"/>
    </row>
    <row r="2" ht="20.55" customHeight="1">
      <c r="A2" s="7"/>
      <c r="B2" t="s" s="8">
        <v>665</v>
      </c>
      <c r="C2" s="876"/>
      <c r="D2" s="876"/>
      <c r="E2" t="s" s="8">
        <v>1211</v>
      </c>
      <c r="F2" s="876"/>
      <c r="G2" s="876"/>
      <c r="H2" s="876"/>
      <c r="I2" s="876"/>
      <c r="J2" s="876"/>
    </row>
    <row r="3" ht="20.55" customHeight="1">
      <c r="A3" s="177">
        <v>42856</v>
      </c>
      <c r="B3" s="524"/>
      <c r="C3" s="877"/>
      <c r="D3" s="82"/>
      <c r="E3" s="82"/>
      <c r="F3" s="82"/>
      <c r="G3" s="82"/>
      <c r="H3" s="82"/>
      <c r="I3" s="82"/>
      <c r="J3" s="82"/>
    </row>
    <row r="4" ht="20.35" customHeight="1">
      <c r="A4" s="186">
        <v>42887</v>
      </c>
      <c r="B4" s="878"/>
      <c r="C4" s="879"/>
      <c r="D4" s="32"/>
      <c r="E4" s="32"/>
      <c r="F4" s="32"/>
      <c r="G4" s="32"/>
      <c r="H4" s="32"/>
      <c r="I4" s="32"/>
      <c r="J4" s="32"/>
    </row>
    <row r="5" ht="20.35" customHeight="1">
      <c r="A5" s="186">
        <v>42917</v>
      </c>
      <c r="B5" s="878"/>
      <c r="C5" s="880"/>
      <c r="D5" s="862"/>
      <c r="E5" s="862"/>
      <c r="F5" s="862"/>
      <c r="G5" s="862"/>
      <c r="H5" s="862"/>
      <c r="I5" s="862"/>
      <c r="J5" s="862"/>
    </row>
    <row r="6" ht="20.35" customHeight="1">
      <c r="A6" s="186">
        <v>42948</v>
      </c>
      <c r="B6" s="861"/>
      <c r="C6" s="879"/>
      <c r="D6" s="32"/>
      <c r="E6" s="32"/>
      <c r="F6" s="32"/>
      <c r="G6" s="32"/>
      <c r="H6" s="32"/>
      <c r="I6" s="32"/>
      <c r="J6" s="32"/>
    </row>
    <row r="7" ht="20.35" customHeight="1">
      <c r="A7" s="186">
        <v>42979</v>
      </c>
      <c r="B7" s="92"/>
      <c r="C7" s="880"/>
      <c r="D7" s="862"/>
      <c r="E7" s="862"/>
      <c r="F7" s="862"/>
      <c r="G7" s="862"/>
      <c r="H7" s="862"/>
      <c r="I7" s="862"/>
      <c r="J7" s="862"/>
    </row>
    <row r="8" ht="20.35" customHeight="1">
      <c r="A8" s="186">
        <v>43009</v>
      </c>
      <c r="B8" s="92"/>
      <c r="C8" s="880"/>
      <c r="D8" s="862"/>
      <c r="E8" s="862"/>
      <c r="F8" s="862"/>
      <c r="G8" s="862"/>
      <c r="H8" s="862"/>
      <c r="I8" s="862"/>
      <c r="J8" s="862"/>
    </row>
    <row r="9" ht="20.35" customHeight="1">
      <c r="A9" s="186">
        <v>43040</v>
      </c>
      <c r="B9" s="83">
        <v>386121</v>
      </c>
      <c r="C9" s="879">
        <v>1.548137222</v>
      </c>
      <c r="D9" s="864" cm="1">
        <f t="array" ref="D9">_xlfn.IFERROR((C9*'variables - Table 1-4'!$B$2)/B9-1,"")</f>
        <v>7.04543747204832</v>
      </c>
      <c r="E9" s="164"/>
      <c r="F9" s="881"/>
      <c r="G9" s="881"/>
      <c r="H9" s="881"/>
      <c r="I9" s="881"/>
      <c r="J9" s="881"/>
    </row>
    <row r="10" ht="20.35" customHeight="1">
      <c r="A10" s="186">
        <v>43070</v>
      </c>
      <c r="B10" s="92" cm="1">
        <f t="array" ref="B10">100000+50000+34429+87234+298281+160117+200000</f>
        <v>930061</v>
      </c>
      <c r="C10" s="880" cm="1">
        <f t="array" ref="C10">0.179552568+0.103607212+0.000000005+0.189549083+0.67915391+0.3108+0.3+0.382661172</f>
        <v>2.14532395</v>
      </c>
      <c r="D10" s="864" cm="1">
        <f t="array" ref="D10">_xlfn.IFERROR((C10*'variables - Table 1-4'!$B$2)/B10-1,"")</f>
        <v>3.62855129654882</v>
      </c>
      <c r="E10" s="882">
        <v>100001</v>
      </c>
      <c r="F10" s="862">
        <v>0.3108</v>
      </c>
      <c r="G10" s="862"/>
      <c r="H10" s="862"/>
      <c r="I10" s="862"/>
      <c r="J10" s="862"/>
    </row>
    <row r="11" ht="20.35" customHeight="1">
      <c r="A11" s="186">
        <v>43101</v>
      </c>
      <c r="B11" s="92" cm="1">
        <f t="array" ref="B11">0.00504*8986875+25000+184143</f>
        <v>254436.85</v>
      </c>
      <c r="C11" s="880" cm="1">
        <f t="array" ref="C11">0.084+0.044267299+0.0782168</f>
        <v>0.206484099</v>
      </c>
      <c r="D11" s="864" cm="1">
        <f t="array" ref="D11">_xlfn.IFERROR((C11*'variables - Table 1-4'!$B$2)/B11-1,"")</f>
        <v>0.628434281079162</v>
      </c>
      <c r="E11" s="882" cm="1">
        <f t="array" ref="E11">0.164989172*516619+563031*0.143267299</f>
        <v>165900.471672737</v>
      </c>
      <c r="F11" s="862" cm="1">
        <f t="array" ref="F11">0.164989172+0.001672+0.144267299</f>
        <v>0.310928471</v>
      </c>
      <c r="G11" s="862"/>
      <c r="H11" s="862"/>
      <c r="I11" s="862"/>
      <c r="J11" s="862"/>
    </row>
    <row r="12" ht="20.35" customHeight="1">
      <c r="A12" s="186">
        <v>43132</v>
      </c>
      <c r="B12" s="92" cm="1">
        <f t="array" ref="B12">161540-90371+200000</f>
        <v>271169</v>
      </c>
      <c r="C12" s="880" cm="1">
        <f t="array" ref="C12">0.226982932-0.126982932+0.431304349</f>
        <v>0.531304349</v>
      </c>
      <c r="D12" s="864" cm="1">
        <f t="array" ref="D12">_xlfn.IFERROR((C12*'variables - Table 1-4'!$B$2)/B12-1,"")</f>
        <v>2.93157862223551</v>
      </c>
      <c r="E12" s="882"/>
      <c r="F12" s="862"/>
      <c r="G12" s="862"/>
      <c r="H12" s="862"/>
      <c r="I12" s="862"/>
      <c r="J12" s="862"/>
    </row>
    <row r="13" ht="20.35" customHeight="1">
      <c r="A13" s="186">
        <v>43160</v>
      </c>
      <c r="B13" s="92">
        <v>130000</v>
      </c>
      <c r="C13" s="880" cm="1">
        <f t="array" ref="C13">0.301706968</f>
        <v>0.301706968</v>
      </c>
      <c r="D13" s="864" cm="1">
        <f t="array" ref="D13">_xlfn.IFERROR((C13*'variables - Table 1-4'!$B$2)/B13-1,"")</f>
        <v>3.65699339288442</v>
      </c>
      <c r="E13" s="882"/>
      <c r="F13" s="862"/>
      <c r="G13" s="862"/>
      <c r="H13" s="862"/>
      <c r="I13" s="862"/>
      <c r="J13" s="862"/>
    </row>
    <row r="14" ht="20.35" customHeight="1">
      <c r="A14" s="186">
        <v>43191</v>
      </c>
      <c r="B14" s="92">
        <v>450000</v>
      </c>
      <c r="C14" s="880" cm="1">
        <f t="array" ref="C14">1.04646172</f>
        <v>1.04646172</v>
      </c>
      <c r="D14" s="864" cm="1">
        <f t="array" ref="D14">_xlfn.IFERROR((C14*'variables - Table 1-4'!$B$2)/B14-1,"")</f>
        <v>3.66631944434715</v>
      </c>
      <c r="E14" s="882"/>
      <c r="F14" s="862"/>
      <c r="G14" s="862"/>
      <c r="H14" s="862"/>
      <c r="I14" s="862"/>
      <c r="J14" s="862"/>
    </row>
    <row r="15" ht="20.35" customHeight="1">
      <c r="A15" s="186">
        <v>43221</v>
      </c>
      <c r="B15" s="92"/>
      <c r="C15" s="880"/>
      <c r="D15" t="str" s="469" cm="1">
        <f t="array" ref="D15">_xlfn.IFERROR((C15*'variables - Table 1-4'!$B$2)/B15-1,"")</f>
      </c>
      <c r="E15" s="882"/>
      <c r="F15" s="862"/>
      <c r="G15" s="862"/>
      <c r="H15" s="862"/>
      <c r="I15" s="862"/>
      <c r="J15" s="862"/>
    </row>
    <row r="16" ht="20.35" customHeight="1">
      <c r="A16" s="186">
        <v>43252</v>
      </c>
      <c r="B16" s="92"/>
      <c r="C16" s="880"/>
      <c r="D16" t="str" s="469" cm="1">
        <f t="array" ref="D16">_xlfn.IFERROR((C16*'variables - Table 1-4'!$B$2)/B16-1,"")</f>
      </c>
      <c r="E16" s="882"/>
      <c r="F16" s="862"/>
      <c r="G16" s="862"/>
      <c r="H16" s="862"/>
      <c r="I16" s="862"/>
      <c r="J16" s="862"/>
    </row>
    <row r="17" ht="20.35" customHeight="1">
      <c r="A17" s="186">
        <v>43282</v>
      </c>
      <c r="B17" s="92"/>
      <c r="C17" s="880"/>
      <c r="D17" t="str" s="469" cm="1">
        <f t="array" ref="D17">_xlfn.IFERROR((C17*'variables - Table 1-4'!$B$2)/B17-1,"")</f>
      </c>
      <c r="E17" s="882"/>
      <c r="F17" s="862"/>
      <c r="G17" s="862"/>
      <c r="H17" s="862"/>
      <c r="I17" s="862"/>
      <c r="J17" s="862"/>
    </row>
    <row r="18" ht="20.35" customHeight="1">
      <c r="A18" s="186">
        <v>43313</v>
      </c>
      <c r="B18" s="92"/>
      <c r="C18" s="880"/>
      <c r="D18" t="str" s="469" cm="1">
        <f t="array" ref="D18">_xlfn.IFERROR((C18*'variables - Table 1-4'!$B$2)/B18-1,"")</f>
      </c>
      <c r="E18" s="882"/>
      <c r="F18" s="862"/>
      <c r="G18" s="862"/>
      <c r="H18" s="862"/>
      <c r="I18" s="862"/>
      <c r="J18" s="862"/>
    </row>
    <row r="19" ht="20.35" customHeight="1">
      <c r="A19" s="186">
        <v>43344</v>
      </c>
      <c r="B19" s="92"/>
      <c r="C19" s="880"/>
      <c r="D19" t="str" s="469" cm="1">
        <f t="array" ref="D19">_xlfn.IFERROR((C19*'variables - Table 1-4'!$B$2)/B19-1,"")</f>
      </c>
      <c r="E19" s="882"/>
      <c r="F19" s="862"/>
      <c r="G19" s="862"/>
      <c r="H19" s="862"/>
      <c r="I19" s="862"/>
      <c r="J19" s="862"/>
    </row>
    <row r="20" ht="20.35" customHeight="1">
      <c r="A20" s="186">
        <v>43374</v>
      </c>
      <c r="B20" s="92"/>
      <c r="C20" s="880"/>
      <c r="D20" t="str" s="469" cm="1">
        <f t="array" ref="D20">_xlfn.IFERROR((C20*'variables - Table 1-4'!$B$2)/B20-1,"")</f>
      </c>
      <c r="E20" s="882"/>
      <c r="F20" s="862"/>
      <c r="G20" s="862"/>
      <c r="H20" s="862"/>
      <c r="I20" s="862"/>
      <c r="J20" s="862"/>
    </row>
    <row r="21" ht="20.35" customHeight="1">
      <c r="A21" s="186">
        <v>43405</v>
      </c>
      <c r="B21" s="92"/>
      <c r="C21" s="880"/>
      <c r="D21" t="str" s="469" cm="1">
        <f t="array" ref="D21">_xlfn.IFERROR((C21*'variables - Table 1-4'!$B$2)/B21-1,"")</f>
      </c>
      <c r="E21" s="882"/>
      <c r="F21" s="862"/>
      <c r="G21" s="862"/>
      <c r="H21" s="862"/>
      <c r="I21" s="862"/>
      <c r="J21" s="862"/>
    </row>
    <row r="22" ht="20.35" customHeight="1">
      <c r="A22" s="186">
        <v>43435</v>
      </c>
      <c r="B22" s="92"/>
      <c r="C22" s="880"/>
      <c r="D22" t="str" s="469" cm="1">
        <f t="array" ref="D22">_xlfn.IFERROR((C22*'variables - Table 1-4'!$B$2)/B22-1,"")</f>
      </c>
      <c r="E22" s="882"/>
      <c r="F22" s="862"/>
      <c r="G22" s="862"/>
      <c r="H22" s="862"/>
      <c r="I22" s="862"/>
      <c r="J22" s="862"/>
    </row>
    <row r="23" ht="20.35" customHeight="1">
      <c r="A23" s="186">
        <v>43466</v>
      </c>
      <c r="B23" s="92"/>
      <c r="C23" s="880"/>
      <c r="D23" t="str" s="469" cm="1">
        <f t="array" ref="D23">_xlfn.IFERROR((C23*'variables - Table 1-4'!$B$2)/B23-1,"")</f>
      </c>
      <c r="E23" s="882"/>
      <c r="F23" s="862"/>
      <c r="G23" s="862"/>
      <c r="H23" s="862"/>
      <c r="I23" s="862"/>
      <c r="J23" s="862"/>
    </row>
    <row r="24" ht="20.35" customHeight="1">
      <c r="A24" s="186">
        <v>43497</v>
      </c>
      <c r="B24" s="92"/>
      <c r="C24" s="880"/>
      <c r="D24" t="str" s="469" cm="1">
        <f t="array" ref="D24">_xlfn.IFERROR((C24*'variables - Table 1-4'!$B$2)/B24-1,"")</f>
      </c>
      <c r="E24" s="882"/>
      <c r="F24" s="862"/>
      <c r="G24" s="862"/>
      <c r="H24" s="862"/>
      <c r="I24" s="862"/>
      <c r="J24" s="862"/>
    </row>
    <row r="25" ht="20.35" customHeight="1">
      <c r="A25" s="186">
        <v>43525</v>
      </c>
      <c r="B25" s="92"/>
      <c r="C25" s="880"/>
      <c r="D25" t="str" s="469" cm="1">
        <f t="array" ref="D25">_xlfn.IFERROR((C25*'variables - Table 1-4'!$B$2)/B25-1,"")</f>
      </c>
      <c r="E25" s="882"/>
      <c r="F25" s="862"/>
      <c r="G25" s="862"/>
      <c r="H25" s="862"/>
      <c r="I25" s="862"/>
      <c r="J25" s="862"/>
    </row>
    <row r="26" ht="20.35" customHeight="1">
      <c r="A26" s="186">
        <v>43556</v>
      </c>
      <c r="B26" s="92"/>
      <c r="C26" s="880"/>
      <c r="D26" t="str" s="469" cm="1">
        <f t="array" ref="D26">_xlfn.IFERROR((C26*'variables - Table 1-4'!$B$2)/B26-1,"")</f>
      </c>
      <c r="E26" s="882"/>
      <c r="F26" s="862"/>
      <c r="G26" s="862"/>
      <c r="H26" s="862"/>
      <c r="I26" s="862"/>
      <c r="J26" s="862"/>
    </row>
    <row r="27" ht="20.35" customHeight="1">
      <c r="A27" s="186">
        <v>43586</v>
      </c>
      <c r="B27" s="92"/>
      <c r="C27" s="880"/>
      <c r="D27" t="str" s="469" cm="1">
        <f t="array" ref="D27">_xlfn.IFERROR((C27*'variables - Table 1-4'!$B$2)/B27-1,"")</f>
      </c>
      <c r="E27" s="882"/>
      <c r="F27" s="862"/>
      <c r="G27" s="862"/>
      <c r="H27" s="862"/>
      <c r="I27" s="862"/>
      <c r="J27" s="862"/>
    </row>
    <row r="28" ht="20.35" customHeight="1">
      <c r="A28" s="186">
        <v>43617</v>
      </c>
      <c r="B28" s="92"/>
      <c r="C28" s="880"/>
      <c r="D28" t="str" s="469" cm="1">
        <f t="array" ref="D28">_xlfn.IFERROR((C28*'variables - Table 1-4'!$B$2)/B28-1,"")</f>
      </c>
      <c r="E28" s="882"/>
      <c r="F28" s="862"/>
      <c r="G28" s="862"/>
      <c r="H28" s="862"/>
      <c r="I28" s="862"/>
      <c r="J28" s="862"/>
    </row>
    <row r="29" ht="20.35" customHeight="1">
      <c r="A29" s="186">
        <v>43647</v>
      </c>
      <c r="B29" s="92"/>
      <c r="C29" s="880"/>
      <c r="D29" t="str" s="469" cm="1">
        <f t="array" ref="D29">_xlfn.IFERROR((C29*'variables - Table 1-4'!$B$2)/B29-1,"")</f>
      </c>
      <c r="E29" s="882"/>
      <c r="F29" s="862"/>
      <c r="G29" s="862"/>
      <c r="H29" s="862"/>
      <c r="I29" s="862"/>
      <c r="J29" s="862"/>
    </row>
    <row r="30" ht="20.35" customHeight="1">
      <c r="A30" s="186">
        <v>43678</v>
      </c>
      <c r="B30" s="92"/>
      <c r="C30" s="880"/>
      <c r="D30" t="str" s="469" cm="1">
        <f t="array" ref="D30">_xlfn.IFERROR((C30*'variables - Table 1-4'!$B$2)/B30-1,"")</f>
      </c>
      <c r="E30" s="882"/>
      <c r="F30" s="862"/>
      <c r="G30" s="862"/>
      <c r="H30" s="862"/>
      <c r="I30" s="862"/>
      <c r="J30" s="862"/>
    </row>
    <row r="31" ht="20.35" customHeight="1">
      <c r="A31" s="186">
        <v>43709</v>
      </c>
      <c r="B31" s="92"/>
      <c r="C31" s="880"/>
      <c r="D31" t="str" s="469" cm="1">
        <f t="array" ref="D31">_xlfn.IFERROR((C31*'variables - Table 1-4'!$B$2)/B31-1,"")</f>
      </c>
      <c r="E31" s="882"/>
      <c r="F31" s="862"/>
      <c r="G31" s="862"/>
      <c r="H31" s="862"/>
      <c r="I31" s="862"/>
      <c r="J31" s="862"/>
    </row>
    <row r="32" ht="20.35" customHeight="1">
      <c r="A32" s="186">
        <v>43739</v>
      </c>
      <c r="B32" s="92"/>
      <c r="C32" s="880"/>
      <c r="D32" t="str" s="469" cm="1">
        <f t="array" ref="D32">_xlfn.IFERROR((C32*'variables - Table 1-4'!$B$2)/B32-1,"")</f>
      </c>
      <c r="E32" s="882"/>
      <c r="F32" s="862"/>
      <c r="G32" s="862"/>
      <c r="H32" s="862"/>
      <c r="I32" s="862"/>
      <c r="J32" s="862"/>
    </row>
    <row r="33" ht="20.35" customHeight="1">
      <c r="A33" s="186">
        <v>43770</v>
      </c>
      <c r="B33" s="92"/>
      <c r="C33" s="880"/>
      <c r="D33" t="str" s="469" cm="1">
        <f t="array" ref="D33">_xlfn.IFERROR((C33*'variables - Table 1-4'!$B$2)/B33-1,"")</f>
      </c>
      <c r="E33" s="882"/>
      <c r="F33" s="862"/>
      <c r="G33" s="862"/>
      <c r="H33" s="862"/>
      <c r="I33" s="862"/>
      <c r="J33" s="862"/>
    </row>
    <row r="34" ht="20.35" customHeight="1">
      <c r="A34" s="186">
        <v>43800</v>
      </c>
      <c r="B34" s="92"/>
      <c r="C34" s="880"/>
      <c r="D34" t="str" s="469" cm="1">
        <f t="array" ref="D34">_xlfn.IFERROR((C34*'variables - Table 1-4'!$B$2)/B34-1,"")</f>
      </c>
      <c r="E34" s="882"/>
      <c r="F34" s="862"/>
      <c r="G34" s="862"/>
      <c r="H34" s="862"/>
      <c r="I34" s="862"/>
      <c r="J34" s="862"/>
    </row>
    <row r="35" ht="20.35" customHeight="1">
      <c r="A35" s="186">
        <v>43831</v>
      </c>
      <c r="B35" s="92"/>
      <c r="C35" s="880"/>
      <c r="D35" t="str" s="469" cm="1">
        <f t="array" ref="D35">_xlfn.IFERROR((C35*'variables - Table 1-4'!$B$2)/B35-1,"")</f>
      </c>
      <c r="E35" s="882"/>
      <c r="F35" s="862"/>
      <c r="G35" s="862"/>
      <c r="H35" s="862"/>
      <c r="I35" s="862"/>
      <c r="J35" s="862"/>
    </row>
    <row r="36" ht="20.35" customHeight="1">
      <c r="A36" s="186">
        <v>43862</v>
      </c>
      <c r="B36" s="92"/>
      <c r="C36" s="880"/>
      <c r="D36" t="str" s="469" cm="1">
        <f t="array" ref="D36">_xlfn.IFERROR((C36*'variables - Table 1-4'!$B$2)/B36-1,"")</f>
      </c>
      <c r="E36" s="882"/>
      <c r="F36" s="862"/>
      <c r="G36" s="862"/>
      <c r="H36" s="862"/>
      <c r="I36" s="862"/>
      <c r="J36" s="862"/>
    </row>
    <row r="37" ht="20.35" customHeight="1">
      <c r="A37" s="186">
        <v>43891</v>
      </c>
      <c r="B37" s="92"/>
      <c r="C37" s="880"/>
      <c r="D37" t="str" s="469" cm="1">
        <f t="array" ref="D37">_xlfn.IFERROR((C37*'variables - Table 1-4'!$B$2)/B37-1,"")</f>
      </c>
      <c r="E37" s="882"/>
      <c r="F37" s="862"/>
      <c r="G37" s="862"/>
      <c r="H37" s="862"/>
      <c r="I37" s="862"/>
      <c r="J37" s="862"/>
    </row>
    <row r="38" ht="20.35" customHeight="1">
      <c r="A38" s="186">
        <v>43922</v>
      </c>
      <c r="B38" s="92"/>
      <c r="C38" s="880"/>
      <c r="D38" t="str" s="469" cm="1">
        <f t="array" ref="D38">_xlfn.IFERROR((C38*'variables - Table 1-4'!$B$2)/B38-1,"")</f>
      </c>
      <c r="E38" s="882"/>
      <c r="F38" s="862"/>
      <c r="G38" s="862"/>
      <c r="H38" s="862"/>
      <c r="I38" s="862"/>
      <c r="J38" s="862"/>
    </row>
    <row r="39" ht="20.35" customHeight="1">
      <c r="A39" s="186">
        <v>43952</v>
      </c>
      <c r="B39" s="92"/>
      <c r="C39" s="880"/>
      <c r="D39" t="str" s="469" cm="1">
        <f t="array" ref="D39">_xlfn.IFERROR((C39*'variables - Table 1-4'!$B$2)/B39-1,"")</f>
      </c>
      <c r="E39" s="882"/>
      <c r="F39" s="862"/>
      <c r="G39" s="862"/>
      <c r="H39" s="862"/>
      <c r="I39" s="862"/>
      <c r="J39" s="862"/>
    </row>
    <row r="40" ht="20.35" customHeight="1">
      <c r="A40" s="186">
        <v>43983</v>
      </c>
      <c r="B40" s="92"/>
      <c r="C40" s="880"/>
      <c r="D40" t="str" s="469" cm="1">
        <f t="array" ref="D40">_xlfn.IFERROR((C40*'variables - Table 1-4'!$B$2)/B40-1,"")</f>
      </c>
      <c r="E40" s="882"/>
      <c r="F40" s="862"/>
      <c r="G40" s="862"/>
      <c r="H40" s="862"/>
      <c r="I40" s="862"/>
      <c r="J40" s="862"/>
    </row>
    <row r="41" ht="20.35" customHeight="1">
      <c r="A41" s="186">
        <v>44013</v>
      </c>
      <c r="B41" s="92"/>
      <c r="C41" s="880"/>
      <c r="D41" t="str" s="469" cm="1">
        <f t="array" ref="D41">_xlfn.IFERROR((C41*'variables - Table 1-4'!$B$2)/B41-1,"")</f>
      </c>
      <c r="E41" s="882"/>
      <c r="F41" s="862"/>
      <c r="G41" s="862"/>
      <c r="H41" s="862"/>
      <c r="I41" s="862"/>
      <c r="J41" s="862"/>
    </row>
    <row r="42" ht="20.35" customHeight="1">
      <c r="A42" s="186">
        <v>44044</v>
      </c>
      <c r="B42" s="92"/>
      <c r="C42" s="880"/>
      <c r="D42" t="str" s="469" cm="1">
        <f t="array" ref="D42">_xlfn.IFERROR((C42*'variables - Table 1-4'!$B$2)/B42-1,"")</f>
      </c>
      <c r="E42" s="882"/>
      <c r="F42" s="862"/>
      <c r="G42" s="862"/>
      <c r="H42" s="862"/>
      <c r="I42" s="862"/>
      <c r="J42" s="862"/>
    </row>
    <row r="43" ht="20.35" customHeight="1">
      <c r="A43" s="186">
        <v>44075</v>
      </c>
      <c r="B43" s="92"/>
      <c r="C43" s="880"/>
      <c r="D43" t="str" s="469" cm="1">
        <f t="array" ref="D43">_xlfn.IFERROR((C43*'variables - Table 1-4'!$B$2)/B43-1,"")</f>
      </c>
      <c r="E43" s="882"/>
      <c r="F43" s="862"/>
      <c r="G43" s="862"/>
      <c r="H43" s="862"/>
      <c r="I43" s="862"/>
      <c r="J43" s="862"/>
    </row>
    <row r="44" ht="20.35" customHeight="1">
      <c r="A44" s="186">
        <v>44105</v>
      </c>
      <c r="B44" s="92"/>
      <c r="C44" s="880"/>
      <c r="D44" t="str" s="469" cm="1">
        <f t="array" ref="D44">_xlfn.IFERROR((C44*'variables - Table 1-4'!$B$2)/B44-1,"")</f>
      </c>
      <c r="E44" s="882"/>
      <c r="F44" s="862"/>
      <c r="G44" s="862"/>
      <c r="H44" s="862"/>
      <c r="I44" s="862"/>
      <c r="J44" s="862"/>
    </row>
    <row r="45" ht="20.35" customHeight="1">
      <c r="A45" s="186">
        <v>44136</v>
      </c>
      <c r="B45" s="92"/>
      <c r="C45" s="880"/>
      <c r="D45" t="str" s="469" cm="1">
        <f t="array" ref="D45">_xlfn.IFERROR((C45*'variables - Table 1-4'!$B$2)/B45-1,"")</f>
      </c>
      <c r="E45" s="882"/>
      <c r="F45" s="862"/>
      <c r="G45" s="862"/>
      <c r="H45" s="862"/>
      <c r="I45" s="862"/>
      <c r="J45" s="862"/>
    </row>
    <row r="46" ht="20.35" customHeight="1">
      <c r="A46" s="186">
        <v>44166</v>
      </c>
      <c r="B46" s="92"/>
      <c r="C46" s="880"/>
      <c r="D46" t="str" s="469" cm="1">
        <f t="array" ref="D46">_xlfn.IFERROR((C46*'variables - Table 1-4'!$B$2)/B46-1,"")</f>
      </c>
      <c r="E46" s="882"/>
      <c r="F46" s="862"/>
      <c r="G46" s="862"/>
      <c r="H46" s="862"/>
      <c r="I46" s="862"/>
      <c r="J46" s="862"/>
    </row>
    <row r="47" ht="20.35" customHeight="1">
      <c r="A47" s="186">
        <v>44197</v>
      </c>
      <c r="B47" s="92"/>
      <c r="C47" s="880"/>
      <c r="D47" t="str" s="469" cm="1">
        <f t="array" ref="D47">_xlfn.IFERROR((C47*'variables - Table 1-4'!$B$2)/B47-1,"")</f>
      </c>
      <c r="E47" s="868" cm="1">
        <f t="array" ref="E47">1000000+600000</f>
        <v>1600000</v>
      </c>
      <c r="F47" s="880" cm="1">
        <f t="array" ref="F47">0.874487789+1.033435307</f>
        <v>1.907923096</v>
      </c>
      <c r="G47" s="868" cm="1">
        <f t="array" ref="G47">E47/F47</f>
        <v>838608.2244899879</v>
      </c>
      <c r="H47" s="868"/>
      <c r="I47" s="868" cm="1">
        <f t="array" ref="I47">600000/0.874487789</f>
        <v>686115.927000097</v>
      </c>
      <c r="J47" s="868" cm="1">
        <f t="array" ref="J47">1000000/1.033435307</f>
        <v>967646.444074897</v>
      </c>
    </row>
    <row r="48" ht="20.35" customHeight="1">
      <c r="A48" s="186">
        <v>44228</v>
      </c>
      <c r="B48" s="92"/>
      <c r="C48" s="880"/>
      <c r="D48" t="str" s="469" cm="1">
        <f t="array" ref="D48">_xlfn.IFERROR((C48*'variables - Table 1-4'!$B$2)/B48-1,"")</f>
      </c>
      <c r="E48" s="868" cm="1">
        <f t="array" ref="E48">600000+450000</f>
        <v>1050000</v>
      </c>
      <c r="F48" s="880" cm="1">
        <f t="array" ref="F48">0.483823729+0.329222226</f>
        <v>0.813045955</v>
      </c>
      <c r="G48" s="868" cm="1">
        <f t="array" ref="G48">E48/F48</f>
        <v>1291439.9162099</v>
      </c>
      <c r="H48" s="868"/>
      <c r="I48" s="868" cm="1">
        <f t="array" ref="I48">600000/0.483823729</f>
        <v>1240121.0689689</v>
      </c>
      <c r="J48" s="868" cm="1">
        <f t="array" ref="J48">450000/0.329222226</f>
        <v>1366857.89859157</v>
      </c>
    </row>
    <row r="49" ht="20.35" customHeight="1">
      <c r="A49" s="186">
        <v>44256</v>
      </c>
      <c r="B49" s="92"/>
      <c r="C49" s="880"/>
      <c r="D49" t="str" s="469" cm="1">
        <f t="array" ref="D49">_xlfn.IFERROR((C49*'variables - Table 1-4'!$B$2)/B49-1,"")</f>
      </c>
      <c r="E49" s="868"/>
      <c r="F49" s="880"/>
      <c r="G49" s="868"/>
      <c r="H49" s="868"/>
      <c r="I49" s="868"/>
      <c r="J49" s="868"/>
    </row>
    <row r="50" ht="20.35" customHeight="1">
      <c r="A50" s="186">
        <v>44287</v>
      </c>
      <c r="B50" s="92"/>
      <c r="C50" s="880"/>
      <c r="D50" t="str" s="469" cm="1">
        <f t="array" ref="D50">_xlfn.IFERROR((C50*'variables - Table 1-4'!$B$2)/B50-1,"")</f>
      </c>
      <c r="E50" s="868"/>
      <c r="F50" s="880">
        <v>0.0782168</v>
      </c>
      <c r="G50" s="32"/>
      <c r="H50" s="868"/>
      <c r="I50" s="32"/>
      <c r="J50" s="868"/>
    </row>
    <row r="51" ht="20.35" customHeight="1">
      <c r="A51" s="186">
        <v>44317</v>
      </c>
      <c r="B51" s="92"/>
      <c r="C51" s="880"/>
      <c r="D51" t="str" s="469" cm="1">
        <f t="array" ref="D51">_xlfn.IFERROR((C51*'variables - Table 1-4'!$B$2)/B51-1,"")</f>
      </c>
      <c r="E51" s="868">
        <v>1000000</v>
      </c>
      <c r="F51" s="879">
        <v>0.552992635</v>
      </c>
      <c r="G51" s="868" cm="1">
        <f t="array" ref="G51">E51/F51</f>
        <v>1808342.34799529</v>
      </c>
      <c r="H51" s="32"/>
      <c r="I51" s="32"/>
      <c r="J51" s="32"/>
    </row>
    <row r="52" ht="20.35" customHeight="1">
      <c r="A52" s="186">
        <v>44348</v>
      </c>
      <c r="B52" s="92"/>
      <c r="C52" s="880"/>
      <c r="D52" t="str" s="469" cm="1">
        <f t="array" ref="D52">_xlfn.IFERROR((C52*'variables - Table 1-4'!$B$2)/B52-1,"")</f>
      </c>
      <c r="E52" s="868"/>
      <c r="F52" s="880"/>
      <c r="G52" s="32"/>
      <c r="H52" s="32"/>
      <c r="I52" s="32"/>
      <c r="J52" s="32"/>
    </row>
    <row r="53" ht="20.35" customHeight="1">
      <c r="A53" s="186">
        <v>44378</v>
      </c>
      <c r="B53" s="92"/>
      <c r="C53" s="880"/>
      <c r="D53" t="str" s="469" cm="1">
        <f t="array" ref="D53">_xlfn.IFERROR((C53*'variables - Table 1-4'!$B$2)/B53-1,"")</f>
      </c>
      <c r="E53" s="868"/>
      <c r="F53" s="880"/>
      <c r="G53" s="880"/>
      <c r="H53" s="880"/>
      <c r="I53" s="880"/>
      <c r="J53" s="880"/>
    </row>
    <row r="54" ht="20.35" customHeight="1">
      <c r="A54" s="186">
        <v>44409</v>
      </c>
      <c r="B54" s="92"/>
      <c r="C54" s="880"/>
      <c r="D54" t="str" s="469" cm="1">
        <f t="array" ref="D54">_xlfn.IFERROR((C54*'variables - Table 1-4'!$B$2)/B54-1,"")</f>
      </c>
      <c r="E54" s="868"/>
      <c r="F54" s="880"/>
      <c r="G54" s="880"/>
      <c r="H54" s="880"/>
      <c r="I54" s="880"/>
      <c r="J54" s="880"/>
    </row>
    <row r="55" ht="20.35" customHeight="1">
      <c r="A55" s="186">
        <v>44440</v>
      </c>
      <c r="B55" s="92"/>
      <c r="C55" s="880"/>
      <c r="D55" t="str" s="469" cm="1">
        <f t="array" ref="D55">_xlfn.IFERROR((C55*'variables - Table 1-4'!$B$2)/B55-1,"")</f>
      </c>
      <c r="E55" s="868"/>
      <c r="F55" s="880"/>
      <c r="G55" s="880"/>
      <c r="H55" s="880"/>
      <c r="I55" s="880"/>
      <c r="J55" s="880"/>
    </row>
    <row r="56" ht="20.35" customHeight="1">
      <c r="A56" s="186">
        <v>44470</v>
      </c>
      <c r="B56" s="92"/>
      <c r="C56" s="880"/>
      <c r="D56" t="str" s="469" cm="1">
        <f t="array" ref="D56">_xlfn.IFERROR((C56*'variables - Table 1-4'!$B$2)/B56-1,"")</f>
      </c>
      <c r="E56" s="868"/>
      <c r="F56" s="880"/>
      <c r="G56" s="880"/>
      <c r="H56" s="880"/>
      <c r="I56" s="880"/>
      <c r="J56" s="880"/>
    </row>
    <row r="57" ht="20.35" customHeight="1">
      <c r="A57" s="186">
        <v>44501</v>
      </c>
      <c r="B57" s="92"/>
      <c r="C57" s="880"/>
      <c r="D57" t="str" s="469" cm="1">
        <f t="array" ref="D57">_xlfn.IFERROR((C57*'variables - Table 1-4'!$B$2)/B57-1,"")</f>
      </c>
      <c r="E57" s="868"/>
      <c r="F57" s="880"/>
      <c r="G57" s="880"/>
      <c r="H57" s="880"/>
      <c r="I57" s="880"/>
      <c r="J57" s="880"/>
    </row>
    <row r="58" ht="20.35" customHeight="1">
      <c r="A58" s="186">
        <v>44531</v>
      </c>
      <c r="B58" s="92">
        <v>0</v>
      </c>
      <c r="C58" s="880"/>
      <c r="D58" t="str" s="469" cm="1">
        <f t="array" ref="D58">_xlfn.IFERROR((C58*'variables - Table 1-4'!$B$2)/B58-1,"")</f>
      </c>
      <c r="E58" s="868"/>
      <c r="F58" s="880"/>
      <c r="G58" s="880"/>
      <c r="H58" s="880"/>
      <c r="I58" s="880"/>
      <c r="J58" s="880"/>
    </row>
    <row r="59" ht="20.35" customHeight="1">
      <c r="A59" s="186">
        <v>44562</v>
      </c>
      <c r="B59" s="92"/>
      <c r="C59" s="880"/>
      <c r="D59" t="str" s="469" cm="1">
        <f t="array" ref="D59">_xlfn.IFERROR((C59*'variables - Table 1-4'!$B$2)/B59-1,"")</f>
      </c>
      <c r="E59" s="868"/>
      <c r="F59" s="880"/>
      <c r="G59" s="880"/>
      <c r="H59" s="880"/>
      <c r="I59" s="880"/>
      <c r="J59" s="880"/>
    </row>
    <row r="60" ht="20.35" customHeight="1">
      <c r="A60" s="186">
        <v>44593</v>
      </c>
      <c r="B60" s="92"/>
      <c r="C60" s="880"/>
      <c r="D60" t="str" s="469" cm="1">
        <f t="array" ref="D60">_xlfn.IFERROR((C60*'variables - Table 1-4'!$B$2)/B60-1,"")</f>
      </c>
      <c r="E60" s="868"/>
      <c r="F60" s="880"/>
      <c r="G60" s="880"/>
      <c r="H60" s="880"/>
      <c r="I60" s="880"/>
      <c r="J60" s="880"/>
    </row>
    <row r="61" ht="20.35" customHeight="1">
      <c r="A61" s="186">
        <v>44621</v>
      </c>
      <c r="B61" s="92"/>
      <c r="C61" s="880"/>
      <c r="D61" t="str" s="469" cm="1">
        <f t="array" ref="D61">_xlfn.IFERROR((C61*'variables - Table 1-4'!$B$2)/B61-1,"")</f>
      </c>
      <c r="E61" s="868"/>
      <c r="F61" s="880"/>
      <c r="G61" s="880"/>
      <c r="H61" s="880"/>
      <c r="I61" s="880"/>
      <c r="J61" s="880"/>
    </row>
    <row r="62" ht="20.35" customHeight="1">
      <c r="A62" s="186">
        <v>44652</v>
      </c>
      <c r="B62" s="92"/>
      <c r="C62" s="880"/>
      <c r="D62" t="str" s="469" cm="1">
        <f t="array" ref="D62">_xlfn.IFERROR((C62*'variables - Table 1-4'!$B$2)/B62-1,"")</f>
      </c>
      <c r="E62" s="868"/>
      <c r="F62" s="880"/>
      <c r="G62" s="880"/>
      <c r="H62" s="880"/>
      <c r="I62" s="880"/>
      <c r="J62" s="880"/>
    </row>
    <row r="63" ht="20.35" customHeight="1">
      <c r="A63" s="186">
        <v>44682</v>
      </c>
      <c r="B63" s="92"/>
      <c r="C63" s="880"/>
      <c r="D63" t="str" s="469" cm="1">
        <f t="array" ref="D63">_xlfn.IFERROR((C63*'variables - Table 1-4'!$B$2)/B63-1,"")</f>
      </c>
      <c r="E63" s="868"/>
      <c r="F63" s="880"/>
      <c r="G63" s="880"/>
      <c r="H63" s="880"/>
      <c r="I63" s="880"/>
      <c r="J63" s="880"/>
    </row>
    <row r="64" ht="20.35" customHeight="1">
      <c r="A64" s="186">
        <v>44713</v>
      </c>
      <c r="B64" s="92"/>
      <c r="C64" s="880"/>
      <c r="D64" t="str" s="469" cm="1">
        <f t="array" ref="D64">_xlfn.IFERROR((C64*'variables - Table 1-4'!$B$2)/B64-1,"")</f>
      </c>
      <c r="E64" s="868"/>
      <c r="F64" s="880"/>
      <c r="G64" s="880"/>
      <c r="H64" s="880"/>
      <c r="I64" s="880"/>
      <c r="J64" s="880"/>
    </row>
    <row r="65" ht="20.35" customHeight="1">
      <c r="A65" s="186">
        <v>44743</v>
      </c>
      <c r="B65" s="92"/>
      <c r="C65" s="880"/>
      <c r="D65" t="str" s="469" cm="1">
        <f t="array" ref="D65">_xlfn.IFERROR((C65*'variables - Table 1-4'!$B$2)/B65-1,"")</f>
      </c>
      <c r="E65" s="868"/>
      <c r="F65" s="880"/>
      <c r="G65" s="880"/>
      <c r="H65" s="880"/>
      <c r="I65" s="880"/>
      <c r="J65" s="880"/>
    </row>
    <row r="66" ht="20.35" customHeight="1">
      <c r="A66" s="186">
        <v>44774</v>
      </c>
      <c r="B66" s="92"/>
      <c r="C66" s="880"/>
      <c r="D66" t="str" s="469" cm="1">
        <f t="array" ref="D66">_xlfn.IFERROR((C66*'variables - Table 1-4'!$B$2)/B66-1,"")</f>
      </c>
      <c r="E66" s="868"/>
      <c r="F66" s="880"/>
      <c r="G66" s="880"/>
      <c r="H66" s="880"/>
      <c r="I66" s="880"/>
      <c r="J66" s="880"/>
    </row>
    <row r="67" ht="20.35" customHeight="1">
      <c r="A67" s="186">
        <v>44805</v>
      </c>
      <c r="B67" s="92"/>
      <c r="C67" s="880"/>
      <c r="D67" t="str" s="469" cm="1">
        <f t="array" ref="D67">_xlfn.IFERROR((C67*'variables - Table 1-4'!$B$2)/B67-1,"")</f>
      </c>
      <c r="E67" s="868"/>
      <c r="F67" s="880"/>
      <c r="G67" s="880"/>
      <c r="H67" s="880"/>
      <c r="I67" s="880"/>
      <c r="J67" s="880"/>
    </row>
    <row r="68" ht="20.35" customHeight="1">
      <c r="A68" s="186">
        <v>44835</v>
      </c>
      <c r="B68" s="92"/>
      <c r="C68" s="880"/>
      <c r="D68" t="str" s="469" cm="1">
        <f t="array" ref="D68">_xlfn.IFERROR((C68*'variables - Table 1-4'!$B$2)/B68-1,"")</f>
      </c>
      <c r="E68" s="868"/>
      <c r="F68" s="880"/>
      <c r="G68" s="880"/>
      <c r="H68" s="880"/>
      <c r="I68" s="880"/>
      <c r="J68" s="880"/>
    </row>
    <row r="69" ht="20.35" customHeight="1">
      <c r="A69" s="186">
        <v>44866</v>
      </c>
      <c r="B69" s="92"/>
      <c r="C69" s="880"/>
      <c r="D69" t="str" s="469" cm="1">
        <f t="array" ref="D69">_xlfn.IFERROR((C69*'variables - Table 1-4'!$B$2)/B69-1,"")</f>
      </c>
      <c r="E69" s="868"/>
      <c r="F69" s="880"/>
      <c r="G69" s="880"/>
      <c r="H69" s="880"/>
      <c r="I69" s="880"/>
      <c r="J69" s="880"/>
    </row>
    <row r="70" ht="20.35" customHeight="1">
      <c r="A70" s="186">
        <v>44896</v>
      </c>
      <c r="B70" s="92"/>
      <c r="C70" s="880"/>
      <c r="D70" t="str" s="469" cm="1">
        <f t="array" ref="D70">_xlfn.IFERROR((C70*'variables - Table 1-4'!$B$2)/B70-1,"")</f>
      </c>
      <c r="E70" s="868"/>
      <c r="F70" s="880"/>
      <c r="G70" s="880"/>
      <c r="H70" s="880"/>
      <c r="I70" s="880"/>
      <c r="J70" s="880"/>
    </row>
    <row r="71" ht="20.35" customHeight="1">
      <c r="A71" s="186">
        <v>44927</v>
      </c>
      <c r="B71" s="92"/>
      <c r="C71" s="880"/>
      <c r="D71" t="str" s="469" cm="1">
        <f t="array" ref="D71">_xlfn.IFERROR((C71*'variables - Table 1-4'!$B$2)/B71-1,"")</f>
      </c>
      <c r="E71" s="868"/>
      <c r="F71" s="880"/>
      <c r="G71" s="880"/>
      <c r="H71" s="880"/>
      <c r="I71" s="880"/>
      <c r="J71" s="880"/>
    </row>
    <row r="72" ht="20.35" customHeight="1">
      <c r="A72" s="186">
        <v>44958</v>
      </c>
      <c r="B72" s="92"/>
      <c r="C72" s="880"/>
      <c r="D72" t="str" s="469" cm="1">
        <f t="array" ref="D72">_xlfn.IFERROR((C72*'variables - Table 1-4'!$B$2)/B72-1,"")</f>
      </c>
      <c r="E72" s="868"/>
      <c r="F72" s="880"/>
      <c r="G72" s="880"/>
      <c r="H72" s="880"/>
      <c r="I72" s="880"/>
      <c r="J72" s="880"/>
    </row>
    <row r="73" ht="20.35" customHeight="1">
      <c r="A73" s="186">
        <v>44986</v>
      </c>
      <c r="B73" s="92"/>
      <c r="C73" s="880"/>
      <c r="D73" t="str" s="469" cm="1">
        <f t="array" ref="D73">_xlfn.IFERROR((C73*'variables - Table 1-4'!$B$2)/B73-1,"")</f>
      </c>
      <c r="E73" s="868"/>
      <c r="F73" s="880"/>
      <c r="G73" s="880"/>
      <c r="H73" s="880"/>
      <c r="I73" s="880"/>
      <c r="J73" s="880"/>
    </row>
    <row r="74" ht="20.35" customHeight="1">
      <c r="A74" s="186">
        <v>45017</v>
      </c>
      <c r="B74" s="92"/>
      <c r="C74" s="880"/>
      <c r="D74" t="str" s="469" cm="1">
        <f t="array" ref="D74">_xlfn.IFERROR((C74*'variables - Table 1-4'!$B$2)/B74-1,"")</f>
      </c>
      <c r="E74" s="868"/>
      <c r="F74" s="880"/>
      <c r="G74" s="880"/>
      <c r="H74" s="880"/>
      <c r="I74" s="880"/>
      <c r="J74" s="880"/>
    </row>
    <row r="75" ht="20.35" customHeight="1">
      <c r="A75" s="186">
        <v>45047</v>
      </c>
      <c r="B75" s="92"/>
      <c r="C75" s="880"/>
      <c r="D75" t="str" s="469" cm="1">
        <f t="array" ref="D75">_xlfn.IFERROR((C75*'variables - Table 1-4'!$B$2)/B75-1,"")</f>
      </c>
      <c r="E75" s="868"/>
      <c r="F75" s="880"/>
      <c r="G75" s="880"/>
      <c r="H75" s="880"/>
      <c r="I75" s="880"/>
      <c r="J75" s="880"/>
    </row>
    <row r="76" ht="20.35" customHeight="1">
      <c r="A76" s="186">
        <v>45078</v>
      </c>
      <c r="B76" s="92"/>
      <c r="C76" s="880"/>
      <c r="D76" t="str" s="469" cm="1">
        <f t="array" ref="D76">_xlfn.IFERROR((C76*'variables - Table 1-4'!$B$2)/B76-1,"")</f>
      </c>
      <c r="E76" s="868"/>
      <c r="F76" s="880"/>
      <c r="G76" s="880"/>
      <c r="H76" s="880"/>
      <c r="I76" s="880"/>
      <c r="J76" s="880"/>
    </row>
    <row r="77" ht="20.35" customHeight="1">
      <c r="A77" s="186">
        <v>45108</v>
      </c>
      <c r="B77" s="92"/>
      <c r="C77" s="880"/>
      <c r="D77" t="str" s="469" cm="1">
        <f t="array" ref="D77">_xlfn.IFERROR((C77*'variables - Table 1-4'!$B$2)/B77-1,"")</f>
      </c>
      <c r="E77" s="868"/>
      <c r="F77" s="880"/>
      <c r="G77" s="880"/>
      <c r="H77" s="880"/>
      <c r="I77" s="880"/>
      <c r="J77" s="880"/>
    </row>
    <row r="78" ht="20.35" customHeight="1">
      <c r="A78" s="186">
        <v>45139</v>
      </c>
      <c r="B78" s="92"/>
      <c r="C78" s="880"/>
      <c r="D78" t="str" s="469" cm="1">
        <f t="array" ref="D78">_xlfn.IFERROR((C78*'variables - Table 1-4'!$B$2)/B78-1,"")</f>
      </c>
      <c r="E78" s="868"/>
      <c r="F78" s="880"/>
      <c r="G78" s="880"/>
      <c r="H78" s="880"/>
      <c r="I78" s="880"/>
      <c r="J78" s="880"/>
    </row>
    <row r="79" ht="20.35" customHeight="1">
      <c r="A79" s="186">
        <v>45170</v>
      </c>
      <c r="B79" s="92"/>
      <c r="C79" s="880"/>
      <c r="D79" t="str" s="469" cm="1">
        <f t="array" ref="D79">_xlfn.IFERROR((C79*'variables - Table 1-4'!$B$2)/B79-1,"")</f>
      </c>
      <c r="E79" s="868"/>
      <c r="F79" s="880"/>
      <c r="G79" s="880"/>
      <c r="H79" s="880"/>
      <c r="I79" s="880"/>
      <c r="J79" s="880"/>
    </row>
    <row r="80" ht="20.35" customHeight="1">
      <c r="A80" s="186">
        <v>45200</v>
      </c>
      <c r="B80" s="92"/>
      <c r="C80" s="880"/>
      <c r="D80" t="str" s="469" cm="1">
        <f t="array" ref="D80">_xlfn.IFERROR((C80*'variables - Table 1-4'!$B$2)/B80-1,"")</f>
      </c>
      <c r="E80" s="868"/>
      <c r="F80" s="880"/>
      <c r="G80" s="880"/>
      <c r="H80" s="880"/>
      <c r="I80" s="880"/>
      <c r="J80" s="880"/>
    </row>
    <row r="81" ht="20.35" customHeight="1">
      <c r="A81" s="186">
        <v>45231</v>
      </c>
      <c r="B81" s="92"/>
      <c r="C81" s="880"/>
      <c r="D81" t="str" s="469" cm="1">
        <f t="array" ref="D81">_xlfn.IFERROR((C81*'variables - Table 1-4'!$B$2)/B81-1,"")</f>
      </c>
      <c r="E81" s="868"/>
      <c r="F81" s="880"/>
      <c r="G81" s="880"/>
      <c r="H81" s="880"/>
      <c r="I81" s="880"/>
      <c r="J81" s="880"/>
    </row>
    <row r="82" ht="20.35" customHeight="1">
      <c r="A82" s="186">
        <v>45261</v>
      </c>
      <c r="B82" s="92"/>
      <c r="C82" s="880"/>
      <c r="D82" t="str" s="469" cm="1">
        <f t="array" ref="D82">_xlfn.IFERROR((C82*'variables - Table 1-4'!$B$2)/B82-1,"")</f>
      </c>
      <c r="E82" s="868"/>
      <c r="F82" s="880"/>
      <c r="G82" s="880"/>
      <c r="H82" s="880"/>
      <c r="I82" s="880"/>
      <c r="J82" s="880"/>
    </row>
    <row r="83" ht="20.35" customHeight="1">
      <c r="A83" s="186">
        <v>45292</v>
      </c>
      <c r="B83" s="92"/>
      <c r="C83" s="880"/>
      <c r="D83" t="str" s="469" cm="1">
        <f t="array" ref="D83">_xlfn.IFERROR((C83*'variables - Table 1-4'!$B$2)/B83-1,"")</f>
      </c>
      <c r="E83" s="868"/>
      <c r="F83" s="880"/>
      <c r="G83" s="880"/>
      <c r="H83" s="880"/>
      <c r="I83" s="880"/>
      <c r="J83" s="880"/>
    </row>
    <row r="84" ht="20.35" customHeight="1">
      <c r="A84" s="186">
        <v>45323</v>
      </c>
      <c r="B84" s="92"/>
      <c r="C84" s="880"/>
      <c r="D84" t="str" s="469" cm="1">
        <f t="array" ref="D84">_xlfn.IFERROR((C84*'variables - Table 1-4'!$B$2)/B84-1,"")</f>
      </c>
      <c r="E84" s="868"/>
      <c r="F84" s="880"/>
      <c r="G84" s="880"/>
      <c r="H84" s="880"/>
      <c r="I84" s="880"/>
      <c r="J84" s="880"/>
    </row>
    <row r="85" ht="20.35" customHeight="1">
      <c r="A85" s="186">
        <v>45352</v>
      </c>
      <c r="B85" s="92"/>
      <c r="C85" s="880"/>
      <c r="D85" t="str" s="469" cm="1">
        <f t="array" ref="D85">_xlfn.IFERROR((C85*'variables - Table 1-4'!$B$2)/B85-1,"")</f>
      </c>
      <c r="E85" s="868"/>
      <c r="F85" s="880"/>
      <c r="G85" s="880"/>
      <c r="H85" s="880"/>
      <c r="I85" s="880"/>
      <c r="J85" s="880"/>
    </row>
    <row r="86" ht="20.35" customHeight="1">
      <c r="A86" s="186">
        <v>45383</v>
      </c>
      <c r="B86" s="92"/>
      <c r="C86" s="880"/>
      <c r="D86" t="str" s="469" cm="1">
        <f t="array" ref="D86">_xlfn.IFERROR((C86*'variables - Table 1-4'!$B$2)/B86-1,"")</f>
      </c>
      <c r="E86" s="868"/>
      <c r="F86" s="880"/>
      <c r="G86" s="880"/>
      <c r="H86" s="880"/>
      <c r="I86" s="880"/>
      <c r="J86" s="880"/>
    </row>
    <row r="87" ht="20.35" customHeight="1">
      <c r="A87" s="186">
        <v>45413</v>
      </c>
      <c r="B87" s="92"/>
      <c r="C87" s="880"/>
      <c r="D87" t="str" s="469" cm="1">
        <f t="array" ref="D87">_xlfn.IFERROR((C87*'variables - Table 1-4'!$B$2)/B87-1,"")</f>
      </c>
      <c r="E87" s="868"/>
      <c r="F87" s="880"/>
      <c r="G87" s="880"/>
      <c r="H87" s="880"/>
      <c r="I87" s="880"/>
      <c r="J87" s="880"/>
    </row>
    <row r="88" ht="20.35" customHeight="1">
      <c r="A88" s="186">
        <v>45444</v>
      </c>
      <c r="B88" s="92"/>
      <c r="C88" s="880"/>
      <c r="D88" t="str" s="469" cm="1">
        <f t="array" ref="D88">_xlfn.IFERROR((C88*'variables - Table 1-4'!$B$2)/B88-1,"")</f>
      </c>
      <c r="E88" s="868"/>
      <c r="F88" s="880"/>
      <c r="G88" s="880"/>
      <c r="H88" s="880"/>
      <c r="I88" s="880"/>
      <c r="J88" s="880"/>
    </row>
    <row r="89" ht="20.35" customHeight="1">
      <c r="A89" s="186">
        <v>45474</v>
      </c>
      <c r="B89" s="92"/>
      <c r="C89" s="880"/>
      <c r="D89" t="str" s="469" cm="1">
        <f t="array" ref="D89">_xlfn.IFERROR((C89*'variables - Table 1-4'!$B$2)/B89-1,"")</f>
      </c>
      <c r="E89" s="868"/>
      <c r="F89" s="880"/>
      <c r="G89" s="880"/>
      <c r="H89" s="880"/>
      <c r="I89" s="880"/>
      <c r="J89" s="880"/>
    </row>
    <row r="90" ht="20.35" customHeight="1">
      <c r="A90" s="186">
        <v>45505</v>
      </c>
      <c r="B90" s="92"/>
      <c r="C90" s="880"/>
      <c r="D90" t="str" s="469" cm="1">
        <f t="array" ref="D90">_xlfn.IFERROR((C90*'variables - Table 1-4'!$B$2)/B90-1,"")</f>
      </c>
      <c r="E90" s="868"/>
      <c r="F90" s="880"/>
      <c r="G90" s="880"/>
      <c r="H90" s="880"/>
      <c r="I90" s="880"/>
      <c r="J90" s="880"/>
    </row>
    <row r="91" ht="20.35" customHeight="1">
      <c r="A91" s="186">
        <v>45536</v>
      </c>
      <c r="B91" s="92"/>
      <c r="C91" s="880"/>
      <c r="D91" t="str" s="469" cm="1">
        <f t="array" ref="D91">_xlfn.IFERROR((C91*'variables - Table 1-4'!$B$2)/B91-1,"")</f>
      </c>
      <c r="E91" s="868"/>
      <c r="F91" s="880"/>
      <c r="G91" s="880"/>
      <c r="H91" s="880"/>
      <c r="I91" s="880"/>
      <c r="J91" s="880"/>
    </row>
    <row r="92" ht="20.35" customHeight="1">
      <c r="A92" s="186">
        <v>45566</v>
      </c>
      <c r="B92" s="92"/>
      <c r="C92" s="880"/>
      <c r="D92" t="str" s="469" cm="1">
        <f t="array" ref="D92">_xlfn.IFERROR((C92*'variables - Table 1-4'!$B$2)/B92-1,"")</f>
      </c>
      <c r="E92" s="868"/>
      <c r="F92" s="880"/>
      <c r="G92" s="880"/>
      <c r="H92" s="880"/>
      <c r="I92" s="880"/>
      <c r="J92" s="880"/>
    </row>
    <row r="93" ht="20.35" customHeight="1">
      <c r="A93" s="186">
        <v>45597</v>
      </c>
      <c r="B93" s="92"/>
      <c r="C93" s="880"/>
      <c r="D93" t="str" s="469" cm="1">
        <f t="array" ref="D93">_xlfn.IFERROR((C93*'variables - Table 1-4'!$B$2)/B93-1,"")</f>
      </c>
      <c r="E93" s="868">
        <v>600000</v>
      </c>
      <c r="F93" s="880" cm="1">
        <f t="array" ref="F93">0.17250163+0.002095161</f>
        <v>0.174596791</v>
      </c>
      <c r="G93" s="868" cm="1">
        <f t="array" ref="G93">E93/F93</f>
        <v>3436489.27659845</v>
      </c>
      <c r="H93" s="880"/>
      <c r="I93" s="880"/>
      <c r="J93" s="880"/>
    </row>
    <row r="94" ht="20.35" customHeight="1">
      <c r="A94" s="186">
        <v>45627</v>
      </c>
      <c r="B94" s="92"/>
      <c r="C94" s="880"/>
      <c r="D94" t="str" s="469" cm="1">
        <f t="array" ref="D94">_xlfn.IFERROR((C94*'variables - Table 1-4'!$B$2)/B94-1,"")</f>
      </c>
      <c r="E94" s="868"/>
      <c r="F94" s="880"/>
      <c r="G94" s="880"/>
      <c r="H94" s="880"/>
      <c r="I94" s="880"/>
      <c r="J94" s="880"/>
    </row>
    <row r="95" ht="20.35" customHeight="1">
      <c r="A95" s="186">
        <v>45658</v>
      </c>
      <c r="B95" s="92"/>
      <c r="C95" s="880"/>
      <c r="D95" t="str" s="469" cm="1">
        <f t="array" ref="D95">_xlfn.IFERROR((C95*'variables - Table 1-4'!$B$2)/B95-1,"")</f>
      </c>
      <c r="E95" s="868"/>
      <c r="F95" s="880"/>
      <c r="G95" s="880"/>
      <c r="H95" s="880"/>
      <c r="I95" s="880"/>
      <c r="J95" s="880"/>
    </row>
    <row r="96" ht="20.35" customHeight="1">
      <c r="A96" s="186">
        <v>45689</v>
      </c>
      <c r="B96" s="92"/>
      <c r="C96" s="880"/>
      <c r="D96" t="str" s="469" cm="1">
        <f t="array" ref="D96">_xlfn.IFERROR((C96*'variables - Table 1-4'!$B$2)/B96-1,"")</f>
      </c>
      <c r="E96" s="868">
        <v>3000000</v>
      </c>
      <c r="F96" s="880" cm="1">
        <f t="array" ref="F96">1.078953934</f>
        <v>1.078953934</v>
      </c>
      <c r="G96" s="868" cm="1">
        <f t="array" ref="G96">E96/F96</f>
        <v>2780470.885238</v>
      </c>
      <c r="H96" s="880"/>
      <c r="I96" s="880"/>
      <c r="J96" s="880"/>
    </row>
    <row r="97" ht="20.35" customHeight="1">
      <c r="A97" s="186">
        <v>45717</v>
      </c>
      <c r="B97" s="92"/>
      <c r="C97" s="880"/>
      <c r="D97" t="str" s="469" cm="1">
        <f t="array" ref="D97">_xlfn.IFERROR((C97*'variables - Table 1-4'!$B$2)/B97-1,"")</f>
      </c>
      <c r="E97" s="868">
        <v>939581</v>
      </c>
      <c r="F97" s="880" cm="1">
        <f t="array" ref="F97">0.551960626</f>
        <v>0.551960626</v>
      </c>
      <c r="G97" s="868" cm="1">
        <f t="array" ref="G97">E97/F97</f>
        <v>1702260.91453125</v>
      </c>
      <c r="H97" s="880"/>
      <c r="I97" s="880"/>
      <c r="J97" s="880"/>
    </row>
    <row r="98" ht="20.35" customHeight="1">
      <c r="A98" s="186">
        <v>45748</v>
      </c>
      <c r="B98" s="92"/>
      <c r="C98" s="880"/>
      <c r="D98" t="str" s="469" cm="1">
        <f t="array" ref="D98">_xlfn.IFERROR((C98*'variables - Table 1-4'!$B$2)/B98-1,"")</f>
      </c>
      <c r="E98" s="868"/>
      <c r="F98" s="880"/>
      <c r="G98" s="880"/>
      <c r="H98" s="880"/>
      <c r="I98" s="880"/>
      <c r="J98" s="880"/>
    </row>
    <row r="99" ht="20.35" customHeight="1">
      <c r="A99" s="186">
        <v>45778</v>
      </c>
      <c r="B99" s="92"/>
      <c r="C99" s="880"/>
      <c r="D99" t="str" s="469" cm="1">
        <f t="array" ref="D99">_xlfn.IFERROR((C99*'variables - Table 1-4'!$B$2)/B99-1,"")</f>
      </c>
      <c r="E99" s="868"/>
      <c r="F99" s="880"/>
      <c r="G99" s="880"/>
      <c r="H99" s="880"/>
      <c r="I99" s="880"/>
      <c r="J99" s="880"/>
    </row>
    <row r="100" ht="20.35" customHeight="1">
      <c r="A100" s="186">
        <v>45809</v>
      </c>
      <c r="B100" s="92"/>
      <c r="C100" s="880"/>
      <c r="D100" t="str" s="469" cm="1">
        <f t="array" ref="D100">_xlfn.IFERROR((C100*'variables - Table 1-4'!$B$2)/B100-1,"")</f>
      </c>
      <c r="E100" s="868"/>
      <c r="F100" s="880"/>
      <c r="G100" s="880"/>
      <c r="H100" s="880"/>
      <c r="I100" s="880"/>
      <c r="J100" s="880"/>
    </row>
    <row r="101" ht="20.35" customHeight="1">
      <c r="A101" s="186">
        <v>45839</v>
      </c>
      <c r="B101" s="92">
        <v>250000</v>
      </c>
      <c r="C101" s="880">
        <v>0.07087863699999999</v>
      </c>
      <c r="D101" s="864" cm="1">
        <f t="array" ref="D101">_xlfn.IFERROR((C101*'variables - Table 1-4'!$B$2)/B101-1,"")</f>
        <v>-0.431096006417261</v>
      </c>
      <c r="E101" s="868"/>
      <c r="F101" s="880"/>
      <c r="G101" s="880"/>
      <c r="H101" s="880"/>
      <c r="I101" s="880"/>
      <c r="J101" s="880"/>
    </row>
    <row r="102" ht="20.35" customHeight="1">
      <c r="A102" s="186">
        <v>45870</v>
      </c>
      <c r="B102" s="92"/>
      <c r="C102" s="880"/>
      <c r="D102" t="str" s="469" cm="1">
        <f t="array" ref="D102">_xlfn.IFERROR((C102*'variables - Table 1-4'!$B$2)/B102-1,"")</f>
      </c>
      <c r="E102" s="868"/>
      <c r="F102" s="880"/>
      <c r="G102" s="880"/>
      <c r="H102" s="880"/>
      <c r="I102" s="880"/>
      <c r="J102" s="880"/>
    </row>
    <row r="103" ht="20.35" customHeight="1">
      <c r="A103" s="186">
        <v>45901</v>
      </c>
      <c r="B103" s="92"/>
      <c r="C103" s="880"/>
      <c r="D103" t="str" s="469" cm="1">
        <f t="array" ref="D103">_xlfn.IFERROR((C103*'variables - Table 1-4'!$B$2)/B103-1,"")</f>
      </c>
      <c r="E103" s="868"/>
      <c r="F103" s="880"/>
      <c r="G103" s="880"/>
      <c r="H103" s="880"/>
      <c r="I103" s="880"/>
      <c r="J103" s="880"/>
    </row>
    <row r="104" ht="20.35" customHeight="1">
      <c r="A104" s="186">
        <v>45931</v>
      </c>
      <c r="B104" s="92"/>
      <c r="C104" s="880"/>
      <c r="D104" t="str" s="469" cm="1">
        <f t="array" ref="D104">_xlfn.IFERROR((C104*'variables - Table 1-4'!$B$2)/B104-1,"")</f>
      </c>
      <c r="E104" s="868"/>
      <c r="F104" s="880"/>
      <c r="G104" s="880"/>
      <c r="H104" s="880"/>
      <c r="I104" s="880"/>
      <c r="J104" s="880"/>
    </row>
    <row r="105" ht="20.35" customHeight="1">
      <c r="A105" s="186">
        <v>45962</v>
      </c>
      <c r="B105" s="92"/>
      <c r="C105" s="880"/>
      <c r="D105" t="str" s="469" cm="1">
        <f t="array" ref="D105">_xlfn.IFERROR((C105*'variables - Table 1-4'!$B$2)/B105-1,"")</f>
      </c>
      <c r="E105" s="868"/>
      <c r="F105" s="880"/>
      <c r="G105" s="880"/>
      <c r="H105" s="880"/>
      <c r="I105" s="880"/>
      <c r="J105" s="880"/>
    </row>
    <row r="106" ht="20.35" customHeight="1">
      <c r="A106" s="186">
        <v>45992</v>
      </c>
      <c r="B106" s="92"/>
      <c r="C106" s="880"/>
      <c r="D106" t="str" s="469" cm="1">
        <f t="array" ref="D106">_xlfn.IFERROR((C106*'variables - Table 1-4'!$B$2)/B106-1,"")</f>
      </c>
      <c r="E106" s="868"/>
      <c r="F106" s="880"/>
      <c r="G106" s="880"/>
      <c r="H106" s="880"/>
      <c r="I106" s="880"/>
      <c r="J106" s="880"/>
    </row>
    <row r="107" ht="20.35" customHeight="1">
      <c r="A107" s="186">
        <v>46023</v>
      </c>
      <c r="B107" s="92"/>
      <c r="C107" s="880"/>
      <c r="D107" t="str" s="469" cm="1">
        <f t="array" ref="D107">_xlfn.IFERROR((C107*'variables - Table 1-4'!$B$2)/B107-1,"")</f>
      </c>
      <c r="E107" s="868"/>
      <c r="F107" s="880"/>
      <c r="G107" s="880"/>
      <c r="H107" s="880"/>
      <c r="I107" s="880"/>
      <c r="J107" s="880"/>
    </row>
    <row r="108" ht="20.35" customHeight="1">
      <c r="A108" s="186">
        <v>46054</v>
      </c>
      <c r="B108" s="92"/>
      <c r="C108" s="880"/>
      <c r="D108" t="str" s="469" cm="1">
        <f t="array" ref="D108">_xlfn.IFERROR((C108*'variables - Table 1-4'!$B$2)/B108-1,"")</f>
      </c>
      <c r="E108" s="868"/>
      <c r="F108" s="880"/>
      <c r="G108" s="880"/>
      <c r="H108" s="880"/>
      <c r="I108" s="880"/>
      <c r="J108" s="880"/>
    </row>
    <row r="109" ht="20.35" customHeight="1">
      <c r="A109" s="186">
        <v>46082</v>
      </c>
      <c r="B109" s="92"/>
      <c r="C109" s="880"/>
      <c r="D109" t="str" s="469" cm="1">
        <f t="array" ref="D109">_xlfn.IFERROR((C109*'variables - Table 1-4'!$B$2)/B109-1,"")</f>
      </c>
      <c r="E109" s="868"/>
      <c r="F109" s="880"/>
      <c r="G109" s="880"/>
      <c r="H109" s="880"/>
      <c r="I109" s="880"/>
      <c r="J109" s="880"/>
    </row>
    <row r="110" ht="20.35" customHeight="1">
      <c r="A110" s="186">
        <v>46113</v>
      </c>
      <c r="B110" s="92"/>
      <c r="C110" s="880"/>
      <c r="D110" t="str" s="469" cm="1">
        <f t="array" ref="D110">_xlfn.IFERROR((C110*'variables - Table 1-4'!$B$2)/B110-1,"")</f>
      </c>
      <c r="E110" s="868"/>
      <c r="F110" s="880"/>
      <c r="G110" s="880"/>
      <c r="H110" s="880"/>
      <c r="I110" s="880"/>
      <c r="J110" s="880"/>
    </row>
    <row r="111" ht="20.35" customHeight="1">
      <c r="A111" s="186">
        <v>46143</v>
      </c>
      <c r="B111" s="92"/>
      <c r="C111" s="880"/>
      <c r="D111" t="str" s="469" cm="1">
        <f t="array" ref="D111">_xlfn.IFERROR((C111*'variables - Table 1-4'!$B$2)/B111-1,"")</f>
      </c>
      <c r="E111" s="868"/>
      <c r="F111" s="880"/>
      <c r="G111" s="880"/>
      <c r="H111" s="880"/>
      <c r="I111" s="880"/>
      <c r="J111" s="880"/>
    </row>
    <row r="112" ht="20.35" customHeight="1">
      <c r="A112" s="186">
        <v>46174</v>
      </c>
      <c r="B112" s="92"/>
      <c r="C112" s="880"/>
      <c r="D112" t="str" s="469" cm="1">
        <f t="array" ref="D112">_xlfn.IFERROR((C112*'variables - Table 1-4'!$B$2)/B112-1,"")</f>
      </c>
      <c r="E112" s="868"/>
      <c r="F112" s="880"/>
      <c r="G112" s="880"/>
      <c r="H112" s="880"/>
      <c r="I112" s="880"/>
      <c r="J112" s="880"/>
    </row>
    <row r="113" ht="20.35" customHeight="1">
      <c r="A113" s="186">
        <v>46204</v>
      </c>
      <c r="B113" s="92"/>
      <c r="C113" s="880"/>
      <c r="D113" t="str" s="469" cm="1">
        <f t="array" ref="D113">_xlfn.IFERROR((C113*'variables - Table 1-4'!$B$2)/B113-1,"")</f>
      </c>
      <c r="E113" s="868"/>
      <c r="F113" s="880"/>
      <c r="G113" s="880"/>
      <c r="H113" s="880"/>
      <c r="I113" s="880"/>
      <c r="J113" s="880"/>
    </row>
    <row r="114" ht="20.35" customHeight="1">
      <c r="A114" s="186">
        <v>46235</v>
      </c>
      <c r="B114" s="92"/>
      <c r="C114" s="880"/>
      <c r="D114" t="str" s="469" cm="1">
        <f t="array" ref="D114">_xlfn.IFERROR((C114*'variables - Table 1-4'!$B$2)/B114-1,"")</f>
      </c>
      <c r="E114" s="868"/>
      <c r="F114" s="880"/>
      <c r="G114" s="880"/>
      <c r="H114" s="880"/>
      <c r="I114" s="880"/>
      <c r="J114" s="880"/>
    </row>
    <row r="115" ht="20.35" customHeight="1">
      <c r="A115" s="186">
        <v>46266</v>
      </c>
      <c r="B115" s="92"/>
      <c r="C115" s="880"/>
      <c r="D115" t="str" s="469" cm="1">
        <f t="array" ref="D115">_xlfn.IFERROR((C115*'variables - Table 1-4'!$B$2)/B115-1,"")</f>
      </c>
      <c r="E115" s="868"/>
      <c r="F115" s="880"/>
      <c r="G115" s="880"/>
      <c r="H115" s="880"/>
      <c r="I115" s="880"/>
      <c r="J115" s="880"/>
    </row>
    <row r="116" ht="20.35" customHeight="1">
      <c r="A116" s="186">
        <v>46296</v>
      </c>
      <c r="B116" s="92"/>
      <c r="C116" s="880"/>
      <c r="D116" t="str" s="469" cm="1">
        <f t="array" ref="D116">_xlfn.IFERROR((C116*'variables - Table 1-4'!$B$2)/B116-1,"")</f>
      </c>
      <c r="E116" s="868"/>
      <c r="F116" s="880"/>
      <c r="G116" s="880"/>
      <c r="H116" s="880"/>
      <c r="I116" s="880"/>
      <c r="J116" s="880"/>
    </row>
    <row r="117" ht="20.35" customHeight="1">
      <c r="A117" s="186">
        <v>46327</v>
      </c>
      <c r="B117" s="92"/>
      <c r="C117" s="880"/>
      <c r="D117" t="str" s="469" cm="1">
        <f t="array" ref="D117">_xlfn.IFERROR((C117*'variables - Table 1-4'!$B$2)/B117-1,"")</f>
      </c>
      <c r="E117" s="868"/>
      <c r="F117" s="880"/>
      <c r="G117" s="880"/>
      <c r="H117" s="880"/>
      <c r="I117" s="880"/>
      <c r="J117" s="880"/>
    </row>
    <row r="118" ht="20.35" customHeight="1">
      <c r="A118" s="186">
        <v>46357</v>
      </c>
      <c r="B118" s="92"/>
      <c r="C118" s="880"/>
      <c r="D118" t="str" s="469" cm="1">
        <f t="array" ref="D118">_xlfn.IFERROR((C118*'variables - Table 1-4'!$B$2)/B118-1,"")</f>
      </c>
      <c r="E118" s="868"/>
      <c r="F118" s="880"/>
      <c r="G118" s="880"/>
      <c r="H118" s="880"/>
      <c r="I118" s="880"/>
      <c r="J118" s="880"/>
    </row>
    <row r="119" ht="20.35" customHeight="1">
      <c r="A119" s="186">
        <v>46388</v>
      </c>
      <c r="B119" s="92"/>
      <c r="C119" s="880"/>
      <c r="D119" t="str" s="469" cm="1">
        <f t="array" ref="D119">_xlfn.IFERROR((C119*'variables - Table 1-4'!$B$2)/B119-1,"")</f>
      </c>
      <c r="E119" s="868"/>
      <c r="F119" s="880"/>
      <c r="G119" s="880"/>
      <c r="H119" s="880"/>
      <c r="I119" s="880"/>
      <c r="J119" s="880"/>
    </row>
    <row r="120" ht="20.35" customHeight="1">
      <c r="A120" s="186">
        <v>46419</v>
      </c>
      <c r="B120" s="92"/>
      <c r="C120" s="880"/>
      <c r="D120" t="str" s="469" cm="1">
        <f t="array" ref="D120">_xlfn.IFERROR((C120*'variables - Table 1-4'!$B$2)/B120-1,"")</f>
      </c>
      <c r="E120" s="868"/>
      <c r="F120" s="880"/>
      <c r="G120" s="880"/>
      <c r="H120" s="880"/>
      <c r="I120" s="880"/>
      <c r="J120" s="880"/>
    </row>
    <row r="121" ht="20.35" customHeight="1">
      <c r="A121" s="186">
        <v>46447</v>
      </c>
      <c r="B121" s="92"/>
      <c r="C121" s="880"/>
      <c r="D121" t="str" s="469" cm="1">
        <f t="array" ref="D121">_xlfn.IFERROR((C121*'variables - Table 1-4'!$B$2)/B121-1,"")</f>
      </c>
      <c r="E121" s="868"/>
      <c r="F121" s="880"/>
      <c r="G121" s="880"/>
      <c r="H121" s="880"/>
      <c r="I121" s="880"/>
      <c r="J121" s="880"/>
    </row>
    <row r="122" ht="20.55" customHeight="1">
      <c r="A122" s="196">
        <v>46478</v>
      </c>
      <c r="B122" s="171"/>
      <c r="C122" s="883"/>
      <c r="D122" t="str" s="884" cm="1">
        <f t="array" ref="D122">_xlfn.IFERROR((C122*'variables - Table 1-4'!$B$2)/B122-1,"")</f>
      </c>
      <c r="E122" s="885"/>
      <c r="F122" s="883"/>
      <c r="G122" s="883"/>
      <c r="H122" s="883"/>
      <c r="I122" s="883"/>
      <c r="J122" s="883"/>
    </row>
    <row r="123" ht="20.55" customHeight="1">
      <c r="A123" t="s" s="45">
        <v>665</v>
      </c>
      <c r="B123" s="48" cm="1">
        <f t="array" ref="B123">SUM(B3:B122)-E$123</f>
        <v>-5783694.62167274</v>
      </c>
      <c r="C123" s="877" cm="1">
        <f t="array" ref="C123">SUM(C3:C122)-F$123</f>
        <v>0.07087863699999999</v>
      </c>
      <c r="D123" s="877"/>
      <c r="E123" s="48" cm="1">
        <f t="array" ref="E123">SUM(E3:E122)</f>
        <v>8455482.47167274</v>
      </c>
      <c r="F123" s="877" cm="1">
        <f t="array" ref="F123">SUM(F3:F122)</f>
        <v>5.779418308</v>
      </c>
      <c r="G123" s="874" cm="1">
        <f t="array" ref="G123">E123/F123</f>
        <v>1463033.47864066</v>
      </c>
      <c r="H123" s="877"/>
      <c r="I123" s="877"/>
      <c r="J123" s="877"/>
    </row>
    <row r="124" ht="20.35" customHeight="1">
      <c r="A124" s="51"/>
      <c r="B124" s="26"/>
      <c r="C124" s="879" cm="1">
        <f t="array" ref="C124">0.5537-C$123</f>
        <v>0.482821363</v>
      </c>
      <c r="D124" s="879"/>
      <c r="E124" s="26"/>
      <c r="F124" s="879"/>
      <c r="G124" s="879"/>
      <c r="H124" s="879"/>
      <c r="I124" s="879"/>
      <c r="J124" s="879"/>
    </row>
    <row r="125" ht="20.35" customHeight="1">
      <c r="A125" t="s" s="50">
        <v>757</v>
      </c>
      <c r="B125" s="26" cm="1">
        <f t="array" ref="B125">C$123*'variables - Table 1-4'!B2</f>
        <v>142225.998395685</v>
      </c>
      <c r="C125" s="879"/>
      <c r="D125" s="879"/>
      <c r="E125" s="26"/>
      <c r="F125" s="879"/>
      <c r="G125" s="879"/>
      <c r="H125" s="879"/>
      <c r="I125" s="879"/>
      <c r="J125" s="879"/>
    </row>
  </sheetData>
  <mergeCells count="1">
    <mergeCell ref="A1:J1"/>
  </mergeCells>
  <conditionalFormatting sqref="B4:B5 B7:B8 B10:B122">
    <cfRule type="cellIs" dxfId="28" priority="1" operator="equal"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7.xml><?xml version="1.0" encoding="utf-8"?>
<worksheet xmlns:r="http://schemas.openxmlformats.org/officeDocument/2006/relationships" xmlns="http://schemas.openxmlformats.org/spreadsheetml/2006/main">
  <sheetPr>
    <pageSetUpPr fitToPage="1"/>
  </sheetPr>
  <dimension ref="A2:D23"/>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4" width="16.3516" style="886" customWidth="1"/>
    <col min="5" max="16384" width="16.3516" style="886" customWidth="1"/>
  </cols>
  <sheetData>
    <row r="1" ht="28" customHeight="1">
      <c r="A1" t="s" s="90">
        <v>1215</v>
      </c>
      <c r="B1" s="90"/>
      <c r="C1" s="90"/>
      <c r="D1" s="90"/>
    </row>
    <row r="2" ht="20.55" customHeight="1">
      <c r="A2" s="7"/>
      <c r="B2" t="s" s="8">
        <v>1217</v>
      </c>
      <c r="C2" t="s" s="8">
        <v>1218</v>
      </c>
      <c r="D2" t="s" s="8">
        <v>1219</v>
      </c>
    </row>
    <row r="3" ht="20.55" customHeight="1">
      <c r="A3" t="s" s="10">
        <v>1220</v>
      </c>
      <c r="B3" s="887"/>
      <c r="C3" s="888"/>
      <c r="D3" s="888"/>
    </row>
    <row r="4" ht="20.35" customHeight="1">
      <c r="A4" s="28"/>
      <c r="B4" s="613"/>
      <c r="C4" s="99"/>
      <c r="D4" s="99"/>
    </row>
    <row r="5" ht="20.35" customHeight="1">
      <c r="A5" s="28"/>
      <c r="B5" s="613"/>
      <c r="C5" s="99"/>
      <c r="D5" s="99"/>
    </row>
    <row r="6" ht="20.35" customHeight="1">
      <c r="A6" s="28"/>
      <c r="B6" s="613"/>
      <c r="C6" s="99"/>
      <c r="D6" s="99"/>
    </row>
    <row r="7" ht="20.35" customHeight="1">
      <c r="A7" s="28"/>
      <c r="B7" s="613"/>
      <c r="C7" s="99"/>
      <c r="D7" s="99"/>
    </row>
    <row r="8" ht="20.35" customHeight="1">
      <c r="A8" s="28"/>
      <c r="B8" s="613"/>
      <c r="C8" s="99"/>
      <c r="D8" s="99"/>
    </row>
    <row r="9" ht="20.35" customHeight="1">
      <c r="A9" s="28"/>
      <c r="B9" s="613"/>
      <c r="C9" s="99"/>
      <c r="D9" s="99"/>
    </row>
    <row r="10" ht="20.35" customHeight="1">
      <c r="A10" s="28"/>
      <c r="B10" s="613"/>
      <c r="C10" s="99"/>
      <c r="D10" s="99"/>
    </row>
    <row r="11" ht="20.35" customHeight="1">
      <c r="A11" s="28"/>
      <c r="B11" s="613"/>
      <c r="C11" s="99"/>
      <c r="D11" s="99"/>
    </row>
    <row r="12" ht="20.35" customHeight="1">
      <c r="A12" s="28"/>
      <c r="B12" s="613"/>
      <c r="C12" s="99"/>
      <c r="D12" s="99"/>
    </row>
    <row r="13" ht="20.35" customHeight="1">
      <c r="A13" s="28"/>
      <c r="B13" s="613"/>
      <c r="C13" s="99"/>
      <c r="D13" s="99"/>
    </row>
    <row r="14" ht="20.35" customHeight="1">
      <c r="A14" s="28"/>
      <c r="B14" s="613"/>
      <c r="C14" s="99"/>
      <c r="D14" s="99"/>
    </row>
    <row r="15" ht="20.35" customHeight="1">
      <c r="A15" s="28"/>
      <c r="B15" s="613"/>
      <c r="C15" s="99"/>
      <c r="D15" s="99"/>
    </row>
    <row r="16" ht="20.35" customHeight="1">
      <c r="A16" t="s" s="17">
        <v>1221</v>
      </c>
      <c r="B16" s="613"/>
      <c r="C16" s="99"/>
      <c r="D16" s="99"/>
    </row>
    <row r="17" ht="20.35" customHeight="1">
      <c r="A17" t="s" s="17">
        <v>1222</v>
      </c>
      <c r="B17" s="613"/>
      <c r="C17" s="99"/>
      <c r="D17" s="99"/>
    </row>
    <row r="18" ht="20.35" customHeight="1">
      <c r="A18" t="s" s="17">
        <v>1223</v>
      </c>
      <c r="B18" s="613"/>
      <c r="C18" s="99"/>
      <c r="D18" s="99"/>
    </row>
    <row r="19" ht="32.35" customHeight="1">
      <c r="A19" t="s" s="17">
        <v>1224</v>
      </c>
      <c r="B19" s="613"/>
      <c r="C19" s="99"/>
      <c r="D19" s="99"/>
    </row>
    <row r="20" ht="20.35" customHeight="1">
      <c r="A20" t="s" s="17">
        <v>1225</v>
      </c>
      <c r="B20" s="613"/>
      <c r="C20" s="99"/>
      <c r="D20" s="99"/>
    </row>
    <row r="21" ht="20.35" customHeight="1">
      <c r="A21" t="s" s="17">
        <v>1226</v>
      </c>
      <c r="B21" s="613"/>
      <c r="C21" s="99"/>
      <c r="D21" s="99"/>
    </row>
    <row r="22" ht="20.35" customHeight="1">
      <c r="A22" t="s" s="17">
        <v>1227</v>
      </c>
      <c r="B22" s="613"/>
      <c r="C22" s="99"/>
      <c r="D22" s="99"/>
    </row>
    <row r="23" ht="20.35" customHeight="1">
      <c r="A23" t="s" s="17">
        <v>1228</v>
      </c>
      <c r="B23" s="613"/>
      <c r="C23" s="99"/>
      <c r="D23" s="99"/>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8.xml><?xml version="1.0" encoding="utf-8"?>
<worksheet xmlns:r="http://schemas.openxmlformats.org/officeDocument/2006/relationships" xmlns="http://schemas.openxmlformats.org/spreadsheetml/2006/main">
  <sheetPr>
    <pageSetUpPr fitToPage="1"/>
  </sheetPr>
  <dimension ref="A2:C17"/>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3" width="16.3516" style="889" customWidth="1"/>
    <col min="4" max="16384" width="16.3516" style="889" customWidth="1"/>
  </cols>
  <sheetData>
    <row r="1" ht="28" customHeight="1">
      <c r="A1" t="s" s="90">
        <v>1229</v>
      </c>
      <c r="B1" s="90"/>
      <c r="C1" s="90"/>
    </row>
    <row r="2" ht="20.55" customHeight="1">
      <c r="A2" s="7"/>
      <c r="B2" t="s" s="8">
        <v>1217</v>
      </c>
      <c r="C2" t="s" s="8">
        <v>1219</v>
      </c>
    </row>
    <row r="3" ht="20.55" customHeight="1">
      <c r="A3" t="s" s="10">
        <v>1231</v>
      </c>
      <c r="B3" s="890">
        <v>44022</v>
      </c>
      <c r="C3" t="s" s="891">
        <v>1232</v>
      </c>
    </row>
    <row r="4" ht="20.35" customHeight="1">
      <c r="A4" t="s" s="17">
        <v>1233</v>
      </c>
      <c r="B4" s="613"/>
      <c r="C4" s="99"/>
    </row>
    <row r="5" ht="20.35" customHeight="1">
      <c r="A5" t="s" s="17">
        <v>1234</v>
      </c>
      <c r="B5" s="613"/>
      <c r="C5" s="99"/>
    </row>
    <row r="6" ht="20.35" customHeight="1">
      <c r="A6" t="s" s="17">
        <v>1235</v>
      </c>
      <c r="B6" s="613"/>
      <c r="C6" t="s" s="565">
        <v>1236</v>
      </c>
    </row>
    <row r="7" ht="20.35" customHeight="1">
      <c r="A7" t="s" s="17">
        <v>1237</v>
      </c>
      <c r="B7" s="613"/>
      <c r="C7" s="99"/>
    </row>
    <row r="8" ht="32.35" customHeight="1">
      <c r="A8" t="s" s="17">
        <v>1238</v>
      </c>
      <c r="B8" s="613"/>
      <c r="C8" s="99"/>
    </row>
    <row r="9" ht="20.35" customHeight="1">
      <c r="A9" s="28"/>
      <c r="B9" s="613"/>
      <c r="C9" s="99"/>
    </row>
    <row r="10" ht="20.35" customHeight="1">
      <c r="A10" s="28"/>
      <c r="B10" s="613"/>
      <c r="C10" s="99"/>
    </row>
    <row r="11" ht="20.35" customHeight="1">
      <c r="A11" t="s" s="17">
        <v>1239</v>
      </c>
      <c r="B11" s="613"/>
      <c r="C11" s="99"/>
    </row>
    <row r="12" ht="20.35" customHeight="1">
      <c r="A12" t="s" s="17">
        <v>1240</v>
      </c>
      <c r="B12" s="613"/>
      <c r="C12" s="99"/>
    </row>
    <row r="13" ht="32.35" customHeight="1">
      <c r="A13" t="s" s="17">
        <v>1241</v>
      </c>
      <c r="B13" s="613"/>
      <c r="C13" s="99"/>
    </row>
    <row r="14" ht="20.35" customHeight="1">
      <c r="A14" t="s" s="17">
        <v>1242</v>
      </c>
      <c r="B14" s="613"/>
      <c r="C14" s="99"/>
    </row>
    <row r="15" ht="20.35" customHeight="1">
      <c r="A15" s="28"/>
      <c r="B15" s="613"/>
      <c r="C15" s="99"/>
    </row>
    <row r="16" ht="44.35" customHeight="1">
      <c r="A16" t="s" s="17">
        <v>1243</v>
      </c>
      <c r="B16" s="613"/>
      <c r="C16" s="99"/>
    </row>
    <row r="17" ht="44.35" customHeight="1">
      <c r="A17" t="s" s="17">
        <v>1244</v>
      </c>
      <c r="B17" s="613"/>
      <c r="C17" s="99"/>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9.xml><?xml version="1.0" encoding="utf-8"?>
<worksheet xmlns:r="http://schemas.openxmlformats.org/officeDocument/2006/relationships" xmlns="http://schemas.openxmlformats.org/spreadsheetml/2006/main">
  <sheetPr>
    <pageSetUpPr fitToPage="1"/>
  </sheetPr>
  <dimension ref="A2:D48"/>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4" width="16.3516" style="892" customWidth="1"/>
    <col min="5" max="16384" width="16.3516" style="892" customWidth="1"/>
  </cols>
  <sheetData>
    <row r="1" ht="28" customHeight="1">
      <c r="A1" t="s" s="90">
        <v>1245</v>
      </c>
      <c r="B1" s="90"/>
      <c r="C1" s="90"/>
      <c r="D1" s="90"/>
    </row>
    <row r="2" ht="20.55" customHeight="1">
      <c r="A2" s="7"/>
      <c r="B2" t="s" s="8">
        <v>1217</v>
      </c>
      <c r="C2" t="s" s="8">
        <v>1218</v>
      </c>
      <c r="D2" t="s" s="8">
        <v>1219</v>
      </c>
    </row>
    <row r="3" ht="20.55" customHeight="1">
      <c r="A3" t="s" s="10">
        <v>1247</v>
      </c>
      <c r="B3" s="887"/>
      <c r="C3" s="888"/>
      <c r="D3" s="888"/>
    </row>
    <row r="4" ht="20.35" customHeight="1">
      <c r="A4" s="28"/>
      <c r="B4" s="613"/>
      <c r="C4" s="99"/>
      <c r="D4" s="99"/>
    </row>
    <row r="5" ht="20.35" customHeight="1">
      <c r="A5" s="28"/>
      <c r="B5" s="613"/>
      <c r="C5" s="99"/>
      <c r="D5" s="99"/>
    </row>
    <row r="6" ht="20.35" customHeight="1">
      <c r="A6" s="28"/>
      <c r="B6" s="613"/>
      <c r="C6" s="99"/>
      <c r="D6" s="99"/>
    </row>
    <row r="7" ht="20.35" customHeight="1">
      <c r="A7" t="s" s="17">
        <v>1248</v>
      </c>
      <c r="B7" s="613"/>
      <c r="C7" s="99"/>
      <c r="D7" s="99"/>
    </row>
    <row r="8" ht="20.35" customHeight="1">
      <c r="A8" t="s" s="17">
        <v>1249</v>
      </c>
      <c r="B8" s="613"/>
      <c r="C8" s="99"/>
      <c r="D8" s="99"/>
    </row>
    <row r="9" ht="20.35" customHeight="1">
      <c r="A9" t="s" s="17">
        <v>1250</v>
      </c>
      <c r="B9" s="613"/>
      <c r="C9" s="99"/>
      <c r="D9" s="99"/>
    </row>
    <row r="10" ht="20.35" customHeight="1">
      <c r="A10" t="s" s="17">
        <v>1251</v>
      </c>
      <c r="B10" s="613"/>
      <c r="C10" s="99"/>
      <c r="D10" s="99"/>
    </row>
    <row r="11" ht="20.35" customHeight="1">
      <c r="A11" t="s" s="17">
        <v>1252</v>
      </c>
      <c r="B11" s="613"/>
      <c r="C11" s="99"/>
      <c r="D11" s="99"/>
    </row>
    <row r="12" ht="20.35" customHeight="1">
      <c r="A12" t="s" s="17">
        <v>1253</v>
      </c>
      <c r="B12" s="613"/>
      <c r="C12" s="99"/>
      <c r="D12" s="99"/>
    </row>
    <row r="13" ht="20.35" customHeight="1">
      <c r="A13" t="s" s="17">
        <v>1254</v>
      </c>
      <c r="B13" s="613"/>
      <c r="C13" s="99"/>
      <c r="D13" s="99"/>
    </row>
    <row r="14" ht="32.35" customHeight="1">
      <c r="A14" t="s" s="17">
        <v>1255</v>
      </c>
      <c r="B14" s="613"/>
      <c r="C14" s="99"/>
      <c r="D14" s="99"/>
    </row>
    <row r="15" ht="20.35" customHeight="1">
      <c r="A15" t="s" s="17">
        <v>1256</v>
      </c>
      <c r="B15" s="613"/>
      <c r="C15" s="99"/>
      <c r="D15" s="99"/>
    </row>
    <row r="16" ht="20.35" customHeight="1">
      <c r="A16" t="s" s="17">
        <v>1257</v>
      </c>
      <c r="B16" s="613"/>
      <c r="C16" s="99"/>
      <c r="D16" s="99"/>
    </row>
    <row r="17" ht="32.35" customHeight="1">
      <c r="A17" t="s" s="17">
        <v>1258</v>
      </c>
      <c r="B17" s="613"/>
      <c r="C17" s="99"/>
      <c r="D17" s="99"/>
    </row>
    <row r="18" ht="20.35" customHeight="1">
      <c r="A18" t="s" s="17">
        <v>1259</v>
      </c>
      <c r="B18" s="613"/>
      <c r="C18" s="99"/>
      <c r="D18" s="99"/>
    </row>
    <row r="19" ht="20.35" customHeight="1">
      <c r="A19" t="s" s="17">
        <v>1260</v>
      </c>
      <c r="B19" s="613"/>
      <c r="C19" s="99"/>
      <c r="D19" s="99"/>
    </row>
    <row r="20" ht="20.35" customHeight="1">
      <c r="A20" t="s" s="17">
        <v>1261</v>
      </c>
      <c r="B20" s="613"/>
      <c r="C20" s="99"/>
      <c r="D20" s="99"/>
    </row>
    <row r="21" ht="20.35" customHeight="1">
      <c r="A21" t="s" s="17">
        <v>1262</v>
      </c>
      <c r="B21" s="613"/>
      <c r="C21" s="99"/>
      <c r="D21" s="99"/>
    </row>
    <row r="22" ht="32.35" customHeight="1">
      <c r="A22" t="s" s="17">
        <v>1263</v>
      </c>
      <c r="B22" s="613"/>
      <c r="C22" s="99"/>
      <c r="D22" s="99"/>
    </row>
    <row r="23" ht="20.35" customHeight="1">
      <c r="A23" t="s" s="17">
        <v>1264</v>
      </c>
      <c r="B23" s="613"/>
      <c r="C23" s="99"/>
      <c r="D23" s="99"/>
    </row>
    <row r="24" ht="20.35" customHeight="1">
      <c r="A24" t="s" s="17">
        <v>1265</v>
      </c>
      <c r="B24" s="613"/>
      <c r="C24" s="99"/>
      <c r="D24" s="99"/>
    </row>
    <row r="25" ht="20.35" customHeight="1">
      <c r="A25" t="s" s="17">
        <v>1266</v>
      </c>
      <c r="B25" s="613"/>
      <c r="C25" s="99"/>
      <c r="D25" s="99"/>
    </row>
    <row r="26" ht="20.35" customHeight="1">
      <c r="A26" t="s" s="17">
        <v>1267</v>
      </c>
      <c r="B26" s="613"/>
      <c r="C26" s="99"/>
      <c r="D26" s="99"/>
    </row>
    <row r="27" ht="20.35" customHeight="1">
      <c r="A27" t="s" s="17">
        <v>1268</v>
      </c>
      <c r="B27" s="613"/>
      <c r="C27" s="99"/>
      <c r="D27" s="99"/>
    </row>
    <row r="28" ht="20.35" customHeight="1">
      <c r="A28" t="s" s="17">
        <v>1269</v>
      </c>
      <c r="B28" s="613"/>
      <c r="C28" s="99"/>
      <c r="D28" s="99"/>
    </row>
    <row r="29" ht="20.35" customHeight="1">
      <c r="A29" t="s" s="17">
        <v>1270</v>
      </c>
      <c r="B29" s="613"/>
      <c r="C29" s="99"/>
      <c r="D29" s="99"/>
    </row>
    <row r="30" ht="20.35" customHeight="1">
      <c r="A30" t="s" s="17">
        <v>1271</v>
      </c>
      <c r="B30" s="613"/>
      <c r="C30" s="99"/>
      <c r="D30" s="99"/>
    </row>
    <row r="31" ht="20.35" customHeight="1">
      <c r="A31" t="s" s="17">
        <v>1272</v>
      </c>
      <c r="B31" s="613"/>
      <c r="C31" s="99"/>
      <c r="D31" s="99"/>
    </row>
    <row r="32" ht="20.35" customHeight="1">
      <c r="A32" t="s" s="17">
        <v>1273</v>
      </c>
      <c r="B32" s="613"/>
      <c r="C32" s="99"/>
      <c r="D32" s="99"/>
    </row>
    <row r="33" ht="20.35" customHeight="1">
      <c r="A33" t="s" s="17">
        <v>1274</v>
      </c>
      <c r="B33" s="613"/>
      <c r="C33" s="99"/>
      <c r="D33" s="99"/>
    </row>
    <row r="34" ht="20.35" customHeight="1">
      <c r="A34" t="s" s="17">
        <v>1275</v>
      </c>
      <c r="B34" s="613"/>
      <c r="C34" s="99"/>
      <c r="D34" s="99"/>
    </row>
    <row r="35" ht="32.35" customHeight="1">
      <c r="A35" t="s" s="17">
        <v>1276</v>
      </c>
      <c r="B35" s="613"/>
      <c r="C35" s="99"/>
      <c r="D35" s="99"/>
    </row>
    <row r="36" ht="20.35" customHeight="1">
      <c r="A36" t="s" s="17">
        <v>1277</v>
      </c>
      <c r="B36" s="613"/>
      <c r="C36" s="99"/>
      <c r="D36" s="99"/>
    </row>
    <row r="37" ht="20.35" customHeight="1">
      <c r="A37" t="s" s="17">
        <v>1278</v>
      </c>
      <c r="B37" s="613"/>
      <c r="C37" s="99"/>
      <c r="D37" s="99"/>
    </row>
    <row r="38" ht="20.35" customHeight="1">
      <c r="A38" t="s" s="17">
        <v>1279</v>
      </c>
      <c r="B38" s="613"/>
      <c r="C38" s="99"/>
      <c r="D38" s="99"/>
    </row>
    <row r="39" ht="20.35" customHeight="1">
      <c r="A39" t="s" s="17">
        <v>1280</v>
      </c>
      <c r="B39" s="613"/>
      <c r="C39" s="99"/>
      <c r="D39" s="99"/>
    </row>
    <row r="40" ht="20.35" customHeight="1">
      <c r="A40" t="s" s="17">
        <v>1281</v>
      </c>
      <c r="B40" s="613"/>
      <c r="C40" s="99"/>
      <c r="D40" s="99"/>
    </row>
    <row r="41" ht="32.35" customHeight="1">
      <c r="A41" t="s" s="17">
        <v>1282</v>
      </c>
      <c r="B41" s="613"/>
      <c r="C41" s="99"/>
      <c r="D41" s="99"/>
    </row>
    <row r="42" ht="20.35" customHeight="1">
      <c r="A42" t="s" s="17">
        <v>1283</v>
      </c>
      <c r="B42" s="613"/>
      <c r="C42" s="99"/>
      <c r="D42" s="99"/>
    </row>
    <row r="43" ht="20.35" customHeight="1">
      <c r="A43" t="s" s="17">
        <v>1284</v>
      </c>
      <c r="B43" s="613"/>
      <c r="C43" s="99"/>
      <c r="D43" s="99"/>
    </row>
    <row r="44" ht="20.35" customHeight="1">
      <c r="A44" t="s" s="17">
        <v>1285</v>
      </c>
      <c r="B44" s="613"/>
      <c r="C44" s="99"/>
      <c r="D44" s="99"/>
    </row>
    <row r="45" ht="20.35" customHeight="1">
      <c r="A45" t="s" s="17">
        <v>1286</v>
      </c>
      <c r="B45" s="613"/>
      <c r="C45" s="99"/>
      <c r="D45" s="99"/>
    </row>
    <row r="46" ht="20.35" customHeight="1">
      <c r="A46" t="s" s="17">
        <v>1287</v>
      </c>
      <c r="B46" s="613"/>
      <c r="C46" s="99"/>
      <c r="D46" s="99"/>
    </row>
    <row r="47" ht="20.35" customHeight="1">
      <c r="A47" t="s" s="17">
        <v>1288</v>
      </c>
      <c r="B47" s="613"/>
      <c r="C47" s="99"/>
      <c r="D47" s="99"/>
    </row>
    <row r="48" ht="20.35" customHeight="1">
      <c r="A48" t="s" s="17">
        <v>1289</v>
      </c>
      <c r="B48" s="613"/>
      <c r="C48" s="99"/>
      <c r="D48" s="99"/>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0.xml><?xml version="1.0" encoding="utf-8"?>
<worksheet xmlns:r="http://schemas.openxmlformats.org/officeDocument/2006/relationships" xmlns="http://schemas.openxmlformats.org/spreadsheetml/2006/main">
  <sheetPr>
    <pageSetUpPr fitToPage="1"/>
  </sheetPr>
  <dimension ref="A2:D23"/>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4" width="16.3516" style="893" customWidth="1"/>
    <col min="5" max="16384" width="16.3516" style="893" customWidth="1"/>
  </cols>
  <sheetData>
    <row r="1" ht="28" customHeight="1">
      <c r="A1" t="s" s="90">
        <v>1290</v>
      </c>
      <c r="B1" s="90"/>
      <c r="C1" s="90"/>
      <c r="D1" s="90"/>
    </row>
    <row r="2" ht="20.55" customHeight="1">
      <c r="A2" s="7"/>
      <c r="B2" t="s" s="8">
        <v>1217</v>
      </c>
      <c r="C2" t="s" s="8">
        <v>1218</v>
      </c>
      <c r="D2" t="s" s="8">
        <v>1219</v>
      </c>
    </row>
    <row r="3" ht="20.55" customHeight="1">
      <c r="A3" s="224"/>
      <c r="B3" s="887"/>
      <c r="C3" s="888"/>
      <c r="D3" s="888"/>
    </row>
    <row r="4" ht="20.35" customHeight="1">
      <c r="A4" s="28"/>
      <c r="B4" s="613"/>
      <c r="C4" s="99"/>
      <c r="D4" s="99"/>
    </row>
    <row r="5" ht="20.35" customHeight="1">
      <c r="A5" s="28"/>
      <c r="B5" s="613"/>
      <c r="C5" s="99"/>
      <c r="D5" s="99"/>
    </row>
    <row r="6" ht="20.35" customHeight="1">
      <c r="A6" s="28"/>
      <c r="B6" s="613"/>
      <c r="C6" s="99"/>
      <c r="D6" s="99"/>
    </row>
    <row r="7" ht="20.35" customHeight="1">
      <c r="A7" t="s" s="17">
        <v>1292</v>
      </c>
      <c r="B7" s="613"/>
      <c r="C7" s="99"/>
      <c r="D7" s="99"/>
    </row>
    <row r="8" ht="20.35" customHeight="1">
      <c r="A8" t="s" s="17">
        <v>1293</v>
      </c>
      <c r="B8" s="613"/>
      <c r="C8" s="99"/>
      <c r="D8" s="99"/>
    </row>
    <row r="9" ht="20.35" customHeight="1">
      <c r="A9" t="s" s="17">
        <v>1294</v>
      </c>
      <c r="B9" s="613"/>
      <c r="C9" s="99"/>
      <c r="D9" s="99"/>
    </row>
    <row r="10" ht="32.35" customHeight="1">
      <c r="A10" t="s" s="17">
        <v>1295</v>
      </c>
      <c r="B10" s="613"/>
      <c r="C10" s="99"/>
      <c r="D10" s="99"/>
    </row>
    <row r="11" ht="20.35" customHeight="1">
      <c r="A11" t="s" s="17">
        <v>1296</v>
      </c>
      <c r="B11" s="613"/>
      <c r="C11" s="99"/>
      <c r="D11" s="99"/>
    </row>
    <row r="12" ht="20.35" customHeight="1">
      <c r="A12" t="s" s="17">
        <v>1297</v>
      </c>
      <c r="B12" s="613"/>
      <c r="C12" s="99"/>
      <c r="D12" s="99"/>
    </row>
    <row r="13" ht="20.35" customHeight="1">
      <c r="A13" t="s" s="17">
        <v>1298</v>
      </c>
      <c r="B13" s="613"/>
      <c r="C13" s="99"/>
      <c r="D13" s="99"/>
    </row>
    <row r="14" ht="20.35" customHeight="1">
      <c r="A14" t="s" s="17">
        <v>1299</v>
      </c>
      <c r="B14" s="613"/>
      <c r="C14" s="99"/>
      <c r="D14" s="99"/>
    </row>
    <row r="15" ht="20.35" customHeight="1">
      <c r="A15" t="s" s="17">
        <v>1300</v>
      </c>
      <c r="B15" s="613"/>
      <c r="C15" s="99"/>
      <c r="D15" s="99"/>
    </row>
    <row r="16" ht="20.35" customHeight="1">
      <c r="A16" t="s" s="17">
        <v>1301</v>
      </c>
      <c r="B16" s="613"/>
      <c r="C16" s="99"/>
      <c r="D16" s="99"/>
    </row>
    <row r="17" ht="20.35" customHeight="1">
      <c r="A17" t="s" s="17">
        <v>1302</v>
      </c>
      <c r="B17" s="613"/>
      <c r="C17" s="99"/>
      <c r="D17" s="99"/>
    </row>
    <row r="18" ht="20.35" customHeight="1">
      <c r="A18" t="s" s="17">
        <v>1303</v>
      </c>
      <c r="B18" s="613"/>
      <c r="C18" s="99"/>
      <c r="D18" s="99"/>
    </row>
    <row r="19" ht="20.35" customHeight="1">
      <c r="A19" t="s" s="17">
        <v>1304</v>
      </c>
      <c r="B19" s="613"/>
      <c r="C19" s="99"/>
      <c r="D19" s="99"/>
    </row>
    <row r="20" ht="20.35" customHeight="1">
      <c r="A20" t="s" s="17">
        <v>1305</v>
      </c>
      <c r="B20" s="613"/>
      <c r="C20" s="99"/>
      <c r="D20" s="99"/>
    </row>
    <row r="21" ht="20.35" customHeight="1">
      <c r="A21" t="s" s="17">
        <v>1306</v>
      </c>
      <c r="B21" s="613"/>
      <c r="C21" s="99"/>
      <c r="D21" s="99"/>
    </row>
    <row r="22" ht="20.35" customHeight="1">
      <c r="A22" t="s" s="17">
        <v>1307</v>
      </c>
      <c r="B22" s="613"/>
      <c r="C22" s="99"/>
      <c r="D22" s="99"/>
    </row>
    <row r="23" ht="32.35" customHeight="1">
      <c r="A23" t="s" s="17">
        <v>1308</v>
      </c>
      <c r="B23" s="613"/>
      <c r="C23" s="99"/>
      <c r="D23" s="99"/>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1.xml><?xml version="1.0" encoding="utf-8"?>
<worksheet xmlns:r="http://schemas.openxmlformats.org/officeDocument/2006/relationships" xmlns="http://schemas.openxmlformats.org/spreadsheetml/2006/main">
  <sheetPr>
    <pageSetUpPr fitToPage="1"/>
  </sheetPr>
  <dimension ref="A2:D37"/>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4" width="16.3516" style="894" customWidth="1"/>
    <col min="5" max="16384" width="16.3516" style="894" customWidth="1"/>
  </cols>
  <sheetData>
    <row r="1" ht="28" customHeight="1">
      <c r="A1" t="s" s="90">
        <v>1309</v>
      </c>
      <c r="B1" s="90"/>
      <c r="C1" s="90"/>
      <c r="D1" s="90"/>
    </row>
    <row r="2" ht="20.55" customHeight="1">
      <c r="A2" s="7"/>
      <c r="B2" t="s" s="8">
        <v>1217</v>
      </c>
      <c r="C2" t="s" s="8">
        <v>1218</v>
      </c>
      <c r="D2" t="s" s="8">
        <v>1219</v>
      </c>
    </row>
    <row r="3" ht="20.55" customHeight="1">
      <c r="A3" t="s" s="10">
        <v>1311</v>
      </c>
      <c r="B3" s="887"/>
      <c r="C3" s="888"/>
      <c r="D3" s="888"/>
    </row>
    <row r="4" ht="20.35" customHeight="1">
      <c r="A4" t="s" s="17">
        <v>1312</v>
      </c>
      <c r="B4" s="613"/>
      <c r="C4" s="99"/>
      <c r="D4" s="99"/>
    </row>
    <row r="5" ht="20.35" customHeight="1">
      <c r="A5" s="28"/>
      <c r="B5" s="613"/>
      <c r="C5" s="99"/>
      <c r="D5" s="99"/>
    </row>
    <row r="6" ht="20.35" customHeight="1">
      <c r="A6" s="28"/>
      <c r="B6" s="613"/>
      <c r="C6" s="99"/>
      <c r="D6" s="99"/>
    </row>
    <row r="7" ht="20.35" customHeight="1">
      <c r="A7" s="28"/>
      <c r="B7" s="613"/>
      <c r="C7" s="99"/>
      <c r="D7" s="99"/>
    </row>
    <row r="8" ht="20.35" customHeight="1">
      <c r="A8" t="s" s="17">
        <v>1313</v>
      </c>
      <c r="B8" s="613"/>
      <c r="C8" s="99"/>
      <c r="D8" s="99"/>
    </row>
    <row r="9" ht="20.35" customHeight="1">
      <c r="A9" t="s" s="17">
        <v>1314</v>
      </c>
      <c r="B9" s="613"/>
      <c r="C9" s="99"/>
      <c r="D9" s="99"/>
    </row>
    <row r="10" ht="32.35" customHeight="1">
      <c r="A10" t="s" s="17">
        <v>1315</v>
      </c>
      <c r="B10" s="613"/>
      <c r="C10" s="99"/>
      <c r="D10" s="99"/>
    </row>
    <row r="11" ht="20.35" customHeight="1">
      <c r="A11" t="s" s="17">
        <v>1316</v>
      </c>
      <c r="B11" s="613"/>
      <c r="C11" s="99"/>
      <c r="D11" s="99"/>
    </row>
    <row r="12" ht="20.35" customHeight="1">
      <c r="A12" t="s" s="17">
        <v>1317</v>
      </c>
      <c r="B12" s="613"/>
      <c r="C12" s="99"/>
      <c r="D12" s="99"/>
    </row>
    <row r="13" ht="20.35" customHeight="1">
      <c r="A13" t="s" s="17">
        <v>1318</v>
      </c>
      <c r="B13" s="613"/>
      <c r="C13" s="99"/>
      <c r="D13" s="99"/>
    </row>
    <row r="14" ht="20.35" customHeight="1">
      <c r="A14" t="s" s="17">
        <v>1319</v>
      </c>
      <c r="B14" s="613"/>
      <c r="C14" s="99"/>
      <c r="D14" s="99"/>
    </row>
    <row r="15" ht="20.35" customHeight="1">
      <c r="A15" t="s" s="17">
        <v>1320</v>
      </c>
      <c r="B15" s="613"/>
      <c r="C15" s="99"/>
      <c r="D15" s="99"/>
    </row>
    <row r="16" ht="32.35" customHeight="1">
      <c r="A16" t="s" s="17">
        <v>1321</v>
      </c>
      <c r="B16" s="613"/>
      <c r="C16" s="99"/>
      <c r="D16" s="99"/>
    </row>
    <row r="17" ht="20.35" customHeight="1">
      <c r="A17" t="s" s="17">
        <v>1322</v>
      </c>
      <c r="B17" s="613"/>
      <c r="C17" s="99"/>
      <c r="D17" s="99"/>
    </row>
    <row r="18" ht="20.35" customHeight="1">
      <c r="A18" t="s" s="17">
        <v>1323</v>
      </c>
      <c r="B18" s="613"/>
      <c r="C18" s="99"/>
      <c r="D18" s="99"/>
    </row>
    <row r="19" ht="20.35" customHeight="1">
      <c r="A19" t="s" s="17">
        <v>1324</v>
      </c>
      <c r="B19" s="613"/>
      <c r="C19" s="99"/>
      <c r="D19" s="99"/>
    </row>
    <row r="20" ht="32.35" customHeight="1">
      <c r="A20" t="s" s="17">
        <v>1325</v>
      </c>
      <c r="B20" s="613"/>
      <c r="C20" s="99"/>
      <c r="D20" s="99"/>
    </row>
    <row r="21" ht="20.35" customHeight="1">
      <c r="A21" t="s" s="17">
        <v>1326</v>
      </c>
      <c r="B21" s="613"/>
      <c r="C21" s="99"/>
      <c r="D21" s="99"/>
    </row>
    <row r="22" ht="20.35" customHeight="1">
      <c r="A22" t="s" s="17">
        <v>1327</v>
      </c>
      <c r="B22" s="613"/>
      <c r="C22" s="99"/>
      <c r="D22" s="99"/>
    </row>
    <row r="23" ht="20.35" customHeight="1">
      <c r="A23" t="s" s="17">
        <v>1328</v>
      </c>
      <c r="B23" s="613"/>
      <c r="C23" s="99"/>
      <c r="D23" s="99"/>
    </row>
    <row r="24" ht="20.35" customHeight="1">
      <c r="A24" t="s" s="17">
        <v>1329</v>
      </c>
      <c r="B24" s="613"/>
      <c r="C24" s="99"/>
      <c r="D24" s="99"/>
    </row>
    <row r="25" ht="20.35" customHeight="1">
      <c r="A25" t="s" s="17">
        <v>1330</v>
      </c>
      <c r="B25" s="613"/>
      <c r="C25" s="99"/>
      <c r="D25" s="99"/>
    </row>
    <row r="26" ht="20.35" customHeight="1">
      <c r="A26" t="s" s="17">
        <v>1331</v>
      </c>
      <c r="B26" s="613"/>
      <c r="C26" s="99"/>
      <c r="D26" s="99"/>
    </row>
    <row r="27" ht="20.35" customHeight="1">
      <c r="A27" t="s" s="17">
        <v>1332</v>
      </c>
      <c r="B27" s="613"/>
      <c r="C27" s="99"/>
      <c r="D27" s="99"/>
    </row>
    <row r="28" ht="32.35" customHeight="1">
      <c r="A28" t="s" s="17">
        <v>1333</v>
      </c>
      <c r="B28" s="613"/>
      <c r="C28" s="99"/>
      <c r="D28" s="99"/>
    </row>
    <row r="29" ht="20.35" customHeight="1">
      <c r="A29" t="s" s="17">
        <v>1334</v>
      </c>
      <c r="B29" s="613"/>
      <c r="C29" s="99"/>
      <c r="D29" s="99"/>
    </row>
    <row r="30" ht="20.35" customHeight="1">
      <c r="A30" t="s" s="17">
        <v>1335</v>
      </c>
      <c r="B30" s="613"/>
      <c r="C30" s="99"/>
      <c r="D30" s="99"/>
    </row>
    <row r="31" ht="20.35" customHeight="1">
      <c r="A31" t="s" s="17">
        <v>1336</v>
      </c>
      <c r="B31" s="613"/>
      <c r="C31" s="99"/>
      <c r="D31" s="99"/>
    </row>
    <row r="32" ht="20.35" customHeight="1">
      <c r="A32" t="s" s="17">
        <v>1337</v>
      </c>
      <c r="B32" s="613"/>
      <c r="C32" s="99"/>
      <c r="D32" s="99"/>
    </row>
    <row r="33" ht="20.35" customHeight="1">
      <c r="A33" t="s" s="17">
        <v>1338</v>
      </c>
      <c r="B33" s="613"/>
      <c r="C33" s="99"/>
      <c r="D33" s="99"/>
    </row>
    <row r="34" ht="20.35" customHeight="1">
      <c r="A34" t="s" s="17">
        <v>1339</v>
      </c>
      <c r="B34" s="613"/>
      <c r="C34" s="99"/>
      <c r="D34" s="99"/>
    </row>
    <row r="35" ht="20.35" customHeight="1">
      <c r="A35" t="s" s="17">
        <v>1340</v>
      </c>
      <c r="B35" s="613"/>
      <c r="C35" s="99"/>
      <c r="D35" s="99"/>
    </row>
    <row r="36" ht="20.35" customHeight="1">
      <c r="A36" t="s" s="17">
        <v>1341</v>
      </c>
      <c r="B36" s="613"/>
      <c r="C36" s="99"/>
      <c r="D36" s="99"/>
    </row>
    <row r="37" ht="20.35" customHeight="1">
      <c r="A37" t="s" s="17">
        <v>1342</v>
      </c>
      <c r="B37" s="613"/>
      <c r="C37" s="99"/>
      <c r="D37" s="99"/>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2.xml><?xml version="1.0" encoding="utf-8"?>
<worksheet xmlns:r="http://schemas.openxmlformats.org/officeDocument/2006/relationships" xmlns="http://schemas.openxmlformats.org/spreadsheetml/2006/main">
  <sheetPr>
    <pageSetUpPr fitToPage="1"/>
  </sheetPr>
  <dimension ref="A2:C11"/>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1" width="16.8516" style="895" customWidth="1"/>
    <col min="2" max="3" width="16.3516" style="895" customWidth="1"/>
    <col min="4" max="16384" width="16.3516" style="895" customWidth="1"/>
  </cols>
  <sheetData>
    <row r="1" ht="28" customHeight="1">
      <c r="A1" t="s" s="90">
        <v>1343</v>
      </c>
      <c r="B1" s="90"/>
      <c r="C1" s="90"/>
    </row>
    <row r="2" ht="20.55" customHeight="1">
      <c r="A2" s="7"/>
      <c r="B2" t="s" s="8">
        <v>1217</v>
      </c>
      <c r="C2" t="s" s="8">
        <v>1345</v>
      </c>
    </row>
    <row r="3" ht="20.55" customHeight="1">
      <c r="A3" s="224"/>
      <c r="B3" s="887"/>
      <c r="C3" s="888"/>
    </row>
    <row r="4" ht="20.35" customHeight="1">
      <c r="A4" s="28"/>
      <c r="B4" s="613"/>
      <c r="C4" s="99"/>
    </row>
    <row r="5" ht="20.35" customHeight="1">
      <c r="A5" s="28"/>
      <c r="B5" s="613"/>
      <c r="C5" s="99"/>
    </row>
    <row r="6" ht="20.35" customHeight="1">
      <c r="A6" s="28"/>
      <c r="B6" s="613"/>
      <c r="C6" s="99"/>
    </row>
    <row r="7" ht="20.35" customHeight="1">
      <c r="A7" s="28"/>
      <c r="B7" s="613"/>
      <c r="C7" s="99"/>
    </row>
    <row r="8" ht="20.35" customHeight="1">
      <c r="A8" s="28"/>
      <c r="B8" s="613"/>
      <c r="C8" s="99"/>
    </row>
    <row r="9" ht="20.35" customHeight="1">
      <c r="A9" s="28"/>
      <c r="B9" s="613"/>
      <c r="C9" s="99"/>
    </row>
    <row r="10" ht="20.35" customHeight="1">
      <c r="A10" s="28"/>
      <c r="B10" s="613"/>
      <c r="C10" s="99"/>
    </row>
    <row r="11" ht="20.35" customHeight="1">
      <c r="A11" s="28"/>
      <c r="B11" s="613"/>
      <c r="C11" s="99"/>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3.xml><?xml version="1.0" encoding="utf-8"?>
<worksheet xmlns:r="http://schemas.openxmlformats.org/officeDocument/2006/relationships" xmlns="http://schemas.openxmlformats.org/spreadsheetml/2006/main">
  <sheetPr>
    <pageSetUpPr fitToPage="1"/>
  </sheetPr>
  <dimension ref="A2:D23"/>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4" width="16.3516" style="896" customWidth="1"/>
    <col min="5" max="16384" width="16.3516" style="896" customWidth="1"/>
  </cols>
  <sheetData>
    <row r="1" ht="28" customHeight="1">
      <c r="A1" t="s" s="90">
        <v>1346</v>
      </c>
      <c r="B1" s="90"/>
      <c r="C1" s="90"/>
      <c r="D1" s="90"/>
    </row>
    <row r="2" ht="20.55" customHeight="1">
      <c r="A2" s="7"/>
      <c r="B2" t="s" s="8">
        <v>1217</v>
      </c>
      <c r="C2" t="s" s="8">
        <v>1218</v>
      </c>
      <c r="D2" t="s" s="8">
        <v>1219</v>
      </c>
    </row>
    <row r="3" ht="20.55" customHeight="1">
      <c r="A3" s="224"/>
      <c r="B3" s="887"/>
      <c r="C3" s="888"/>
      <c r="D3" s="888"/>
    </row>
    <row r="4" ht="20.35" customHeight="1">
      <c r="A4" s="28"/>
      <c r="B4" s="613"/>
      <c r="C4" s="99"/>
      <c r="D4" s="99"/>
    </row>
    <row r="5" ht="20.35" customHeight="1">
      <c r="A5" s="28"/>
      <c r="B5" s="613"/>
      <c r="C5" s="99"/>
      <c r="D5" s="99"/>
    </row>
    <row r="6" ht="20.35" customHeight="1">
      <c r="A6" s="28"/>
      <c r="B6" s="613"/>
      <c r="C6" s="99"/>
      <c r="D6" s="99"/>
    </row>
    <row r="7" ht="20.35" customHeight="1">
      <c r="A7" s="28"/>
      <c r="B7" s="613"/>
      <c r="C7" s="99"/>
      <c r="D7" s="99"/>
    </row>
    <row r="8" ht="20.35" customHeight="1">
      <c r="A8" s="28"/>
      <c r="B8" s="613"/>
      <c r="C8" s="99"/>
      <c r="D8" s="99"/>
    </row>
    <row r="9" ht="20.35" customHeight="1">
      <c r="A9" s="28"/>
      <c r="B9" s="613"/>
      <c r="C9" s="99"/>
      <c r="D9" s="99"/>
    </row>
    <row r="10" ht="20.35" customHeight="1">
      <c r="A10" s="28"/>
      <c r="B10" s="613"/>
      <c r="C10" s="99"/>
      <c r="D10" s="99"/>
    </row>
    <row r="11" ht="20.35" customHeight="1">
      <c r="A11" s="28"/>
      <c r="B11" s="613"/>
      <c r="C11" s="99"/>
      <c r="D11" s="99"/>
    </row>
    <row r="12" ht="20.35" customHeight="1">
      <c r="A12" s="28"/>
      <c r="B12" s="613"/>
      <c r="C12" s="99"/>
      <c r="D12" s="99"/>
    </row>
    <row r="13" ht="20.35" customHeight="1">
      <c r="A13" s="28"/>
      <c r="B13" s="613"/>
      <c r="C13" s="99"/>
      <c r="D13" s="99"/>
    </row>
    <row r="14" ht="20.35" customHeight="1">
      <c r="A14" s="28"/>
      <c r="B14" s="613"/>
      <c r="C14" s="99"/>
      <c r="D14" s="99"/>
    </row>
    <row r="15" ht="20.35" customHeight="1">
      <c r="A15" s="28"/>
      <c r="B15" s="613"/>
      <c r="C15" s="99"/>
      <c r="D15" s="99"/>
    </row>
    <row r="16" ht="20.35" customHeight="1">
      <c r="A16" s="28"/>
      <c r="B16" s="613"/>
      <c r="C16" s="99"/>
      <c r="D16" s="99"/>
    </row>
    <row r="17" ht="20.35" customHeight="1">
      <c r="A17" s="28"/>
      <c r="B17" s="613"/>
      <c r="C17" s="99"/>
      <c r="D17" s="99"/>
    </row>
    <row r="18" ht="20.35" customHeight="1">
      <c r="A18" s="28"/>
      <c r="B18" s="613"/>
      <c r="C18" s="99"/>
      <c r="D18" s="99"/>
    </row>
    <row r="19" ht="20.35" customHeight="1">
      <c r="A19" s="28"/>
      <c r="B19" s="613"/>
      <c r="C19" s="99"/>
      <c r="D19" s="99"/>
    </row>
    <row r="20" ht="20.35" customHeight="1">
      <c r="A20" s="28"/>
      <c r="B20" s="613"/>
      <c r="C20" s="99"/>
      <c r="D20" s="99"/>
    </row>
    <row r="21" ht="20.35" customHeight="1">
      <c r="A21" s="28"/>
      <c r="B21" s="613"/>
      <c r="C21" s="99"/>
      <c r="D21" s="99"/>
    </row>
    <row r="22" ht="20.35" customHeight="1">
      <c r="A22" s="28"/>
      <c r="B22" s="613"/>
      <c r="C22" s="99"/>
      <c r="D22" s="99"/>
    </row>
    <row r="23" ht="32.35" customHeight="1">
      <c r="A23" t="s" s="17">
        <v>1348</v>
      </c>
      <c r="B23" s="613"/>
      <c r="C23" s="99"/>
      <c r="D23" s="99"/>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4.xml><?xml version="1.0" encoding="utf-8"?>
<worksheet xmlns:r="http://schemas.openxmlformats.org/officeDocument/2006/relationships" xmlns="http://schemas.openxmlformats.org/spreadsheetml/2006/main">
  <sheetPr>
    <pageSetUpPr fitToPage="1"/>
  </sheetPr>
  <dimension ref="A2:D23"/>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4" width="16.3516" style="897" customWidth="1"/>
    <col min="5" max="16384" width="16.3516" style="897" customWidth="1"/>
  </cols>
  <sheetData>
    <row r="1" ht="28" customHeight="1">
      <c r="A1" t="s" s="90">
        <v>1349</v>
      </c>
      <c r="B1" s="90"/>
      <c r="C1" s="90"/>
      <c r="D1" s="90"/>
    </row>
    <row r="2" ht="20.55" customHeight="1">
      <c r="A2" s="7"/>
      <c r="B2" t="s" s="8">
        <v>1217</v>
      </c>
      <c r="C2" t="s" s="8">
        <v>1218</v>
      </c>
      <c r="D2" t="s" s="8">
        <v>1219</v>
      </c>
    </row>
    <row r="3" ht="20.55" customHeight="1">
      <c r="A3" s="224"/>
      <c r="B3" s="887"/>
      <c r="C3" s="888"/>
      <c r="D3" s="888"/>
    </row>
    <row r="4" ht="20.35" customHeight="1">
      <c r="A4" s="28"/>
      <c r="B4" s="613"/>
      <c r="C4" s="99"/>
      <c r="D4" s="99"/>
    </row>
    <row r="5" ht="20.35" customHeight="1">
      <c r="A5" s="28"/>
      <c r="B5" s="613"/>
      <c r="C5" s="99"/>
      <c r="D5" s="99"/>
    </row>
    <row r="6" ht="20.35" customHeight="1">
      <c r="A6" s="28"/>
      <c r="B6" s="613"/>
      <c r="C6" s="99"/>
      <c r="D6" s="99"/>
    </row>
    <row r="7" ht="20.35" customHeight="1">
      <c r="A7" s="28"/>
      <c r="B7" s="613"/>
      <c r="C7" s="99"/>
      <c r="D7" s="99"/>
    </row>
    <row r="8" ht="20.35" customHeight="1">
      <c r="A8" s="28"/>
      <c r="B8" s="613"/>
      <c r="C8" s="99"/>
      <c r="D8" s="99"/>
    </row>
    <row r="9" ht="20.35" customHeight="1">
      <c r="A9" s="28"/>
      <c r="B9" s="613"/>
      <c r="C9" s="99"/>
      <c r="D9" s="99"/>
    </row>
    <row r="10" ht="20.35" customHeight="1">
      <c r="A10" s="28"/>
      <c r="B10" s="613"/>
      <c r="C10" s="99"/>
      <c r="D10" s="99"/>
    </row>
    <row r="11" ht="20.35" customHeight="1">
      <c r="A11" s="28"/>
      <c r="B11" s="613"/>
      <c r="C11" s="99"/>
      <c r="D11" s="99"/>
    </row>
    <row r="12" ht="20.35" customHeight="1">
      <c r="A12" s="28"/>
      <c r="B12" s="613"/>
      <c r="C12" s="99"/>
      <c r="D12" s="99"/>
    </row>
    <row r="13" ht="20.35" customHeight="1">
      <c r="A13" s="28"/>
      <c r="B13" s="613"/>
      <c r="C13" s="99"/>
      <c r="D13" s="99"/>
    </row>
    <row r="14" ht="20.35" customHeight="1">
      <c r="A14" s="28"/>
      <c r="B14" s="613"/>
      <c r="C14" s="99"/>
      <c r="D14" s="99"/>
    </row>
    <row r="15" ht="20.35" customHeight="1">
      <c r="A15" s="28"/>
      <c r="B15" s="613"/>
      <c r="C15" s="99"/>
      <c r="D15" s="99"/>
    </row>
    <row r="16" ht="20.35" customHeight="1">
      <c r="A16" s="28"/>
      <c r="B16" s="613"/>
      <c r="C16" s="99"/>
      <c r="D16" s="99"/>
    </row>
    <row r="17" ht="20.35" customHeight="1">
      <c r="A17" s="28"/>
      <c r="B17" s="613"/>
      <c r="C17" s="99"/>
      <c r="D17" s="99"/>
    </row>
    <row r="18" ht="20.35" customHeight="1">
      <c r="A18" s="28"/>
      <c r="B18" s="613"/>
      <c r="C18" s="99"/>
      <c r="D18" s="99"/>
    </row>
    <row r="19" ht="20.35" customHeight="1">
      <c r="A19" s="28"/>
      <c r="B19" s="613"/>
      <c r="C19" s="99"/>
      <c r="D19" s="99"/>
    </row>
    <row r="20" ht="20.35" customHeight="1">
      <c r="A20" s="28"/>
      <c r="B20" s="613"/>
      <c r="C20" s="99"/>
      <c r="D20" s="99"/>
    </row>
    <row r="21" ht="20.35" customHeight="1">
      <c r="A21" s="28"/>
      <c r="B21" s="613"/>
      <c r="C21" s="99"/>
      <c r="D21" s="99"/>
    </row>
    <row r="22" ht="20.35" customHeight="1">
      <c r="A22" t="s" s="17">
        <v>1351</v>
      </c>
      <c r="B22" s="613"/>
      <c r="C22" s="99"/>
      <c r="D22" s="99"/>
    </row>
    <row r="23" ht="20.35" customHeight="1">
      <c r="A23" t="s" s="17">
        <v>1352</v>
      </c>
      <c r="B23" s="613"/>
      <c r="C23" s="99"/>
      <c r="D23" s="99"/>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5.xml><?xml version="1.0" encoding="utf-8"?>
<worksheet xmlns:r="http://schemas.openxmlformats.org/officeDocument/2006/relationships" xmlns="http://schemas.openxmlformats.org/spreadsheetml/2006/main">
  <sheetPr>
    <pageSetUpPr fitToPage="1"/>
  </sheetPr>
  <dimension ref="A1:F5"/>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6" width="16.3516" style="898" customWidth="1"/>
    <col min="7" max="16384" width="16.3516" style="898" customWidth="1"/>
  </cols>
  <sheetData>
    <row r="1" ht="20.35" customHeight="1">
      <c r="A1" s="217"/>
      <c r="B1" t="s" s="218">
        <v>1356</v>
      </c>
      <c r="C1" t="s" s="218">
        <v>1357</v>
      </c>
      <c r="D1" t="s" s="218">
        <v>1358</v>
      </c>
      <c r="E1" t="s" s="218">
        <v>1359</v>
      </c>
      <c r="F1" t="s" s="218">
        <v>1360</v>
      </c>
    </row>
    <row r="2" ht="20.55" customHeight="1">
      <c r="A2" s="7"/>
      <c r="B2" s="7"/>
      <c r="C2" s="220">
        <v>1.1</v>
      </c>
      <c r="D2" s="7"/>
      <c r="E2" s="220">
        <v>0.9</v>
      </c>
      <c r="F2" s="7"/>
    </row>
    <row r="3" ht="20.55" customHeight="1">
      <c r="A3" t="s" s="10">
        <v>1361</v>
      </c>
      <c r="B3" s="899" cm="1">
        <f t="array" ref="B3">D$3+500</f>
        <v>2790</v>
      </c>
      <c r="C3" s="900" cm="1">
        <f t="array" ref="C3">ROUND(D$3*$C$2,0)</f>
        <v>2519</v>
      </c>
      <c r="D3" s="900" cm="1">
        <f t="array" ref="D3">D$4-302</f>
        <v>2290</v>
      </c>
      <c r="E3" s="900" cm="1">
        <f t="array" ref="E3">ROUND(D$3*$E$2,0)</f>
        <v>2061</v>
      </c>
      <c r="F3" s="900" cm="1">
        <f t="array" ref="F3">D$3-500</f>
        <v>1790</v>
      </c>
    </row>
    <row r="4" ht="20.35" customHeight="1">
      <c r="A4" t="s" s="17">
        <v>1362</v>
      </c>
      <c r="B4" s="901" cm="1">
        <f t="array" ref="B4">D$4+500</f>
        <v>3092</v>
      </c>
      <c r="C4" s="297" cm="1">
        <f t="array" ref="C4">ROUND(D$4*$C$2,0)</f>
        <v>2851</v>
      </c>
      <c r="D4" s="297" cm="1">
        <f t="array" ref="D4">2372+220</f>
        <v>2592</v>
      </c>
      <c r="E4" s="98" cm="1">
        <f t="array" ref="E4">ROUND(D$4*$E$2,0)</f>
        <v>2333</v>
      </c>
      <c r="F4" s="98" cm="1">
        <f t="array" ref="F4">D$4-500</f>
        <v>2092</v>
      </c>
    </row>
    <row r="5" ht="20.35" customHeight="1">
      <c r="A5" t="s" s="17">
        <v>1363</v>
      </c>
      <c r="B5" s="901" cm="1">
        <f t="array" ref="B5">D$5+500</f>
        <v>3394</v>
      </c>
      <c r="C5" s="98" cm="1">
        <f t="array" ref="C5">ROUND(D$5*$C$2,0)</f>
        <v>3183</v>
      </c>
      <c r="D5" s="98" cm="1">
        <f t="array" ref="D5">D$4+302</f>
        <v>2894</v>
      </c>
      <c r="E5" s="98" cm="1">
        <f t="array" ref="E5">ROUND(D$5*$E$2,0)</f>
        <v>2605</v>
      </c>
      <c r="F5" s="98" cm="1">
        <f t="array" ref="F5">D$5-500</f>
        <v>2394</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6.xml><?xml version="1.0" encoding="utf-8"?>
<worksheet xmlns:r="http://schemas.openxmlformats.org/officeDocument/2006/relationships" xmlns="http://schemas.openxmlformats.org/spreadsheetml/2006/main">
  <sheetPr>
    <pageSetUpPr fitToPage="1"/>
  </sheetPr>
  <dimension ref="A1:B3"/>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2" width="23.9531" style="902" customWidth="1"/>
    <col min="3" max="16384" width="16.3516" style="902" customWidth="1"/>
  </cols>
  <sheetData>
    <row r="1" ht="20.55" customHeight="1">
      <c r="A1" t="s" s="8">
        <v>1366</v>
      </c>
      <c r="B1" t="s" s="8">
        <v>1367</v>
      </c>
    </row>
    <row r="2" ht="20.55" customHeight="1">
      <c r="A2" t="s" s="15">
        <v>1368</v>
      </c>
      <c r="B2" t="s" s="15">
        <v>1369</v>
      </c>
    </row>
    <row r="3" ht="20.35" customHeight="1">
      <c r="A3" s="98" cm="1">
        <f t="array" ref="A3">'tracking - Table 2-1-2-1'!C4</f>
        <v>2851</v>
      </c>
      <c r="B3" s="98" cm="1">
        <f t="array" ref="B3">'tracking - Table 2-1-2-1'!D4</f>
        <v>2592</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7.xml><?xml version="1.0" encoding="utf-8"?>
<worksheet xmlns:r="http://schemas.openxmlformats.org/officeDocument/2006/relationships" xmlns="http://schemas.openxmlformats.org/spreadsheetml/2006/main">
  <sheetPr>
    <pageSetUpPr fitToPage="1"/>
  </sheetPr>
  <dimension ref="A1:A5"/>
  <sheetViews>
    <sheetView workbookViewId="0" showGridLines="0" defaultGridColor="1"/>
  </sheetViews>
  <sheetFormatPr defaultColWidth="16.3333" defaultRowHeight="18" customHeight="1" outlineLevelRow="0" outlineLevelCol="0"/>
  <cols>
    <col min="1" max="1" width="5.49219" style="903" customWidth="1"/>
    <col min="2" max="16384" width="16.3516" style="903" customWidth="1"/>
  </cols>
  <sheetData>
    <row r="1" ht="20.35" customHeight="1">
      <c r="A1" s="904"/>
    </row>
    <row r="2" ht="20.35" customHeight="1">
      <c r="A2" s="905"/>
    </row>
    <row r="3" ht="20.35" customHeight="1">
      <c r="A3" t="s" s="906">
        <v>1371</v>
      </c>
    </row>
    <row r="4" ht="20.35" customHeight="1">
      <c r="A4" t="s" s="907">
        <v>1372</v>
      </c>
    </row>
    <row r="5" ht="20.35" customHeight="1">
      <c r="A5" t="s" s="908">
        <v>1372</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88.xml><?xml version="1.0" encoding="utf-8"?>
<worksheet xmlns:r="http://schemas.openxmlformats.org/officeDocument/2006/relationships" xmlns="http://schemas.openxmlformats.org/spreadsheetml/2006/main">
  <sheetPr>
    <pageSetUpPr fitToPage="1"/>
  </sheetPr>
  <dimension ref="A1:E2"/>
  <sheetViews>
    <sheetView workbookViewId="0" showGridLines="0" defaultGridColor="1">
      <pane topLeftCell="B1" xSplit="1" ySplit="0" activePane="topRight" state="frozen"/>
    </sheetView>
  </sheetViews>
  <sheetFormatPr defaultColWidth="16.3333" defaultRowHeight="18" customHeight="1" outlineLevelRow="0" outlineLevelCol="0"/>
  <cols>
    <col min="1" max="1" width="13.5" style="909" customWidth="1"/>
    <col min="2" max="2" width="4.85156" style="909" customWidth="1"/>
    <col min="3" max="3" width="4.35156" style="909" customWidth="1"/>
    <col min="4" max="4" width="1.40625" style="909" customWidth="1"/>
    <col min="5" max="5" width="4.35156" style="909" customWidth="1"/>
    <col min="6" max="16384" width="16.3516" style="909" customWidth="1"/>
  </cols>
  <sheetData>
    <row r="1" ht="20.55" customHeight="1">
      <c r="A1" t="s" s="41">
        <v>1108</v>
      </c>
      <c r="B1" s="910">
        <v>0</v>
      </c>
      <c r="C1" s="911">
        <v>200</v>
      </c>
      <c r="D1" s="912"/>
      <c r="E1" s="911" cm="1">
        <f t="array" ref="E1">B1*C1</f>
        <v>0</v>
      </c>
    </row>
    <row r="2" ht="20.55" customHeight="1">
      <c r="A2" s="46"/>
      <c r="B2" s="913"/>
      <c r="C2" s="913"/>
      <c r="D2" s="913"/>
      <c r="E2" s="914" cm="1">
        <f t="array" ref="E2">SUM(E1:E1)</f>
        <v>0</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9.xml><?xml version="1.0" encoding="utf-8"?>
<worksheet xmlns:r="http://schemas.openxmlformats.org/officeDocument/2006/relationships" xmlns="http://schemas.openxmlformats.org/spreadsheetml/2006/main">
  <sheetPr>
    <pageSetUpPr fitToPage="1"/>
  </sheetPr>
  <dimension ref="A2:X46"/>
  <sheetViews>
    <sheetView workbookViewId="0" showGridLines="0" defaultGridColor="1">
      <pane topLeftCell="B4" xSplit="1" ySplit="3" activePane="bottomRight" state="frozen"/>
    </sheetView>
  </sheetViews>
  <sheetFormatPr defaultColWidth="16.3333" defaultRowHeight="18" customHeight="1" outlineLevelRow="0" outlineLevelCol="0"/>
  <cols>
    <col min="1" max="1" width="10.6719" style="915" customWidth="1"/>
    <col min="2" max="8" width="5.11719" style="915" customWidth="1"/>
    <col min="9" max="9" width="8.34375" style="915" customWidth="1"/>
    <col min="10" max="16" width="5.11719" style="915" customWidth="1"/>
    <col min="17" max="17" width="8.34375" style="915" customWidth="1"/>
    <col min="18" max="24" width="5.11719" style="915" customWidth="1"/>
    <col min="25" max="16384" width="16.3516" style="915" customWidth="1"/>
  </cols>
  <sheetData>
    <row r="1" ht="26" customHeight="1">
      <c r="A1" t="s" s="916">
        <v>1375</v>
      </c>
      <c r="B1" s="916"/>
      <c r="C1" s="916"/>
      <c r="D1" s="916"/>
      <c r="E1" s="916"/>
      <c r="F1" s="916"/>
      <c r="G1" s="916"/>
      <c r="H1" s="916"/>
      <c r="I1" s="916"/>
      <c r="J1" s="916"/>
      <c r="K1" s="916"/>
      <c r="L1" s="916"/>
      <c r="M1" s="916"/>
      <c r="N1" s="916"/>
      <c r="O1" s="916"/>
      <c r="P1" s="916"/>
      <c r="Q1" s="916"/>
      <c r="R1" s="916"/>
      <c r="S1" s="916"/>
      <c r="T1" s="916"/>
      <c r="U1" s="916"/>
      <c r="V1" s="916"/>
      <c r="W1" s="916"/>
      <c r="X1" s="916"/>
    </row>
    <row r="2" ht="20.35" customHeight="1">
      <c r="A2" s="217"/>
      <c r="B2" t="s" s="917">
        <v>1377</v>
      </c>
      <c r="C2" s="217"/>
      <c r="D2" s="217"/>
      <c r="E2" s="217"/>
      <c r="F2" s="217"/>
      <c r="G2" s="217"/>
      <c r="H2" s="217"/>
      <c r="I2" s="918"/>
      <c r="J2" t="s" s="917">
        <v>1378</v>
      </c>
      <c r="K2" s="217"/>
      <c r="L2" s="217"/>
      <c r="M2" s="217"/>
      <c r="N2" s="217"/>
      <c r="O2" s="217"/>
      <c r="P2" s="217"/>
      <c r="Q2" s="918"/>
      <c r="R2" s="918"/>
      <c r="S2" s="217"/>
      <c r="T2" s="217"/>
      <c r="U2" s="217"/>
      <c r="V2" s="217"/>
      <c r="W2" s="217"/>
      <c r="X2" s="217"/>
    </row>
    <row r="3" ht="20.55" customHeight="1">
      <c r="A3" s="7"/>
      <c r="B3" t="s" s="919">
        <v>1379</v>
      </c>
      <c r="C3" t="s" s="919">
        <v>1380</v>
      </c>
      <c r="D3" t="s" s="919">
        <v>1381</v>
      </c>
      <c r="E3" t="s" s="919">
        <v>1382</v>
      </c>
      <c r="F3" t="s" s="919">
        <v>1383</v>
      </c>
      <c r="G3" t="s" s="919">
        <v>1384</v>
      </c>
      <c r="H3" t="s" s="919">
        <v>1385</v>
      </c>
      <c r="I3" s="920"/>
      <c r="J3" t="s" s="919">
        <v>1379</v>
      </c>
      <c r="K3" t="s" s="919">
        <v>1380</v>
      </c>
      <c r="L3" t="s" s="919">
        <v>1381</v>
      </c>
      <c r="M3" t="s" s="919">
        <v>1382</v>
      </c>
      <c r="N3" t="s" s="919">
        <v>1383</v>
      </c>
      <c r="O3" t="s" s="919">
        <v>1384</v>
      </c>
      <c r="P3" t="s" s="919">
        <v>1385</v>
      </c>
      <c r="Q3" s="920"/>
      <c r="R3" s="920"/>
      <c r="S3" s="920"/>
      <c r="T3" s="920"/>
      <c r="U3" s="920"/>
      <c r="V3" s="920"/>
      <c r="W3" s="920"/>
      <c r="X3" s="920"/>
    </row>
    <row r="4" ht="20.55" customHeight="1">
      <c r="A4" s="921">
        <v>44277</v>
      </c>
      <c r="B4" s="922"/>
      <c r="C4" s="923"/>
      <c r="D4" s="923"/>
      <c r="E4" s="923"/>
      <c r="F4" s="923"/>
      <c r="G4" s="923"/>
      <c r="H4" s="923"/>
      <c r="I4" s="924" cm="1">
        <f t="array" ref="I4">$A4</f>
        <v>44277</v>
      </c>
      <c r="J4" s="923"/>
      <c r="K4" s="923"/>
      <c r="L4" s="923"/>
      <c r="M4" s="923"/>
      <c r="N4" s="923"/>
      <c r="O4" s="923"/>
      <c r="P4" s="923"/>
      <c r="Q4" s="925"/>
      <c r="R4" s="923"/>
      <c r="S4" s="923"/>
      <c r="T4" s="923"/>
      <c r="U4" s="923"/>
      <c r="V4" s="923"/>
      <c r="W4" s="923"/>
      <c r="X4" s="923"/>
    </row>
    <row r="5" ht="20.35" customHeight="1">
      <c r="A5" s="926">
        <v>44284</v>
      </c>
      <c r="B5" s="927"/>
      <c r="C5" s="928"/>
      <c r="D5" s="928"/>
      <c r="E5" s="928"/>
      <c r="F5" s="928"/>
      <c r="G5" s="928"/>
      <c r="H5" s="928"/>
      <c r="I5" s="929" cm="1">
        <f t="array" ref="I5">$A5</f>
        <v>44284</v>
      </c>
      <c r="J5" s="928"/>
      <c r="K5" s="928"/>
      <c r="L5" s="928"/>
      <c r="M5" s="928"/>
      <c r="N5" s="928"/>
      <c r="O5" s="928"/>
      <c r="P5" s="928"/>
      <c r="Q5" s="930"/>
      <c r="R5" s="928"/>
      <c r="S5" s="928"/>
      <c r="T5" s="928"/>
      <c r="U5" s="928"/>
      <c r="V5" s="928"/>
      <c r="W5" s="928"/>
      <c r="X5" s="928"/>
    </row>
    <row r="6" ht="20.35" customHeight="1">
      <c r="A6" s="926">
        <v>44291</v>
      </c>
      <c r="B6" s="927"/>
      <c r="C6" s="928"/>
      <c r="D6" s="928"/>
      <c r="E6" s="928"/>
      <c r="F6" s="928"/>
      <c r="G6" s="928"/>
      <c r="H6" s="928"/>
      <c r="I6" s="929" cm="1">
        <f t="array" ref="I6">$A6</f>
        <v>44291</v>
      </c>
      <c r="J6" s="928"/>
      <c r="K6" s="928"/>
      <c r="L6" s="928"/>
      <c r="M6" s="928"/>
      <c r="N6" s="928"/>
      <c r="O6" s="928"/>
      <c r="P6" s="928"/>
      <c r="Q6" s="930"/>
      <c r="R6" s="928"/>
      <c r="S6" s="928"/>
      <c r="T6" s="928"/>
      <c r="U6" s="928"/>
      <c r="V6" s="928"/>
      <c r="W6" s="928"/>
      <c r="X6" s="928"/>
    </row>
    <row r="7" ht="20.35" customHeight="1">
      <c r="A7" s="926">
        <v>44298</v>
      </c>
      <c r="B7" s="927"/>
      <c r="C7" s="928"/>
      <c r="D7" s="928"/>
      <c r="E7" s="928"/>
      <c r="F7" s="928"/>
      <c r="G7" s="928"/>
      <c r="H7" s="928"/>
      <c r="I7" s="929" cm="1">
        <f t="array" ref="I7">$A7</f>
        <v>44298</v>
      </c>
      <c r="J7" s="928"/>
      <c r="K7" s="931"/>
      <c r="L7" s="928"/>
      <c r="M7" s="928"/>
      <c r="N7" s="928"/>
      <c r="O7" s="931"/>
      <c r="P7" s="928"/>
      <c r="Q7" s="930"/>
      <c r="R7" s="928"/>
      <c r="S7" s="928"/>
      <c r="T7" s="928"/>
      <c r="U7" s="928"/>
      <c r="V7" s="928"/>
      <c r="W7" s="928"/>
      <c r="X7" s="928"/>
    </row>
    <row r="8" ht="20.35" customHeight="1">
      <c r="A8" s="926">
        <v>44305</v>
      </c>
      <c r="B8" s="927"/>
      <c r="C8" s="928"/>
      <c r="D8" s="928"/>
      <c r="E8" s="928"/>
      <c r="F8" s="928"/>
      <c r="G8" s="928"/>
      <c r="H8" s="928"/>
      <c r="I8" s="929" cm="1">
        <f t="array" ref="I8">$A8</f>
        <v>44305</v>
      </c>
      <c r="J8" s="928"/>
      <c r="K8" s="928"/>
      <c r="L8" s="928"/>
      <c r="M8" s="931"/>
      <c r="N8" s="928"/>
      <c r="O8" s="928"/>
      <c r="P8" s="928"/>
      <c r="Q8" s="930"/>
      <c r="R8" s="928"/>
      <c r="S8" s="928"/>
      <c r="T8" s="928"/>
      <c r="U8" s="928"/>
      <c r="V8" s="928"/>
      <c r="W8" s="928"/>
      <c r="X8" s="928"/>
    </row>
    <row r="9" ht="20.35" customHeight="1">
      <c r="A9" s="926">
        <v>44312</v>
      </c>
      <c r="B9" s="927"/>
      <c r="C9" s="928"/>
      <c r="D9" s="932">
        <v>50</v>
      </c>
      <c r="E9" s="928"/>
      <c r="F9" s="928"/>
      <c r="G9" s="928"/>
      <c r="H9" s="928"/>
      <c r="I9" s="929" cm="1">
        <f t="array" ref="I9">$A9</f>
        <v>44312</v>
      </c>
      <c r="J9" s="931"/>
      <c r="K9" s="928"/>
      <c r="L9" s="931"/>
      <c r="M9" s="928"/>
      <c r="N9" s="931"/>
      <c r="O9" s="928"/>
      <c r="P9" s="928"/>
      <c r="Q9" s="930"/>
      <c r="R9" s="928"/>
      <c r="S9" s="928"/>
      <c r="T9" s="928"/>
      <c r="U9" s="928"/>
      <c r="V9" s="928"/>
      <c r="W9" s="928"/>
      <c r="X9" s="928"/>
    </row>
    <row r="10" ht="20.35" customHeight="1">
      <c r="A10" s="926">
        <v>44319</v>
      </c>
      <c r="B10" s="927"/>
      <c r="C10" s="928"/>
      <c r="D10" s="928"/>
      <c r="E10" s="928"/>
      <c r="F10" s="928"/>
      <c r="G10" s="928"/>
      <c r="H10" s="928"/>
      <c r="I10" s="929" cm="1">
        <f t="array" ref="I10">$A10</f>
        <v>44319</v>
      </c>
      <c r="J10" s="931"/>
      <c r="K10" s="928"/>
      <c r="L10" s="931"/>
      <c r="M10" s="928"/>
      <c r="N10" s="931"/>
      <c r="O10" s="928"/>
      <c r="P10" s="928"/>
      <c r="Q10" s="930"/>
      <c r="R10" s="928"/>
      <c r="S10" s="928"/>
      <c r="T10" s="928"/>
      <c r="U10" s="928"/>
      <c r="V10" s="928"/>
      <c r="W10" s="928"/>
      <c r="X10" s="928"/>
    </row>
    <row r="11" ht="20.35" customHeight="1">
      <c r="A11" s="926">
        <v>44326</v>
      </c>
      <c r="B11" s="927"/>
      <c r="C11" s="928"/>
      <c r="D11" s="928"/>
      <c r="E11" s="928"/>
      <c r="F11" s="928"/>
      <c r="G11" s="928"/>
      <c r="H11" s="928"/>
      <c r="I11" s="929" cm="1">
        <f t="array" ref="I11">$A11</f>
        <v>44326</v>
      </c>
      <c r="J11" s="931"/>
      <c r="K11" s="928"/>
      <c r="L11" s="931"/>
      <c r="M11" s="928"/>
      <c r="N11" s="931"/>
      <c r="O11" s="928"/>
      <c r="P11" s="928"/>
      <c r="Q11" s="930"/>
      <c r="R11" s="928"/>
      <c r="S11" s="928"/>
      <c r="T11" s="928"/>
      <c r="U11" s="928"/>
      <c r="V11" s="928"/>
      <c r="W11" s="928"/>
      <c r="X11" s="928"/>
    </row>
    <row r="12" ht="20.35" customHeight="1">
      <c r="A12" s="926">
        <v>44333</v>
      </c>
      <c r="B12" s="927"/>
      <c r="C12" s="928"/>
      <c r="D12" s="928"/>
      <c r="E12" s="928"/>
      <c r="F12" s="928"/>
      <c r="G12" s="928"/>
      <c r="H12" s="928"/>
      <c r="I12" s="929" cm="1">
        <f t="array" ref="I12">$A12</f>
        <v>44333</v>
      </c>
      <c r="J12" s="931"/>
      <c r="K12" s="928"/>
      <c r="L12" s="931"/>
      <c r="M12" s="928"/>
      <c r="N12" s="931"/>
      <c r="O12" s="928"/>
      <c r="P12" s="928"/>
      <c r="Q12" s="930"/>
      <c r="R12" s="928"/>
      <c r="S12" s="928"/>
      <c r="T12" s="928"/>
      <c r="U12" s="928"/>
      <c r="V12" s="928"/>
      <c r="W12" s="928"/>
      <c r="X12" s="928"/>
    </row>
    <row r="13" ht="20.35" customHeight="1">
      <c r="A13" s="926">
        <v>44340</v>
      </c>
      <c r="B13" s="927"/>
      <c r="C13" s="928"/>
      <c r="D13" s="928"/>
      <c r="E13" s="928"/>
      <c r="F13" s="928"/>
      <c r="G13" s="928"/>
      <c r="H13" s="928"/>
      <c r="I13" s="929" cm="1">
        <f t="array" ref="I13">$A13</f>
        <v>44340</v>
      </c>
      <c r="J13" s="931"/>
      <c r="K13" s="928"/>
      <c r="L13" s="931"/>
      <c r="M13" s="928"/>
      <c r="N13" s="931"/>
      <c r="O13" s="928"/>
      <c r="P13" s="928"/>
      <c r="Q13" s="930"/>
      <c r="R13" s="928"/>
      <c r="S13" s="928"/>
      <c r="T13" s="928"/>
      <c r="U13" s="928"/>
      <c r="V13" s="928"/>
      <c r="W13" s="928"/>
      <c r="X13" s="928"/>
    </row>
    <row r="14" ht="20.35" customHeight="1">
      <c r="A14" s="926">
        <v>44347</v>
      </c>
      <c r="B14" s="927"/>
      <c r="C14" s="928"/>
      <c r="D14" s="928"/>
      <c r="E14" s="928"/>
      <c r="F14" s="928"/>
      <c r="G14" s="928"/>
      <c r="H14" s="928"/>
      <c r="I14" s="929" cm="1">
        <f t="array" ref="I14">$A14</f>
        <v>44347</v>
      </c>
      <c r="J14" s="931"/>
      <c r="K14" s="928"/>
      <c r="L14" s="931"/>
      <c r="M14" s="928"/>
      <c r="N14" s="931"/>
      <c r="O14" s="928"/>
      <c r="P14" s="928"/>
      <c r="Q14" s="930"/>
      <c r="R14" s="928"/>
      <c r="S14" s="928"/>
      <c r="T14" s="928"/>
      <c r="U14" s="928"/>
      <c r="V14" s="928"/>
      <c r="W14" s="928"/>
      <c r="X14" s="928"/>
    </row>
    <row r="15" ht="20.35" customHeight="1">
      <c r="A15" s="926">
        <v>44354</v>
      </c>
      <c r="B15" s="927"/>
      <c r="C15" s="928"/>
      <c r="D15" s="928"/>
      <c r="E15" s="928"/>
      <c r="F15" s="928"/>
      <c r="G15" s="928"/>
      <c r="H15" s="928"/>
      <c r="I15" s="929" cm="1">
        <f t="array" ref="I15">$A15</f>
        <v>44354</v>
      </c>
      <c r="J15" s="931"/>
      <c r="K15" s="928"/>
      <c r="L15" s="931"/>
      <c r="M15" s="928"/>
      <c r="N15" s="931"/>
      <c r="O15" s="928"/>
      <c r="P15" s="928"/>
      <c r="Q15" s="930"/>
      <c r="R15" s="928"/>
      <c r="S15" s="928"/>
      <c r="T15" s="928"/>
      <c r="U15" s="928"/>
      <c r="V15" s="928"/>
      <c r="W15" s="928"/>
      <c r="X15" s="928"/>
    </row>
    <row r="16" ht="20.35" customHeight="1">
      <c r="A16" s="926">
        <v>44361</v>
      </c>
      <c r="B16" s="927"/>
      <c r="C16" s="928"/>
      <c r="D16" s="928"/>
      <c r="E16" s="928"/>
      <c r="F16" s="928"/>
      <c r="G16" s="928"/>
      <c r="H16" s="928"/>
      <c r="I16" s="929" cm="1">
        <f t="array" ref="I16">$A16</f>
        <v>44361</v>
      </c>
      <c r="J16" s="931"/>
      <c r="K16" s="928"/>
      <c r="L16" s="931"/>
      <c r="M16" s="928"/>
      <c r="N16" s="931"/>
      <c r="O16" s="928"/>
      <c r="P16" s="928"/>
      <c r="Q16" s="930"/>
      <c r="R16" s="928"/>
      <c r="S16" s="928"/>
      <c r="T16" s="928"/>
      <c r="U16" s="928"/>
      <c r="V16" s="928"/>
      <c r="W16" s="928"/>
      <c r="X16" s="928"/>
    </row>
    <row r="17" ht="20.35" customHeight="1">
      <c r="A17" s="926">
        <v>44368</v>
      </c>
      <c r="B17" s="927"/>
      <c r="C17" s="928"/>
      <c r="D17" s="928"/>
      <c r="E17" s="928"/>
      <c r="F17" s="928"/>
      <c r="G17" s="928"/>
      <c r="H17" s="928"/>
      <c r="I17" s="929" cm="1">
        <f t="array" ref="I17">$A17</f>
        <v>44368</v>
      </c>
      <c r="J17" s="931"/>
      <c r="K17" s="928"/>
      <c r="L17" s="931"/>
      <c r="M17" s="928"/>
      <c r="N17" s="931"/>
      <c r="O17" s="928"/>
      <c r="P17" s="928"/>
      <c r="Q17" s="930"/>
      <c r="R17" s="928"/>
      <c r="S17" s="928"/>
      <c r="T17" s="928"/>
      <c r="U17" s="928"/>
      <c r="V17" s="928"/>
      <c r="W17" s="928"/>
      <c r="X17" s="928"/>
    </row>
    <row r="18" ht="20.35" customHeight="1">
      <c r="A18" s="926">
        <v>44375</v>
      </c>
      <c r="B18" s="927"/>
      <c r="C18" s="928"/>
      <c r="D18" s="928"/>
      <c r="E18" s="928"/>
      <c r="F18" s="928"/>
      <c r="G18" s="928"/>
      <c r="H18" s="928"/>
      <c r="I18" s="929" cm="1">
        <f t="array" ref="I18">$A18</f>
        <v>44375</v>
      </c>
      <c r="J18" s="931"/>
      <c r="K18" s="928"/>
      <c r="L18" s="931"/>
      <c r="M18" s="928"/>
      <c r="N18" s="931"/>
      <c r="O18" s="928"/>
      <c r="P18" s="928"/>
      <c r="Q18" s="930"/>
      <c r="R18" s="928"/>
      <c r="S18" s="928"/>
      <c r="T18" s="928"/>
      <c r="U18" s="928"/>
      <c r="V18" s="928"/>
      <c r="W18" s="928"/>
      <c r="X18" s="928"/>
    </row>
    <row r="19" ht="20.35" customHeight="1">
      <c r="A19" s="926">
        <v>44382</v>
      </c>
      <c r="B19" s="927"/>
      <c r="C19" s="928"/>
      <c r="D19" s="928"/>
      <c r="E19" s="928"/>
      <c r="F19" s="928"/>
      <c r="G19" s="928"/>
      <c r="H19" s="928"/>
      <c r="I19" s="929" cm="1">
        <f t="array" ref="I19">$A19</f>
        <v>44382</v>
      </c>
      <c r="J19" s="931"/>
      <c r="K19" s="928"/>
      <c r="L19" s="931"/>
      <c r="M19" s="928"/>
      <c r="N19" s="931"/>
      <c r="O19" s="928"/>
      <c r="P19" s="928"/>
      <c r="Q19" s="930"/>
      <c r="R19" s="928"/>
      <c r="S19" s="928"/>
      <c r="T19" s="928"/>
      <c r="U19" s="928"/>
      <c r="V19" s="928"/>
      <c r="W19" s="928"/>
      <c r="X19" s="928"/>
    </row>
    <row r="20" ht="20.35" customHeight="1">
      <c r="A20" s="926">
        <v>44389</v>
      </c>
      <c r="B20" s="927"/>
      <c r="C20" s="928"/>
      <c r="D20" s="928"/>
      <c r="E20" s="932">
        <v>78</v>
      </c>
      <c r="F20" s="928"/>
      <c r="G20" s="928"/>
      <c r="H20" s="928"/>
      <c r="I20" s="929" cm="1">
        <f t="array" ref="I20">$A20</f>
        <v>44389</v>
      </c>
      <c r="J20" s="931"/>
      <c r="K20" s="928"/>
      <c r="L20" s="931"/>
      <c r="M20" s="928"/>
      <c r="N20" s="931"/>
      <c r="O20" s="928"/>
      <c r="P20" s="928"/>
      <c r="Q20" s="930"/>
      <c r="R20" s="928"/>
      <c r="S20" s="928"/>
      <c r="T20" s="928"/>
      <c r="U20" s="928"/>
      <c r="V20" s="928"/>
      <c r="W20" s="928"/>
      <c r="X20" s="928"/>
    </row>
    <row r="21" ht="20.35" customHeight="1">
      <c r="A21" s="926">
        <v>44396</v>
      </c>
      <c r="B21" s="927"/>
      <c r="C21" s="928"/>
      <c r="D21" s="928"/>
      <c r="E21" s="928"/>
      <c r="F21" s="928"/>
      <c r="G21" s="928"/>
      <c r="H21" s="928"/>
      <c r="I21" s="929" cm="1">
        <f t="array" ref="I21">$A21</f>
        <v>44396</v>
      </c>
      <c r="J21" s="931"/>
      <c r="K21" s="928"/>
      <c r="L21" s="931"/>
      <c r="M21" s="928"/>
      <c r="N21" s="931"/>
      <c r="O21" s="928"/>
      <c r="P21" s="928"/>
      <c r="Q21" s="930"/>
      <c r="R21" s="928"/>
      <c r="S21" s="928"/>
      <c r="T21" s="928"/>
      <c r="U21" s="928"/>
      <c r="V21" s="928"/>
      <c r="W21" s="928"/>
      <c r="X21" s="928"/>
    </row>
    <row r="22" ht="20.35" customHeight="1">
      <c r="A22" s="926">
        <v>44403</v>
      </c>
      <c r="B22" s="927"/>
      <c r="C22" s="928"/>
      <c r="D22" s="928"/>
      <c r="E22" s="928"/>
      <c r="F22" s="928"/>
      <c r="G22" s="928"/>
      <c r="H22" s="928"/>
      <c r="I22" s="929" cm="1">
        <f t="array" ref="I22">$A22</f>
        <v>44403</v>
      </c>
      <c r="J22" s="931"/>
      <c r="K22" s="928"/>
      <c r="L22" s="931"/>
      <c r="M22" s="928"/>
      <c r="N22" s="931"/>
      <c r="O22" s="928"/>
      <c r="P22" s="928"/>
      <c r="Q22" s="930"/>
      <c r="R22" s="928"/>
      <c r="S22" s="928"/>
      <c r="T22" s="928"/>
      <c r="U22" s="928"/>
      <c r="V22" s="928"/>
      <c r="W22" s="928"/>
      <c r="X22" s="928"/>
    </row>
    <row r="23" ht="20.35" customHeight="1">
      <c r="A23" s="926">
        <v>44410</v>
      </c>
      <c r="B23" s="927"/>
      <c r="C23" s="928"/>
      <c r="D23" s="928"/>
      <c r="E23" s="928"/>
      <c r="F23" s="928"/>
      <c r="G23" s="928"/>
      <c r="H23" s="928"/>
      <c r="I23" s="929" cm="1">
        <f t="array" ref="I23">$A23</f>
        <v>44410</v>
      </c>
      <c r="J23" s="931"/>
      <c r="K23" s="928"/>
      <c r="L23" s="931"/>
      <c r="M23" s="928"/>
      <c r="N23" s="931"/>
      <c r="O23" s="928"/>
      <c r="P23" s="928"/>
      <c r="Q23" s="930"/>
      <c r="R23" s="928"/>
      <c r="S23" s="928"/>
      <c r="T23" s="928"/>
      <c r="U23" s="928"/>
      <c r="V23" s="928"/>
      <c r="W23" s="928"/>
      <c r="X23" s="928"/>
    </row>
    <row r="24" ht="20.35" customHeight="1">
      <c r="A24" s="926">
        <v>44417</v>
      </c>
      <c r="B24" s="927"/>
      <c r="C24" s="928"/>
      <c r="D24" s="932">
        <v>27</v>
      </c>
      <c r="E24" s="928"/>
      <c r="F24" s="928"/>
      <c r="G24" s="928"/>
      <c r="H24" s="928"/>
      <c r="I24" s="929" cm="1">
        <f t="array" ref="I24">$A24</f>
        <v>44417</v>
      </c>
      <c r="J24" s="931"/>
      <c r="K24" s="928"/>
      <c r="L24" s="931"/>
      <c r="M24" s="928"/>
      <c r="N24" s="931"/>
      <c r="O24" s="928"/>
      <c r="P24" s="928"/>
      <c r="Q24" s="930"/>
      <c r="R24" s="928"/>
      <c r="S24" s="928"/>
      <c r="T24" s="928"/>
      <c r="U24" s="928"/>
      <c r="V24" s="928"/>
      <c r="W24" s="928"/>
      <c r="X24" s="928"/>
    </row>
    <row r="25" ht="20.35" customHeight="1">
      <c r="A25" s="926">
        <v>44424</v>
      </c>
      <c r="B25" s="927"/>
      <c r="C25" s="928"/>
      <c r="D25" s="928"/>
      <c r="E25" s="928"/>
      <c r="F25" s="928"/>
      <c r="G25" s="928"/>
      <c r="H25" s="928"/>
      <c r="I25" s="929" cm="1">
        <f t="array" ref="I25">$A25</f>
        <v>44424</v>
      </c>
      <c r="J25" t="s" s="906">
        <v>1386</v>
      </c>
      <c r="K25" s="928"/>
      <c r="L25" t="s" s="906">
        <v>1387</v>
      </c>
      <c r="M25" s="928"/>
      <c r="N25" s="928"/>
      <c r="O25" s="928"/>
      <c r="P25" s="928"/>
      <c r="Q25" s="930"/>
      <c r="R25" s="928"/>
      <c r="S25" s="928"/>
      <c r="T25" s="928"/>
      <c r="U25" s="928"/>
      <c r="V25" s="928"/>
      <c r="W25" s="928"/>
      <c r="X25" s="928"/>
    </row>
    <row r="26" ht="20.35" customHeight="1">
      <c r="A26" s="926">
        <v>44431</v>
      </c>
      <c r="B26" s="927"/>
      <c r="C26" s="928"/>
      <c r="D26" s="928"/>
      <c r="E26" s="928"/>
      <c r="F26" s="928"/>
      <c r="G26" s="928"/>
      <c r="H26" s="928"/>
      <c r="I26" s="929" cm="1">
        <f t="array" ref="I26">$A26</f>
        <v>44431</v>
      </c>
      <c r="J26" s="928"/>
      <c r="K26" t="s" s="906">
        <v>1386</v>
      </c>
      <c r="L26" t="s" s="906">
        <v>1387</v>
      </c>
      <c r="M26" t="s" s="906">
        <v>1386</v>
      </c>
      <c r="N26" s="928"/>
      <c r="O26" s="928"/>
      <c r="P26" s="928"/>
      <c r="Q26" s="930"/>
      <c r="R26" s="928"/>
      <c r="S26" s="928"/>
      <c r="T26" s="928"/>
      <c r="U26" s="928"/>
      <c r="V26" s="928"/>
      <c r="W26" s="928"/>
      <c r="X26" s="928"/>
    </row>
    <row r="27" ht="20.35" customHeight="1">
      <c r="A27" s="926">
        <v>44438</v>
      </c>
      <c r="B27" s="927"/>
      <c r="C27" s="928"/>
      <c r="D27" s="928"/>
      <c r="E27" s="928"/>
      <c r="F27" s="928"/>
      <c r="G27" s="928"/>
      <c r="H27" s="928"/>
      <c r="I27" s="929" cm="1">
        <f t="array" ref="I27">$A27</f>
        <v>44438</v>
      </c>
      <c r="J27" s="928"/>
      <c r="K27" s="928"/>
      <c r="L27" s="928"/>
      <c r="M27" s="928"/>
      <c r="N27" s="928"/>
      <c r="O27" s="928"/>
      <c r="P27" s="928"/>
      <c r="Q27" s="930"/>
      <c r="R27" s="928"/>
      <c r="S27" s="928"/>
      <c r="T27" s="928"/>
      <c r="U27" s="928"/>
      <c r="V27" s="928"/>
      <c r="W27" s="928"/>
      <c r="X27" s="928"/>
    </row>
    <row r="28" ht="20.35" customHeight="1">
      <c r="A28" s="926">
        <v>44445</v>
      </c>
      <c r="B28" s="927"/>
      <c r="C28" s="928"/>
      <c r="D28" s="928"/>
      <c r="E28" s="928"/>
      <c r="F28" s="928"/>
      <c r="G28" s="928"/>
      <c r="H28" s="928"/>
      <c r="I28" s="929" cm="1">
        <f t="array" ref="I28">$A28</f>
        <v>44445</v>
      </c>
      <c r="J28" s="928"/>
      <c r="K28" s="928"/>
      <c r="L28" s="928"/>
      <c r="M28" s="928"/>
      <c r="N28" s="928"/>
      <c r="O28" s="928"/>
      <c r="P28" s="928"/>
      <c r="Q28" s="930"/>
      <c r="R28" s="928"/>
      <c r="S28" s="928"/>
      <c r="T28" s="928"/>
      <c r="U28" s="928"/>
      <c r="V28" s="928"/>
      <c r="W28" s="928"/>
      <c r="X28" s="928"/>
    </row>
    <row r="29" ht="20.35" customHeight="1">
      <c r="A29" s="926">
        <v>44452</v>
      </c>
      <c r="B29" s="927"/>
      <c r="C29" s="928"/>
      <c r="D29" s="928"/>
      <c r="E29" s="928"/>
      <c r="F29" s="928"/>
      <c r="G29" s="928"/>
      <c r="H29" s="928"/>
      <c r="I29" s="929" cm="1">
        <f t="array" ref="I29">$A29</f>
        <v>44452</v>
      </c>
      <c r="J29" s="928"/>
      <c r="K29" s="928"/>
      <c r="L29" s="928"/>
      <c r="M29" s="928"/>
      <c r="N29" s="928"/>
      <c r="O29" s="928"/>
      <c r="P29" s="928"/>
      <c r="Q29" s="930"/>
      <c r="R29" s="928"/>
      <c r="S29" s="928"/>
      <c r="T29" s="928"/>
      <c r="U29" s="928"/>
      <c r="V29" s="928"/>
      <c r="W29" s="928"/>
      <c r="X29" s="928"/>
    </row>
    <row r="30" ht="20.35" customHeight="1">
      <c r="A30" s="926">
        <v>44459</v>
      </c>
      <c r="B30" s="927"/>
      <c r="C30" s="928"/>
      <c r="D30" s="928"/>
      <c r="E30" s="928"/>
      <c r="F30" s="928"/>
      <c r="G30" s="928"/>
      <c r="H30" s="928"/>
      <c r="I30" s="929" cm="1">
        <f t="array" ref="I30">$A30</f>
        <v>44459</v>
      </c>
      <c r="J30" s="928"/>
      <c r="K30" s="928"/>
      <c r="L30" s="928"/>
      <c r="M30" s="928"/>
      <c r="N30" s="928"/>
      <c r="O30" s="928"/>
      <c r="P30" s="928"/>
      <c r="Q30" s="930"/>
      <c r="R30" s="928"/>
      <c r="S30" s="928"/>
      <c r="T30" s="928"/>
      <c r="U30" s="928"/>
      <c r="V30" s="928"/>
      <c r="W30" s="928"/>
      <c r="X30" s="928"/>
    </row>
    <row r="31" ht="20.35" customHeight="1">
      <c r="A31" s="926">
        <v>44466</v>
      </c>
      <c r="B31" s="927"/>
      <c r="C31" s="928"/>
      <c r="D31" s="928"/>
      <c r="E31" s="928"/>
      <c r="F31" s="928"/>
      <c r="G31" s="928"/>
      <c r="H31" s="928"/>
      <c r="I31" s="929" cm="1">
        <f t="array" ref="I31">$A31</f>
        <v>44466</v>
      </c>
      <c r="J31" s="928"/>
      <c r="K31" s="928"/>
      <c r="L31" s="928"/>
      <c r="M31" s="928"/>
      <c r="N31" s="928"/>
      <c r="O31" s="928"/>
      <c r="P31" s="928"/>
      <c r="Q31" s="930"/>
      <c r="R31" s="928"/>
      <c r="S31" s="928"/>
      <c r="T31" s="928"/>
      <c r="U31" s="928"/>
      <c r="V31" s="928"/>
      <c r="W31" s="928"/>
      <c r="X31" s="928"/>
    </row>
    <row r="32" ht="20.35" customHeight="1">
      <c r="A32" s="926">
        <v>44473</v>
      </c>
      <c r="B32" s="927"/>
      <c r="C32" s="928"/>
      <c r="D32" s="928"/>
      <c r="E32" s="928"/>
      <c r="F32" s="928"/>
      <c r="G32" s="928"/>
      <c r="H32" s="928"/>
      <c r="I32" s="929" cm="1">
        <f t="array" ref="I32">$A32</f>
        <v>44473</v>
      </c>
      <c r="J32" s="928"/>
      <c r="K32" s="928"/>
      <c r="L32" s="928"/>
      <c r="M32" s="928"/>
      <c r="N32" s="928"/>
      <c r="O32" s="928"/>
      <c r="P32" s="928"/>
      <c r="Q32" s="930"/>
      <c r="R32" s="928"/>
      <c r="S32" s="928"/>
      <c r="T32" s="928"/>
      <c r="U32" s="928"/>
      <c r="V32" s="928"/>
      <c r="W32" s="928"/>
      <c r="X32" s="928"/>
    </row>
    <row r="33" ht="20.35" customHeight="1">
      <c r="A33" s="926">
        <v>44480</v>
      </c>
      <c r="B33" s="927"/>
      <c r="C33" s="928"/>
      <c r="D33" s="928"/>
      <c r="E33" s="928"/>
      <c r="F33" s="928"/>
      <c r="G33" s="928"/>
      <c r="H33" s="928"/>
      <c r="I33" s="929" cm="1">
        <f t="array" ref="I33">$A33</f>
        <v>44480</v>
      </c>
      <c r="J33" s="928"/>
      <c r="K33" s="928"/>
      <c r="L33" s="928"/>
      <c r="M33" s="928"/>
      <c r="N33" s="928"/>
      <c r="O33" s="928"/>
      <c r="P33" s="928"/>
      <c r="Q33" s="930"/>
      <c r="R33" s="928"/>
      <c r="S33" s="928"/>
      <c r="T33" s="928"/>
      <c r="U33" s="928"/>
      <c r="V33" s="928"/>
      <c r="W33" s="928"/>
      <c r="X33" s="928"/>
    </row>
    <row r="34" ht="20.35" customHeight="1">
      <c r="A34" s="926">
        <v>44487</v>
      </c>
      <c r="B34" s="927"/>
      <c r="C34" s="928"/>
      <c r="D34" s="928"/>
      <c r="E34" s="928"/>
      <c r="F34" s="928"/>
      <c r="G34" s="928"/>
      <c r="H34" s="928"/>
      <c r="I34" s="929" cm="1">
        <f t="array" ref="I34">$A34</f>
        <v>44487</v>
      </c>
      <c r="J34" s="928"/>
      <c r="K34" s="928"/>
      <c r="L34" s="928"/>
      <c r="M34" s="928"/>
      <c r="N34" s="928"/>
      <c r="O34" s="928"/>
      <c r="P34" s="928"/>
      <c r="Q34" s="930"/>
      <c r="R34" s="928"/>
      <c r="S34" s="928"/>
      <c r="T34" s="928"/>
      <c r="U34" s="928"/>
      <c r="V34" s="928"/>
      <c r="W34" s="928"/>
      <c r="X34" s="928"/>
    </row>
    <row r="35" ht="20.35" customHeight="1">
      <c r="A35" s="926">
        <v>44494</v>
      </c>
      <c r="B35" s="927"/>
      <c r="C35" s="928"/>
      <c r="D35" s="928"/>
      <c r="E35" s="928"/>
      <c r="F35" s="928"/>
      <c r="G35" s="928"/>
      <c r="H35" s="928"/>
      <c r="I35" s="929" cm="1">
        <f t="array" ref="I35">$A35</f>
        <v>44494</v>
      </c>
      <c r="J35" s="928"/>
      <c r="K35" s="928"/>
      <c r="L35" s="928"/>
      <c r="M35" s="928"/>
      <c r="N35" s="928"/>
      <c r="O35" s="928"/>
      <c r="P35" s="928"/>
      <c r="Q35" s="930"/>
      <c r="R35" s="928"/>
      <c r="S35" s="928"/>
      <c r="T35" s="928"/>
      <c r="U35" s="928"/>
      <c r="V35" s="928"/>
      <c r="W35" s="928"/>
      <c r="X35" s="928"/>
    </row>
    <row r="36" ht="20.35" customHeight="1">
      <c r="A36" s="926">
        <v>44501</v>
      </c>
      <c r="B36" s="927"/>
      <c r="C36" s="928"/>
      <c r="D36" s="928"/>
      <c r="E36" s="928"/>
      <c r="F36" s="928"/>
      <c r="G36" s="928"/>
      <c r="H36" s="928"/>
      <c r="I36" s="929" cm="1">
        <f t="array" ref="I36">$A36</f>
        <v>44501</v>
      </c>
      <c r="J36" s="928"/>
      <c r="K36" s="928"/>
      <c r="L36" s="928"/>
      <c r="M36" s="928"/>
      <c r="N36" s="928"/>
      <c r="O36" s="928"/>
      <c r="P36" s="928"/>
      <c r="Q36" s="930"/>
      <c r="R36" s="928"/>
      <c r="S36" s="928"/>
      <c r="T36" s="928"/>
      <c r="U36" s="928"/>
      <c r="V36" s="928"/>
      <c r="W36" s="928"/>
      <c r="X36" s="928"/>
    </row>
    <row r="37" ht="20.35" customHeight="1">
      <c r="A37" s="926">
        <v>44508</v>
      </c>
      <c r="B37" s="927"/>
      <c r="C37" s="928"/>
      <c r="D37" s="928"/>
      <c r="E37" s="928"/>
      <c r="F37" s="928"/>
      <c r="G37" s="928"/>
      <c r="H37" s="928"/>
      <c r="I37" s="929" cm="1">
        <f t="array" ref="I37">$A37</f>
        <v>44508</v>
      </c>
      <c r="J37" s="928"/>
      <c r="K37" s="928"/>
      <c r="L37" s="928"/>
      <c r="M37" s="928"/>
      <c r="N37" s="928"/>
      <c r="O37" s="928"/>
      <c r="P37" s="928"/>
      <c r="Q37" s="930"/>
      <c r="R37" s="928"/>
      <c r="S37" s="928"/>
      <c r="T37" s="928"/>
      <c r="U37" s="928"/>
      <c r="V37" s="928"/>
      <c r="W37" s="928"/>
      <c r="X37" s="928"/>
    </row>
    <row r="38" ht="20.35" customHeight="1">
      <c r="A38" s="926">
        <v>44515</v>
      </c>
      <c r="B38" s="927"/>
      <c r="C38" s="928"/>
      <c r="D38" s="928"/>
      <c r="E38" s="928"/>
      <c r="F38" s="928"/>
      <c r="G38" s="928"/>
      <c r="H38" s="928"/>
      <c r="I38" s="929" cm="1">
        <f t="array" ref="I38">$A38</f>
        <v>44515</v>
      </c>
      <c r="J38" s="928"/>
      <c r="K38" s="928"/>
      <c r="L38" s="928"/>
      <c r="M38" s="928"/>
      <c r="N38" s="928"/>
      <c r="O38" s="928"/>
      <c r="P38" s="928"/>
      <c r="Q38" s="930"/>
      <c r="R38" s="928"/>
      <c r="S38" s="928"/>
      <c r="T38" s="928"/>
      <c r="U38" s="928"/>
      <c r="V38" s="928"/>
      <c r="W38" s="928"/>
      <c r="X38" s="928"/>
    </row>
    <row r="39" ht="20.35" customHeight="1">
      <c r="A39" s="926">
        <v>44522</v>
      </c>
      <c r="B39" s="927"/>
      <c r="C39" s="928"/>
      <c r="D39" s="928"/>
      <c r="E39" s="928"/>
      <c r="F39" s="928"/>
      <c r="G39" s="928"/>
      <c r="H39" s="928"/>
      <c r="I39" s="929" cm="1">
        <f t="array" ref="I39">$A39</f>
        <v>44522</v>
      </c>
      <c r="J39" s="928"/>
      <c r="K39" s="928"/>
      <c r="L39" s="928"/>
      <c r="M39" s="928"/>
      <c r="N39" s="928"/>
      <c r="O39" s="928"/>
      <c r="P39" s="928"/>
      <c r="Q39" s="930"/>
      <c r="R39" s="928"/>
      <c r="S39" s="928"/>
      <c r="T39" s="928"/>
      <c r="U39" s="928"/>
      <c r="V39" s="928"/>
      <c r="W39" s="928"/>
      <c r="X39" s="928"/>
    </row>
    <row r="40" ht="20.35" customHeight="1">
      <c r="A40" s="926">
        <v>44529</v>
      </c>
      <c r="B40" s="927"/>
      <c r="C40" s="928"/>
      <c r="D40" s="928"/>
      <c r="E40" s="928"/>
      <c r="F40" s="928"/>
      <c r="G40" s="928"/>
      <c r="H40" s="928"/>
      <c r="I40" s="929" cm="1">
        <f t="array" ref="I40">$A40</f>
        <v>44529</v>
      </c>
      <c r="J40" s="928"/>
      <c r="K40" s="928"/>
      <c r="L40" s="928"/>
      <c r="M40" s="928"/>
      <c r="N40" s="928"/>
      <c r="O40" s="928"/>
      <c r="P40" s="928"/>
      <c r="Q40" s="930"/>
      <c r="R40" s="928"/>
      <c r="S40" s="928"/>
      <c r="T40" s="928"/>
      <c r="U40" s="928"/>
      <c r="V40" s="928"/>
      <c r="W40" s="928"/>
      <c r="X40" s="928"/>
    </row>
    <row r="41" ht="20.35" customHeight="1">
      <c r="A41" s="926">
        <v>44536</v>
      </c>
      <c r="B41" s="927"/>
      <c r="C41" s="928"/>
      <c r="D41" s="928"/>
      <c r="E41" s="928"/>
      <c r="F41" s="928"/>
      <c r="G41" s="928"/>
      <c r="H41" s="928"/>
      <c r="I41" s="929" cm="1">
        <f t="array" ref="I41">$A41</f>
        <v>44536</v>
      </c>
      <c r="J41" s="928"/>
      <c r="K41" s="928"/>
      <c r="L41" s="928"/>
      <c r="M41" s="928"/>
      <c r="N41" s="928"/>
      <c r="O41" s="928"/>
      <c r="P41" s="928"/>
      <c r="Q41" s="930"/>
      <c r="R41" s="928"/>
      <c r="S41" s="928"/>
      <c r="T41" s="928"/>
      <c r="U41" s="928"/>
      <c r="V41" s="928"/>
      <c r="W41" s="928"/>
      <c r="X41" s="928"/>
    </row>
    <row r="42" ht="20.35" customHeight="1">
      <c r="A42" s="926">
        <v>44543</v>
      </c>
      <c r="B42" s="927"/>
      <c r="C42" s="928"/>
      <c r="D42" s="928"/>
      <c r="E42" s="928"/>
      <c r="F42" s="928"/>
      <c r="G42" s="928"/>
      <c r="H42" s="928"/>
      <c r="I42" s="929" cm="1">
        <f t="array" ref="I42">$A42</f>
        <v>44543</v>
      </c>
      <c r="J42" s="928"/>
      <c r="K42" s="928"/>
      <c r="L42" s="928"/>
      <c r="M42" t="s" s="906">
        <v>1388</v>
      </c>
      <c r="N42" t="s" s="906">
        <v>1389</v>
      </c>
      <c r="O42" t="s" s="906">
        <v>1388</v>
      </c>
      <c r="P42" s="928"/>
      <c r="Q42" s="930"/>
      <c r="R42" s="928"/>
      <c r="S42" s="928"/>
      <c r="T42" s="928"/>
      <c r="U42" s="928"/>
      <c r="V42" s="928"/>
      <c r="W42" s="928"/>
      <c r="X42" s="928"/>
    </row>
    <row r="43" ht="20.35" customHeight="1">
      <c r="A43" s="926">
        <v>44550</v>
      </c>
      <c r="B43" s="927"/>
      <c r="C43" s="928"/>
      <c r="D43" s="928"/>
      <c r="E43" s="928"/>
      <c r="F43" s="928"/>
      <c r="G43" s="928"/>
      <c r="H43" s="928"/>
      <c r="I43" s="929" cm="1">
        <f t="array" ref="I43">$A43</f>
        <v>44550</v>
      </c>
      <c r="J43" s="928"/>
      <c r="K43" s="928"/>
      <c r="L43" s="928"/>
      <c r="M43" s="928"/>
      <c r="N43" s="928"/>
      <c r="O43" s="928"/>
      <c r="P43" s="928"/>
      <c r="Q43" s="930"/>
      <c r="R43" s="928"/>
      <c r="S43" s="928"/>
      <c r="T43" s="928"/>
      <c r="U43" s="928"/>
      <c r="V43" s="928"/>
      <c r="W43" s="928"/>
      <c r="X43" s="928"/>
    </row>
    <row r="44" ht="20.35" customHeight="1">
      <c r="A44" s="926">
        <v>44557</v>
      </c>
      <c r="B44" s="927"/>
      <c r="C44" s="928"/>
      <c r="D44" s="928"/>
      <c r="E44" s="928"/>
      <c r="F44" s="928"/>
      <c r="G44" s="928"/>
      <c r="H44" s="928"/>
      <c r="I44" s="929" cm="1">
        <f t="array" ref="I44">$A44</f>
        <v>44557</v>
      </c>
      <c r="J44" s="928"/>
      <c r="K44" s="928"/>
      <c r="L44" s="928"/>
      <c r="M44" s="928"/>
      <c r="N44" s="928"/>
      <c r="O44" s="928"/>
      <c r="P44" s="928"/>
      <c r="Q44" s="930"/>
      <c r="R44" s="928"/>
      <c r="S44" s="928"/>
      <c r="T44" s="928"/>
      <c r="U44" s="928"/>
      <c r="V44" s="928"/>
      <c r="W44" s="928"/>
      <c r="X44" s="928"/>
    </row>
    <row r="45" ht="20.35" customHeight="1">
      <c r="A45" s="926">
        <v>44564</v>
      </c>
      <c r="B45" s="927"/>
      <c r="C45" s="928"/>
      <c r="D45" s="928"/>
      <c r="E45" s="928"/>
      <c r="F45" s="928"/>
      <c r="G45" s="928"/>
      <c r="H45" s="928"/>
      <c r="I45" s="929" cm="1">
        <f t="array" ref="I45">$A45</f>
        <v>44564</v>
      </c>
      <c r="J45" s="928"/>
      <c r="K45" s="928"/>
      <c r="L45" s="928"/>
      <c r="M45" s="928"/>
      <c r="N45" s="928"/>
      <c r="O45" s="928"/>
      <c r="P45" s="928"/>
      <c r="Q45" s="930"/>
      <c r="R45" s="928"/>
      <c r="S45" s="928"/>
      <c r="T45" s="928"/>
      <c r="U45" s="928"/>
      <c r="V45" s="928"/>
      <c r="W45" s="928"/>
      <c r="X45" s="928"/>
    </row>
    <row r="46" ht="20.35" customHeight="1">
      <c r="A46" s="926">
        <v>44571</v>
      </c>
      <c r="B46" s="927"/>
      <c r="C46" s="928"/>
      <c r="D46" s="928"/>
      <c r="E46" s="928"/>
      <c r="F46" s="928"/>
      <c r="G46" s="928"/>
      <c r="H46" s="928"/>
      <c r="I46" s="929" cm="1">
        <f t="array" ref="I46">$A46</f>
        <v>44571</v>
      </c>
      <c r="J46" s="928"/>
      <c r="K46" s="928"/>
      <c r="L46" s="928"/>
      <c r="M46" s="928"/>
      <c r="N46" s="928"/>
      <c r="O46" s="928"/>
      <c r="P46" s="928"/>
      <c r="Q46" s="930"/>
      <c r="R46" s="928"/>
      <c r="S46" s="928"/>
      <c r="T46" s="928"/>
      <c r="U46" s="928"/>
      <c r="V46" s="928"/>
      <c r="W46" s="928"/>
      <c r="X46" s="928"/>
    </row>
  </sheetData>
  <mergeCells count="4">
    <mergeCell ref="A1:X1"/>
    <mergeCell ref="B2:H2"/>
    <mergeCell ref="J2:P2"/>
    <mergeCell ref="R2:X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90.xml><?xml version="1.0" encoding="utf-8"?>
<worksheet xmlns:r="http://schemas.openxmlformats.org/officeDocument/2006/relationships" xmlns="http://schemas.openxmlformats.org/spreadsheetml/2006/main">
  <sheetPr>
    <pageSetUpPr fitToPage="1"/>
  </sheetPr>
  <dimension ref="A1:D6"/>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4" width="16.3516" style="933" customWidth="1"/>
    <col min="5" max="16384" width="16.3516" style="933" customWidth="1"/>
  </cols>
  <sheetData>
    <row r="1" ht="20.55" customHeight="1">
      <c r="A1" s="7"/>
      <c r="B1" t="s" s="8">
        <v>1391</v>
      </c>
      <c r="C1" t="s" s="8">
        <v>1392</v>
      </c>
      <c r="D1" t="s" s="8">
        <v>1393</v>
      </c>
    </row>
    <row r="2" ht="20.55" customHeight="1">
      <c r="A2" t="s" s="10">
        <v>1394</v>
      </c>
      <c r="B2" s="11">
        <v>215</v>
      </c>
      <c r="C2" s="64">
        <v>112</v>
      </c>
      <c r="D2" s="64">
        <v>251</v>
      </c>
    </row>
    <row r="3" ht="20.35" customHeight="1">
      <c r="A3" t="s" s="17">
        <v>1395</v>
      </c>
      <c r="B3" s="18">
        <v>287</v>
      </c>
      <c r="C3" s="68">
        <v>128</v>
      </c>
      <c r="D3" s="68">
        <v>144</v>
      </c>
    </row>
    <row r="4" ht="20.35" customHeight="1">
      <c r="A4" t="s" s="17">
        <v>1396</v>
      </c>
      <c r="B4" s="18">
        <v>215</v>
      </c>
      <c r="C4" s="68">
        <v>64</v>
      </c>
      <c r="D4" s="68">
        <v>359</v>
      </c>
    </row>
    <row r="5" ht="20.35" customHeight="1">
      <c r="A5" t="s" s="17">
        <v>1397</v>
      </c>
      <c r="B5" s="18">
        <v>175</v>
      </c>
      <c r="C5" s="68" cm="1">
        <f t="array" ref="C5">B5*0.4</f>
        <v>70</v>
      </c>
      <c r="D5" s="934" cm="1">
        <f t="array" ref="D5">('tracking - Table 4'!A3-(B5*4+C5*9))/4</f>
        <v>380.25</v>
      </c>
    </row>
    <row r="6" ht="20.35" customHeight="1">
      <c r="A6" t="s" s="17">
        <v>1398</v>
      </c>
      <c r="B6" s="18" cm="1">
        <f t="array" ref="B6">0.8*B5</f>
        <v>140</v>
      </c>
      <c r="C6" s="68" cm="1">
        <f t="array" ref="C6">B5*0.4</f>
        <v>70</v>
      </c>
      <c r="D6" s="934" cm="1">
        <f t="array" ref="D6">('tracking - Table 4'!A3-(B6*4+C6*9))/4</f>
        <v>415.25</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1.xml><?xml version="1.0" encoding="utf-8"?>
<worksheet xmlns:r="http://schemas.openxmlformats.org/officeDocument/2006/relationships" xmlns="http://schemas.openxmlformats.org/spreadsheetml/2006/main">
  <sheetPr>
    <pageSetUpPr fitToPage="1"/>
  </sheetPr>
  <dimension ref="A1:H80"/>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23.9609" style="935" customWidth="1"/>
    <col min="2" max="8" width="16.3516" style="935" customWidth="1"/>
    <col min="9" max="16384" width="16.3516" style="935" customWidth="1"/>
  </cols>
  <sheetData>
    <row r="1" ht="20.55" customHeight="1">
      <c r="A1" s="7"/>
      <c r="B1" t="s" s="8">
        <v>1400</v>
      </c>
      <c r="C1" t="s" s="8">
        <v>1401</v>
      </c>
      <c r="D1" t="s" s="8">
        <v>1402</v>
      </c>
      <c r="E1" t="s" s="8">
        <v>1393</v>
      </c>
      <c r="F1" t="s" s="8">
        <v>1403</v>
      </c>
      <c r="G1" t="s" s="8">
        <v>1404</v>
      </c>
      <c r="H1" t="s" s="8">
        <v>1405</v>
      </c>
    </row>
    <row r="2" ht="20.55" customHeight="1">
      <c r="A2" t="s" s="10">
        <v>1406</v>
      </c>
      <c r="B2" s="936">
        <v>100</v>
      </c>
      <c r="C2" s="64">
        <v>27</v>
      </c>
      <c r="D2" s="64">
        <v>2</v>
      </c>
      <c r="E2" s="64">
        <v>0</v>
      </c>
      <c r="F2" s="600">
        <v>120</v>
      </c>
      <c r="G2" s="937"/>
      <c r="H2" s="937"/>
    </row>
    <row r="3" ht="20.35" customHeight="1">
      <c r="A3" s="28"/>
      <c r="B3" s="938"/>
      <c r="C3" s="68">
        <v>27</v>
      </c>
      <c r="D3" s="68">
        <v>2</v>
      </c>
      <c r="E3" s="68">
        <v>0</v>
      </c>
      <c r="F3" s="164">
        <v>120</v>
      </c>
      <c r="G3" s="103"/>
      <c r="H3" s="103"/>
    </row>
    <row r="4" ht="20.35" customHeight="1">
      <c r="A4" t="s" s="17">
        <v>1407</v>
      </c>
      <c r="B4" s="938">
        <v>100</v>
      </c>
      <c r="C4" s="68">
        <v>31</v>
      </c>
      <c r="D4" s="68">
        <v>3.6</v>
      </c>
      <c r="E4" s="68">
        <v>0</v>
      </c>
      <c r="F4" s="164">
        <v>165</v>
      </c>
      <c r="G4" s="68"/>
      <c r="H4" s="68"/>
    </row>
    <row r="5" ht="20.35" customHeight="1">
      <c r="A5" t="s" s="17">
        <v>1408</v>
      </c>
      <c r="B5" s="938">
        <v>100</v>
      </c>
      <c r="C5" s="68">
        <v>27</v>
      </c>
      <c r="D5" s="68">
        <v>15</v>
      </c>
      <c r="E5" s="68">
        <v>0</v>
      </c>
      <c r="F5" s="164">
        <v>252</v>
      </c>
      <c r="G5" s="164"/>
      <c r="H5" s="164"/>
    </row>
    <row r="6" ht="20.35" customHeight="1">
      <c r="A6" t="s" s="17">
        <v>1409</v>
      </c>
      <c r="B6" s="938">
        <v>100</v>
      </c>
      <c r="C6" s="68">
        <v>20</v>
      </c>
      <c r="D6" s="68">
        <v>15</v>
      </c>
      <c r="E6" s="68">
        <v>0</v>
      </c>
      <c r="F6" s="164">
        <v>215</v>
      </c>
      <c r="G6" s="103"/>
      <c r="H6" s="103"/>
    </row>
    <row r="7" ht="20.35" customHeight="1">
      <c r="A7" t="s" s="17">
        <v>1410</v>
      </c>
      <c r="B7" s="938">
        <v>100</v>
      </c>
      <c r="C7" s="68">
        <v>23</v>
      </c>
      <c r="D7" s="68">
        <v>0.8</v>
      </c>
      <c r="E7" s="68">
        <v>0.5</v>
      </c>
      <c r="F7" s="601">
        <v>99.2</v>
      </c>
      <c r="G7" s="103"/>
      <c r="H7" s="103"/>
    </row>
    <row r="8" ht="20.35" customHeight="1">
      <c r="A8" t="s" s="17">
        <v>1411</v>
      </c>
      <c r="B8" s="938">
        <v>100</v>
      </c>
      <c r="C8" s="68">
        <v>19.3</v>
      </c>
      <c r="D8" s="68">
        <v>8.6</v>
      </c>
      <c r="E8" s="68">
        <v>0.2</v>
      </c>
      <c r="F8" s="164">
        <v>155</v>
      </c>
      <c r="G8" s="103"/>
      <c r="H8" s="103"/>
    </row>
    <row r="9" ht="20.35" customHeight="1">
      <c r="A9" t="s" s="17">
        <v>1412</v>
      </c>
      <c r="B9" s="938"/>
      <c r="C9" s="68"/>
      <c r="D9" s="68"/>
      <c r="E9" s="68"/>
      <c r="F9" s="164"/>
      <c r="G9" s="103"/>
      <c r="H9" s="103"/>
    </row>
    <row r="10" ht="20.35" customHeight="1">
      <c r="A10" t="s" s="17">
        <v>1413</v>
      </c>
      <c r="B10" s="938">
        <v>100</v>
      </c>
      <c r="C10" s="68">
        <v>21.1</v>
      </c>
      <c r="D10" s="68">
        <v>4</v>
      </c>
      <c r="E10" s="68">
        <v>0.1</v>
      </c>
      <c r="F10" s="164">
        <v>121</v>
      </c>
      <c r="G10" s="103"/>
      <c r="H10" s="103"/>
    </row>
    <row r="11" ht="20.35" customHeight="1">
      <c r="A11" t="s" s="17">
        <v>1414</v>
      </c>
      <c r="B11" s="938">
        <v>72</v>
      </c>
      <c r="C11" s="68">
        <v>21.1</v>
      </c>
      <c r="D11" s="68">
        <v>4</v>
      </c>
      <c r="E11" s="68">
        <v>0.1</v>
      </c>
      <c r="F11" s="164">
        <v>121</v>
      </c>
      <c r="G11" s="103"/>
      <c r="H11" s="103"/>
    </row>
    <row r="12" ht="20.35" customHeight="1">
      <c r="A12" t="s" s="17">
        <v>1415</v>
      </c>
      <c r="B12" s="938">
        <v>100</v>
      </c>
      <c r="C12" s="68">
        <v>22</v>
      </c>
      <c r="D12" s="68">
        <v>3</v>
      </c>
      <c r="E12" s="68">
        <v>0</v>
      </c>
      <c r="F12" s="164">
        <v>117</v>
      </c>
      <c r="G12" s="103"/>
      <c r="H12" s="103"/>
    </row>
    <row r="13" ht="20.35" customHeight="1">
      <c r="A13" t="s" s="17">
        <v>1416</v>
      </c>
      <c r="B13" s="938">
        <v>72</v>
      </c>
      <c r="C13" s="68">
        <v>22</v>
      </c>
      <c r="D13" s="68">
        <v>3</v>
      </c>
      <c r="E13" s="68">
        <v>0</v>
      </c>
      <c r="F13" s="164">
        <v>117</v>
      </c>
      <c r="G13" s="103"/>
      <c r="H13" s="103"/>
    </row>
    <row r="14" ht="20.35" customHeight="1">
      <c r="A14" t="s" s="17">
        <v>1417</v>
      </c>
      <c r="B14" s="938">
        <v>100</v>
      </c>
      <c r="C14" s="68">
        <v>19.3</v>
      </c>
      <c r="D14" s="68">
        <v>2.7</v>
      </c>
      <c r="E14" s="68">
        <v>0.9</v>
      </c>
      <c r="F14" s="164">
        <v>105</v>
      </c>
      <c r="G14" s="103"/>
      <c r="H14" s="103"/>
    </row>
    <row r="15" ht="20.35" customHeight="1">
      <c r="A15" t="s" s="17">
        <v>1418</v>
      </c>
      <c r="B15" s="938">
        <v>100</v>
      </c>
      <c r="C15" s="68">
        <v>29</v>
      </c>
      <c r="D15" s="68">
        <v>8</v>
      </c>
      <c r="E15" s="68">
        <v>0</v>
      </c>
      <c r="F15" s="164">
        <v>188</v>
      </c>
      <c r="G15" s="103"/>
      <c r="H15" s="103"/>
    </row>
    <row r="16" ht="20.35" customHeight="1">
      <c r="A16" t="s" s="17">
        <v>1419</v>
      </c>
      <c r="B16" s="938">
        <v>100</v>
      </c>
      <c r="C16" s="68">
        <v>25</v>
      </c>
      <c r="D16" s="68">
        <v>2</v>
      </c>
      <c r="E16" s="68">
        <v>0</v>
      </c>
      <c r="F16" s="164">
        <v>109</v>
      </c>
      <c r="G16" s="103"/>
      <c r="H16" s="103"/>
    </row>
    <row r="17" ht="20.35" customHeight="1">
      <c r="A17" t="s" s="17">
        <v>1420</v>
      </c>
      <c r="B17" s="938">
        <v>200</v>
      </c>
      <c r="C17" s="68">
        <v>16</v>
      </c>
      <c r="D17" s="68">
        <v>11.2</v>
      </c>
      <c r="E17" s="68">
        <v>8.800000000000001</v>
      </c>
      <c r="F17" s="164">
        <v>207</v>
      </c>
      <c r="G17" s="103"/>
      <c r="H17" s="103"/>
    </row>
    <row r="18" ht="20.35" customHeight="1">
      <c r="A18" t="s" s="17">
        <v>1421</v>
      </c>
      <c r="B18" s="938">
        <v>100</v>
      </c>
      <c r="C18" s="68">
        <v>30.7</v>
      </c>
      <c r="D18" s="68">
        <v>11.9</v>
      </c>
      <c r="E18" s="68">
        <v>0.9</v>
      </c>
      <c r="F18" s="164">
        <v>234</v>
      </c>
      <c r="G18" s="103"/>
      <c r="H18" s="103"/>
    </row>
    <row r="19" ht="20.35" customHeight="1">
      <c r="A19" s="28"/>
      <c r="B19" s="938"/>
      <c r="C19" s="68"/>
      <c r="D19" s="68"/>
      <c r="E19" s="68"/>
      <c r="F19" s="164"/>
      <c r="G19" s="103"/>
      <c r="H19" s="103"/>
    </row>
    <row r="20" ht="20.35" customHeight="1">
      <c r="A20" t="s" s="17">
        <v>1422</v>
      </c>
      <c r="B20" s="938">
        <v>106</v>
      </c>
      <c r="C20" s="68">
        <v>25</v>
      </c>
      <c r="D20" s="68">
        <v>17</v>
      </c>
      <c r="E20" s="68">
        <v>2</v>
      </c>
      <c r="F20" s="164">
        <v>263</v>
      </c>
      <c r="G20" s="103"/>
      <c r="H20" s="103"/>
    </row>
    <row r="21" ht="20.35" customHeight="1">
      <c r="A21" t="s" s="17">
        <v>1423</v>
      </c>
      <c r="B21" s="938">
        <v>53</v>
      </c>
      <c r="C21" s="68">
        <v>4</v>
      </c>
      <c r="D21" s="68">
        <v>2</v>
      </c>
      <c r="E21" s="68">
        <v>28</v>
      </c>
      <c r="F21" s="164">
        <v>150</v>
      </c>
      <c r="G21" s="103"/>
      <c r="H21" s="103"/>
    </row>
    <row r="22" ht="20.35" customHeight="1">
      <c r="A22" s="28"/>
      <c r="B22" s="29"/>
      <c r="C22" s="68"/>
      <c r="D22" s="68"/>
      <c r="E22" s="68"/>
      <c r="F22" s="164"/>
      <c r="G22" s="68"/>
      <c r="H22" s="68"/>
    </row>
    <row r="23" ht="20.35" customHeight="1">
      <c r="A23" t="s" s="17">
        <v>1424</v>
      </c>
      <c r="B23" t="s" s="602">
        <v>1425</v>
      </c>
      <c r="C23" s="68">
        <v>7</v>
      </c>
      <c r="D23" s="68">
        <v>4.6</v>
      </c>
      <c r="E23" s="68">
        <v>2.1</v>
      </c>
      <c r="F23" s="164">
        <v>75</v>
      </c>
      <c r="G23" s="103"/>
      <c r="H23" s="103"/>
    </row>
    <row r="24" ht="20.35" customHeight="1">
      <c r="A24" t="s" s="17">
        <v>1426</v>
      </c>
      <c r="B24" s="18">
        <v>1</v>
      </c>
      <c r="C24" s="68">
        <v>3.6</v>
      </c>
      <c r="D24" s="68">
        <v>0.1</v>
      </c>
      <c r="E24" s="68">
        <v>0.2</v>
      </c>
      <c r="F24" s="164">
        <v>17</v>
      </c>
      <c r="G24" s="103"/>
      <c r="H24" s="103"/>
    </row>
    <row r="25" ht="20.35" customHeight="1">
      <c r="A25" t="s" s="17">
        <v>1427</v>
      </c>
      <c r="B25" s="938">
        <v>28</v>
      </c>
      <c r="C25" s="68">
        <v>3.1</v>
      </c>
      <c r="D25" s="68">
        <v>1</v>
      </c>
      <c r="E25" s="68">
        <v>13</v>
      </c>
      <c r="F25" s="164">
        <v>75</v>
      </c>
      <c r="G25" s="103"/>
      <c r="H25" s="103"/>
    </row>
    <row r="26" ht="20.35" customHeight="1">
      <c r="A26" s="28"/>
      <c r="B26" s="29"/>
      <c r="C26" s="68"/>
      <c r="D26" s="68"/>
      <c r="E26" s="68"/>
      <c r="F26" s="164"/>
      <c r="G26" s="32"/>
      <c r="H26" s="32"/>
    </row>
    <row r="27" ht="20.35" customHeight="1">
      <c r="A27" t="s" s="17">
        <v>1428</v>
      </c>
      <c r="B27" s="18">
        <v>1</v>
      </c>
      <c r="C27" s="68">
        <v>14</v>
      </c>
      <c r="D27" s="68">
        <v>1</v>
      </c>
      <c r="E27" s="68">
        <v>8.300000000000001</v>
      </c>
      <c r="F27" s="164">
        <v>97</v>
      </c>
      <c r="G27" s="103" cm="1">
        <f t="array" ref="G27">'tracking - Table 2-1-2'!F$69*B27/F27</f>
        <v>23.3331958762887</v>
      </c>
      <c r="H27" s="103" cm="1">
        <f t="array" ref="H27">B27/F27*('tracking - Table 4'!$B$3-'tracking - Table 2-1-2'!$F$66)</f>
        <v>20.6630927835052</v>
      </c>
    </row>
    <row r="28" ht="20.35" customHeight="1">
      <c r="A28" t="s" s="17">
        <v>1429</v>
      </c>
      <c r="B28" s="18">
        <v>1</v>
      </c>
      <c r="C28" s="68">
        <v>5</v>
      </c>
      <c r="D28" s="68">
        <v>41</v>
      </c>
      <c r="E28" s="68">
        <v>4</v>
      </c>
      <c r="F28" s="164">
        <v>407</v>
      </c>
      <c r="G28" s="32"/>
      <c r="H28" s="32"/>
    </row>
    <row r="29" ht="20.35" customHeight="1">
      <c r="A29" s="28"/>
      <c r="B29" s="29"/>
      <c r="C29" s="68"/>
      <c r="D29" s="68"/>
      <c r="E29" s="68"/>
      <c r="F29" s="164"/>
      <c r="G29" s="32"/>
      <c r="H29" s="32"/>
    </row>
    <row r="30" ht="20.35" customHeight="1">
      <c r="A30" t="s" s="17">
        <v>1430</v>
      </c>
      <c r="B30" s="18">
        <v>100</v>
      </c>
      <c r="C30" s="68">
        <v>3.1</v>
      </c>
      <c r="D30" s="68">
        <v>3.1</v>
      </c>
      <c r="E30" s="68">
        <v>4.9</v>
      </c>
      <c r="F30" s="164">
        <v>59</v>
      </c>
      <c r="G30" s="103" cm="1">
        <f t="array" ref="G30">'tracking - Table 2-1-2'!F$69*B30/F30</f>
        <v>3836.135593220340</v>
      </c>
      <c r="H30" s="103" cm="1">
        <f t="array" ref="H30">B30/F30*('tracking - Table 4'!$B$3-'tracking - Table 2-1-2'!$F$66)</f>
        <v>3397.152542372880</v>
      </c>
    </row>
    <row r="31" ht="20.35" customHeight="1">
      <c r="A31" t="s" s="17">
        <v>1431</v>
      </c>
      <c r="B31" s="18">
        <v>100</v>
      </c>
      <c r="C31" s="68">
        <v>3</v>
      </c>
      <c r="D31" s="68">
        <v>1.4</v>
      </c>
      <c r="E31" s="68">
        <v>4.5</v>
      </c>
      <c r="F31" s="68">
        <v>43</v>
      </c>
      <c r="G31" s="103" cm="1">
        <f t="array" ref="G31">'tracking - Table 2-1-2'!F$69*B31/F31</f>
        <v>5263.534883720930</v>
      </c>
      <c r="H31" s="103" cm="1">
        <f t="array" ref="H31">B31/F31*('tracking - Table 4'!$B$3-'tracking - Table 2-1-2'!$F$66)</f>
        <v>4661.209302325580</v>
      </c>
    </row>
    <row r="32" ht="20.35" customHeight="1">
      <c r="A32" t="s" s="17">
        <v>1432</v>
      </c>
      <c r="B32" s="18">
        <v>100</v>
      </c>
      <c r="C32" s="68">
        <v>6</v>
      </c>
      <c r="D32" s="68">
        <v>1.3</v>
      </c>
      <c r="E32" s="68">
        <v>4.9</v>
      </c>
      <c r="F32" s="164">
        <v>55</v>
      </c>
      <c r="G32" s="103" cm="1">
        <f t="array" ref="G32">'tracking - Table 2-1-2'!F$69*B32/F32</f>
        <v>4115.127272727270</v>
      </c>
      <c r="H32" s="103" cm="1">
        <f t="array" ref="H32">B32/F32*('tracking - Table 4'!$B$3-'tracking - Table 2-1-2'!$F$66)</f>
        <v>3644.218181818180</v>
      </c>
    </row>
    <row r="33" ht="20.35" customHeight="1">
      <c r="A33" t="s" s="17">
        <v>1433</v>
      </c>
      <c r="B33" s="18">
        <v>100</v>
      </c>
      <c r="C33" s="68">
        <v>6</v>
      </c>
      <c r="D33" s="68">
        <v>1.9</v>
      </c>
      <c r="E33" s="68">
        <v>6</v>
      </c>
      <c r="F33" s="68">
        <v>63</v>
      </c>
      <c r="G33" s="103" cm="1">
        <f t="array" ref="G33">'tracking - Table 2-1-2'!F$69*B33/F33</f>
        <v>3592.571428571430</v>
      </c>
      <c r="H33" s="103" cm="1">
        <f t="array" ref="H33">B33/F33*('tracking - Table 4'!$B$3-'tracking - Table 2-1-2'!$F$66)</f>
        <v>3181.460317460320</v>
      </c>
    </row>
    <row r="34" ht="20.35" customHeight="1">
      <c r="A34" t="s" s="17">
        <v>1434</v>
      </c>
      <c r="B34" s="18">
        <v>100</v>
      </c>
      <c r="C34" s="68">
        <v>6.1</v>
      </c>
      <c r="D34" s="68">
        <v>1.4</v>
      </c>
      <c r="E34" s="68">
        <v>5.4</v>
      </c>
      <c r="F34" s="68">
        <v>59</v>
      </c>
      <c r="G34" s="32"/>
      <c r="H34" s="32"/>
    </row>
    <row r="35" ht="20.35" customHeight="1">
      <c r="A35" s="28"/>
      <c r="B35" s="29"/>
      <c r="C35" s="68"/>
      <c r="D35" s="68"/>
      <c r="E35" s="68"/>
      <c r="F35" s="68"/>
      <c r="G35" s="68"/>
      <c r="H35" s="68"/>
    </row>
    <row r="36" ht="20.35" customHeight="1">
      <c r="A36" t="s" s="17">
        <v>1435</v>
      </c>
      <c r="B36" s="938">
        <v>85</v>
      </c>
      <c r="C36" s="68">
        <v>2</v>
      </c>
      <c r="D36" s="68">
        <v>4.5</v>
      </c>
      <c r="E36" s="68">
        <v>20</v>
      </c>
      <c r="F36" s="68">
        <v>150</v>
      </c>
      <c r="G36" s="68"/>
      <c r="H36" s="68"/>
    </row>
    <row r="37" ht="20.35" customHeight="1">
      <c r="A37" t="s" s="17">
        <v>1436</v>
      </c>
      <c r="B37" s="938">
        <v>100</v>
      </c>
      <c r="C37" s="68">
        <v>3</v>
      </c>
      <c r="D37" s="68">
        <v>5</v>
      </c>
      <c r="E37" s="68">
        <v>28</v>
      </c>
      <c r="F37" s="68">
        <v>164</v>
      </c>
      <c r="G37" s="68"/>
      <c r="H37" s="68"/>
    </row>
    <row r="38" ht="20.35" customHeight="1">
      <c r="A38" t="s" s="17">
        <v>1437</v>
      </c>
      <c r="B38" s="18">
        <v>11</v>
      </c>
      <c r="C38" s="68">
        <v>3.3</v>
      </c>
      <c r="D38" s="68">
        <v>15</v>
      </c>
      <c r="E38" s="68">
        <v>20</v>
      </c>
      <c r="F38" s="68">
        <v>133</v>
      </c>
      <c r="G38" s="103"/>
      <c r="H38" s="103"/>
    </row>
    <row r="39" ht="20.35" customHeight="1">
      <c r="A39" s="28"/>
      <c r="B39" s="29"/>
      <c r="C39" s="68"/>
      <c r="D39" s="68"/>
      <c r="E39" s="68"/>
      <c r="F39" s="68"/>
      <c r="G39" s="103"/>
      <c r="H39" s="103"/>
    </row>
    <row r="40" ht="20.35" customHeight="1">
      <c r="A40" t="s" s="17">
        <v>1438</v>
      </c>
      <c r="B40" s="938">
        <v>100</v>
      </c>
      <c r="C40" s="68">
        <v>2</v>
      </c>
      <c r="D40" s="68">
        <v>0.1</v>
      </c>
      <c r="E40" s="68">
        <v>17</v>
      </c>
      <c r="F40" s="164">
        <v>77</v>
      </c>
      <c r="G40" s="103"/>
      <c r="H40" s="103"/>
    </row>
    <row r="41" ht="20.35" customHeight="1">
      <c r="A41" t="s" s="17">
        <v>1439</v>
      </c>
      <c r="B41" s="938">
        <v>186</v>
      </c>
      <c r="C41" s="68">
        <v>4.4</v>
      </c>
      <c r="D41" s="68">
        <v>0.4</v>
      </c>
      <c r="E41" s="68">
        <v>53</v>
      </c>
      <c r="F41" s="164">
        <v>242</v>
      </c>
      <c r="G41" s="103"/>
      <c r="H41" s="103"/>
    </row>
    <row r="42" ht="20.35" customHeight="1">
      <c r="A42" s="28"/>
      <c r="B42" s="938">
        <v>100</v>
      </c>
      <c r="C42" s="103" cm="1">
        <f t="array" ref="C42">$B42/$B$41*C$41</f>
        <v>2.36559139784946</v>
      </c>
      <c r="D42" s="103" cm="1">
        <f t="array" ref="D42">$B42/$B$41*D$41</f>
        <v>0.21505376344086</v>
      </c>
      <c r="E42" s="103" cm="1">
        <f t="array" ref="E42">$B42/$B$41*E$41</f>
        <v>28.494623655914</v>
      </c>
      <c r="F42" s="103" cm="1">
        <f t="array" ref="F42">$B42/$B$41*F$41</f>
        <v>130.107526881720</v>
      </c>
      <c r="G42" s="103"/>
      <c r="H42" s="103"/>
    </row>
    <row r="43" ht="20.35" customHeight="1">
      <c r="A43" s="28"/>
      <c r="B43" s="938">
        <v>150</v>
      </c>
      <c r="C43" s="103" cm="1">
        <f t="array" ref="C43">$B43/$B$41*C$41</f>
        <v>3.54838709677419</v>
      </c>
      <c r="D43" s="103" cm="1">
        <f t="array" ref="D43">$B43/$B$41*D$41</f>
        <v>0.32258064516129</v>
      </c>
      <c r="E43" s="103" cm="1">
        <f t="array" ref="E43">$B43/$B$41*E$41</f>
        <v>42.741935483871</v>
      </c>
      <c r="F43" s="103" cm="1">
        <f t="array" ref="F43">$B43/$B$41*F$41</f>
        <v>195.161290322581</v>
      </c>
      <c r="G43" s="934"/>
      <c r="H43" s="934"/>
    </row>
    <row r="44" ht="20.35" customHeight="1">
      <c r="A44" s="28"/>
      <c r="B44" s="938">
        <v>200</v>
      </c>
      <c r="C44" s="103" cm="1">
        <f t="array" ref="C44">$B44/$B$41*C$41</f>
        <v>4.73118279569892</v>
      </c>
      <c r="D44" s="103" cm="1">
        <f t="array" ref="D44">$B44/$B$41*D$41</f>
        <v>0.43010752688172</v>
      </c>
      <c r="E44" s="103" cm="1">
        <f t="array" ref="E44">$B44/$B$41*E$41</f>
        <v>56.989247311828</v>
      </c>
      <c r="F44" s="103" cm="1">
        <f t="array" ref="F44">$B44/$B$41*F$41</f>
        <v>260.215053763441</v>
      </c>
      <c r="G44" s="32"/>
      <c r="H44" s="32"/>
    </row>
    <row r="45" ht="20.35" customHeight="1">
      <c r="A45" t="s" s="17">
        <v>1440</v>
      </c>
      <c r="B45" s="938">
        <v>100</v>
      </c>
      <c r="C45" s="103">
        <v>13</v>
      </c>
      <c r="D45" s="103">
        <v>2</v>
      </c>
      <c r="E45" s="103">
        <v>71</v>
      </c>
      <c r="F45" s="103">
        <v>359</v>
      </c>
      <c r="G45" s="32"/>
      <c r="H45" s="32"/>
    </row>
    <row r="46" ht="20.35" customHeight="1">
      <c r="A46" t="s" s="17">
        <v>1441</v>
      </c>
      <c r="B46" s="901">
        <v>1</v>
      </c>
      <c r="C46" s="103">
        <v>3.7</v>
      </c>
      <c r="D46" s="103">
        <v>2.7</v>
      </c>
      <c r="E46" s="103">
        <v>20.3</v>
      </c>
      <c r="F46" s="103">
        <v>121</v>
      </c>
      <c r="G46" s="32"/>
      <c r="H46" s="32"/>
    </row>
    <row r="47" ht="20.35" customHeight="1">
      <c r="A47" s="28"/>
      <c r="B47" s="29"/>
      <c r="C47" s="68"/>
      <c r="D47" s="68"/>
      <c r="E47" s="68"/>
      <c r="F47" s="68"/>
      <c r="G47" s="32"/>
      <c r="H47" s="32"/>
    </row>
    <row r="48" ht="20.35" customHeight="1">
      <c r="A48" t="s" s="17">
        <v>1442</v>
      </c>
      <c r="B48" s="938">
        <v>100</v>
      </c>
      <c r="C48" s="68">
        <v>0.6</v>
      </c>
      <c r="D48" s="68">
        <v>30.5</v>
      </c>
      <c r="E48" s="68">
        <v>7.5</v>
      </c>
      <c r="F48" s="68">
        <v>306</v>
      </c>
      <c r="G48" s="32"/>
      <c r="H48" s="32"/>
    </row>
    <row r="49" ht="20.35" customHeight="1">
      <c r="A49" t="s" s="17">
        <v>1443</v>
      </c>
      <c r="B49" s="938">
        <v>16</v>
      </c>
      <c r="C49" s="68">
        <v>0.3</v>
      </c>
      <c r="D49" s="68">
        <v>0.1</v>
      </c>
      <c r="E49" s="68">
        <v>4</v>
      </c>
      <c r="F49" s="68">
        <v>20</v>
      </c>
      <c r="G49" s="32"/>
      <c r="H49" s="32"/>
    </row>
    <row r="50" ht="20.35" customHeight="1">
      <c r="A50" t="s" s="17">
        <v>1444</v>
      </c>
      <c r="B50" s="938">
        <v>100</v>
      </c>
      <c r="C50" s="68">
        <v>0.9</v>
      </c>
      <c r="D50" s="68">
        <v>81</v>
      </c>
      <c r="E50" s="68">
        <v>0.1</v>
      </c>
      <c r="F50" s="68">
        <v>717</v>
      </c>
      <c r="G50" s="32"/>
      <c r="H50" s="32"/>
    </row>
    <row r="51" ht="20.35" customHeight="1">
      <c r="A51" t="s" s="17">
        <v>1445</v>
      </c>
      <c r="B51" s="938">
        <v>13.5</v>
      </c>
      <c r="C51" s="68">
        <v>0</v>
      </c>
      <c r="D51" s="68">
        <v>13.5</v>
      </c>
      <c r="E51" s="68">
        <v>0</v>
      </c>
      <c r="F51" s="68">
        <v>119</v>
      </c>
      <c r="G51" s="103"/>
      <c r="H51" s="103"/>
    </row>
    <row r="52" ht="20.35" customHeight="1">
      <c r="A52" t="s" s="17">
        <v>1446</v>
      </c>
      <c r="B52" s="938">
        <v>100</v>
      </c>
      <c r="C52" s="68">
        <v>1.1</v>
      </c>
      <c r="D52" s="68">
        <v>0</v>
      </c>
      <c r="E52" s="68">
        <v>3.6</v>
      </c>
      <c r="F52" s="68">
        <v>19</v>
      </c>
      <c r="G52" s="103"/>
      <c r="H52" s="103"/>
    </row>
    <row r="53" ht="20.35" customHeight="1">
      <c r="A53" t="s" s="17">
        <v>1447</v>
      </c>
      <c r="B53" s="938">
        <v>100</v>
      </c>
      <c r="C53" s="68">
        <v>0.3</v>
      </c>
      <c r="D53" s="68">
        <v>0.2</v>
      </c>
      <c r="E53" s="68">
        <v>14</v>
      </c>
      <c r="F53" s="68">
        <v>52</v>
      </c>
      <c r="G53" s="32"/>
      <c r="H53" s="32"/>
    </row>
    <row r="54" ht="20.35" customHeight="1">
      <c r="A54" s="28"/>
      <c r="B54" s="29"/>
      <c r="C54" s="68"/>
      <c r="D54" s="68"/>
      <c r="E54" s="68"/>
      <c r="F54" s="68"/>
      <c r="G54" s="103"/>
      <c r="H54" s="103"/>
    </row>
    <row r="55" ht="20.35" customHeight="1">
      <c r="A55" t="s" s="17">
        <v>1448</v>
      </c>
      <c r="B55" s="938">
        <v>20</v>
      </c>
      <c r="C55" s="68">
        <v>4.6</v>
      </c>
      <c r="D55" s="68">
        <v>9.4</v>
      </c>
      <c r="E55" s="68">
        <v>3.4</v>
      </c>
      <c r="F55" s="68">
        <v>117</v>
      </c>
      <c r="G55" s="68"/>
      <c r="H55" s="68"/>
    </row>
    <row r="56" ht="20.35" customHeight="1">
      <c r="A56" s="28"/>
      <c r="B56" s="29"/>
      <c r="C56" s="68"/>
      <c r="D56" s="68"/>
      <c r="E56" s="68"/>
      <c r="F56" s="68"/>
      <c r="G56" s="32"/>
      <c r="H56" s="32"/>
    </row>
    <row r="57" ht="20.35" customHeight="1">
      <c r="A57" t="s" s="17">
        <v>1449</v>
      </c>
      <c r="B57" s="938">
        <v>40</v>
      </c>
      <c r="C57" s="103" cm="1">
        <f t="array" ref="C57">C58*2</f>
        <v>10.24</v>
      </c>
      <c r="D57" s="103" cm="1">
        <f t="array" ref="D57">D58*2</f>
        <v>19.68</v>
      </c>
      <c r="E57" s="103" cm="1">
        <f t="array" ref="E57">E58*2</f>
        <v>6.52</v>
      </c>
      <c r="F57" s="103" cm="1">
        <f t="array" ref="F57">F58*2</f>
        <v>244</v>
      </c>
      <c r="G57" s="103" cm="1">
        <f t="array" ref="G57">'tracking - Table 2-1-2'!F$69*B57/F57</f>
        <v>371.036065573770</v>
      </c>
      <c r="H57" s="103" cm="1">
        <f t="array" ref="H57">B57/F57*('tracking - Table 4'!$B$3-'tracking - Table 2-1-2'!$F$66)</f>
        <v>328.577049180328</v>
      </c>
    </row>
    <row r="58" ht="20.35" customHeight="1">
      <c r="A58" s="28"/>
      <c r="B58" s="938">
        <v>20</v>
      </c>
      <c r="C58" s="103">
        <v>5.12</v>
      </c>
      <c r="D58" s="103">
        <v>9.84</v>
      </c>
      <c r="E58" s="103">
        <v>3.26</v>
      </c>
      <c r="F58" s="103">
        <v>122</v>
      </c>
      <c r="G58" s="32"/>
      <c r="H58" s="32"/>
    </row>
    <row r="59" ht="20.35" customHeight="1">
      <c r="A59" t="s" s="17">
        <v>1450</v>
      </c>
      <c r="B59" s="938">
        <v>100</v>
      </c>
      <c r="C59" s="103">
        <v>28.1</v>
      </c>
      <c r="D59" s="103">
        <v>46.5</v>
      </c>
      <c r="E59" s="103">
        <v>16.3</v>
      </c>
      <c r="F59" s="103">
        <v>595</v>
      </c>
      <c r="G59" s="103" cm="1">
        <f t="array" ref="G59">'tracking - Table 2-1-2'!F$69*B59/F59</f>
        <v>380.389915966387</v>
      </c>
      <c r="H59" s="103" cm="1">
        <f t="array" ref="H59">B59/F59*('tracking - Table 4'!$B$3-'tracking - Table 2-1-2'!$F$66)</f>
        <v>336.860504201681</v>
      </c>
    </row>
    <row r="60" ht="20.35" customHeight="1">
      <c r="A60" t="s" s="17">
        <v>1451</v>
      </c>
      <c r="B60" s="938">
        <v>42</v>
      </c>
      <c r="C60" s="103">
        <v>9</v>
      </c>
      <c r="D60" s="103">
        <v>11</v>
      </c>
      <c r="E60" s="103">
        <v>19</v>
      </c>
      <c r="F60" s="103">
        <v>210</v>
      </c>
      <c r="G60" s="103" cm="1">
        <f t="array" ref="G60">'tracking - Table 2-1-2'!F$69*B60/F60</f>
        <v>452.664</v>
      </c>
      <c r="H60" s="103" cm="1">
        <f t="array" ref="H60">B60/F60*('tracking - Table 4'!$B$3-'tracking - Table 2-1-2'!$F$66)</f>
        <v>400.864</v>
      </c>
    </row>
    <row r="61" ht="20.35" customHeight="1">
      <c r="A61" t="s" s="17">
        <v>1452</v>
      </c>
      <c r="B61" s="18">
        <v>100</v>
      </c>
      <c r="C61" s="68">
        <v>16.8</v>
      </c>
      <c r="D61" s="68">
        <v>47.8</v>
      </c>
      <c r="E61" s="68">
        <v>30.2</v>
      </c>
      <c r="F61" s="164">
        <v>581</v>
      </c>
      <c r="G61" s="103" cm="1">
        <f t="array" ref="G61">'tracking - Table 2-1-2'!F$69*B61/F61</f>
        <v>389.555938037866</v>
      </c>
      <c r="H61" s="103" cm="1">
        <f t="array" ref="H61">B61/F61*('tracking - Table 4'!$B$3-'tracking - Table 2-1-2'!$F$66)</f>
        <v>344.977624784854</v>
      </c>
    </row>
    <row r="62" ht="20.35" customHeight="1">
      <c r="A62" t="s" s="17">
        <v>1453</v>
      </c>
      <c r="B62" s="938">
        <v>40</v>
      </c>
      <c r="C62" s="68">
        <v>11.56</v>
      </c>
      <c r="D62" s="68">
        <v>12.48</v>
      </c>
      <c r="E62" s="68">
        <v>0.12</v>
      </c>
      <c r="F62" s="601">
        <v>163.2</v>
      </c>
      <c r="G62" s="103" cm="1">
        <f t="array" ref="G62">'tracking - Table 2-1-2'!F$69*B62/F62</f>
        <v>554.735294117647</v>
      </c>
      <c r="H62" s="103" cm="1">
        <f t="array" ref="H62">B62/F62*('tracking - Table 4'!$B$3-'tracking - Table 2-1-2'!$F$66)</f>
        <v>491.254901960784</v>
      </c>
    </row>
    <row r="63" ht="20.35" customHeight="1">
      <c r="A63" t="s" s="17">
        <v>1454</v>
      </c>
      <c r="B63" s="938">
        <v>30</v>
      </c>
      <c r="C63" s="68">
        <v>9.9</v>
      </c>
      <c r="D63" s="68">
        <v>8.4</v>
      </c>
      <c r="E63" s="68">
        <v>0</v>
      </c>
      <c r="F63" s="164">
        <v>118</v>
      </c>
      <c r="G63" s="103" cm="1">
        <f t="array" ref="G63">'tracking - Table 2-1-2'!F$69*B63/F63</f>
        <v>575.420338983051</v>
      </c>
      <c r="H63" s="103" cm="1">
        <f t="array" ref="H63">B63/F63*('tracking - Table 4'!$B$3-'tracking - Table 2-1-2'!$F$66)</f>
        <v>509.572881355932</v>
      </c>
    </row>
    <row r="64" ht="20.35" customHeight="1">
      <c r="A64" t="s" s="17">
        <v>1455</v>
      </c>
      <c r="B64" s="938">
        <v>100</v>
      </c>
      <c r="C64" s="68">
        <v>19.5</v>
      </c>
      <c r="D64" s="68">
        <v>20</v>
      </c>
      <c r="E64" s="68">
        <v>1</v>
      </c>
      <c r="F64" s="164">
        <v>214</v>
      </c>
      <c r="G64" s="103" cm="1">
        <f t="array" ref="G64">'tracking - Table 2-1-2'!F$69*B64/F64</f>
        <v>1057.6261682243</v>
      </c>
      <c r="H64" s="103" cm="1">
        <f t="array" ref="H64">B64/F64*('tracking - Table 4'!$B$3-'tracking - Table 2-1-2'!$F$66)</f>
        <v>936.598130841121</v>
      </c>
    </row>
    <row r="65" ht="20.35" customHeight="1">
      <c r="A65" t="s" s="17">
        <v>1456</v>
      </c>
      <c r="B65" s="938">
        <v>100</v>
      </c>
      <c r="C65" s="68">
        <v>14.7</v>
      </c>
      <c r="D65" s="68">
        <v>21.9</v>
      </c>
      <c r="E65" s="68">
        <v>0.8</v>
      </c>
      <c r="F65" s="164">
        <v>259</v>
      </c>
      <c r="G65" s="103" cm="1">
        <f t="array" ref="G65">'tracking - Table 2-1-2'!F$69*B65/F65</f>
        <v>873.868725868726</v>
      </c>
      <c r="H65" s="103" cm="1">
        <f t="array" ref="H65">B65/F65*('tracking - Table 4'!$B$3-'tracking - Table 2-1-2'!$F$66)</f>
        <v>773.868725868726</v>
      </c>
    </row>
    <row r="66" ht="20.35" customHeight="1">
      <c r="A66" s="28"/>
      <c r="B66" s="29"/>
      <c r="C66" s="68"/>
      <c r="D66" s="68"/>
      <c r="E66" s="68"/>
      <c r="F66" s="164"/>
      <c r="G66" s="32"/>
      <c r="H66" s="32"/>
    </row>
    <row r="67" ht="20.35" customHeight="1">
      <c r="A67" t="s" s="17">
        <v>1457</v>
      </c>
      <c r="B67" s="18">
        <v>355</v>
      </c>
      <c r="C67" s="68">
        <v>1.1</v>
      </c>
      <c r="D67" s="68">
        <v>0</v>
      </c>
      <c r="E67" s="68">
        <v>13.7</v>
      </c>
      <c r="F67" s="164">
        <v>151</v>
      </c>
      <c r="G67" s="103" cm="1">
        <f t="array" ref="G67">'tracking - Table 2-1-2'!F$69*B67/F67</f>
        <v>5321.050331125830</v>
      </c>
      <c r="H67" s="103" cm="1">
        <f t="array" ref="H67">B67/F67*('tracking - Table 4'!$B$3-'tracking - Table 2-1-2'!$F$66)</f>
        <v>4712.143046357620</v>
      </c>
    </row>
    <row r="68" ht="20.35" customHeight="1">
      <c r="A68" s="28"/>
      <c r="B68" s="29"/>
      <c r="C68" s="68"/>
      <c r="D68" s="68"/>
      <c r="E68" s="68"/>
      <c r="F68" s="164"/>
      <c r="G68" s="103"/>
      <c r="H68" s="103"/>
    </row>
    <row r="69" ht="20.35" customHeight="1">
      <c r="A69" t="s" s="17">
        <v>1458</v>
      </c>
      <c r="B69" s="18">
        <v>100</v>
      </c>
      <c r="C69" s="68">
        <v>0</v>
      </c>
      <c r="D69" s="68">
        <v>0</v>
      </c>
      <c r="E69" s="68">
        <v>11</v>
      </c>
      <c r="F69" s="164">
        <v>44</v>
      </c>
      <c r="G69" s="103" cm="1">
        <f t="array" ref="G69">'tracking - Table 2-1-2'!F$69*B69/F69</f>
        <v>5143.909090909090</v>
      </c>
      <c r="H69" s="103" cm="1">
        <f t="array" ref="H69">B69/F69*('tracking - Table 4'!$B$3-'tracking - Table 2-1-2'!$F$66)</f>
        <v>4555.272727272730</v>
      </c>
    </row>
    <row r="70" ht="20.35" customHeight="1">
      <c r="A70" s="28"/>
      <c r="B70" t="s" s="602">
        <v>1459</v>
      </c>
      <c r="C70" s="68">
        <v>0</v>
      </c>
      <c r="D70" s="68">
        <v>0</v>
      </c>
      <c r="E70" s="68" cm="1">
        <f t="array" ref="E70">E69*2.5</f>
        <v>27.5</v>
      </c>
      <c r="F70" s="68" cm="1">
        <f t="array" ref="F70">F69*2.5</f>
        <v>110</v>
      </c>
      <c r="G70" s="32"/>
      <c r="H70" s="32"/>
    </row>
    <row r="71" ht="20.35" customHeight="1">
      <c r="A71" s="28"/>
      <c r="B71" t="s" s="602">
        <v>1460</v>
      </c>
      <c r="C71" s="68">
        <v>0</v>
      </c>
      <c r="D71" s="68">
        <v>0</v>
      </c>
      <c r="E71" s="68" cm="1">
        <f t="array" ref="E71">E69*3.5</f>
        <v>38.5</v>
      </c>
      <c r="F71" s="68" cm="1">
        <f t="array" ref="F71">F69*3.5</f>
        <v>154</v>
      </c>
      <c r="G71" s="32"/>
      <c r="H71" s="32"/>
    </row>
    <row r="72" ht="20.35" customHeight="1">
      <c r="A72" s="28"/>
      <c r="B72" s="29"/>
      <c r="C72" s="68"/>
      <c r="D72" s="68"/>
      <c r="E72" s="68"/>
      <c r="F72" s="68"/>
      <c r="G72" s="32"/>
      <c r="H72" s="32"/>
    </row>
    <row r="73" ht="20.35" customHeight="1">
      <c r="A73" t="s" s="17">
        <v>1461</v>
      </c>
      <c r="B73" s="18">
        <v>1</v>
      </c>
      <c r="C73" s="68">
        <v>37.45</v>
      </c>
      <c r="D73" s="68">
        <v>17.75</v>
      </c>
      <c r="E73" s="68">
        <v>24</v>
      </c>
      <c r="F73" s="68">
        <v>393.26</v>
      </c>
      <c r="G73" s="32"/>
      <c r="H73" s="32"/>
    </row>
    <row r="74" ht="20.35" customHeight="1">
      <c r="A74" t="s" s="17">
        <v>1462</v>
      </c>
      <c r="B74" s="18">
        <v>1</v>
      </c>
      <c r="C74" s="68">
        <v>68.90000000000001</v>
      </c>
      <c r="D74" s="68">
        <v>30.5</v>
      </c>
      <c r="E74" s="68">
        <v>25</v>
      </c>
      <c r="F74" s="68">
        <v>630.8099999999999</v>
      </c>
      <c r="G74" s="32"/>
      <c r="H74" s="32"/>
    </row>
    <row r="75" ht="20.35" customHeight="1">
      <c r="A75" s="28"/>
      <c r="B75" s="29"/>
      <c r="C75" s="68"/>
      <c r="D75" s="68"/>
      <c r="E75" s="68"/>
      <c r="F75" s="68"/>
      <c r="G75" s="32"/>
      <c r="H75" s="32"/>
    </row>
    <row r="76" ht="20.35" customHeight="1">
      <c r="A76" t="s" s="17">
        <v>1463</v>
      </c>
      <c r="B76" s="18">
        <v>1</v>
      </c>
      <c r="C76" s="68">
        <v>29</v>
      </c>
      <c r="D76" s="68">
        <v>26</v>
      </c>
      <c r="E76" s="68">
        <v>37</v>
      </c>
      <c r="F76" s="68">
        <v>500</v>
      </c>
      <c r="G76" s="32"/>
      <c r="H76" s="32"/>
    </row>
    <row r="77" ht="20.35" customHeight="1">
      <c r="A77" t="s" s="17">
        <v>1464</v>
      </c>
      <c r="B77" s="18">
        <v>1</v>
      </c>
      <c r="C77" s="68">
        <v>48</v>
      </c>
      <c r="D77" s="68">
        <v>43</v>
      </c>
      <c r="E77" s="68">
        <v>37</v>
      </c>
      <c r="F77" s="68">
        <v>720</v>
      </c>
      <c r="G77" s="32"/>
      <c r="H77" s="32"/>
    </row>
    <row r="78" ht="20.35" customHeight="1">
      <c r="A78" t="s" s="17">
        <v>1465</v>
      </c>
      <c r="B78" s="18">
        <v>10</v>
      </c>
      <c r="C78" s="68">
        <v>27</v>
      </c>
      <c r="D78" s="68">
        <v>22</v>
      </c>
      <c r="E78" s="68">
        <v>20</v>
      </c>
      <c r="F78" s="68">
        <v>386</v>
      </c>
      <c r="G78" s="32"/>
      <c r="H78" s="32"/>
    </row>
    <row r="79" ht="20.35" customHeight="1">
      <c r="A79" t="s" s="17">
        <v>1466</v>
      </c>
      <c r="B79" s="18">
        <v>80</v>
      </c>
      <c r="C79" s="68">
        <v>3</v>
      </c>
      <c r="D79" s="68">
        <v>13</v>
      </c>
      <c r="E79" s="68">
        <v>26</v>
      </c>
      <c r="F79" s="68">
        <v>234</v>
      </c>
      <c r="G79" s="32"/>
      <c r="H79" s="32"/>
    </row>
    <row r="80" ht="20.35" customHeight="1">
      <c r="A80" t="s" s="17">
        <v>1467</v>
      </c>
      <c r="B80" s="18">
        <v>116</v>
      </c>
      <c r="C80" s="68">
        <v>5</v>
      </c>
      <c r="D80" s="68">
        <v>19</v>
      </c>
      <c r="E80" s="68">
        <v>38</v>
      </c>
      <c r="F80" s="68">
        <v>339</v>
      </c>
      <c r="G80" s="32"/>
      <c r="H80"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2.xml><?xml version="1.0" encoding="utf-8"?>
<worksheet xmlns:r="http://schemas.openxmlformats.org/officeDocument/2006/relationships" xmlns="http://schemas.openxmlformats.org/spreadsheetml/2006/main">
  <sheetPr>
    <pageSetUpPr fitToPage="1"/>
  </sheetPr>
  <dimension ref="A1:F70"/>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6" width="16.3516" style="939" customWidth="1"/>
    <col min="7" max="16384" width="16.3516" style="939" customWidth="1"/>
  </cols>
  <sheetData>
    <row r="1" ht="20.55" customHeight="1">
      <c r="A1" s="7"/>
      <c r="B1" t="s" s="8">
        <v>1470</v>
      </c>
      <c r="C1" t="s" s="8">
        <v>1401</v>
      </c>
      <c r="D1" t="s" s="8">
        <v>1402</v>
      </c>
      <c r="E1" t="s" s="8">
        <v>1393</v>
      </c>
      <c r="F1" t="s" s="8">
        <v>1403</v>
      </c>
    </row>
    <row r="2" ht="20.55" customHeight="1">
      <c r="A2" t="s" s="10">
        <v>1471</v>
      </c>
      <c r="B2" s="11"/>
      <c r="C2" s="937" cm="1">
        <f t="array" ref="C2">'tracking - Table 2-1'!C25*$B$2/'tracking - Table 2-1'!$B$25</f>
        <v>0</v>
      </c>
      <c r="D2" s="937" cm="1">
        <f t="array" ref="D2">'tracking - Table 2-1'!D25*$B$2/'tracking - Table 2-1'!$B$25</f>
        <v>0</v>
      </c>
      <c r="E2" s="937" cm="1">
        <f t="array" ref="E2">'tracking - Table 2-1'!E25*$B$2/'tracking - Table 2-1'!$B$25</f>
        <v>0</v>
      </c>
      <c r="F2" s="937" cm="1">
        <f t="array" ref="F2">'tracking - Table 2-1'!F25*$B$2/'tracking - Table 2-1'!$B$25</f>
        <v>0</v>
      </c>
    </row>
    <row r="3" ht="20.35" customHeight="1">
      <c r="A3" t="s" s="17">
        <v>1472</v>
      </c>
      <c r="B3" s="18">
        <v>2</v>
      </c>
      <c r="C3" s="68" cm="1">
        <f t="array" ref="C3">'tracking - Table 2-1'!C23*$B$3</f>
        <v>14</v>
      </c>
      <c r="D3" s="68" cm="1">
        <f t="array" ref="D3">'tracking - Table 2-1'!D23*$B$3</f>
        <v>9.199999999999999</v>
      </c>
      <c r="E3" s="68" cm="1">
        <f t="array" ref="E3">'tracking - Table 2-1'!E23*$B$3</f>
        <v>4.2</v>
      </c>
      <c r="F3" s="68" cm="1">
        <f t="array" ref="F3">'tracking - Table 2-1'!F23*$B$3</f>
        <v>150</v>
      </c>
    </row>
    <row r="4" ht="20.35" customHeight="1">
      <c r="A4" t="s" s="17">
        <v>1473</v>
      </c>
      <c r="B4" s="18"/>
      <c r="C4" s="68" cm="1">
        <f t="array" ref="C4">'tracking - Table 2-1'!C24*$B$4</f>
        <v>0</v>
      </c>
      <c r="D4" s="68" cm="1">
        <f t="array" ref="D4">'tracking - Table 2-1'!D24*$B$4</f>
        <v>0</v>
      </c>
      <c r="E4" s="68" cm="1">
        <f t="array" ref="E4">'tracking - Table 2-1'!E24*$B$4</f>
        <v>0</v>
      </c>
      <c r="F4" s="68" cm="1">
        <f t="array" ref="F4">'tracking - Table 2-1'!F24*$B$4</f>
        <v>0</v>
      </c>
    </row>
    <row r="5" ht="20.35" customHeight="1">
      <c r="A5" s="28"/>
      <c r="B5" s="18"/>
      <c r="C5" s="68"/>
      <c r="D5" s="68"/>
      <c r="E5" s="68"/>
      <c r="F5" s="164"/>
    </row>
    <row r="6" ht="20.35" customHeight="1">
      <c r="A6" t="s" s="17">
        <v>1474</v>
      </c>
      <c r="B6" s="18"/>
      <c r="C6" s="103" cm="1">
        <f t="array" ref="C6">'tracking - Table 2-1'!C15*$B6/'tracking - Table 2-1'!$B$15</f>
        <v>0</v>
      </c>
      <c r="D6" s="103" cm="1">
        <f t="array" ref="D6">'tracking - Table 2-1'!D15*$B6/'tracking - Table 2-1'!$B$15</f>
        <v>0</v>
      </c>
      <c r="E6" s="103" cm="1">
        <f t="array" ref="E6">'tracking - Table 2-1'!E15*$B6/'tracking - Table 2-1'!$B$15</f>
        <v>0</v>
      </c>
      <c r="F6" s="103" cm="1">
        <f t="array" ref="F6">'tracking - Table 2-1'!F15*$B6/'tracking - Table 2-1'!$B$15</f>
        <v>0</v>
      </c>
    </row>
    <row r="7" ht="20.35" customHeight="1">
      <c r="A7" t="s" s="17">
        <v>1419</v>
      </c>
      <c r="B7" s="18"/>
      <c r="C7" s="103" cm="1">
        <f t="array" ref="C7">'tracking - Table 2-1'!C16*$B7/'tracking - Table 2-1'!$B$16</f>
        <v>0</v>
      </c>
      <c r="D7" s="103" cm="1">
        <f t="array" ref="D7">'tracking - Table 2-1'!D16*$B7/'tracking - Table 2-1'!$B$16</f>
        <v>0</v>
      </c>
      <c r="E7" s="103" cm="1">
        <f t="array" ref="E7">'tracking - Table 2-1'!E16*$B7/'tracking - Table 2-1'!$B$16</f>
        <v>0</v>
      </c>
      <c r="F7" s="103" cm="1">
        <f t="array" ref="F7">'tracking - Table 2-1'!F16*$B7/'tracking - Table 2-1'!$B$16</f>
        <v>0</v>
      </c>
    </row>
    <row r="8" ht="20.35" customHeight="1">
      <c r="A8" t="s" s="17">
        <v>1475</v>
      </c>
      <c r="B8" s="18"/>
      <c r="C8" s="103" cm="1">
        <f t="array" ref="C8">'tracking - Table 2-1'!C14*$B8/'tracking - Table 2-1'!$B$14</f>
        <v>0</v>
      </c>
      <c r="D8" s="103" cm="1">
        <f t="array" ref="D8">'tracking - Table 2-1'!D14*$B8/'tracking - Table 2-1'!$B$14</f>
        <v>0</v>
      </c>
      <c r="E8" s="103" cm="1">
        <f t="array" ref="E8">'tracking - Table 2-1'!E14*$B8/'tracking - Table 2-1'!$B$14</f>
        <v>0</v>
      </c>
      <c r="F8" s="103" cm="1">
        <f t="array" ref="F8">'tracking - Table 2-1'!F14*$B8/'tracking - Table 2-1'!$B$14</f>
        <v>0</v>
      </c>
    </row>
    <row r="9" ht="20.35" customHeight="1">
      <c r="A9" t="s" s="17">
        <v>1476</v>
      </c>
      <c r="B9" s="18"/>
      <c r="C9" s="103" cm="1">
        <f t="array" ref="C9">'tracking - Table 2-1'!C5*$B9/'tracking - Table 2-1'!$B5</f>
        <v>0</v>
      </c>
      <c r="D9" s="103" cm="1">
        <f t="array" ref="D9">'tracking - Table 2-1'!D5*$B$9/'tracking - Table 2-1'!$B$5</f>
        <v>0</v>
      </c>
      <c r="E9" s="103" cm="1">
        <f t="array" ref="E9">'tracking - Table 2-1'!E5*$B$9/'tracking - Table 2-1'!$B$5</f>
        <v>0</v>
      </c>
      <c r="F9" s="103" cm="1">
        <f t="array" ref="F9">'tracking - Table 2-1'!F5*$B$9/'tracking - Table 2-1'!$B$5</f>
        <v>0</v>
      </c>
    </row>
    <row r="10" ht="20.35" customHeight="1">
      <c r="A10" t="s" s="17">
        <v>1477</v>
      </c>
      <c r="B10" s="29"/>
      <c r="C10" s="103" cm="1">
        <f t="array" ref="C10">'tracking - Table 2-1'!C6*$B10/'tracking - Table 2-1'!$B6</f>
        <v>0</v>
      </c>
      <c r="D10" s="103" cm="1">
        <f t="array" ref="D10">'tracking - Table 2-1'!D6*$B10/'tracking - Table 2-1'!$B6</f>
        <v>0</v>
      </c>
      <c r="E10" s="103" cm="1">
        <f t="array" ref="E10">'tracking - Table 2-1'!E6*$B10/'tracking - Table 2-1'!$B6</f>
        <v>0</v>
      </c>
      <c r="F10" s="103" cm="1">
        <f t="array" ref="F10">'tracking - Table 2-1'!F6*$B10/'tracking - Table 2-1'!$B6</f>
        <v>0</v>
      </c>
    </row>
    <row r="11" ht="20.35" customHeight="1">
      <c r="A11" t="s" s="17">
        <v>1478</v>
      </c>
      <c r="B11" s="18"/>
      <c r="C11" s="103" cm="1">
        <f t="array" ref="C11">'tracking - Table 2-1'!C7*$B11/'tracking - Table 2-1'!$B7</f>
        <v>0</v>
      </c>
      <c r="D11" s="103" cm="1">
        <f t="array" ref="D11">'tracking - Table 2-1'!D7*$B11/'tracking - Table 2-1'!$B7</f>
        <v>0</v>
      </c>
      <c r="E11" s="103" cm="1">
        <f t="array" ref="E11">'tracking - Table 2-1'!E7*$B11/'tracking - Table 2-1'!$B7</f>
        <v>0</v>
      </c>
      <c r="F11" s="103" cm="1">
        <f t="array" ref="F11">'tracking - Table 2-1'!F7*$B11/'tracking - Table 2-1'!$B7</f>
        <v>0</v>
      </c>
    </row>
    <row r="12" ht="20.35" customHeight="1">
      <c r="A12" t="s" s="17">
        <v>1479</v>
      </c>
      <c r="B12" s="18"/>
      <c r="C12" s="103" cm="1">
        <f t="array" ref="C12">'tracking - Table 2-1'!C4*$B$12/'tracking - Table 2-1'!$B$4</f>
        <v>0</v>
      </c>
      <c r="D12" s="103" cm="1">
        <f t="array" ref="D12">'tracking - Table 2-1'!D4*$B$12/'tracking - Table 2-1'!$B$4</f>
        <v>0</v>
      </c>
      <c r="E12" s="103" cm="1">
        <f t="array" ref="E12">'tracking - Table 2-1'!E4*$B$12/'tracking - Table 2-1'!$B$4</f>
        <v>0</v>
      </c>
      <c r="F12" s="103" cm="1">
        <f t="array" ref="F12">'tracking - Table 2-1'!F4*$B$12/'tracking - Table 2-1'!$B$4</f>
        <v>0</v>
      </c>
    </row>
    <row r="13" ht="20.35" customHeight="1">
      <c r="A13" t="s" s="17">
        <v>1480</v>
      </c>
      <c r="B13" s="18">
        <v>180</v>
      </c>
      <c r="C13" s="103" cm="1">
        <f t="array" ref="C13">'tracking - Table 2-1'!C8*$B13/'tracking - Table 2-1'!$B8</f>
        <v>34.74</v>
      </c>
      <c r="D13" s="103" cm="1">
        <f t="array" ref="D13">'tracking - Table 2-1'!D8*$B13/'tracking - Table 2-1'!$B8</f>
        <v>15.48</v>
      </c>
      <c r="E13" s="103" cm="1">
        <f t="array" ref="E13">'tracking - Table 2-1'!E8*$B13/'tracking - Table 2-1'!$B8</f>
        <v>0.36</v>
      </c>
      <c r="F13" s="103" cm="1">
        <f t="array" ref="F13">'tracking - Table 2-1'!F8*$B13/'tracking - Table 2-1'!$B8</f>
        <v>279</v>
      </c>
    </row>
    <row r="14" ht="20.35" customHeight="1">
      <c r="A14" t="s" s="17">
        <v>1481</v>
      </c>
      <c r="B14" s="18"/>
      <c r="C14" s="103"/>
      <c r="D14" s="103"/>
      <c r="E14" s="103"/>
      <c r="F14" s="103"/>
    </row>
    <row r="15" ht="20.35" customHeight="1">
      <c r="A15" t="s" s="17">
        <v>1482</v>
      </c>
      <c r="B15" s="18"/>
      <c r="C15" s="103" cm="1">
        <f t="array" ref="C15">'tracking - Table 2-1'!C10*$B15/'tracking - Table 2-1'!$B10</f>
        <v>0</v>
      </c>
      <c r="D15" s="103" cm="1">
        <f t="array" ref="D15">'tracking - Table 2-1'!D10*$B15/'tracking - Table 2-1'!$B10</f>
        <v>0</v>
      </c>
      <c r="E15" s="103" cm="1">
        <f t="array" ref="E15">'tracking - Table 2-1'!E10*$B15/'tracking - Table 2-1'!$B10</f>
        <v>0</v>
      </c>
      <c r="F15" s="103" cm="1">
        <f t="array" ref="F15">'tracking - Table 2-1'!F10*$B15/'tracking - Table 2-1'!$B10</f>
        <v>0</v>
      </c>
    </row>
    <row r="16" ht="20.35" customHeight="1">
      <c r="A16" t="s" s="17">
        <v>1483</v>
      </c>
      <c r="B16" s="18"/>
      <c r="C16" s="103" cm="1">
        <f t="array" ref="C16">'tracking - Table 2-1'!C11*$B16/'tracking - Table 2-1'!$B11</f>
        <v>0</v>
      </c>
      <c r="D16" s="103" cm="1">
        <f t="array" ref="D16">'tracking - Table 2-1'!D11*$B16/'tracking - Table 2-1'!$B11</f>
        <v>0</v>
      </c>
      <c r="E16" s="103" cm="1">
        <f t="array" ref="E16">'tracking - Table 2-1'!E11*$B16/'tracking - Table 2-1'!$B11</f>
        <v>0</v>
      </c>
      <c r="F16" s="103" cm="1">
        <f t="array" ref="F16">'tracking - Table 2-1'!F11*$B16/'tracking - Table 2-1'!$B11</f>
        <v>0</v>
      </c>
    </row>
    <row r="17" ht="20.35" customHeight="1">
      <c r="A17" t="s" s="17">
        <v>1484</v>
      </c>
      <c r="B17" s="18"/>
      <c r="C17" s="103" cm="1">
        <f t="array" ref="C17">'tracking - Table 2-1'!C12*$B17/'tracking - Table 2-1'!$B12</f>
        <v>0</v>
      </c>
      <c r="D17" s="103" cm="1">
        <f t="array" ref="D17">'tracking - Table 2-1'!D12*$B17/'tracking - Table 2-1'!$B12</f>
        <v>0</v>
      </c>
      <c r="E17" s="103" cm="1">
        <f t="array" ref="E17">'tracking - Table 2-1'!E12*$B17/'tracking - Table 2-1'!$B12</f>
        <v>0</v>
      </c>
      <c r="F17" s="103" cm="1">
        <f t="array" ref="F17">'tracking - Table 2-1'!F12*$B17/'tracking - Table 2-1'!$B12</f>
        <v>0</v>
      </c>
    </row>
    <row r="18" ht="20.35" customHeight="1">
      <c r="A18" t="s" s="17">
        <v>1485</v>
      </c>
      <c r="B18" s="18"/>
      <c r="C18" s="103" cm="1">
        <f t="array" ref="C18">'tracking - Table 2-1'!C13*$B18/'tracking - Table 2-1'!$B13</f>
        <v>0</v>
      </c>
      <c r="D18" s="103" cm="1">
        <f t="array" ref="D18">'tracking - Table 2-1'!D13*$B18/'tracking - Table 2-1'!$B13</f>
        <v>0</v>
      </c>
      <c r="E18" s="103" cm="1">
        <f t="array" ref="E18">'tracking - Table 2-1'!E13*$B18/'tracking - Table 2-1'!$B13</f>
        <v>0</v>
      </c>
      <c r="F18" s="103" cm="1">
        <f t="array" ref="F18">'tracking - Table 2-1'!F13*$B18/'tracking - Table 2-1'!$B13</f>
        <v>0</v>
      </c>
    </row>
    <row r="19" ht="20.35" customHeight="1">
      <c r="A19" t="s" s="17">
        <v>1486</v>
      </c>
      <c r="B19" s="18"/>
      <c r="C19" s="103" cm="1">
        <f t="array" ref="C19">'tracking - Table 2-1'!C18*$B$19/'tracking - Table 2-1'!$B$18</f>
        <v>0</v>
      </c>
      <c r="D19" s="103" cm="1">
        <f t="array" ref="D19">'tracking - Table 2-1'!D18*$B$19/'tracking - Table 2-1'!$B$18</f>
        <v>0</v>
      </c>
      <c r="E19" s="103" cm="1">
        <f t="array" ref="E19">'tracking - Table 2-1'!E18*$B$19/'tracking - Table 2-1'!$B$18</f>
        <v>0</v>
      </c>
      <c r="F19" s="103" cm="1">
        <f t="array" ref="F19">'tracking - Table 2-1'!F18*$B$19/'tracking - Table 2-1'!$B$18</f>
        <v>0</v>
      </c>
    </row>
    <row r="20" ht="20.35" customHeight="1">
      <c r="A20" t="s" s="17">
        <v>1487</v>
      </c>
      <c r="B20" s="18"/>
      <c r="C20" s="103" cm="1">
        <f t="array" ref="C20">'tracking - Table 2-1'!C42*$B20/'tracking - Table 2-1'!$B42</f>
        <v>0</v>
      </c>
      <c r="D20" s="103" cm="1">
        <f t="array" ref="D20">'tracking - Table 2-1'!D42*$B$20/'tracking - Table 2-1'!$B$42</f>
        <v>0</v>
      </c>
      <c r="E20" s="103" cm="1">
        <f t="array" ref="E20">'tracking - Table 2-1'!E42*$B$20/'tracking - Table 2-1'!$B$42</f>
        <v>0</v>
      </c>
      <c r="F20" s="103" cm="1">
        <f t="array" ref="F20">'tracking - Table 2-1'!F42*$B$20/'tracking - Table 2-1'!$B$42</f>
        <v>0</v>
      </c>
    </row>
    <row r="21" ht="20.35" customHeight="1">
      <c r="A21" t="s" s="17">
        <v>1488</v>
      </c>
      <c r="B21" s="18"/>
      <c r="C21" s="103" cm="1">
        <f t="array" ref="C21">'tracking - Table 2-1'!C45*$B21/'tracking - Table 2-1'!$B45</f>
        <v>0</v>
      </c>
      <c r="D21" s="103" cm="1">
        <f t="array" ref="D21">'tracking - Table 2-1'!D45*$B21/'tracking - Table 2-1'!$B45</f>
        <v>0</v>
      </c>
      <c r="E21" s="103" cm="1">
        <f t="array" ref="E21">'tracking - Table 2-1'!E45*$B21/'tracking - Table 2-1'!$B45</f>
        <v>0</v>
      </c>
      <c r="F21" s="103" cm="1">
        <f t="array" ref="F21">'tracking - Table 2-1'!F45*$B21/'tracking - Table 2-1'!$B45</f>
        <v>0</v>
      </c>
    </row>
    <row r="22" ht="20.35" customHeight="1">
      <c r="A22" t="s" s="17">
        <v>1489</v>
      </c>
      <c r="B22" s="18"/>
      <c r="C22" s="68" cm="1">
        <f t="array" ref="C22">'tracking - Table 2-1'!C40*$B22/'tracking - Table 2-1'!$B40</f>
        <v>0</v>
      </c>
      <c r="D22" s="68" cm="1">
        <f t="array" ref="D22">'tracking - Table 2-1'!D40*$B22/'tracking - Table 2-1'!$B40</f>
        <v>0</v>
      </c>
      <c r="E22" s="68" cm="1">
        <f t="array" ref="E22">'tracking - Table 2-1'!E40*$B22/'tracking - Table 2-1'!$B40</f>
        <v>0</v>
      </c>
      <c r="F22" s="68" cm="1">
        <f t="array" ref="F22">'tracking - Table 2-1'!F40*$B22/'tracking - Table 2-1'!$B40</f>
        <v>0</v>
      </c>
    </row>
    <row r="23" ht="20.35" customHeight="1">
      <c r="A23" t="s" s="17">
        <v>1490</v>
      </c>
      <c r="B23" s="18"/>
      <c r="C23" s="103" cm="1">
        <f t="array" ref="C23">'tracking - Table 2-1'!C52*$B$23/'tracking - Table 2-1'!$B$52</f>
        <v>0</v>
      </c>
      <c r="D23" s="103" cm="1">
        <f t="array" ref="D23">'tracking - Table 2-1'!D52*$B$23/'tracking - Table 2-1'!$B$52</f>
        <v>0</v>
      </c>
      <c r="E23" s="103" cm="1">
        <f t="array" ref="E23">'tracking - Table 2-1'!E52*$B$23/'tracking - Table 2-1'!$B$52</f>
        <v>0</v>
      </c>
      <c r="F23" s="103" cm="1">
        <f t="array" ref="F23">'tracking - Table 2-1'!F52*$B$23/'tracking - Table 2-1'!$B$52</f>
        <v>0</v>
      </c>
    </row>
    <row r="24" ht="20.35" customHeight="1">
      <c r="A24" t="s" s="17">
        <v>1491</v>
      </c>
      <c r="B24" s="18"/>
      <c r="C24" s="68" cm="1">
        <f t="array" ref="C24">'tracking - Table 2-1'!C51*$B24/'tracking - Table 2-1'!$B51</f>
        <v>0</v>
      </c>
      <c r="D24" s="68" cm="1">
        <f t="array" ref="D24">'tracking - Table 2-1'!D51*$B$24/'tracking - Table 2-1'!$B$51</f>
        <v>0</v>
      </c>
      <c r="E24" s="68" cm="1">
        <f t="array" ref="E24">'tracking - Table 2-1'!E51*$B$24/'tracking - Table 2-1'!$B$51</f>
        <v>0</v>
      </c>
      <c r="F24" s="103" cm="1">
        <f t="array" ref="F24">'tracking - Table 2-1'!F51*$B$24/'tracking - Table 2-1'!$B$51</f>
        <v>0</v>
      </c>
    </row>
    <row r="25" ht="20.35" customHeight="1">
      <c r="A25" t="s" s="17">
        <v>1492</v>
      </c>
      <c r="B25" s="18">
        <v>4</v>
      </c>
      <c r="C25" s="103" cm="1">
        <f t="array" ref="C25">'tracking - Table 2-1'!C50*$B25/'tracking - Table 2-1'!$B50</f>
        <v>0.036</v>
      </c>
      <c r="D25" s="103" cm="1">
        <f t="array" ref="D25">'tracking - Table 2-1'!D50*$B25/'tracking - Table 2-1'!$B50</f>
        <v>3.24</v>
      </c>
      <c r="E25" s="103" cm="1">
        <f t="array" ref="E25">'tracking - Table 2-1'!E50*$B25/'tracking - Table 2-1'!$B50</f>
        <v>0.004</v>
      </c>
      <c r="F25" s="103" cm="1">
        <f t="array" ref="F25">'tracking - Table 2-1'!F50*$B25/'tracking - Table 2-1'!$B50</f>
        <v>28.68</v>
      </c>
    </row>
    <row r="26" ht="20.35" customHeight="1">
      <c r="A26" t="s" s="17">
        <v>1493</v>
      </c>
      <c r="B26" s="18"/>
      <c r="C26" s="103" cm="1">
        <f t="array" ref="C26">('tracking - Table 2-1'!C4*70/'tracking - Table 2-1'!$B$4+'tracking - Table 2-1'!C46+'tracking - Table 2-1'!C64*30/'tracking - Table 2-1'!$B64)*$B26</f>
        <v>0</v>
      </c>
      <c r="D26" s="103" cm="1">
        <f t="array" ref="D26">('tracking - Table 2-1'!D4*70/'tracking - Table 2-1'!$B$4+'tracking - Table 2-1'!D46+'tracking - Table 2-1'!D64*30/'tracking - Table 2-1'!$B64)*$B26</f>
        <v>0</v>
      </c>
      <c r="E26" s="103" cm="1">
        <f t="array" ref="E26">('tracking - Table 2-1'!E4*70/'tracking - Table 2-1'!$B$4+'tracking - Table 2-1'!E46+'tracking - Table 2-1'!E64*30/'tracking - Table 2-1'!$B64)*$B26</f>
        <v>0</v>
      </c>
      <c r="F26" s="103" cm="1">
        <f t="array" ref="F26">('tracking - Table 2-1'!F4*70/'tracking - Table 2-1'!$B$4+'tracking - Table 2-1'!F46+'tracking - Table 2-1'!F64*30/'tracking - Table 2-1'!$B64)*$B26</f>
        <v>0</v>
      </c>
    </row>
    <row r="27" ht="20.35" customHeight="1">
      <c r="A27" s="28"/>
      <c r="B27" s="18"/>
      <c r="C27" s="32"/>
      <c r="D27" s="32"/>
      <c r="E27" s="32"/>
      <c r="F27" s="32"/>
    </row>
    <row r="28" ht="20.35" customHeight="1">
      <c r="A28" t="s" s="17">
        <v>1494</v>
      </c>
      <c r="B28" s="18"/>
      <c r="C28" s="68" cm="1">
        <f t="array" ref="C28">'tracking - Table 2-1'!C27*$B$28</f>
        <v>0</v>
      </c>
      <c r="D28" s="68" cm="1">
        <f t="array" ref="D28">'tracking - Table 2-1'!D27*$B$28</f>
        <v>0</v>
      </c>
      <c r="E28" s="68" cm="1">
        <f t="array" ref="E28">'tracking - Table 2-1'!E27*$B$28</f>
        <v>0</v>
      </c>
      <c r="F28" s="68" cm="1">
        <f t="array" ref="F28">'tracking - Table 2-1'!F27*$B$28</f>
        <v>0</v>
      </c>
    </row>
    <row r="29" ht="20.35" customHeight="1">
      <c r="A29" s="28"/>
      <c r="B29" s="18"/>
      <c r="C29" s="103"/>
      <c r="D29" s="103"/>
      <c r="E29" s="103"/>
      <c r="F29" s="934"/>
    </row>
    <row r="30" ht="20.35" customHeight="1">
      <c r="A30" t="s" s="17">
        <v>1495</v>
      </c>
      <c r="B30" s="18"/>
      <c r="C30" s="68" cm="1">
        <f t="array" ref="C30">'tracking - Table 2-1'!C25*$B$30+'tracking - Table 2-1'!C55*$B$30</f>
        <v>0</v>
      </c>
      <c r="D30" s="68" cm="1">
        <f t="array" ref="D30">'tracking - Table 2-1'!D25*$B$30+'tracking - Table 2-1'!D55*$B$30</f>
        <v>0</v>
      </c>
      <c r="E30" s="68" cm="1">
        <f t="array" ref="E30">'tracking - Table 2-1'!E25*$B$30+'tracking - Table 2-1'!E55*$B$30</f>
        <v>0</v>
      </c>
      <c r="F30" s="68" cm="1">
        <f t="array" ref="F30">'tracking - Table 2-1'!F25*$B$30+'tracking - Table 2-1'!F55*$B$30</f>
        <v>0</v>
      </c>
    </row>
    <row r="31" ht="20.35" customHeight="1">
      <c r="A31" s="28"/>
      <c r="B31" s="18"/>
      <c r="C31" s="68"/>
      <c r="D31" s="68"/>
      <c r="E31" s="68"/>
      <c r="F31" s="68"/>
    </row>
    <row r="32" ht="20.35" customHeight="1">
      <c r="A32" t="s" s="17">
        <v>1496</v>
      </c>
      <c r="B32" s="18"/>
      <c r="C32" s="103" cm="1">
        <f t="array" ref="C32">'tracking - Table 2-1'!C53*$B32/'tracking - Table 2-1'!$B53</f>
        <v>0</v>
      </c>
      <c r="D32" s="103" cm="1">
        <f t="array" ref="D32">'tracking - Table 2-1'!D53*$B32/'tracking - Table 2-1'!$B53</f>
        <v>0</v>
      </c>
      <c r="E32" s="103" cm="1">
        <f t="array" ref="E32">'tracking - Table 2-1'!E53*$B32/'tracking - Table 2-1'!$B53</f>
        <v>0</v>
      </c>
      <c r="F32" s="103" cm="1">
        <f t="array" ref="F32">'tracking - Table 2-1'!F53*$B32/'tracking - Table 2-1'!$B53</f>
        <v>0</v>
      </c>
    </row>
    <row r="33" ht="20.35" customHeight="1">
      <c r="A33" s="28"/>
      <c r="B33" s="18"/>
      <c r="C33" s="68"/>
      <c r="D33" s="68"/>
      <c r="E33" s="68"/>
      <c r="F33" s="68"/>
    </row>
    <row r="34" ht="20.35" customHeight="1">
      <c r="A34" t="s" s="17">
        <v>1497</v>
      </c>
      <c r="B34" s="18"/>
      <c r="C34" s="68" cm="1">
        <f t="array" ref="C34">'tracking - Table 2-1'!C73*$B$34</f>
        <v>0</v>
      </c>
      <c r="D34" s="68" cm="1">
        <f t="array" ref="D34">'tracking - Table 2-1'!D73*$B$34</f>
        <v>0</v>
      </c>
      <c r="E34" s="68" cm="1">
        <f t="array" ref="E34">'tracking - Table 2-1'!E73*$B$34</f>
        <v>0</v>
      </c>
      <c r="F34" s="68" cm="1">
        <f t="array" ref="F34">'tracking - Table 2-1'!F73*$B$34</f>
        <v>0</v>
      </c>
    </row>
    <row r="35" ht="20.35" customHeight="1">
      <c r="A35" t="s" s="17">
        <v>1498</v>
      </c>
      <c r="B35" s="18"/>
      <c r="C35" s="68" cm="1">
        <f t="array" ref="C35">'tracking - Table 2-1'!C74*$B$35</f>
        <v>0</v>
      </c>
      <c r="D35" s="68" cm="1">
        <f t="array" ref="D35">'tracking - Table 2-1'!D74*$B$35</f>
        <v>0</v>
      </c>
      <c r="E35" s="68" cm="1">
        <f t="array" ref="E35">'tracking - Table 2-1'!E74*$B$35</f>
        <v>0</v>
      </c>
      <c r="F35" s="68" cm="1">
        <f t="array" ref="F35">'tracking - Table 2-1'!F74*$B$35</f>
        <v>0</v>
      </c>
    </row>
    <row r="36" ht="20.35" customHeight="1">
      <c r="A36" t="s" s="17">
        <v>1499</v>
      </c>
      <c r="B36" s="18"/>
      <c r="C36" s="103" cm="1">
        <f t="array" ref="C36">'tracking - Table 2-1'!C36*$B36/'tracking - Table 2-1'!$B36</f>
        <v>0</v>
      </c>
      <c r="D36" s="103" cm="1">
        <f t="array" ref="D36">'tracking - Table 2-1'!D36*$B$36/'tracking - Table 2-1'!$B$36</f>
        <v>0</v>
      </c>
      <c r="E36" s="103" cm="1">
        <f t="array" ref="E36">'tracking - Table 2-1'!E36*$B$36/'tracking - Table 2-1'!$B$36</f>
        <v>0</v>
      </c>
      <c r="F36" s="103" cm="1">
        <f t="array" ref="F36">'tracking - Table 2-1'!F36*$B$36/'tracking - Table 2-1'!$B$36</f>
        <v>0</v>
      </c>
    </row>
    <row r="37" ht="20.35" customHeight="1">
      <c r="A37" t="s" s="17">
        <v>1500</v>
      </c>
      <c r="B37" s="18"/>
      <c r="C37" s="103" cm="1">
        <f t="array" ref="C37">'tracking - Table 2-1'!C78*$B37/'tracking - Table 2-1'!$B78</f>
        <v>0</v>
      </c>
      <c r="D37" s="103" cm="1">
        <f t="array" ref="D37">'tracking - Table 2-1'!D78*$B37/'tracking - Table 2-1'!$B78</f>
        <v>0</v>
      </c>
      <c r="E37" s="103" cm="1">
        <f t="array" ref="E37">'tracking - Table 2-1'!E78*$B37/'tracking - Table 2-1'!$B78</f>
        <v>0</v>
      </c>
      <c r="F37" s="103" cm="1">
        <f t="array" ref="F37">'tracking - Table 2-1'!F78*$B37/'tracking - Table 2-1'!$B78</f>
        <v>0</v>
      </c>
    </row>
    <row r="38" ht="20.35" customHeight="1">
      <c r="A38" t="s" s="17">
        <v>1501</v>
      </c>
      <c r="B38" s="18"/>
      <c r="C38" s="103" cm="1">
        <f t="array" ref="C38">'tracking - Table 2-1'!C79*$B38/'tracking - Table 2-1'!$B79</f>
        <v>0</v>
      </c>
      <c r="D38" s="103" cm="1">
        <f t="array" ref="D38">'tracking - Table 2-1'!D79*$B38/'tracking - Table 2-1'!$B79</f>
        <v>0</v>
      </c>
      <c r="E38" s="103" cm="1">
        <f t="array" ref="E38">'tracking - Table 2-1'!E79*$B38/'tracking - Table 2-1'!$B79</f>
        <v>0</v>
      </c>
      <c r="F38" s="103" cm="1">
        <f t="array" ref="F38">'tracking - Table 2-1'!F79*$B38/'tracking - Table 2-1'!$B79</f>
        <v>0</v>
      </c>
    </row>
    <row r="39" ht="20.35" customHeight="1">
      <c r="A39" t="s" s="17">
        <v>1502</v>
      </c>
      <c r="B39" s="18"/>
      <c r="C39" s="103" cm="1">
        <f t="array" ref="C39">'tracking - Table 2-1'!C46*$B39/'tracking - Table 2-1'!$B46</f>
        <v>0</v>
      </c>
      <c r="D39" s="103" cm="1">
        <f t="array" ref="D39">'tracking - Table 2-1'!D46*$B39/'tracking - Table 2-1'!$B46</f>
        <v>0</v>
      </c>
      <c r="E39" s="103" cm="1">
        <f t="array" ref="E39">'tracking - Table 2-1'!E46*$B39/'tracking - Table 2-1'!$B46</f>
        <v>0</v>
      </c>
      <c r="F39" s="103" cm="1">
        <f t="array" ref="F39">'tracking - Table 2-1'!F46*$B39/'tracking - Table 2-1'!$B46</f>
        <v>0</v>
      </c>
    </row>
    <row r="40" ht="20.35" customHeight="1">
      <c r="A40" t="s" s="17">
        <v>1437</v>
      </c>
      <c r="B40" s="18"/>
      <c r="C40" s="103" cm="1">
        <f t="array" ref="C40">'tracking - Table 2-1'!C38*$B40/'tracking - Table 2-1'!$B38</f>
        <v>0</v>
      </c>
      <c r="D40" s="103" cm="1">
        <f t="array" ref="D40">'tracking - Table 2-1'!D38*$B40/'tracking - Table 2-1'!$B38</f>
        <v>0</v>
      </c>
      <c r="E40" s="103" cm="1">
        <f t="array" ref="E40">'tracking - Table 2-1'!E38*$B40/'tracking - Table 2-1'!$B38</f>
        <v>0</v>
      </c>
      <c r="F40" s="103" cm="1">
        <f t="array" ref="F40">'tracking - Table 2-1'!F38*$B40/'tracking - Table 2-1'!$B38</f>
        <v>0</v>
      </c>
    </row>
    <row r="41" ht="20.35" customHeight="1">
      <c r="A41" s="28"/>
      <c r="B41" s="18"/>
      <c r="C41" s="68"/>
      <c r="D41" s="103"/>
      <c r="E41" s="103"/>
      <c r="F41" s="934"/>
    </row>
    <row r="42" ht="20.35" customHeight="1">
      <c r="A42" t="s" s="17">
        <v>1503</v>
      </c>
      <c r="B42" s="18"/>
      <c r="C42" s="103" cm="1">
        <f t="array" ref="C42">'tracking - Table 2-1'!C58*$B42/'tracking - Table 2-1'!$B58</f>
        <v>0</v>
      </c>
      <c r="D42" s="103" cm="1">
        <f t="array" ref="D42">'tracking - Table 2-1'!D58*$B$42/'tracking - Table 2-1'!$B$58</f>
        <v>0</v>
      </c>
      <c r="E42" s="103" cm="1">
        <f t="array" ref="E42">'tracking - Table 2-1'!E58*$B$42/'tracking - Table 2-1'!$B$58</f>
        <v>0</v>
      </c>
      <c r="F42" s="103" cm="1">
        <f t="array" ref="F42">'tracking - Table 2-1'!F58*$B$42/'tracking - Table 2-1'!$B$58</f>
        <v>0</v>
      </c>
    </row>
    <row r="43" ht="20.35" customHeight="1">
      <c r="A43" t="s" s="17">
        <v>1504</v>
      </c>
      <c r="B43" s="18"/>
      <c r="C43" s="103" cm="1">
        <f t="array" ref="C43">'tracking - Table 2-1'!C59*$B43/'tracking - Table 2-1'!$B59</f>
        <v>0</v>
      </c>
      <c r="D43" s="103" cm="1">
        <f t="array" ref="D43">'tracking - Table 2-1'!D59*$B43/'tracking - Table 2-1'!$B59</f>
        <v>0</v>
      </c>
      <c r="E43" s="103" cm="1">
        <f t="array" ref="E43">'tracking - Table 2-1'!E59*$B43/'tracking - Table 2-1'!$B59</f>
        <v>0</v>
      </c>
      <c r="F43" s="103" cm="1">
        <f t="array" ref="F43">'tracking - Table 2-1'!F59*$B43/'tracking - Table 2-1'!$B59</f>
        <v>0</v>
      </c>
    </row>
    <row r="44" ht="20.35" customHeight="1">
      <c r="A44" t="s" s="17">
        <v>1505</v>
      </c>
      <c r="B44" s="18"/>
      <c r="C44" s="103" cm="1">
        <f t="array" ref="C44">'tracking - Table 2-1'!C60*$B44/'tracking - Table 2-1'!$B60</f>
        <v>0</v>
      </c>
      <c r="D44" s="103" cm="1">
        <f t="array" ref="D44">'tracking - Table 2-1'!D60*$B44/'tracking - Table 2-1'!$B60</f>
        <v>0</v>
      </c>
      <c r="E44" s="103" cm="1">
        <f t="array" ref="E44">'tracking - Table 2-1'!E60*$B44/'tracking - Table 2-1'!$B60</f>
        <v>0</v>
      </c>
      <c r="F44" s="103" cm="1">
        <f t="array" ref="F44">'tracking - Table 2-1'!F60*$B44/'tracking - Table 2-1'!$B60</f>
        <v>0</v>
      </c>
    </row>
    <row r="45" ht="20.35" customHeight="1">
      <c r="A45" t="s" s="17">
        <v>1506</v>
      </c>
      <c r="B45" s="18"/>
      <c r="C45" s="103" cm="1">
        <f t="array" ref="C45">_xlfn.SINGLE($B45:B45)*'tracking - Table 2-1'!C61/_xlfn.SINGLE('tracking - Table 2-1'!$B61:B61)</f>
        <v>0</v>
      </c>
      <c r="D45" s="103" cm="1">
        <f t="array" ref="D45">_xlfn.SINGLE($B45:B45)*'tracking - Table 2-1'!D61/_xlfn.SINGLE('tracking - Table 2-1'!$B61:B61)</f>
        <v>0</v>
      </c>
      <c r="E45" s="103" cm="1">
        <f t="array" ref="E45">_xlfn.SINGLE($B45:B45)*'tracking - Table 2-1'!E61/_xlfn.SINGLE('tracking - Table 2-1'!$B61:B61)</f>
        <v>0</v>
      </c>
      <c r="F45" s="103" cm="1">
        <f t="array" ref="F45">_xlfn.SINGLE($B45:B45)*'tracking - Table 2-1'!F61/_xlfn.SINGLE('tracking - Table 2-1'!$B61:B61)</f>
        <v>0</v>
      </c>
    </row>
    <row r="46" ht="20.35" customHeight="1">
      <c r="A46" t="s" s="17">
        <v>1507</v>
      </c>
      <c r="B46" s="18"/>
      <c r="C46" s="103" cm="1">
        <f t="array" ref="C46">'tracking - Table 2-1'!C62*$B46/'tracking - Table 2-1'!$B62</f>
        <v>0</v>
      </c>
      <c r="D46" s="103" cm="1">
        <f t="array" ref="D46">'tracking - Table 2-1'!D62*$B$46/'tracking - Table 2-1'!$B$62</f>
        <v>0</v>
      </c>
      <c r="E46" s="103" cm="1">
        <f t="array" ref="E46">'tracking - Table 2-1'!E62*$B$46/'tracking - Table 2-1'!$B$62</f>
        <v>0</v>
      </c>
      <c r="F46" s="103" cm="1">
        <f t="array" ref="F46">'tracking - Table 2-1'!F62*$B$46/'tracking - Table 2-1'!$B$62</f>
        <v>0</v>
      </c>
    </row>
    <row r="47" ht="20.35" customHeight="1">
      <c r="A47" t="s" s="17">
        <v>1508</v>
      </c>
      <c r="B47" s="18"/>
      <c r="C47" s="103" cm="1">
        <f t="array" ref="C47">'tracking - Table 2-1'!C63*$B47/'tracking - Table 2-1'!$B63</f>
        <v>0</v>
      </c>
      <c r="D47" s="103" cm="1">
        <f t="array" ref="D47">'tracking - Table 2-1'!D63*$B47/'tracking - Table 2-1'!$B63</f>
        <v>0</v>
      </c>
      <c r="E47" s="103" cm="1">
        <f t="array" ref="E47">'tracking - Table 2-1'!E63*$B47/'tracking - Table 2-1'!$B63</f>
        <v>0</v>
      </c>
      <c r="F47" s="103" cm="1">
        <f t="array" ref="F47">'tracking - Table 2-1'!F63*$B47/'tracking - Table 2-1'!$B63</f>
        <v>0</v>
      </c>
    </row>
    <row r="48" ht="20.35" customHeight="1">
      <c r="A48" t="s" s="17">
        <v>1455</v>
      </c>
      <c r="B48" s="18"/>
      <c r="C48" s="103" cm="1">
        <f t="array" ref="C48">'tracking - Table 2-1'!C64*$B$48/'tracking - Table 2-1'!$B$65</f>
        <v>0</v>
      </c>
      <c r="D48" s="103" cm="1">
        <f t="array" ref="D48">'tracking - Table 2-1'!D64*$B$48/'tracking - Table 2-1'!$B$65</f>
        <v>0</v>
      </c>
      <c r="E48" s="103" cm="1">
        <f t="array" ref="E48">'tracking - Table 2-1'!E64*$B$48/'tracking - Table 2-1'!$B$65</f>
        <v>0</v>
      </c>
      <c r="F48" s="103" cm="1">
        <f t="array" ref="F48">'tracking - Table 2-1'!F64*$B$48/'tracking - Table 2-1'!$B$65</f>
        <v>0</v>
      </c>
    </row>
    <row r="49" ht="20.35" customHeight="1">
      <c r="A49" t="s" s="17">
        <v>1509</v>
      </c>
      <c r="B49" s="18"/>
      <c r="C49" s="103" cm="1">
        <f t="array" ref="C49">'tracking - Table 2-1'!C65*$B$49/'tracking - Table 2-1'!$B$65</f>
        <v>0</v>
      </c>
      <c r="D49" s="103" cm="1">
        <f t="array" ref="D49">'tracking - Table 2-1'!D65*$B$49/'tracking - Table 2-1'!$B$65</f>
        <v>0</v>
      </c>
      <c r="E49" s="103" cm="1">
        <f t="array" ref="E49">'tracking - Table 2-1'!E65*$B$49/'tracking - Table 2-1'!$B$65</f>
        <v>0</v>
      </c>
      <c r="F49" s="103" cm="1">
        <f t="array" ref="F49">'tracking - Table 2-1'!F65*$B$49/'tracking - Table 2-1'!$B$65</f>
        <v>0</v>
      </c>
    </row>
    <row r="50" ht="20.35" customHeight="1">
      <c r="A50" s="28"/>
      <c r="B50" s="18"/>
      <c r="C50" s="103"/>
      <c r="D50" s="103"/>
      <c r="E50" s="103"/>
      <c r="F50" s="103"/>
    </row>
    <row r="51" ht="20.35" customHeight="1">
      <c r="A51" t="s" s="17">
        <v>1442</v>
      </c>
      <c r="B51" s="18"/>
      <c r="C51" s="103" cm="1">
        <f t="array" ref="C51">'tracking - Table 2-1'!C48*$B$51/'tracking - Table 2-1'!$B$48</f>
        <v>0</v>
      </c>
      <c r="D51" s="103" cm="1">
        <f t="array" ref="D51">'tracking - Table 2-1'!D48*$B$51/'tracking - Table 2-1'!$B$48</f>
        <v>0</v>
      </c>
      <c r="E51" s="103" cm="1">
        <f t="array" ref="E51">'tracking - Table 2-1'!E48*$B$51/'tracking - Table 2-1'!$B$48</f>
        <v>0</v>
      </c>
      <c r="F51" s="103" cm="1">
        <f t="array" ref="F51">'tracking - Table 2-1'!F48*$B$51/'tracking - Table 2-1'!$B$48</f>
        <v>0</v>
      </c>
    </row>
    <row r="52" ht="20.35" customHeight="1">
      <c r="A52" t="s" s="17">
        <v>1443</v>
      </c>
      <c r="B52" s="18"/>
      <c r="C52" s="103" cm="1">
        <f t="array" ref="C52">'tracking - Table 2-1'!C49*$B$52/'tracking - Table 2-1'!$B$49</f>
        <v>0</v>
      </c>
      <c r="D52" s="103" cm="1">
        <f t="array" ref="D52">'tracking - Table 2-1'!D49*$B$52/'tracking - Table 2-1'!$B$49</f>
        <v>0</v>
      </c>
      <c r="E52" s="103" cm="1">
        <f t="array" ref="E52">'tracking - Table 2-1'!E49*$B$52/'tracking - Table 2-1'!$B$49</f>
        <v>0</v>
      </c>
      <c r="F52" s="103" cm="1">
        <f t="array" ref="F52">'tracking - Table 2-1'!F49*$B$52/'tracking - Table 2-1'!$B$49</f>
        <v>0</v>
      </c>
    </row>
    <row r="53" ht="20.35" customHeight="1">
      <c r="A53" s="28"/>
      <c r="B53" s="18"/>
      <c r="C53" s="32"/>
      <c r="D53" s="32"/>
      <c r="E53" s="32"/>
      <c r="F53" s="32"/>
    </row>
    <row r="54" ht="20.35" customHeight="1">
      <c r="A54" t="s" s="17">
        <v>1510</v>
      </c>
      <c r="B54" s="18"/>
      <c r="C54" s="103" cm="1">
        <f t="array" ref="C54">'tracking - Table 2-1'!C67*$B$54/'tracking - Table 2-1'!$B$67</f>
        <v>0</v>
      </c>
      <c r="D54" s="103" cm="1">
        <f t="array" ref="D54">'tracking - Table 2-1'!D67*$B$54/'tracking - Table 2-1'!$B$67</f>
        <v>0</v>
      </c>
      <c r="E54" s="103" cm="1">
        <f t="array" ref="E54">'tracking - Table 2-1'!E67*$B$54/'tracking - Table 2-1'!$B$67</f>
        <v>0</v>
      </c>
      <c r="F54" s="103" cm="1">
        <f t="array" ref="F54">'tracking - Table 2-1'!F67*$B$54/'tracking - Table 2-1'!$B$67</f>
        <v>0</v>
      </c>
    </row>
    <row r="55" ht="20.35" customHeight="1">
      <c r="A55" t="s" s="17">
        <v>1511</v>
      </c>
      <c r="B55" s="18"/>
      <c r="C55" s="68" cm="1">
        <f t="array" ref="C55">'tracking - Table 2-1'!C69*$B$55/'tracking - Table 2-1'!$B$69</f>
        <v>0</v>
      </c>
      <c r="D55" s="68" cm="1">
        <f t="array" ref="D55">'tracking - Table 2-1'!D69*$B$55/'tracking - Table 2-1'!$B$69</f>
        <v>0</v>
      </c>
      <c r="E55" s="68" cm="1">
        <f t="array" ref="E55">'tracking - Table 2-1'!E69*$B$55/'tracking - Table 2-1'!$B$69</f>
        <v>0</v>
      </c>
      <c r="F55" s="68" cm="1">
        <f t="array" ref="F55">'tracking - Table 2-1'!F69*$B$55/'tracking - Table 2-1'!$B$69</f>
        <v>0</v>
      </c>
    </row>
    <row r="56" ht="20.35" customHeight="1">
      <c r="A56" t="s" s="17">
        <v>1512</v>
      </c>
      <c r="B56" s="18"/>
      <c r="C56" s="103" cm="1">
        <f t="array" ref="C56">'tracking - Table 2-1'!C32*$B56/'tracking - Table 2-1'!$B32</f>
        <v>0</v>
      </c>
      <c r="D56" s="103" cm="1">
        <f t="array" ref="D56">'tracking - Table 2-1'!D32*$B$56/'tracking - Table 2-1'!$B$32</f>
        <v>0</v>
      </c>
      <c r="E56" s="103" cm="1">
        <f t="array" ref="E56">'tracking - Table 2-1'!E32*$B$56/'tracking - Table 2-1'!$B$32</f>
        <v>0</v>
      </c>
      <c r="F56" s="103" cm="1">
        <f t="array" ref="F56">'tracking - Table 2-1'!F32*$B$56/'tracking - Table 2-1'!$B$32</f>
        <v>0</v>
      </c>
    </row>
    <row r="57" ht="20.35" customHeight="1">
      <c r="A57" t="s" s="17">
        <v>1513</v>
      </c>
      <c r="B57" s="18"/>
      <c r="C57" s="103" cm="1">
        <f t="array" ref="C57">'tracking - Table 2-1'!C33*$B57/'tracking - Table 2-1'!$B33</f>
        <v>0</v>
      </c>
      <c r="D57" s="103" cm="1">
        <f t="array" ref="D57">'tracking - Table 2-1'!D33*$B57/'tracking - Table 2-1'!$B33</f>
        <v>0</v>
      </c>
      <c r="E57" s="103" cm="1">
        <f t="array" ref="E57">'tracking - Table 2-1'!E33*$B57/'tracking - Table 2-1'!$B33</f>
        <v>0</v>
      </c>
      <c r="F57" s="103" cm="1">
        <f t="array" ref="F57">'tracking - Table 2-1'!F33*$B57/'tracking - Table 2-1'!$B33</f>
        <v>0</v>
      </c>
    </row>
    <row r="58" ht="20.35" customHeight="1">
      <c r="A58" t="s" s="17">
        <v>1514</v>
      </c>
      <c r="B58" s="18"/>
      <c r="C58" s="103" cm="1">
        <f t="array" ref="C58">'tracking - Table 2-1'!C34*$B58/'tracking - Table 2-1'!$B34</f>
        <v>0</v>
      </c>
      <c r="D58" s="103" cm="1">
        <f t="array" ref="D58">'tracking - Table 2-1'!D34*$B58/'tracking - Table 2-1'!$B34</f>
        <v>0</v>
      </c>
      <c r="E58" s="103" cm="1">
        <f t="array" ref="E58">'tracking - Table 2-1'!E34*$B58/'tracking - Table 2-1'!$B34</f>
        <v>0</v>
      </c>
      <c r="F58" s="103" cm="1">
        <f t="array" ref="F58">'tracking - Table 2-1'!F34*$B58/'tracking - Table 2-1'!$B34</f>
        <v>0</v>
      </c>
    </row>
    <row r="59" ht="20.35" customHeight="1">
      <c r="A59" t="s" s="17">
        <v>1515</v>
      </c>
      <c r="B59" s="18"/>
      <c r="C59" s="103" cm="1">
        <f t="array" ref="C59">'tracking - Table 2-1'!C30*$B59/'tracking - Table 2-1'!$B30</f>
        <v>0</v>
      </c>
      <c r="D59" s="103" cm="1">
        <f t="array" ref="D59">'tracking - Table 2-1'!D30*$B59/'tracking - Table 2-1'!$B30</f>
        <v>0</v>
      </c>
      <c r="E59" s="103" cm="1">
        <f t="array" ref="E59">'tracking - Table 2-1'!E30*$B59/'tracking - Table 2-1'!$B30</f>
        <v>0</v>
      </c>
      <c r="F59" s="103" cm="1">
        <f t="array" ref="F59">'tracking - Table 2-1'!F30*$B59/'tracking - Table 2-1'!$B30</f>
        <v>0</v>
      </c>
    </row>
    <row r="60" ht="20.35" customHeight="1">
      <c r="A60" t="s" s="17">
        <v>1516</v>
      </c>
      <c r="B60" s="18"/>
      <c r="C60" s="103" cm="1">
        <f t="array" ref="C60">'tracking - Table 2-1'!C31*$B60/'tracking - Table 2-1'!$B31</f>
        <v>0</v>
      </c>
      <c r="D60" s="103" cm="1">
        <f t="array" ref="D60">'tracking - Table 2-1'!D31*$B60/'tracking - Table 2-1'!$B31</f>
        <v>0</v>
      </c>
      <c r="E60" s="103" cm="1">
        <f t="array" ref="E60">'tracking - Table 2-1'!E31*$B60/'tracking - Table 2-1'!$B31</f>
        <v>0</v>
      </c>
      <c r="F60" s="103" cm="1">
        <f t="array" ref="F60">'tracking - Table 2-1'!F31*$B60/'tracking - Table 2-1'!$B31</f>
        <v>0</v>
      </c>
    </row>
    <row r="61" ht="20.35" customHeight="1">
      <c r="A61" s="28"/>
      <c r="B61" s="18"/>
      <c r="C61" s="103"/>
      <c r="D61" s="103"/>
      <c r="E61" s="103"/>
      <c r="F61" s="103"/>
    </row>
    <row r="62" ht="20.35" customHeight="1">
      <c r="A62" t="s" s="17">
        <v>1517</v>
      </c>
      <c r="B62" s="29"/>
      <c r="C62" s="68"/>
      <c r="D62" s="68"/>
      <c r="E62" s="68"/>
      <c r="F62" s="164">
        <v>130</v>
      </c>
    </row>
    <row r="63" ht="20.35" customHeight="1">
      <c r="A63" s="28"/>
      <c r="B63" s="29"/>
      <c r="C63" s="68"/>
      <c r="D63" s="68"/>
      <c r="E63" s="68"/>
      <c r="F63" s="164"/>
    </row>
    <row r="64" ht="20.35" customHeight="1">
      <c r="A64" s="28"/>
      <c r="B64" s="29"/>
      <c r="C64" s="103"/>
      <c r="D64" s="103"/>
      <c r="E64" s="103"/>
      <c r="F64" s="103"/>
    </row>
    <row r="65" ht="20.55" customHeight="1">
      <c r="A65" s="84"/>
      <c r="B65" s="85"/>
      <c r="C65" s="940"/>
      <c r="D65" s="940"/>
      <c r="E65" s="940"/>
      <c r="F65" s="940"/>
    </row>
    <row r="66" ht="20.55" customHeight="1">
      <c r="A66" s="46"/>
      <c r="B66" s="941"/>
      <c r="C66" s="942" cm="1">
        <f t="array" ref="C66">SUM(C2:C65)+0.01</f>
        <v>48.786</v>
      </c>
      <c r="D66" s="942" cm="1">
        <f t="array" ref="D66">SUM(D2:D65)+0.01</f>
        <v>27.93</v>
      </c>
      <c r="E66" s="942" cm="1">
        <f t="array" ref="E66">SUM(E2:E65)+0.01</f>
        <v>4.574</v>
      </c>
      <c r="F66" s="942" cm="1">
        <f t="array" ref="F66">SUM(F2:F65)</f>
        <v>587.6799999999999</v>
      </c>
    </row>
    <row r="67" ht="20.35" customHeight="1">
      <c r="A67" s="51"/>
      <c r="B67" s="584" cm="1">
        <f t="array" ref="B67">C$66/C$67</f>
        <v>0.278777142857143</v>
      </c>
      <c r="C67" s="943" cm="1">
        <f t="array" ref="C67">'tracking - Table 1-2'!B5</f>
        <v>175</v>
      </c>
      <c r="D67" s="943" cm="1">
        <f t="array" ref="D67">'tracking - Table 1-2'!C5</f>
        <v>70</v>
      </c>
      <c r="E67" s="943" cm="1">
        <f t="array" ref="E67">'tracking - Table 1-2'!D5</f>
        <v>380.25</v>
      </c>
      <c r="F67" s="943" cm="1">
        <f t="array" ref="F67">'tracking - Table 4'!A3</f>
        <v>2851</v>
      </c>
    </row>
    <row r="68" ht="20.35" customHeight="1">
      <c r="A68" s="51"/>
      <c r="B68" s="944" cm="1">
        <f t="array" ref="B68">C$66/C$68</f>
        <v>0.348471428571429</v>
      </c>
      <c r="C68" s="943" cm="1">
        <f t="array" ref="C68">'tracking - Table 1-2'!B6</f>
        <v>140</v>
      </c>
      <c r="D68" s="943" cm="1">
        <f t="array" ref="D68">'tracking - Table 1-2'!C6</f>
        <v>70</v>
      </c>
      <c r="E68" s="943" cm="1">
        <f t="array" ref="E68">'tracking - Table 1-2'!D6</f>
        <v>415.25</v>
      </c>
      <c r="F68" s="943"/>
    </row>
    <row r="69" ht="20.35" customHeight="1">
      <c r="A69" s="51"/>
      <c r="B69" s="93"/>
      <c r="C69" s="945" cm="1">
        <f t="array" ref="C69">C$67-C$66</f>
        <v>126.214</v>
      </c>
      <c r="D69" s="945" cm="1">
        <f t="array" ref="D69">D$67-D$66</f>
        <v>42.07</v>
      </c>
      <c r="E69" s="945" cm="1">
        <f t="array" ref="E69">E$67-E$66</f>
        <v>375.676</v>
      </c>
      <c r="F69" s="945" cm="1">
        <f t="array" ref="F69">F$67-F$66</f>
        <v>2263.32</v>
      </c>
    </row>
    <row r="70" ht="20.35" customHeight="1">
      <c r="A70" s="51"/>
      <c r="B70" s="93"/>
      <c r="C70" s="945" cm="1">
        <f t="array" ref="C70">C$68-C$66</f>
        <v>91.214</v>
      </c>
      <c r="D70" s="945" cm="1">
        <f t="array" ref="D70">D$68-D$66</f>
        <v>42.07</v>
      </c>
      <c r="E70" s="945" cm="1">
        <f t="array" ref="E70">E$68-E$66</f>
        <v>410.676</v>
      </c>
      <c r="F70" s="51"/>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3.xml><?xml version="1.0" encoding="utf-8"?>
<worksheet xmlns:r="http://schemas.openxmlformats.org/officeDocument/2006/relationships" xmlns="http://schemas.openxmlformats.org/spreadsheetml/2006/main">
  <sheetPr>
    <pageSetUpPr fitToPage="1"/>
  </sheetPr>
  <dimension ref="A1:I8"/>
  <sheetViews>
    <sheetView workbookViewId="0" showGridLines="0" defaultGridColor="1">
      <pane topLeftCell="A3" xSplit="0" ySplit="2" activePane="bottomLeft" state="frozen"/>
    </sheetView>
  </sheetViews>
  <sheetFormatPr defaultColWidth="16.3333" defaultRowHeight="18" customHeight="1" outlineLevelRow="0" outlineLevelCol="0"/>
  <cols>
    <col min="1" max="1" width="16.3516" style="946" customWidth="1"/>
    <col min="2" max="2" width="4.28906" style="946" customWidth="1"/>
    <col min="3" max="3" width="16.3516" style="946" customWidth="1"/>
    <col min="4" max="4" width="4.28906" style="946" customWidth="1"/>
    <col min="5" max="5" width="16.3516" style="946" customWidth="1"/>
    <col min="6" max="6" width="4.28906" style="946" customWidth="1"/>
    <col min="7" max="7" width="16.3516" style="946" customWidth="1"/>
    <col min="8" max="8" width="4.28906" style="946" customWidth="1"/>
    <col min="9" max="9" width="16.3516" style="946" customWidth="1"/>
    <col min="10" max="16384" width="16.3516" style="946" customWidth="1"/>
  </cols>
  <sheetData>
    <row r="1" ht="20.35" customHeight="1">
      <c r="A1" t="s" s="218">
        <v>1356</v>
      </c>
      <c r="B1" s="217"/>
      <c r="C1" t="s" s="218">
        <v>1357</v>
      </c>
      <c r="D1" s="217"/>
      <c r="E1" t="s" s="218">
        <v>1358</v>
      </c>
      <c r="F1" s="217"/>
      <c r="G1" t="s" s="218">
        <v>1359</v>
      </c>
      <c r="H1" s="217"/>
      <c r="I1" t="s" s="218">
        <v>1360</v>
      </c>
    </row>
    <row r="2" ht="20.55" customHeight="1">
      <c r="A2" s="7"/>
      <c r="B2" s="7"/>
      <c r="C2" s="220" cm="1">
        <f t="array" ref="C2">'tracking - Table 2-1-2-1'!D$3*1.1</f>
        <v>2519</v>
      </c>
      <c r="D2" s="7"/>
      <c r="E2" s="7"/>
      <c r="F2" s="7"/>
      <c r="G2" s="947" cm="1">
        <f t="array" ref="G2">G$7+'tracking - Table 2-1-2'!F$66</f>
        <v>2333</v>
      </c>
      <c r="H2" s="7"/>
      <c r="I2" s="7"/>
    </row>
    <row r="3" ht="20.55" customHeight="1">
      <c r="A3" s="948" cm="1">
        <f t="array" ref="A3">'tracking - Table 2-1-2-1'!B$3-'tracking - Table 2-1-2'!F$66</f>
        <v>2202.32</v>
      </c>
      <c r="B3" s="949"/>
      <c r="C3" s="948" cm="1">
        <f t="array" ref="C3">'tracking - Table 2-1-2-1'!C$3-'tracking - Table 2-1-2'!F$66</f>
        <v>1931.32</v>
      </c>
      <c r="D3" s="949"/>
      <c r="E3" s="948" cm="1">
        <f t="array" ref="E3">'tracking - Table 2-1-2-1'!D$3-'tracking - Table 2-1-2'!F$66</f>
        <v>1702.32</v>
      </c>
      <c r="F3" s="949"/>
      <c r="G3" s="948" cm="1">
        <f t="array" ref="G3">'tracking - Table 2-1-2-1'!E$3-'tracking - Table 2-1-2'!F$66</f>
        <v>1473.32</v>
      </c>
      <c r="H3" s="949"/>
      <c r="I3" s="948" cm="1">
        <f t="array" ref="I3">'tracking - Table 2-1-2-1'!F$3-'tracking - Table 2-1-2'!F$66</f>
        <v>1202.32</v>
      </c>
    </row>
    <row r="4" ht="20.35" customHeight="1">
      <c r="A4" s="950" cm="1">
        <f t="array" ref="A4">'tracking - Table 2-1-2-1'!B$4-'tracking - Table 2-1-2'!F$66</f>
        <v>2504.32</v>
      </c>
      <c r="B4" s="950"/>
      <c r="C4" s="951" cm="1">
        <f t="array" ref="C4">'tracking - Table 2-1-2-1'!C$4-'tracking - Table 2-1-2'!F$66</f>
        <v>2263.32</v>
      </c>
      <c r="D4" s="951"/>
      <c r="E4" s="951" cm="1">
        <f t="array" ref="E4">'tracking - Table 2-1-2-1'!D$4-'tracking - Table 2-1-2'!F$66</f>
        <v>2004.32</v>
      </c>
      <c r="F4" s="951"/>
      <c r="G4" s="951" cm="1">
        <f t="array" ref="G4">'tracking - Table 2-1-2-1'!E$4-'tracking - Table 2-1-2'!F$66</f>
        <v>1745.32</v>
      </c>
      <c r="H4" s="950"/>
      <c r="I4" s="950" cm="1">
        <f t="array" ref="I4">'tracking - Table 2-1-2-1'!F$4-'tracking - Table 2-1-2'!F$66</f>
        <v>1504.32</v>
      </c>
    </row>
    <row r="5" ht="20.55" customHeight="1">
      <c r="A5" s="952" cm="1">
        <f t="array" ref="A5">'tracking - Table 2-1-2-1'!B$5-'tracking - Table 2-1-2'!F$66</f>
        <v>2806.32</v>
      </c>
      <c r="B5" s="953"/>
      <c r="C5" s="952" cm="1">
        <f t="array" ref="C5">'tracking - Table 2-1-2-1'!C$5-'tracking - Table 2-1-2'!F$66</f>
        <v>2595.32</v>
      </c>
      <c r="D5" s="953"/>
      <c r="E5" s="952" cm="1">
        <f t="array" ref="E5">'tracking - Table 2-1-2-1'!D$5-'tracking - Table 2-1-2'!F$66</f>
        <v>2306.32</v>
      </c>
      <c r="F5" s="953"/>
      <c r="G5" s="952" cm="1">
        <f t="array" ref="G5">'tracking - Table 2-1-2-1'!E$5-'tracking - Table 2-1-2'!F$66</f>
        <v>2017.32</v>
      </c>
      <c r="H5" s="953"/>
      <c r="I5" s="952" cm="1">
        <f t="array" ref="I5">'tracking - Table 2-1-2-1'!F$5-'tracking - Table 2-1-2'!F$66</f>
        <v>1806.32</v>
      </c>
    </row>
    <row r="6" ht="20.55" customHeight="1">
      <c r="A6" s="942"/>
      <c r="B6" s="942"/>
      <c r="C6" s="942"/>
      <c r="D6" s="942"/>
      <c r="E6" s="942"/>
      <c r="F6" s="942"/>
      <c r="G6" s="948"/>
      <c r="H6" s="942"/>
      <c r="I6" s="942"/>
    </row>
    <row r="7" ht="20.35" customHeight="1">
      <c r="A7" s="945" cm="1">
        <f t="array" ref="A7">A4</f>
        <v>2504.32</v>
      </c>
      <c r="B7" s="945"/>
      <c r="C7" s="945" cm="1">
        <f t="array" ref="C7">C4</f>
        <v>2263.32</v>
      </c>
      <c r="D7" s="945"/>
      <c r="E7" s="954" cm="1">
        <f t="array" ref="E7">E4</f>
        <v>2004.32</v>
      </c>
      <c r="F7" s="945"/>
      <c r="G7" s="945" cm="1">
        <f t="array" ref="G7">G4</f>
        <v>1745.32</v>
      </c>
      <c r="H7" s="945"/>
      <c r="I7" s="945" cm="1">
        <f t="array" ref="I7">I4</f>
        <v>1504.32</v>
      </c>
    </row>
    <row r="8" ht="20.35" customHeight="1">
      <c r="A8" s="955" cm="1">
        <f t="array" ref="A8">'tracking - Table 2-1-2'!F$66/('tracking - Table 2-1-2'!F$66+A$7)</f>
        <v>0.19006468305304</v>
      </c>
      <c r="B8" s="956"/>
      <c r="C8" s="955" cm="1">
        <f t="array" ref="C8">'tracking - Table 2-1-2'!F$66/(C$7+'tracking - Table 2-1-2'!F$66)</f>
        <v>0.206131182041389</v>
      </c>
      <c r="D8" s="956"/>
      <c r="E8" s="957" cm="1">
        <f t="array" ref="E8">'tracking - Table 2-1-2'!F$66/(E$7+'tracking - Table 2-1-2'!F$66)</f>
        <v>0.226728395061728</v>
      </c>
      <c r="F8" s="945"/>
      <c r="G8" s="955" cm="1">
        <f t="array" ref="G8">'tracking - Table 2-1-2'!F$66/('tracking - Table 2-1-2'!F$66+G$7)</f>
        <v>0.251898842691813</v>
      </c>
      <c r="H8" s="584"/>
      <c r="I8" s="955" cm="1">
        <f t="array" ref="I8">'tracking - Table 2-1-2'!F$66/('tracking - Table 2-1-2'!F$66+I$7)</f>
        <v>0.280917782026769</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4.xml><?xml version="1.0" encoding="utf-8"?>
<worksheet xmlns:r="http://schemas.openxmlformats.org/officeDocument/2006/relationships" xmlns="http://schemas.openxmlformats.org/spreadsheetml/2006/main">
  <sheetPr>
    <pageSetUpPr fitToPage="1"/>
  </sheetPr>
  <dimension ref="A2:F11"/>
  <sheetViews>
    <sheetView workbookViewId="0" showGridLines="0" defaultGridColor="1">
      <pane topLeftCell="A3" xSplit="0" ySplit="2" activePane="bottomLeft" state="frozen"/>
    </sheetView>
  </sheetViews>
  <sheetFormatPr defaultColWidth="16.3333" defaultRowHeight="18" customHeight="1" outlineLevelRow="0" outlineLevelCol="0"/>
  <cols>
    <col min="1" max="2" width="16.3516" style="958" customWidth="1"/>
    <col min="3" max="3" width="3.28125" style="958" customWidth="1"/>
    <col min="4" max="5" width="16.3516" style="958" customWidth="1"/>
    <col min="6" max="6" width="3.28125" style="958" customWidth="1"/>
    <col min="7" max="16384" width="16.3516" style="958" customWidth="1"/>
  </cols>
  <sheetData>
    <row r="1" ht="28" customHeight="1">
      <c r="A1" t="s" s="90">
        <v>1519</v>
      </c>
      <c r="B1" s="90"/>
      <c r="C1" s="90"/>
      <c r="D1" s="90"/>
      <c r="E1" s="90"/>
      <c r="F1" s="90"/>
    </row>
    <row r="2" ht="20.55" customHeight="1">
      <c r="A2" t="s" s="8">
        <v>1521</v>
      </c>
      <c r="B2" s="7"/>
      <c r="C2" s="7"/>
      <c r="D2" s="7"/>
      <c r="E2" s="7"/>
      <c r="F2" s="7"/>
    </row>
    <row r="3" ht="20.55" customHeight="1">
      <c r="A3" s="48"/>
      <c r="B3" s="82"/>
      <c r="C3" s="82"/>
      <c r="D3" s="82"/>
      <c r="E3" s="82"/>
      <c r="F3" s="82"/>
    </row>
    <row r="4" ht="20.35" customHeight="1">
      <c r="A4" s="32"/>
      <c r="B4" s="32"/>
      <c r="C4" s="32"/>
      <c r="D4" s="32"/>
      <c r="E4" s="32"/>
      <c r="F4" s="32"/>
    </row>
    <row r="5" ht="20.35" customHeight="1">
      <c r="A5" s="26"/>
      <c r="B5" s="32"/>
      <c r="C5" s="32"/>
      <c r="D5" s="32"/>
      <c r="E5" s="32"/>
      <c r="F5" s="32"/>
    </row>
    <row r="6" ht="20.35" customHeight="1">
      <c r="A6" s="26"/>
      <c r="B6" s="32"/>
      <c r="C6" s="32"/>
      <c r="D6" s="32"/>
      <c r="E6" s="32"/>
      <c r="F6" s="32"/>
    </row>
    <row r="7" ht="20.35" customHeight="1">
      <c r="A7" s="26"/>
      <c r="B7" s="32"/>
      <c r="C7" s="32"/>
      <c r="D7" s="32"/>
      <c r="E7" s="32"/>
      <c r="F7" s="32"/>
    </row>
    <row r="8" ht="20.35" customHeight="1">
      <c r="A8" s="26"/>
      <c r="B8" s="32"/>
      <c r="C8" s="32"/>
      <c r="D8" s="32"/>
      <c r="E8" s="32"/>
      <c r="F8" s="32"/>
    </row>
    <row r="9" ht="20.35" customHeight="1">
      <c r="A9" s="26"/>
      <c r="B9" s="32"/>
      <c r="C9" s="32"/>
      <c r="D9" s="32"/>
      <c r="E9" s="32"/>
      <c r="F9" s="32"/>
    </row>
    <row r="10" ht="20.35" customHeight="1">
      <c r="A10" s="26"/>
      <c r="B10" s="32"/>
      <c r="C10" s="32"/>
      <c r="D10" s="32"/>
      <c r="E10" s="32"/>
      <c r="F10" s="32"/>
    </row>
    <row r="11" ht="20.35" customHeight="1">
      <c r="A11" s="26"/>
      <c r="B11" s="32"/>
      <c r="C11" s="32"/>
      <c r="D11" s="32"/>
      <c r="E11" s="32"/>
      <c r="F11" s="32"/>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5.xml><?xml version="1.0" encoding="utf-8"?>
<worksheet xmlns:r="http://schemas.openxmlformats.org/officeDocument/2006/relationships" xmlns="http://schemas.openxmlformats.org/spreadsheetml/2006/main">
  <sheetPr>
    <pageSetUpPr fitToPage="1"/>
  </sheetPr>
  <dimension ref="A1:U924"/>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0.6719" style="959" customWidth="1"/>
    <col min="2" max="21" width="8.51562" style="959" customWidth="1"/>
    <col min="22" max="16384" width="16.3516" style="959" customWidth="1"/>
  </cols>
  <sheetData>
    <row r="1" ht="32.55" customHeight="1">
      <c r="A1" s="7"/>
      <c r="B1" t="s" s="919">
        <v>969</v>
      </c>
      <c r="C1" t="s" s="919">
        <v>1523</v>
      </c>
      <c r="D1" t="s" s="919">
        <v>1524</v>
      </c>
      <c r="E1" t="s" s="919">
        <v>1525</v>
      </c>
      <c r="F1" t="s" s="919">
        <v>1526</v>
      </c>
      <c r="G1" t="s" s="919">
        <v>1527</v>
      </c>
      <c r="H1" t="s" s="919">
        <v>1528</v>
      </c>
      <c r="I1" t="s" s="919">
        <v>1529</v>
      </c>
      <c r="J1" t="s" s="919">
        <v>1530</v>
      </c>
      <c r="K1" t="s" s="919">
        <v>1531</v>
      </c>
      <c r="L1" t="s" s="919">
        <v>1532</v>
      </c>
      <c r="M1" t="s" s="919">
        <v>1533</v>
      </c>
      <c r="N1" t="s" s="919">
        <v>1534</v>
      </c>
      <c r="O1" t="s" s="919">
        <v>1535</v>
      </c>
      <c r="P1" t="s" s="919">
        <v>1536</v>
      </c>
      <c r="Q1" s="920"/>
      <c r="R1" t="s" s="919">
        <v>1391</v>
      </c>
      <c r="S1" t="s" s="919">
        <v>1392</v>
      </c>
      <c r="T1" t="s" s="919">
        <v>1393</v>
      </c>
      <c r="U1" t="s" s="919">
        <v>1403</v>
      </c>
    </row>
    <row r="2" ht="8.75" customHeight="1" hidden="1">
      <c r="A2" s="960">
        <v>44341</v>
      </c>
      <c r="B2" s="961">
        <v>69</v>
      </c>
      <c r="C2" s="352"/>
      <c r="D2" s="352"/>
      <c r="E2" s="352"/>
      <c r="F2" s="962" cm="1">
        <f t="array" ref="F2">IF(ISBLANK(B2),"",AVERAGE(B1:B2))</f>
        <v>69</v>
      </c>
      <c r="G2" s="352"/>
      <c r="H2" s="352"/>
      <c r="I2" s="352"/>
      <c r="J2" s="352"/>
      <c r="K2" s="355">
        <v>4</v>
      </c>
      <c r="L2" s="355">
        <v>4</v>
      </c>
      <c r="M2" s="355">
        <v>4</v>
      </c>
      <c r="N2" s="355">
        <v>4</v>
      </c>
      <c r="O2" s="355">
        <v>4</v>
      </c>
      <c r="P2" s="355">
        <v>4</v>
      </c>
      <c r="Q2" s="352"/>
      <c r="R2" s="352"/>
      <c r="S2" s="352"/>
      <c r="T2" s="352"/>
      <c r="U2" s="352"/>
    </row>
    <row r="3" ht="8.75" customHeight="1" hidden="1">
      <c r="A3" s="963">
        <v>44342</v>
      </c>
      <c r="B3" s="356"/>
      <c r="C3" s="352"/>
      <c r="D3" s="352"/>
      <c r="E3" s="352"/>
      <c r="F3" t="str" s="964" cm="1">
        <f t="array" ref="F3">IF(ISBLANK(B3),"",AVERAGE(B1:B3))</f>
      </c>
      <c r="G3" s="352"/>
      <c r="H3" s="352"/>
      <c r="I3" s="352"/>
      <c r="J3" s="352"/>
      <c r="K3" s="355">
        <v>4</v>
      </c>
      <c r="L3" s="355">
        <v>4</v>
      </c>
      <c r="M3" s="355">
        <v>4</v>
      </c>
      <c r="N3" s="355">
        <v>4</v>
      </c>
      <c r="O3" s="355">
        <v>4</v>
      </c>
      <c r="P3" s="355">
        <v>4</v>
      </c>
      <c r="Q3" s="352"/>
      <c r="R3" s="352"/>
      <c r="S3" s="352"/>
      <c r="T3" s="352"/>
      <c r="U3" s="352"/>
    </row>
    <row r="4" ht="8.75" customHeight="1" hidden="1">
      <c r="A4" s="960">
        <v>44343</v>
      </c>
      <c r="B4" s="356"/>
      <c r="C4" s="352"/>
      <c r="D4" s="352"/>
      <c r="E4" s="352"/>
      <c r="F4" t="str" s="964" cm="1">
        <f t="array" ref="F4">IF(ISBLANK(B4),"",AVERAGE(B1:B4))</f>
      </c>
      <c r="G4" s="352"/>
      <c r="H4" s="352"/>
      <c r="I4" s="352"/>
      <c r="J4" s="352"/>
      <c r="K4" s="355">
        <v>4</v>
      </c>
      <c r="L4" s="355">
        <v>4</v>
      </c>
      <c r="M4" s="355">
        <v>4</v>
      </c>
      <c r="N4" s="355">
        <v>4</v>
      </c>
      <c r="O4" s="355">
        <v>4</v>
      </c>
      <c r="P4" s="355">
        <v>4</v>
      </c>
      <c r="Q4" s="352"/>
      <c r="R4" s="352"/>
      <c r="S4" s="352"/>
      <c r="T4" s="352"/>
      <c r="U4" s="352"/>
    </row>
    <row r="5" ht="8.75" customHeight="1" hidden="1">
      <c r="A5" s="963">
        <v>44344</v>
      </c>
      <c r="B5" s="356"/>
      <c r="C5" s="352"/>
      <c r="D5" s="352"/>
      <c r="E5" s="352"/>
      <c r="F5" t="str" s="964" cm="1">
        <f t="array" ref="F5">IF(ISBLANK(B5),"",AVERAGE(B1:B5))</f>
      </c>
      <c r="G5" s="352"/>
      <c r="H5" s="352"/>
      <c r="I5" s="352"/>
      <c r="J5" s="352"/>
      <c r="K5" s="355">
        <v>4</v>
      </c>
      <c r="L5" s="355">
        <v>4</v>
      </c>
      <c r="M5" s="355">
        <v>4</v>
      </c>
      <c r="N5" s="355">
        <v>4</v>
      </c>
      <c r="O5" s="355">
        <v>4</v>
      </c>
      <c r="P5" s="355">
        <v>4</v>
      </c>
      <c r="Q5" s="352"/>
      <c r="R5" s="352"/>
      <c r="S5" s="352"/>
      <c r="T5" s="352"/>
      <c r="U5" s="352"/>
    </row>
    <row r="6" ht="8.75" customHeight="1" hidden="1">
      <c r="A6" s="960">
        <v>44345</v>
      </c>
      <c r="B6" s="356"/>
      <c r="C6" s="352"/>
      <c r="D6" s="352"/>
      <c r="E6" s="352"/>
      <c r="F6" t="str" s="964" cm="1">
        <f t="array" ref="F6">IF(ISBLANK(B6),"",AVERAGE(B1:B6))</f>
      </c>
      <c r="G6" s="352"/>
      <c r="H6" s="352"/>
      <c r="I6" s="352"/>
      <c r="J6" s="352"/>
      <c r="K6" s="355">
        <v>4</v>
      </c>
      <c r="L6" s="355">
        <v>4</v>
      </c>
      <c r="M6" s="355">
        <v>4</v>
      </c>
      <c r="N6" s="355">
        <v>4</v>
      </c>
      <c r="O6" s="355">
        <v>4</v>
      </c>
      <c r="P6" s="355">
        <v>4</v>
      </c>
      <c r="Q6" s="352"/>
      <c r="R6" s="352"/>
      <c r="S6" s="352"/>
      <c r="T6" s="352"/>
      <c r="U6" s="352"/>
    </row>
    <row r="7" ht="8.75" customHeight="1" hidden="1">
      <c r="A7" s="960">
        <v>44346</v>
      </c>
      <c r="B7" s="961">
        <v>69</v>
      </c>
      <c r="C7" s="352"/>
      <c r="D7" s="352"/>
      <c r="E7" s="352"/>
      <c r="F7" s="962" cm="1">
        <f t="array" ref="F7">IF(ISBLANK(B7),"",AVERAGE(B1:B7))</f>
        <v>69</v>
      </c>
      <c r="G7" s="352"/>
      <c r="H7" s="352"/>
      <c r="I7" s="352"/>
      <c r="J7" s="352"/>
      <c r="K7" s="355">
        <v>4</v>
      </c>
      <c r="L7" s="355">
        <v>4</v>
      </c>
      <c r="M7" s="355">
        <v>4</v>
      </c>
      <c r="N7" s="355">
        <v>4</v>
      </c>
      <c r="O7" s="355">
        <v>4</v>
      </c>
      <c r="P7" s="355">
        <v>4</v>
      </c>
      <c r="Q7" s="352"/>
      <c r="R7" s="352"/>
      <c r="S7" s="352"/>
      <c r="T7" s="352"/>
      <c r="U7" s="352"/>
    </row>
    <row r="8" ht="8.75" customHeight="1" hidden="1">
      <c r="A8" s="963">
        <v>44347</v>
      </c>
      <c r="B8" s="356"/>
      <c r="C8" s="352"/>
      <c r="D8" s="965" cm="1">
        <f t="array" ref="D8">AVERAGE(B2:B8)</f>
        <v>69</v>
      </c>
      <c r="E8" s="352"/>
      <c r="F8" t="str" s="964" cm="1">
        <f t="array" ref="F8">IF(ISBLANK(B8),"",AVERAGE(B1:B8))</f>
      </c>
      <c r="G8" s="352"/>
      <c r="H8" s="352"/>
      <c r="I8" s="352"/>
      <c r="J8" s="352"/>
      <c r="K8" s="352"/>
      <c r="L8" s="352"/>
      <c r="M8" s="352"/>
      <c r="N8" s="352"/>
      <c r="O8" s="352"/>
      <c r="P8" s="352"/>
      <c r="Q8" s="352"/>
      <c r="R8" s="352"/>
      <c r="S8" s="352"/>
      <c r="T8" s="352"/>
      <c r="U8" s="352"/>
    </row>
    <row r="9" ht="8.75" customHeight="1" hidden="1">
      <c r="A9" s="960">
        <v>44348</v>
      </c>
      <c r="B9" s="356"/>
      <c r="C9" s="352"/>
      <c r="D9" s="965" cm="1">
        <f t="array" ref="D9">AVERAGE(B3:B9)</f>
        <v>69</v>
      </c>
      <c r="E9" s="352"/>
      <c r="F9" t="str" s="964" cm="1">
        <f t="array" ref="F9">IF(ISBLANK(B9),"",AVERAGE(B1:B9))</f>
      </c>
      <c r="G9" s="352"/>
      <c r="H9" s="352"/>
      <c r="I9" s="352"/>
      <c r="J9" s="352"/>
      <c r="K9" s="352"/>
      <c r="L9" s="352"/>
      <c r="M9" s="352"/>
      <c r="N9" s="352"/>
      <c r="O9" s="352"/>
      <c r="P9" s="352"/>
      <c r="Q9" s="352"/>
      <c r="R9" s="352"/>
      <c r="S9" s="352"/>
      <c r="T9" s="352"/>
      <c r="U9" s="352"/>
    </row>
    <row r="10" ht="8.75" customHeight="1" hidden="1">
      <c r="A10" s="963">
        <v>44349</v>
      </c>
      <c r="B10" s="356"/>
      <c r="C10" s="352"/>
      <c r="D10" s="965" cm="1">
        <f t="array" ref="D10">AVERAGE(B4:B10)</f>
        <v>69</v>
      </c>
      <c r="E10" s="965"/>
      <c r="F10" t="str" s="964" cm="1">
        <f t="array" ref="F10">IF(ISBLANK(B10),"",AVERAGE(B1:B10))</f>
      </c>
      <c r="G10" s="965"/>
      <c r="H10" s="965"/>
      <c r="I10" s="965"/>
      <c r="J10" s="965"/>
      <c r="K10" s="965"/>
      <c r="L10" s="965"/>
      <c r="M10" s="965"/>
      <c r="N10" s="965"/>
      <c r="O10" s="965"/>
      <c r="P10" s="965"/>
      <c r="Q10" s="965"/>
      <c r="R10" s="965"/>
      <c r="S10" s="965"/>
      <c r="T10" s="965"/>
      <c r="U10" s="965"/>
    </row>
    <row r="11" ht="8.75" customHeight="1" hidden="1">
      <c r="A11" s="960">
        <v>44350</v>
      </c>
      <c r="B11" s="961">
        <v>69.3</v>
      </c>
      <c r="C11" s="965" cm="1">
        <f t="array" ref="C11">B11*2.2046226218</f>
        <v>152.780347690740</v>
      </c>
      <c r="D11" s="965" cm="1">
        <f t="array" ref="D11">AVERAGE(B5:B11)</f>
        <v>69.15000000000001</v>
      </c>
      <c r="E11" s="965"/>
      <c r="F11" s="962" cm="1">
        <f t="array" ref="F11">IF(ISBLANK(B11),"",AVERAGE(B1:B11))</f>
        <v>69.09999999999999</v>
      </c>
      <c r="G11" s="965"/>
      <c r="H11" s="965"/>
      <c r="I11" s="965"/>
      <c r="J11" s="965"/>
      <c r="K11" s="965"/>
      <c r="L11" s="965"/>
      <c r="M11" s="965"/>
      <c r="N11" s="965"/>
      <c r="O11" s="965"/>
      <c r="P11" s="965"/>
      <c r="Q11" s="965"/>
      <c r="R11" s="965"/>
      <c r="S11" s="965"/>
      <c r="T11" s="965"/>
      <c r="U11" s="965"/>
    </row>
    <row r="12" ht="8.75" customHeight="1" hidden="1">
      <c r="A12" s="963">
        <v>44351</v>
      </c>
      <c r="B12" s="961">
        <v>69.90000000000001</v>
      </c>
      <c r="C12" s="965" cm="1">
        <f t="array" ref="C12">B12*2.2046226218</f>
        <v>154.103121263820</v>
      </c>
      <c r="D12" s="965" cm="1">
        <f t="array" ref="D12">AVERAGE(B6:B12)</f>
        <v>69.40000000000001</v>
      </c>
      <c r="E12" s="965"/>
      <c r="F12" s="962" cm="1">
        <f t="array" ref="F12">IF(ISBLANK(B12),"",AVERAGE(B1:B12))</f>
        <v>69.3</v>
      </c>
      <c r="G12" s="965"/>
      <c r="H12" s="965"/>
      <c r="I12" s="965"/>
      <c r="J12" s="965"/>
      <c r="K12" s="965"/>
      <c r="L12" s="965"/>
      <c r="M12" s="965"/>
      <c r="N12" s="965"/>
      <c r="O12" s="965"/>
      <c r="P12" s="965"/>
      <c r="Q12" s="965"/>
      <c r="R12" s="965"/>
      <c r="S12" s="965"/>
      <c r="T12" s="965"/>
      <c r="U12" s="965"/>
    </row>
    <row r="13" ht="8.75" customHeight="1" hidden="1">
      <c r="A13" s="960">
        <v>44352</v>
      </c>
      <c r="B13" s="961">
        <v>69.5</v>
      </c>
      <c r="C13" s="965" cm="1">
        <f t="array" ref="C13">B13*2.2046226218</f>
        <v>153.2212722151</v>
      </c>
      <c r="D13" s="965" cm="1">
        <f t="array" ref="D13">AVERAGE(B7:B13)</f>
        <v>69.425</v>
      </c>
      <c r="E13" s="965"/>
      <c r="F13" s="962" cm="1">
        <f t="array" ref="F13">IF(ISBLANK(B13),"",AVERAGE(B1:B13))</f>
        <v>69.34</v>
      </c>
      <c r="G13" s="965"/>
      <c r="H13" s="965"/>
      <c r="I13" s="965"/>
      <c r="J13" s="965"/>
      <c r="K13" s="965"/>
      <c r="L13" s="965"/>
      <c r="M13" s="965"/>
      <c r="N13" s="965"/>
      <c r="O13" s="965"/>
      <c r="P13" s="965"/>
      <c r="Q13" s="965"/>
      <c r="R13" s="965"/>
      <c r="S13" s="965"/>
      <c r="T13" s="965"/>
      <c r="U13" s="965"/>
    </row>
    <row r="14" ht="8.75" customHeight="1" hidden="1">
      <c r="A14" s="960">
        <v>44353</v>
      </c>
      <c r="B14" s="961">
        <v>69.5</v>
      </c>
      <c r="C14" s="965" cm="1">
        <f t="array" ref="C14">B14*2.2046226218</f>
        <v>153.2212722151</v>
      </c>
      <c r="D14" s="965" cm="1">
        <f t="array" ref="D14">AVERAGE(B8:B14)</f>
        <v>69.55</v>
      </c>
      <c r="E14" s="965"/>
      <c r="F14" s="962" cm="1">
        <f t="array" ref="F14">IF(ISBLANK(B14),"",AVERAGE(B1:B14))</f>
        <v>69.3666666666667</v>
      </c>
      <c r="G14" s="965"/>
      <c r="H14" s="965"/>
      <c r="I14" s="965"/>
      <c r="J14" s="965"/>
      <c r="K14" s="965"/>
      <c r="L14" s="965"/>
      <c r="M14" s="965"/>
      <c r="N14" s="965"/>
      <c r="O14" s="965"/>
      <c r="P14" s="965"/>
      <c r="Q14" s="965"/>
      <c r="R14" s="965"/>
      <c r="S14" s="965"/>
      <c r="T14" s="965"/>
      <c r="U14" s="965"/>
    </row>
    <row r="15" ht="8.75" customHeight="1" hidden="1">
      <c r="A15" s="963">
        <v>44354</v>
      </c>
      <c r="B15" s="961">
        <v>69.8</v>
      </c>
      <c r="C15" s="965" cm="1">
        <f t="array" ref="C15">B15*2.2046226218</f>
        <v>153.882659001640</v>
      </c>
      <c r="D15" s="965" cm="1">
        <f t="array" ref="D15">AVERAGE(B9:B15)</f>
        <v>69.59999999999999</v>
      </c>
      <c r="E15" s="965" cm="1">
        <f t="array" ref="E15">AVERAGE(B2:B15)</f>
        <v>69.4285714285714</v>
      </c>
      <c r="F15" s="962" cm="1">
        <f t="array" ref="F15">IF(ISBLANK(B15),"",AVERAGE(B1:B15))</f>
        <v>69.4285714285714</v>
      </c>
      <c r="G15" s="965"/>
      <c r="H15" s="965"/>
      <c r="I15" s="965"/>
      <c r="J15" s="965"/>
      <c r="K15" s="965"/>
      <c r="L15" s="965"/>
      <c r="M15" s="965"/>
      <c r="N15" s="965"/>
      <c r="O15" s="965"/>
      <c r="P15" s="965"/>
      <c r="Q15" s="965"/>
      <c r="R15" s="965"/>
      <c r="S15" s="965"/>
      <c r="T15" s="965"/>
      <c r="U15" s="965"/>
    </row>
    <row r="16" ht="8.75" customHeight="1" hidden="1">
      <c r="A16" s="960">
        <v>44355</v>
      </c>
      <c r="B16" s="961">
        <v>70</v>
      </c>
      <c r="C16" s="965" cm="1">
        <f t="array" ref="C16">B16*2.2046226218</f>
        <v>154.323583526</v>
      </c>
      <c r="D16" s="965" cm="1">
        <f t="array" ref="D16">AVERAGE(B10:B16)</f>
        <v>69.6666666666667</v>
      </c>
      <c r="E16" s="965" cm="1">
        <f t="array" ref="E16">AVERAGE(B3:B16)</f>
        <v>69.5714285714286</v>
      </c>
      <c r="F16" s="962" cm="1">
        <f t="array" ref="F16">IF(ISBLANK(B16),"",AVERAGE(B1:B16))</f>
        <v>69.5</v>
      </c>
      <c r="G16" s="965"/>
      <c r="H16" s="965"/>
      <c r="I16" s="965"/>
      <c r="J16" s="965"/>
      <c r="K16" s="965"/>
      <c r="L16" s="965"/>
      <c r="M16" s="965"/>
      <c r="N16" s="965"/>
      <c r="O16" s="965"/>
      <c r="P16" s="965"/>
      <c r="Q16" s="965"/>
      <c r="R16" s="965"/>
      <c r="S16" s="965"/>
      <c r="T16" s="965"/>
      <c r="U16" s="965"/>
    </row>
    <row r="17" ht="8.75" customHeight="1" hidden="1">
      <c r="A17" s="963">
        <v>44356</v>
      </c>
      <c r="B17" s="961">
        <v>70</v>
      </c>
      <c r="C17" s="965" cm="1">
        <f t="array" ref="C17">B17*2.2046226218</f>
        <v>154.323583526</v>
      </c>
      <c r="D17" s="965" cm="1">
        <f t="array" ref="D17">AVERAGE(B11:B17)</f>
        <v>69.71428571428569</v>
      </c>
      <c r="E17" s="965" cm="1">
        <f t="array" ref="E17">AVERAGE(B4:B17)</f>
        <v>69.625</v>
      </c>
      <c r="F17" s="962" cm="1">
        <f t="array" ref="F17">IF(ISBLANK(B17),"",AVERAGE(B1:B17))</f>
        <v>69.5555555555556</v>
      </c>
      <c r="G17" s="965"/>
      <c r="H17" s="965"/>
      <c r="I17" s="965"/>
      <c r="J17" s="965"/>
      <c r="K17" s="965"/>
      <c r="L17" s="965"/>
      <c r="M17" s="965"/>
      <c r="N17" s="965"/>
      <c r="O17" s="965"/>
      <c r="P17" s="965"/>
      <c r="Q17" s="965"/>
      <c r="R17" s="965"/>
      <c r="S17" s="965"/>
      <c r="T17" s="965"/>
      <c r="U17" s="965"/>
    </row>
    <row r="18" ht="8.75" customHeight="1" hidden="1">
      <c r="A18" s="960">
        <v>44357</v>
      </c>
      <c r="B18" s="961">
        <v>69.90000000000001</v>
      </c>
      <c r="C18" s="965" cm="1">
        <f t="array" ref="C18">B18*2.2046226218</f>
        <v>154.103121263820</v>
      </c>
      <c r="D18" s="965" cm="1">
        <f t="array" ref="D18">AVERAGE(B12:B18)</f>
        <v>69.8</v>
      </c>
      <c r="E18" s="965" cm="1">
        <f t="array" ref="E18">AVERAGE(B5:B18)</f>
        <v>69.65555555555559</v>
      </c>
      <c r="F18" s="962" cm="1">
        <f t="array" ref="F18">IF(ISBLANK(B18),"",AVERAGE(B1:B18))</f>
        <v>69.59</v>
      </c>
      <c r="G18" s="965"/>
      <c r="H18" s="965"/>
      <c r="I18" s="965"/>
      <c r="J18" s="965"/>
      <c r="K18" s="965"/>
      <c r="L18" s="965"/>
      <c r="M18" s="965"/>
      <c r="N18" s="965"/>
      <c r="O18" s="965"/>
      <c r="P18" s="965"/>
      <c r="Q18" s="965"/>
      <c r="R18" s="965"/>
      <c r="S18" s="965"/>
      <c r="T18" s="965"/>
      <c r="U18" s="965"/>
    </row>
    <row r="19" ht="8.75" customHeight="1" hidden="1">
      <c r="A19" s="963">
        <v>44358</v>
      </c>
      <c r="B19" s="961">
        <v>70.09999999999999</v>
      </c>
      <c r="C19" s="965" cm="1">
        <f t="array" ref="C19">B19*2.2046226218</f>
        <v>154.544045788180</v>
      </c>
      <c r="D19" s="965" cm="1">
        <f t="array" ref="D19">AVERAGE(B13:B19)</f>
        <v>69.82857142857139</v>
      </c>
      <c r="E19" s="965" cm="1">
        <f t="array" ref="E19">AVERAGE(B6:B19)</f>
        <v>69.7</v>
      </c>
      <c r="F19" s="962" cm="1">
        <f t="array" ref="F19">IF(ISBLANK(B19),"",AVERAGE(B1:B19))</f>
        <v>69.6363636363636</v>
      </c>
      <c r="G19" s="965"/>
      <c r="H19" s="965"/>
      <c r="I19" s="965"/>
      <c r="J19" s="965"/>
      <c r="K19" s="965"/>
      <c r="L19" s="965"/>
      <c r="M19" s="965"/>
      <c r="N19" s="965"/>
      <c r="O19" s="965"/>
      <c r="P19" s="965"/>
      <c r="Q19" s="965"/>
      <c r="R19" s="965"/>
      <c r="S19" s="965"/>
      <c r="T19" s="965"/>
      <c r="U19" s="965"/>
    </row>
    <row r="20" ht="8.75" customHeight="1" hidden="1">
      <c r="A20" s="960">
        <v>44359</v>
      </c>
      <c r="B20" s="961">
        <v>69.90000000000001</v>
      </c>
      <c r="C20" s="965" cm="1">
        <f t="array" ref="C20">B20*2.2046226218</f>
        <v>154.103121263820</v>
      </c>
      <c r="D20" s="965" cm="1">
        <f t="array" ref="D20">AVERAGE(B14:B20)</f>
        <v>69.8857142857143</v>
      </c>
      <c r="E20" s="965" cm="1">
        <f t="array" ref="E20">AVERAGE(B7:B20)</f>
        <v>69.7181818181818</v>
      </c>
      <c r="F20" s="962" cm="1">
        <f t="array" ref="F20">IF(ISBLANK(B20),"",AVERAGE(B1:B20))</f>
        <v>69.6583333333333</v>
      </c>
      <c r="G20" s="965"/>
      <c r="H20" s="965"/>
      <c r="I20" s="965"/>
      <c r="J20" s="965"/>
      <c r="K20" s="965"/>
      <c r="L20" s="965"/>
      <c r="M20" s="965"/>
      <c r="N20" s="965"/>
      <c r="O20" s="965"/>
      <c r="P20" s="965"/>
      <c r="Q20" s="965"/>
      <c r="R20" s="965"/>
      <c r="S20" s="965"/>
      <c r="T20" s="965"/>
      <c r="U20" s="965"/>
    </row>
    <row r="21" ht="8.75" customHeight="1" hidden="1">
      <c r="A21" s="960">
        <v>44360</v>
      </c>
      <c r="B21" s="961">
        <v>70.5</v>
      </c>
      <c r="C21" s="965" cm="1">
        <f t="array" ref="C21">B21*2.2046226218</f>
        <v>155.4258948369</v>
      </c>
      <c r="D21" s="965" cm="1">
        <f t="array" ref="D21">AVERAGE(B15:B21)</f>
        <v>70.0285714285714</v>
      </c>
      <c r="E21" s="965" cm="1">
        <f t="array" ref="E21">AVERAGE(B8:B21)</f>
        <v>69.8545454545455</v>
      </c>
      <c r="F21" s="962" cm="1">
        <f t="array" ref="F21">IF(ISBLANK(B21),"",AVERAGE(B1:B21))</f>
        <v>69.7230769230769</v>
      </c>
      <c r="G21" s="965"/>
      <c r="H21" s="965"/>
      <c r="I21" s="965"/>
      <c r="J21" s="965"/>
      <c r="K21" s="965"/>
      <c r="L21" s="965"/>
      <c r="M21" s="965"/>
      <c r="N21" s="965"/>
      <c r="O21" s="965"/>
      <c r="P21" s="965"/>
      <c r="Q21" s="965"/>
      <c r="R21" s="965"/>
      <c r="S21" s="965"/>
      <c r="T21" s="965"/>
      <c r="U21" s="965"/>
    </row>
    <row r="22" ht="8.75" customHeight="1" hidden="1">
      <c r="A22" s="963">
        <v>44361</v>
      </c>
      <c r="B22" s="961">
        <v>70.40000000000001</v>
      </c>
      <c r="C22" s="965" cm="1">
        <f t="array" ref="C22">B22*2.2046226218</f>
        <v>155.205432574720</v>
      </c>
      <c r="D22" s="965" cm="1">
        <f t="array" ref="D22">AVERAGE(B16:B22)</f>
        <v>70.1142857142857</v>
      </c>
      <c r="E22" s="965" cm="1">
        <f t="array" ref="E22">AVERAGE(B9:B22)</f>
        <v>69.90000000000001</v>
      </c>
      <c r="F22" s="962" cm="1">
        <f t="array" ref="F22">IF(ISBLANK(B22),"",AVERAGE(B1:B22))</f>
        <v>69.7714285714286</v>
      </c>
      <c r="G22" s="965"/>
      <c r="H22" s="965"/>
      <c r="I22" s="965"/>
      <c r="J22" s="965"/>
      <c r="K22" s="965"/>
      <c r="L22" s="965"/>
      <c r="M22" s="965"/>
      <c r="N22" s="965"/>
      <c r="O22" s="965"/>
      <c r="P22" s="965"/>
      <c r="Q22" s="965"/>
      <c r="R22" s="965"/>
      <c r="S22" s="965"/>
      <c r="T22" s="965"/>
      <c r="U22" s="965"/>
    </row>
    <row r="23" ht="8.75" customHeight="1" hidden="1">
      <c r="A23" s="960">
        <v>44362</v>
      </c>
      <c r="B23" s="961">
        <v>69.90000000000001</v>
      </c>
      <c r="C23" s="965" cm="1">
        <f t="array" ref="C23">B23*2.2046226218</f>
        <v>154.103121263820</v>
      </c>
      <c r="D23" s="965" cm="1">
        <f t="array" ref="D23">AVERAGE(B17:B23)</f>
        <v>70.09999999999999</v>
      </c>
      <c r="E23" s="965" cm="1">
        <f t="array" ref="E23">AVERAGE(B10:B23)</f>
        <v>69.90000000000001</v>
      </c>
      <c r="F23" s="962" cm="1">
        <f t="array" ref="F23">IF(ISBLANK(B23),"",AVERAGE(B1:B23))</f>
        <v>69.78</v>
      </c>
      <c r="G23" s="965"/>
      <c r="H23" s="965"/>
      <c r="I23" s="965"/>
      <c r="J23" s="965"/>
      <c r="K23" s="965"/>
      <c r="L23" s="965"/>
      <c r="M23" s="965"/>
      <c r="N23" s="965"/>
      <c r="O23" s="965"/>
      <c r="P23" s="965"/>
      <c r="Q23" s="965"/>
      <c r="R23" s="965"/>
      <c r="S23" s="965"/>
      <c r="T23" s="965"/>
      <c r="U23" s="965"/>
    </row>
    <row r="24" ht="8.75" customHeight="1" hidden="1">
      <c r="A24" s="963">
        <v>44363</v>
      </c>
      <c r="B24" s="961">
        <v>70.40000000000001</v>
      </c>
      <c r="C24" s="965" cm="1">
        <f t="array" ref="C24">B24*2.2046226218</f>
        <v>155.205432574720</v>
      </c>
      <c r="D24" s="965" cm="1">
        <f t="array" ref="D24">AVERAGE(B18:B24)</f>
        <v>70.1571428571429</v>
      </c>
      <c r="E24" s="965" cm="1">
        <f t="array" ref="E24">AVERAGE(B11:B24)</f>
        <v>69.9357142857143</v>
      </c>
      <c r="F24" s="962" cm="1">
        <f t="array" ref="F24">IF(ISBLANK(B24),"",AVERAGE(B1:B24))</f>
        <v>69.81874999999999</v>
      </c>
      <c r="G24" s="965"/>
      <c r="H24" s="965">
        <v>20</v>
      </c>
      <c r="I24" s="965">
        <v>20</v>
      </c>
      <c r="J24" s="965"/>
      <c r="K24" s="965"/>
      <c r="L24" s="965"/>
      <c r="M24" s="965"/>
      <c r="N24" s="965"/>
      <c r="O24" s="965"/>
      <c r="P24" s="965"/>
      <c r="Q24" s="965"/>
      <c r="R24" s="965"/>
      <c r="S24" s="965"/>
      <c r="T24" s="965"/>
      <c r="U24" s="965"/>
    </row>
    <row r="25" ht="8.75" customHeight="1" hidden="1">
      <c r="A25" s="960">
        <v>44364</v>
      </c>
      <c r="B25" s="961">
        <v>70.09999999999999</v>
      </c>
      <c r="C25" s="965" cm="1">
        <f t="array" ref="C25">B25*2.2046226218</f>
        <v>154.544045788180</v>
      </c>
      <c r="D25" s="965" cm="1">
        <f t="array" ref="D25">AVERAGE(B19:B25)</f>
        <v>70.1857142857143</v>
      </c>
      <c r="E25" s="965" cm="1">
        <f t="array" ref="E25">AVERAGE(B12:B25)</f>
        <v>69.9928571428571</v>
      </c>
      <c r="F25" s="962" cm="1">
        <f t="array" ref="F25">IF(ISBLANK(B25),"",AVERAGE(B1:B25))</f>
        <v>69.83529411764709</v>
      </c>
      <c r="G25" s="965"/>
      <c r="H25" s="965">
        <v>20</v>
      </c>
      <c r="I25" s="965">
        <v>20</v>
      </c>
      <c r="J25" s="965"/>
      <c r="K25" s="965"/>
      <c r="L25" s="965"/>
      <c r="M25" s="965"/>
      <c r="N25" s="965"/>
      <c r="O25" s="965"/>
      <c r="P25" s="965"/>
      <c r="Q25" s="965"/>
      <c r="R25" s="965"/>
      <c r="S25" s="965"/>
      <c r="T25" s="965"/>
      <c r="U25" s="965"/>
    </row>
    <row r="26" ht="8.75" customHeight="1" hidden="1">
      <c r="A26" s="963">
        <v>44365</v>
      </c>
      <c r="B26" s="961">
        <v>69.90000000000001</v>
      </c>
      <c r="C26" s="965" cm="1">
        <f t="array" ref="C26">B26*2.2046226218</f>
        <v>154.103121263820</v>
      </c>
      <c r="D26" s="965" cm="1">
        <f t="array" ref="D26">AVERAGE(B20:B26)</f>
        <v>70.1571428571429</v>
      </c>
      <c r="E26" s="965" cm="1">
        <f t="array" ref="E26">AVERAGE(B13:B26)</f>
        <v>69.9928571428571</v>
      </c>
      <c r="F26" s="962" cm="1">
        <f t="array" ref="F26">IF(ISBLANK(B26),"",AVERAGE(B1:B26))</f>
        <v>69.8388888888889</v>
      </c>
      <c r="G26" s="965">
        <v>20</v>
      </c>
      <c r="H26" s="965">
        <v>25</v>
      </c>
      <c r="I26" s="965">
        <v>25</v>
      </c>
      <c r="J26" s="965"/>
      <c r="K26" s="965"/>
      <c r="L26" s="965"/>
      <c r="M26" s="965"/>
      <c r="N26" s="965"/>
      <c r="O26" s="965"/>
      <c r="P26" s="965"/>
      <c r="Q26" s="965"/>
      <c r="R26" s="965"/>
      <c r="S26" s="965"/>
      <c r="T26" s="965"/>
      <c r="U26" s="965"/>
    </row>
    <row r="27" ht="8.75" customHeight="1" hidden="1">
      <c r="A27" s="960">
        <v>44366</v>
      </c>
      <c r="B27" s="961">
        <v>70.09999999999999</v>
      </c>
      <c r="C27" s="965" cm="1">
        <f t="array" ref="C27">B27*2.2046226218</f>
        <v>154.544045788180</v>
      </c>
      <c r="D27" s="965" cm="1">
        <f t="array" ref="D27">AVERAGE(B21:B27)</f>
        <v>70.1857142857143</v>
      </c>
      <c r="E27" s="965" cm="1">
        <f t="array" ref="E27">AVERAGE(B14:B27)</f>
        <v>70.03571428571431</v>
      </c>
      <c r="F27" s="962" cm="1">
        <f t="array" ref="F27">IF(ISBLANK(B27),"",AVERAGE(B1:B27))</f>
        <v>69.8526315789474</v>
      </c>
      <c r="G27" s="965">
        <v>20</v>
      </c>
      <c r="H27" s="965">
        <v>25</v>
      </c>
      <c r="I27" s="965">
        <v>25</v>
      </c>
      <c r="J27" s="965"/>
      <c r="K27" s="965"/>
      <c r="L27" s="965"/>
      <c r="M27" s="965"/>
      <c r="N27" s="965"/>
      <c r="O27" s="965"/>
      <c r="P27" s="965"/>
      <c r="Q27" s="965"/>
      <c r="R27" s="965"/>
      <c r="S27" s="965"/>
      <c r="T27" s="965"/>
      <c r="U27" s="965"/>
    </row>
    <row r="28" ht="8.75" customHeight="1" hidden="1">
      <c r="A28" s="960">
        <v>44367</v>
      </c>
      <c r="B28" s="961">
        <v>70.09999999999999</v>
      </c>
      <c r="C28" s="965" cm="1">
        <f t="array" ref="C28">B28*2.2046226218</f>
        <v>154.544045788180</v>
      </c>
      <c r="D28" s="965" cm="1">
        <f t="array" ref="D28">AVERAGE(B22:B28)</f>
        <v>70.12857142857141</v>
      </c>
      <c r="E28" s="965" cm="1">
        <f t="array" ref="E28">AVERAGE(B15:B28)</f>
        <v>70.07857142857139</v>
      </c>
      <c r="F28" s="962" cm="1">
        <f t="array" ref="F28">IF(ISBLANK(B28),"",AVERAGE(B1:B28))</f>
        <v>69.86499999999999</v>
      </c>
      <c r="G28" s="965">
        <v>20</v>
      </c>
      <c r="H28" s="965">
        <v>25</v>
      </c>
      <c r="I28" s="965">
        <v>25</v>
      </c>
      <c r="J28" s="965"/>
      <c r="K28" s="965"/>
      <c r="L28" s="965"/>
      <c r="M28" s="965"/>
      <c r="N28" s="965"/>
      <c r="O28" s="965"/>
      <c r="P28" s="965"/>
      <c r="Q28" s="965"/>
      <c r="R28" s="965"/>
      <c r="S28" s="965"/>
      <c r="T28" s="965"/>
      <c r="U28" s="965"/>
    </row>
    <row r="29" ht="8.75" customHeight="1" hidden="1">
      <c r="A29" s="963">
        <v>44368</v>
      </c>
      <c r="B29" s="961">
        <v>70.7</v>
      </c>
      <c r="C29" s="965" cm="1">
        <f t="array" ref="C29">B29*2.2046226218</f>
        <v>155.866819361260</v>
      </c>
      <c r="D29" s="965" cm="1">
        <f t="array" ref="D29">AVERAGE(B23:B29)</f>
        <v>70.17142857142861</v>
      </c>
      <c r="E29" s="965" cm="1">
        <f t="array" ref="E29">AVERAGE(B16:B29)</f>
        <v>70.1428571428571</v>
      </c>
      <c r="F29" s="962" cm="1">
        <f t="array" ref="F29">IF(ISBLANK(B29),"",AVERAGE(B1:B29))</f>
        <v>69.9047619047619</v>
      </c>
      <c r="G29" s="965">
        <v>25</v>
      </c>
      <c r="H29" s="965">
        <v>25</v>
      </c>
      <c r="I29" s="965">
        <v>25</v>
      </c>
      <c r="J29" s="965"/>
      <c r="K29" s="965"/>
      <c r="L29" s="965"/>
      <c r="M29" s="965"/>
      <c r="N29" s="965"/>
      <c r="O29" s="965"/>
      <c r="P29" s="965"/>
      <c r="Q29" s="965"/>
      <c r="R29" s="965"/>
      <c r="S29" s="965"/>
      <c r="T29" s="965"/>
      <c r="U29" s="965"/>
    </row>
    <row r="30" ht="8.75" customHeight="1" hidden="1">
      <c r="A30" s="960">
        <v>44369</v>
      </c>
      <c r="B30" s="961">
        <v>70.8</v>
      </c>
      <c r="C30" s="965" cm="1">
        <f t="array" ref="C30">B30*2.2046226218</f>
        <v>156.087281623440</v>
      </c>
      <c r="D30" s="965" cm="1">
        <f t="array" ref="D30">AVERAGE(B24:B30)</f>
        <v>70.3</v>
      </c>
      <c r="E30" s="965" cm="1">
        <f t="array" ref="E30">AVERAGE(B17:B30)</f>
        <v>70.2</v>
      </c>
      <c r="F30" s="962" cm="1">
        <f t="array" ref="F30">IF(ISBLANK(B30),"",AVERAGE(B1:B30))</f>
        <v>69.9454545454545</v>
      </c>
      <c r="G30" s="965">
        <v>25</v>
      </c>
      <c r="H30" s="965">
        <v>25</v>
      </c>
      <c r="I30" s="965">
        <v>25</v>
      </c>
      <c r="J30" s="965"/>
      <c r="K30" s="965"/>
      <c r="L30" s="965"/>
      <c r="M30" s="965"/>
      <c r="N30" s="965"/>
      <c r="O30" s="965"/>
      <c r="P30" s="965"/>
      <c r="Q30" s="965"/>
      <c r="R30" s="965"/>
      <c r="S30" s="965"/>
      <c r="T30" s="965"/>
      <c r="U30" s="965"/>
    </row>
    <row r="31" ht="8.75" customHeight="1" hidden="1">
      <c r="A31" s="963">
        <v>44370</v>
      </c>
      <c r="B31" s="961">
        <v>70.7</v>
      </c>
      <c r="C31" s="965" cm="1">
        <f t="array" ref="C31">B31*2.2046226218</f>
        <v>155.866819361260</v>
      </c>
      <c r="D31" s="965" cm="1">
        <f t="array" ref="D31">AVERAGE(B25:B31)</f>
        <v>70.3428571428571</v>
      </c>
      <c r="E31" s="965" cm="1">
        <f t="array" ref="E31">AVERAGE(B18:B31)</f>
        <v>70.25</v>
      </c>
      <c r="F31" s="962" cm="1">
        <f t="array" ref="F31">IF(ISBLANK(B31),"",AVERAGE(B2:B31))</f>
        <v>69.9782608695652</v>
      </c>
      <c r="G31" s="965">
        <v>25</v>
      </c>
      <c r="H31" s="965">
        <v>25</v>
      </c>
      <c r="I31" s="965">
        <v>25</v>
      </c>
      <c r="J31" s="965"/>
      <c r="K31" s="965"/>
      <c r="L31" s="965"/>
      <c r="M31" s="965"/>
      <c r="N31" s="965"/>
      <c r="O31" s="965"/>
      <c r="P31" s="965"/>
      <c r="Q31" s="965"/>
      <c r="R31" s="965"/>
      <c r="S31" s="965"/>
      <c r="T31" s="965"/>
      <c r="U31" s="965"/>
    </row>
    <row r="32" ht="8.75" customHeight="1" hidden="1">
      <c r="A32" s="960">
        <v>44371</v>
      </c>
      <c r="B32" s="961">
        <v>70.59999999999999</v>
      </c>
      <c r="C32" s="965" cm="1">
        <f t="array" ref="C32">B32*2.2046226218</f>
        <v>155.646357099080</v>
      </c>
      <c r="D32" s="965" cm="1">
        <f t="array" ref="D32">AVERAGE(B26:B32)</f>
        <v>70.4142857142857</v>
      </c>
      <c r="E32" s="965" cm="1">
        <f t="array" ref="E32">AVERAGE(B19:B32)</f>
        <v>70.3</v>
      </c>
      <c r="F32" s="962" cm="1">
        <f t="array" ref="F32">IF(ISBLANK(B32),"",AVERAGE(B3:B32))</f>
        <v>70.0478260869565</v>
      </c>
      <c r="G32" s="965">
        <v>25</v>
      </c>
      <c r="H32" s="965">
        <v>25</v>
      </c>
      <c r="I32" s="965">
        <v>25</v>
      </c>
      <c r="J32" s="965"/>
      <c r="K32" s="965"/>
      <c r="L32" s="965"/>
      <c r="M32" s="965"/>
      <c r="N32" s="965"/>
      <c r="O32" s="965"/>
      <c r="P32" s="965"/>
      <c r="Q32" s="965"/>
      <c r="R32" s="965"/>
      <c r="S32" s="965"/>
      <c r="T32" s="965"/>
      <c r="U32" s="965"/>
    </row>
    <row r="33" ht="8.75" customHeight="1" hidden="1">
      <c r="A33" s="963">
        <v>44372</v>
      </c>
      <c r="B33" s="961">
        <v>70.8</v>
      </c>
      <c r="C33" s="965" cm="1">
        <f t="array" ref="C33">B33*2.2046226218</f>
        <v>156.087281623440</v>
      </c>
      <c r="D33" s="965" cm="1">
        <f t="array" ref="D33">AVERAGE(B27:B33)</f>
        <v>70.5428571428571</v>
      </c>
      <c r="E33" s="965" cm="1">
        <f t="array" ref="E33">AVERAGE(B20:B33)</f>
        <v>70.34999999999999</v>
      </c>
      <c r="F33" s="962" cm="1">
        <f t="array" ref="F33">IF(ISBLANK(B33),"",AVERAGE(B4:B33))</f>
        <v>70.07916666666669</v>
      </c>
      <c r="G33" s="965">
        <v>25</v>
      </c>
      <c r="H33" s="965">
        <v>25</v>
      </c>
      <c r="I33" s="965">
        <v>25</v>
      </c>
      <c r="J33" s="965"/>
      <c r="K33" s="965"/>
      <c r="L33" s="965"/>
      <c r="M33" s="965"/>
      <c r="N33" s="965"/>
      <c r="O33" s="965"/>
      <c r="P33" s="965"/>
      <c r="Q33" s="965"/>
      <c r="R33" s="965"/>
      <c r="S33" s="965"/>
      <c r="T33" s="965"/>
      <c r="U33" s="965"/>
    </row>
    <row r="34" ht="8.75" customHeight="1" hidden="1">
      <c r="A34" s="960">
        <v>44373</v>
      </c>
      <c r="B34" s="961">
        <v>70.90000000000001</v>
      </c>
      <c r="C34" s="965" cm="1">
        <f t="array" ref="C34">B34*2.2046226218</f>
        <v>156.307743885620</v>
      </c>
      <c r="D34" s="965" cm="1">
        <f t="array" ref="D34">AVERAGE(B28:B34)</f>
        <v>70.6571428571429</v>
      </c>
      <c r="E34" s="965" cm="1">
        <f t="array" ref="E34">AVERAGE(B21:B34)</f>
        <v>70.42142857142861</v>
      </c>
      <c r="F34" s="962" cm="1">
        <f t="array" ref="F34">IF(ISBLANK(B34),"",AVERAGE(B5:B34))</f>
        <v>70.11199999999999</v>
      </c>
      <c r="G34" s="965">
        <v>25</v>
      </c>
      <c r="H34" s="965">
        <v>25</v>
      </c>
      <c r="I34" s="965">
        <v>25</v>
      </c>
      <c r="J34" s="965"/>
      <c r="K34" s="965"/>
      <c r="L34" s="965"/>
      <c r="M34" s="965"/>
      <c r="N34" s="965"/>
      <c r="O34" s="965"/>
      <c r="P34" s="965"/>
      <c r="Q34" s="965"/>
      <c r="R34" s="965"/>
      <c r="S34" s="965"/>
      <c r="T34" s="965"/>
      <c r="U34" s="965"/>
    </row>
    <row r="35" ht="8.75" customHeight="1" hidden="1">
      <c r="A35" s="960">
        <v>44374</v>
      </c>
      <c r="B35" s="961">
        <v>70.59999999999999</v>
      </c>
      <c r="C35" s="965" cm="1">
        <f t="array" ref="C35">B35*2.2046226218</f>
        <v>155.646357099080</v>
      </c>
      <c r="D35" s="965" cm="1">
        <f t="array" ref="D35">AVERAGE(B29:B35)</f>
        <v>70.7285714285714</v>
      </c>
      <c r="E35" s="965" cm="1">
        <f t="array" ref="E35">AVERAGE(B22:B35)</f>
        <v>70.4285714285714</v>
      </c>
      <c r="F35" s="962" cm="1">
        <f t="array" ref="F35">IF(ISBLANK(B35),"",AVERAGE(B6:B35))</f>
        <v>70.1307692307692</v>
      </c>
      <c r="G35" s="965">
        <v>25</v>
      </c>
      <c r="H35" s="965">
        <v>25</v>
      </c>
      <c r="I35" s="965">
        <v>25</v>
      </c>
      <c r="J35" s="965"/>
      <c r="K35" s="965"/>
      <c r="L35" s="965"/>
      <c r="M35" s="965"/>
      <c r="N35" s="965"/>
      <c r="O35" s="965"/>
      <c r="P35" s="965"/>
      <c r="Q35" s="965"/>
      <c r="R35" s="965"/>
      <c r="S35" s="965"/>
      <c r="T35" s="965"/>
      <c r="U35" s="965"/>
    </row>
    <row r="36" ht="8.75" customHeight="1" hidden="1">
      <c r="A36" s="963">
        <v>44375</v>
      </c>
      <c r="B36" s="961">
        <v>71.2</v>
      </c>
      <c r="C36" s="965" cm="1">
        <f t="array" ref="C36">B36*2.2046226218</f>
        <v>156.969130672160</v>
      </c>
      <c r="D36" s="965" cm="1">
        <f t="array" ref="D36">AVERAGE(B30:B36)</f>
        <v>70.8</v>
      </c>
      <c r="E36" s="965" cm="1">
        <f t="array" ref="E36">AVERAGE(B23:B36)</f>
        <v>70.48571428571429</v>
      </c>
      <c r="F36" s="962" cm="1">
        <f t="array" ref="F36">IF(ISBLANK(B36),"",AVERAGE(B7:B36))</f>
        <v>70.17037037037041</v>
      </c>
      <c r="G36" s="965">
        <v>25</v>
      </c>
      <c r="H36" s="965">
        <v>25</v>
      </c>
      <c r="I36" s="965">
        <v>25</v>
      </c>
      <c r="J36" s="962">
        <v>0</v>
      </c>
      <c r="K36" s="965"/>
      <c r="L36" s="965"/>
      <c r="M36" s="965"/>
      <c r="N36" s="965"/>
      <c r="O36" s="965"/>
      <c r="P36" s="965"/>
      <c r="Q36" s="965"/>
      <c r="R36" s="965"/>
      <c r="S36" s="965"/>
      <c r="T36" s="965"/>
      <c r="U36" s="965"/>
    </row>
    <row r="37" ht="8.75" customHeight="1" hidden="1">
      <c r="A37" s="960">
        <v>44376</v>
      </c>
      <c r="B37" s="961">
        <v>71.40000000000001</v>
      </c>
      <c r="C37" s="965" cm="1">
        <f t="array" ref="C37">B37*2.2046226218</f>
        <v>157.410055196520</v>
      </c>
      <c r="D37" s="965" cm="1">
        <f t="array" ref="D37">AVERAGE(B31:B37)</f>
        <v>70.8857142857143</v>
      </c>
      <c r="E37" s="965" cm="1">
        <f t="array" ref="E37">AVERAGE(B24:B37)</f>
        <v>70.5928571428571</v>
      </c>
      <c r="F37" s="962" cm="1">
        <f t="array" ref="F37">IF(ISBLANK(B37),"",AVERAGE(B8:B37))</f>
        <v>70.2592592592593</v>
      </c>
      <c r="G37" s="965">
        <v>25</v>
      </c>
      <c r="H37" s="965">
        <v>25</v>
      </c>
      <c r="I37" s="965">
        <v>25</v>
      </c>
      <c r="J37" s="962">
        <v>0</v>
      </c>
      <c r="K37" s="965"/>
      <c r="L37" s="965"/>
      <c r="M37" s="965"/>
      <c r="N37" s="965"/>
      <c r="O37" s="965"/>
      <c r="P37" s="965"/>
      <c r="Q37" s="965"/>
      <c r="R37" s="965"/>
      <c r="S37" s="965"/>
      <c r="T37" s="965"/>
      <c r="U37" s="965"/>
    </row>
    <row r="38" ht="8.75" customHeight="1" hidden="1">
      <c r="A38" s="963">
        <v>44377</v>
      </c>
      <c r="B38" s="961">
        <v>71.3</v>
      </c>
      <c r="C38" s="965" cm="1">
        <f t="array" ref="C38">B38*2.2046226218</f>
        <v>157.189592934340</v>
      </c>
      <c r="D38" s="965" cm="1">
        <f t="array" ref="D38">AVERAGE(B32:B38)</f>
        <v>70.9714285714286</v>
      </c>
      <c r="E38" s="965" cm="1">
        <f t="array" ref="E38">AVERAGE(B25:B38)</f>
        <v>70.6571428571429</v>
      </c>
      <c r="F38" s="962" cm="1">
        <f t="array" ref="F38">IF(ISBLANK(B38),"",AVERAGE(B9:B38))</f>
        <v>70.29642857142861</v>
      </c>
      <c r="G38" s="965">
        <v>25</v>
      </c>
      <c r="H38" s="965">
        <v>25</v>
      </c>
      <c r="I38" s="965">
        <v>25</v>
      </c>
      <c r="J38" s="962">
        <v>0</v>
      </c>
      <c r="K38" s="965"/>
      <c r="L38" s="965"/>
      <c r="M38" s="965"/>
      <c r="N38" s="965"/>
      <c r="O38" s="965"/>
      <c r="P38" s="965"/>
      <c r="Q38" s="965"/>
      <c r="R38" s="965"/>
      <c r="S38" s="965"/>
      <c r="T38" s="965"/>
      <c r="U38" s="965"/>
    </row>
    <row r="39" ht="8.75" customHeight="1" hidden="1">
      <c r="A39" s="960">
        <v>44378</v>
      </c>
      <c r="B39" s="961">
        <v>72</v>
      </c>
      <c r="C39" s="965" cm="1">
        <f t="array" ref="C39">B39*2.2046226218</f>
        <v>158.7328287696</v>
      </c>
      <c r="D39" s="962" cm="1">
        <f t="array" ref="D39">AVERAGE(B33:B39)</f>
        <v>71.17142857142861</v>
      </c>
      <c r="E39" s="962" cm="1">
        <f t="array" ref="E39">AVERAGE(B26:B39)</f>
        <v>70.7928571428571</v>
      </c>
      <c r="F39" s="962" cm="1">
        <f t="array" ref="F39">IF(ISBLANK(B39),"",AVERAGE(B10:B39))</f>
        <v>70.3551724137931</v>
      </c>
      <c r="G39" s="965">
        <v>25</v>
      </c>
      <c r="H39" s="965">
        <v>25</v>
      </c>
      <c r="I39" s="965">
        <v>25</v>
      </c>
      <c r="J39" s="962">
        <v>0</v>
      </c>
      <c r="K39" s="962"/>
      <c r="L39" s="962"/>
      <c r="M39" s="962"/>
      <c r="N39" s="962"/>
      <c r="O39" s="962"/>
      <c r="P39" s="962"/>
      <c r="Q39" s="962"/>
      <c r="R39" s="962"/>
      <c r="S39" s="962"/>
      <c r="T39" s="962"/>
      <c r="U39" s="962"/>
    </row>
    <row r="40" ht="8.75" customHeight="1" hidden="1">
      <c r="A40" s="963">
        <v>44379</v>
      </c>
      <c r="B40" s="961">
        <v>70.90000000000001</v>
      </c>
      <c r="C40" s="965" cm="1">
        <f t="array" ref="C40">B40*2.2046226218</f>
        <v>156.307743885620</v>
      </c>
      <c r="D40" s="962" cm="1">
        <f t="array" ref="D40">AVERAGE(B34:B40)</f>
        <v>71.1857142857143</v>
      </c>
      <c r="E40" s="962" cm="1">
        <f t="array" ref="E40">AVERAGE(B27:B40)</f>
        <v>70.8642857142857</v>
      </c>
      <c r="F40" s="962" cm="1">
        <f t="array" ref="F40">IF(ISBLANK(B40),"",AVERAGE(B11:B40))</f>
        <v>70.37333333333331</v>
      </c>
      <c r="G40" s="965">
        <v>25</v>
      </c>
      <c r="H40" s="962">
        <v>30</v>
      </c>
      <c r="I40" s="962">
        <v>30</v>
      </c>
      <c r="J40" s="962">
        <v>0</v>
      </c>
      <c r="K40" s="962"/>
      <c r="L40" s="962"/>
      <c r="M40" s="962"/>
      <c r="N40" s="962"/>
      <c r="O40" s="962"/>
      <c r="P40" s="962"/>
      <c r="Q40" s="962"/>
      <c r="R40" s="962"/>
      <c r="S40" s="962"/>
      <c r="T40" s="962"/>
      <c r="U40" s="962"/>
    </row>
    <row r="41" ht="8.75" customHeight="1" hidden="1">
      <c r="A41" s="960">
        <v>44380</v>
      </c>
      <c r="B41" s="961">
        <v>70.90000000000001</v>
      </c>
      <c r="C41" s="965" cm="1">
        <f t="array" ref="C41">B41*2.2046226218</f>
        <v>156.307743885620</v>
      </c>
      <c r="D41" s="962" cm="1">
        <f t="array" ref="D41">AVERAGE(B35:B41)</f>
        <v>71.1857142857143</v>
      </c>
      <c r="E41" s="962" cm="1">
        <f t="array" ref="E41">AVERAGE(B28:B41)</f>
        <v>70.92142857142861</v>
      </c>
      <c r="F41" s="962" cm="1">
        <f t="array" ref="F41">IF(ISBLANK(B41),"",AVERAGE(B12:B41))</f>
        <v>70.4266666666667</v>
      </c>
      <c r="G41" s="965">
        <v>25</v>
      </c>
      <c r="H41" s="962">
        <v>30</v>
      </c>
      <c r="I41" s="962">
        <v>30</v>
      </c>
      <c r="J41" s="962">
        <v>0</v>
      </c>
      <c r="K41" s="962"/>
      <c r="L41" s="962"/>
      <c r="M41" s="962"/>
      <c r="N41" s="962"/>
      <c r="O41" s="962"/>
      <c r="P41" s="962"/>
      <c r="Q41" s="962"/>
      <c r="R41" s="962"/>
      <c r="S41" s="962"/>
      <c r="T41" s="962"/>
      <c r="U41" s="962"/>
    </row>
    <row r="42" ht="8.75" customHeight="1" hidden="1">
      <c r="A42" s="960">
        <v>44381</v>
      </c>
      <c r="B42" s="961">
        <v>71</v>
      </c>
      <c r="C42" s="965" cm="1">
        <f t="array" ref="C42">B42*2.2046226218</f>
        <v>156.5282061478</v>
      </c>
      <c r="D42" s="962" cm="1">
        <f t="array" ref="D42">AVERAGE(B36:B42)</f>
        <v>71.2428571428571</v>
      </c>
      <c r="E42" s="962" cm="1">
        <f t="array" ref="E42">AVERAGE(B29:B42)</f>
        <v>70.98571428571429</v>
      </c>
      <c r="F42" s="962" cm="1">
        <f t="array" ref="F42">IF(ISBLANK(B42),"",AVERAGE(B13:B42))</f>
        <v>70.4633333333333</v>
      </c>
      <c r="G42" s="965">
        <v>25</v>
      </c>
      <c r="H42" s="962">
        <v>30</v>
      </c>
      <c r="I42" s="962">
        <v>30</v>
      </c>
      <c r="J42" s="962">
        <v>0</v>
      </c>
      <c r="K42" s="962"/>
      <c r="L42" s="962"/>
      <c r="M42" s="962"/>
      <c r="N42" s="962"/>
      <c r="O42" s="962"/>
      <c r="P42" s="962"/>
      <c r="Q42" s="962"/>
      <c r="R42" s="962"/>
      <c r="S42" s="962"/>
      <c r="T42" s="962"/>
      <c r="U42" s="962"/>
    </row>
    <row r="43" ht="8.75" customHeight="1" hidden="1">
      <c r="A43" s="963">
        <v>44382</v>
      </c>
      <c r="B43" s="961">
        <v>71.5</v>
      </c>
      <c r="C43" s="965" cm="1">
        <f t="array" ref="C43">B43*2.2046226218</f>
        <v>157.6305174587</v>
      </c>
      <c r="D43" s="962" cm="1">
        <f t="array" ref="D43">AVERAGE(B37:B43)</f>
        <v>71.28571428571431</v>
      </c>
      <c r="E43" s="962" cm="1">
        <f t="array" ref="E43">AVERAGE(B30:B43)</f>
        <v>71.0428571428571</v>
      </c>
      <c r="F43" s="962" cm="1">
        <f t="array" ref="F43">IF(ISBLANK(B43),"",AVERAGE(B14:B43))</f>
        <v>70.53</v>
      </c>
      <c r="G43" s="962">
        <v>30</v>
      </c>
      <c r="H43" s="962">
        <v>30</v>
      </c>
      <c r="I43" s="962">
        <v>30</v>
      </c>
      <c r="J43" s="962">
        <v>0</v>
      </c>
      <c r="K43" s="962"/>
      <c r="L43" s="962"/>
      <c r="M43" s="962"/>
      <c r="N43" s="962"/>
      <c r="O43" s="962"/>
      <c r="P43" s="962"/>
      <c r="Q43" s="962"/>
      <c r="R43" s="962"/>
      <c r="S43" s="962"/>
      <c r="T43" s="962"/>
      <c r="U43" s="962"/>
    </row>
    <row r="44" ht="8.75" customHeight="1" hidden="1">
      <c r="A44" s="960">
        <v>44383</v>
      </c>
      <c r="B44" s="961">
        <v>71.5</v>
      </c>
      <c r="C44" s="965" cm="1">
        <f t="array" ref="C44">B44*2.2046226218</f>
        <v>157.6305174587</v>
      </c>
      <c r="D44" s="962" cm="1">
        <f t="array" ref="D44">AVERAGE(B38:B44)</f>
        <v>71.3</v>
      </c>
      <c r="E44" s="962" cm="1">
        <f t="array" ref="E44">AVERAGE(B31:B44)</f>
        <v>71.0928571428571</v>
      </c>
      <c r="F44" s="962" cm="1">
        <f t="array" ref="F44">IF(ISBLANK(B44),"",AVERAGE(B15:B44))</f>
        <v>70.59666666666671</v>
      </c>
      <c r="G44" s="962">
        <v>30</v>
      </c>
      <c r="H44" s="962">
        <v>30</v>
      </c>
      <c r="I44" s="962">
        <v>30</v>
      </c>
      <c r="J44" s="962">
        <v>0</v>
      </c>
      <c r="K44" s="962"/>
      <c r="L44" s="962"/>
      <c r="M44" s="962"/>
      <c r="N44" s="962"/>
      <c r="O44" s="962"/>
      <c r="P44" s="962"/>
      <c r="Q44" s="962"/>
      <c r="R44" s="962"/>
      <c r="S44" s="962"/>
      <c r="T44" s="962"/>
      <c r="U44" s="962"/>
    </row>
    <row r="45" ht="8.75" customHeight="1" hidden="1">
      <c r="A45" s="963">
        <v>44384</v>
      </c>
      <c r="B45" s="961">
        <v>70.90000000000001</v>
      </c>
      <c r="C45" s="965" cm="1">
        <f t="array" ref="C45">B45*2.2046226218</f>
        <v>156.307743885620</v>
      </c>
      <c r="D45" s="962" cm="1">
        <f t="array" ref="D45">AVERAGE(B39:B45)</f>
        <v>71.2428571428571</v>
      </c>
      <c r="E45" s="962" cm="1">
        <f t="array" ref="E45">AVERAGE(B32:B45)</f>
        <v>71.1071428571429</v>
      </c>
      <c r="F45" s="962" cm="1">
        <f t="array" ref="F45">IF(ISBLANK(B45),"",AVERAGE(B16:B45))</f>
        <v>70.6333333333333</v>
      </c>
      <c r="G45" s="962">
        <v>30</v>
      </c>
      <c r="H45" s="962">
        <v>30</v>
      </c>
      <c r="I45" s="962">
        <v>30</v>
      </c>
      <c r="J45" s="962">
        <v>7.5</v>
      </c>
      <c r="K45" s="962"/>
      <c r="L45" s="962"/>
      <c r="M45" s="962"/>
      <c r="N45" s="962"/>
      <c r="O45" s="962"/>
      <c r="P45" s="962"/>
      <c r="Q45" s="962"/>
      <c r="R45" s="962"/>
      <c r="S45" s="962"/>
      <c r="T45" s="962"/>
      <c r="U45" s="962"/>
    </row>
    <row r="46" ht="8.75" customHeight="1" hidden="1">
      <c r="A46" s="960">
        <v>44385</v>
      </c>
      <c r="B46" s="961">
        <v>71.3</v>
      </c>
      <c r="C46" s="965" cm="1">
        <f t="array" ref="C46">B46*2.2046226218</f>
        <v>157.189592934340</v>
      </c>
      <c r="D46" s="962" cm="1">
        <f t="array" ref="D46">AVERAGE(B40:B46)</f>
        <v>71.1428571428571</v>
      </c>
      <c r="E46" s="962" cm="1">
        <f t="array" ref="E46">AVERAGE(B33:B46)</f>
        <v>71.1571428571429</v>
      </c>
      <c r="F46" s="962" cm="1">
        <f t="array" ref="F46">IF(ISBLANK(B46),"",AVERAGE(B17:B46))</f>
        <v>70.6766666666667</v>
      </c>
      <c r="G46" s="962">
        <v>30</v>
      </c>
      <c r="H46" s="962">
        <v>30</v>
      </c>
      <c r="I46" s="962">
        <v>30</v>
      </c>
      <c r="J46" s="962">
        <v>7.5</v>
      </c>
      <c r="K46" s="962"/>
      <c r="L46" s="962"/>
      <c r="M46" s="962"/>
      <c r="N46" s="962"/>
      <c r="O46" s="962"/>
      <c r="P46" s="962"/>
      <c r="Q46" s="962"/>
      <c r="R46" s="962"/>
      <c r="S46" s="962"/>
      <c r="T46" s="962"/>
      <c r="U46" s="962"/>
    </row>
    <row r="47" ht="8.75" customHeight="1" hidden="1">
      <c r="A47" s="963">
        <v>44386</v>
      </c>
      <c r="B47" s="961">
        <v>71.59999999999999</v>
      </c>
      <c r="C47" s="965" cm="1">
        <f t="array" ref="C47">B47*2.2046226218</f>
        <v>157.850979720880</v>
      </c>
      <c r="D47" s="962" cm="1">
        <f t="array" ref="D47">AVERAGE(B41:B47)</f>
        <v>71.2428571428571</v>
      </c>
      <c r="E47" s="962" cm="1">
        <f t="array" ref="E47">AVERAGE(B34:B47)</f>
        <v>71.21428571428569</v>
      </c>
      <c r="F47" s="962" cm="1">
        <f t="array" ref="F47">IF(ISBLANK(B47),"",AVERAGE(B18:B47))</f>
        <v>70.73</v>
      </c>
      <c r="G47" s="962">
        <v>30</v>
      </c>
      <c r="H47" s="962">
        <v>30</v>
      </c>
      <c r="I47" s="962">
        <v>30</v>
      </c>
      <c r="J47" s="962">
        <v>7.5</v>
      </c>
      <c r="K47" s="962"/>
      <c r="L47" s="962"/>
      <c r="M47" s="962"/>
      <c r="N47" s="962"/>
      <c r="O47" s="962"/>
      <c r="P47" s="962"/>
      <c r="Q47" s="962"/>
      <c r="R47" s="962"/>
      <c r="S47" s="962"/>
      <c r="T47" s="962"/>
      <c r="U47" s="962"/>
    </row>
    <row r="48" ht="8.75" customHeight="1" hidden="1">
      <c r="A48" s="960">
        <v>44387</v>
      </c>
      <c r="B48" s="961">
        <v>71.59999999999999</v>
      </c>
      <c r="C48" s="965" cm="1">
        <f t="array" ref="C48">B48*2.2046226218</f>
        <v>157.850979720880</v>
      </c>
      <c r="D48" s="962" cm="1">
        <f t="array" ref="D48">AVERAGE(B42:B48)</f>
        <v>71.3428571428571</v>
      </c>
      <c r="E48" s="962" cm="1">
        <f t="array" ref="E48">AVERAGE(B35:B48)</f>
        <v>71.26428571428571</v>
      </c>
      <c r="F48" s="962" cm="1">
        <f t="array" ref="F48">IF(ISBLANK(B48),"",AVERAGE(B19:B48))</f>
        <v>70.7866666666667</v>
      </c>
      <c r="G48" s="962">
        <v>30</v>
      </c>
      <c r="H48" s="962">
        <v>30</v>
      </c>
      <c r="I48" s="962">
        <v>30</v>
      </c>
      <c r="J48" s="962">
        <v>7.5</v>
      </c>
      <c r="K48" s="962"/>
      <c r="L48" s="962"/>
      <c r="M48" s="962"/>
      <c r="N48" s="962"/>
      <c r="O48" s="962"/>
      <c r="P48" s="962"/>
      <c r="Q48" s="962"/>
      <c r="R48" s="962"/>
      <c r="S48" s="962"/>
      <c r="T48" s="962"/>
      <c r="U48" s="962"/>
    </row>
    <row r="49" ht="8.75" customHeight="1" hidden="1">
      <c r="A49" s="960">
        <v>44388</v>
      </c>
      <c r="B49" s="961">
        <v>71.7</v>
      </c>
      <c r="C49" s="965" cm="1">
        <f t="array" ref="C49">B49*2.2046226218</f>
        <v>158.071441983060</v>
      </c>
      <c r="D49" s="962" cm="1">
        <f t="array" ref="D49">AVERAGE(B43:B49)</f>
        <v>71.44285714285709</v>
      </c>
      <c r="E49" s="962" cm="1">
        <f t="array" ref="E49">AVERAGE(B36:B49)</f>
        <v>71.3428571428571</v>
      </c>
      <c r="F49" s="962" cm="1">
        <f t="array" ref="F49">IF(ISBLANK(B49),"",AVERAGE(B20:B49))</f>
        <v>70.84</v>
      </c>
      <c r="G49" s="962">
        <v>30</v>
      </c>
      <c r="H49" s="962">
        <v>30</v>
      </c>
      <c r="I49" s="962">
        <v>30</v>
      </c>
      <c r="J49" s="962">
        <v>7.5</v>
      </c>
      <c r="K49" s="962"/>
      <c r="L49" s="962"/>
      <c r="M49" s="962"/>
      <c r="N49" s="962"/>
      <c r="O49" s="962"/>
      <c r="P49" s="962"/>
      <c r="Q49" s="962"/>
      <c r="R49" s="962"/>
      <c r="S49" s="962"/>
      <c r="T49" s="962"/>
      <c r="U49" s="962"/>
    </row>
    <row r="50" ht="8.75" customHeight="1" hidden="1">
      <c r="A50" s="963">
        <v>44389</v>
      </c>
      <c r="B50" s="961">
        <v>71.8</v>
      </c>
      <c r="C50" s="965" cm="1">
        <f t="array" ref="C50">B50*2.2046226218</f>
        <v>158.291904245240</v>
      </c>
      <c r="D50" s="962" cm="1">
        <f t="array" ref="D50">AVERAGE(B44:B50)</f>
        <v>71.48571428571429</v>
      </c>
      <c r="E50" s="962" cm="1">
        <f t="array" ref="E50">AVERAGE(B37:B50)</f>
        <v>71.3857142857143</v>
      </c>
      <c r="F50" s="962" cm="1">
        <f t="array" ref="F50">IF(ISBLANK(B50),"",AVERAGE(B21:B50))</f>
        <v>70.90333333333329</v>
      </c>
      <c r="G50" s="962">
        <v>30</v>
      </c>
      <c r="H50" s="962">
        <v>30</v>
      </c>
      <c r="I50" s="962">
        <v>30</v>
      </c>
      <c r="J50" s="962">
        <v>7.5</v>
      </c>
      <c r="K50" s="962"/>
      <c r="L50" s="962"/>
      <c r="M50" s="962"/>
      <c r="N50" s="962"/>
      <c r="O50" s="962"/>
      <c r="P50" s="962"/>
      <c r="Q50" s="962"/>
      <c r="R50" s="962"/>
      <c r="S50" s="962"/>
      <c r="T50" s="962"/>
      <c r="U50" s="962"/>
    </row>
    <row r="51" ht="8.75" customHeight="1" hidden="1">
      <c r="A51" s="960">
        <v>44390</v>
      </c>
      <c r="B51" s="961">
        <v>72.40000000000001</v>
      </c>
      <c r="C51" s="965" cm="1">
        <f t="array" ref="C51">B51*2.2046226218</f>
        <v>159.614677818320</v>
      </c>
      <c r="D51" s="962" cm="1">
        <f t="array" ref="D51">AVERAGE(B45:B51)</f>
        <v>71.6142857142857</v>
      </c>
      <c r="E51" s="962" cm="1">
        <f t="array" ref="E51">AVERAGE(B38:B51)</f>
        <v>71.4571428571429</v>
      </c>
      <c r="F51" s="962" cm="1">
        <f t="array" ref="F51">IF(ISBLANK(B51),"",AVERAGE(B22:B51))</f>
        <v>70.9666666666667</v>
      </c>
      <c r="G51" s="962">
        <v>30</v>
      </c>
      <c r="H51" s="962">
        <v>30</v>
      </c>
      <c r="I51" s="962">
        <v>30</v>
      </c>
      <c r="J51" s="962">
        <v>7.5</v>
      </c>
      <c r="K51" s="962"/>
      <c r="L51" s="962"/>
      <c r="M51" s="962"/>
      <c r="N51" s="962"/>
      <c r="O51" s="962"/>
      <c r="P51" s="962"/>
      <c r="Q51" s="962"/>
      <c r="R51" s="962"/>
      <c r="S51" s="962"/>
      <c r="T51" s="962"/>
      <c r="U51" s="962"/>
    </row>
    <row r="52" ht="8.75" customHeight="1" hidden="1">
      <c r="A52" s="963">
        <v>44391</v>
      </c>
      <c r="B52" s="961">
        <v>72</v>
      </c>
      <c r="C52" s="965" cm="1">
        <f t="array" ref="C52">B52*2.2046226218</f>
        <v>158.7328287696</v>
      </c>
      <c r="D52" s="962" cm="1">
        <f t="array" ref="D52">AVERAGE(B46:B52)</f>
        <v>71.7714285714286</v>
      </c>
      <c r="E52" s="962" cm="1">
        <f t="array" ref="E52">AVERAGE(B39:B52)</f>
        <v>71.5071428571429</v>
      </c>
      <c r="F52" s="962" cm="1">
        <f t="array" ref="F52">IF(ISBLANK(B52),"",AVERAGE(B23:B52))</f>
        <v>71.02</v>
      </c>
      <c r="G52" s="962">
        <v>30</v>
      </c>
      <c r="H52" s="962">
        <v>30</v>
      </c>
      <c r="I52" s="962">
        <v>30</v>
      </c>
      <c r="J52" s="962">
        <v>7.5</v>
      </c>
      <c r="K52" s="962"/>
      <c r="L52" s="962"/>
      <c r="M52" s="962"/>
      <c r="N52" s="962"/>
      <c r="O52" s="962"/>
      <c r="P52" s="962"/>
      <c r="Q52" s="962"/>
      <c r="R52" s="962"/>
      <c r="S52" s="962"/>
      <c r="T52" s="962"/>
      <c r="U52" s="962"/>
    </row>
    <row r="53" ht="8.75" customHeight="1" hidden="1">
      <c r="A53" s="960">
        <v>44392</v>
      </c>
      <c r="B53" s="961">
        <v>73</v>
      </c>
      <c r="C53" s="965" cm="1">
        <f t="array" ref="C53">B53*2.2046226218</f>
        <v>160.9374513914</v>
      </c>
      <c r="D53" s="962" cm="1">
        <f t="array" ref="D53">AVERAGE(B47:B53)</f>
        <v>72.01428571428571</v>
      </c>
      <c r="E53" s="962" cm="1">
        <f t="array" ref="E53">AVERAGE(B40:B53)</f>
        <v>71.57857142857139</v>
      </c>
      <c r="F53" s="962" cm="1">
        <f t="array" ref="F53">IF(ISBLANK(B53),"",AVERAGE(B24:B53))</f>
        <v>71.12333333333331</v>
      </c>
      <c r="G53" s="962">
        <v>30</v>
      </c>
      <c r="H53" s="962">
        <v>30</v>
      </c>
      <c r="I53" s="962">
        <v>30</v>
      </c>
      <c r="J53" s="962">
        <v>7.5</v>
      </c>
      <c r="K53" s="962"/>
      <c r="L53" s="962"/>
      <c r="M53" s="962"/>
      <c r="N53" s="962"/>
      <c r="O53" s="962"/>
      <c r="P53" s="962"/>
      <c r="Q53" s="962"/>
      <c r="R53" s="962"/>
      <c r="S53" s="962"/>
      <c r="T53" s="962"/>
      <c r="U53" s="962"/>
    </row>
    <row r="54" ht="8.75" customHeight="1" hidden="1">
      <c r="A54" s="963">
        <v>44393</v>
      </c>
      <c r="B54" s="961">
        <v>72.5</v>
      </c>
      <c r="C54" s="965" cm="1">
        <f t="array" ref="C54">B54*2.2046226218</f>
        <v>159.8351400805</v>
      </c>
      <c r="D54" s="962" cm="1">
        <f t="array" ref="D54">AVERAGE(B48:B54)</f>
        <v>72.1428571428571</v>
      </c>
      <c r="E54" s="962" cm="1">
        <f t="array" ref="E54">AVERAGE(B41:B54)</f>
        <v>71.69285714285709</v>
      </c>
      <c r="F54" s="962" cm="1">
        <f t="array" ref="F54">IF(ISBLANK(B54),"",AVERAGE(B25:B54))</f>
        <v>71.1933333333333</v>
      </c>
      <c r="G54" s="962">
        <v>30</v>
      </c>
      <c r="H54" s="962">
        <v>35</v>
      </c>
      <c r="I54" s="962">
        <v>35</v>
      </c>
      <c r="J54" s="962">
        <v>7.5</v>
      </c>
      <c r="K54" s="962"/>
      <c r="L54" s="962"/>
      <c r="M54" s="962"/>
      <c r="N54" s="962"/>
      <c r="O54" s="962"/>
      <c r="P54" s="962"/>
      <c r="Q54" s="962"/>
      <c r="R54" s="962"/>
      <c r="S54" s="962"/>
      <c r="T54" s="962"/>
      <c r="U54" s="962"/>
    </row>
    <row r="55" ht="8.75" customHeight="1" hidden="1">
      <c r="A55" s="960">
        <v>44394</v>
      </c>
      <c r="B55" s="961">
        <v>72.3</v>
      </c>
      <c r="C55" s="965" cm="1">
        <f t="array" ref="C55">B55*2.2046226218</f>
        <v>159.394215556140</v>
      </c>
      <c r="D55" s="962" cm="1">
        <f t="array" ref="D55">AVERAGE(B49:B55)</f>
        <v>72.2428571428571</v>
      </c>
      <c r="E55" s="962" cm="1">
        <f t="array" ref="E55">AVERAGE(B42:B55)</f>
        <v>71.7928571428571</v>
      </c>
      <c r="F55" s="962" cm="1">
        <f t="array" ref="F55">IF(ISBLANK(B55),"",AVERAGE(B26:B55))</f>
        <v>71.26666666666669</v>
      </c>
      <c r="G55" s="962">
        <v>30</v>
      </c>
      <c r="H55" s="962">
        <v>35</v>
      </c>
      <c r="I55" s="962">
        <v>35</v>
      </c>
      <c r="J55" s="962">
        <v>7.5</v>
      </c>
      <c r="K55" s="962"/>
      <c r="L55" s="962"/>
      <c r="M55" s="962"/>
      <c r="N55" s="962"/>
      <c r="O55" s="962"/>
      <c r="P55" s="962"/>
      <c r="Q55" s="962"/>
      <c r="R55" s="962"/>
      <c r="S55" s="962"/>
      <c r="T55" s="962"/>
      <c r="U55" s="962"/>
    </row>
    <row r="56" ht="8.75" customHeight="1" hidden="1">
      <c r="A56" s="960">
        <v>44395</v>
      </c>
      <c r="B56" s="961">
        <v>72.59999999999999</v>
      </c>
      <c r="C56" s="965" cm="1">
        <f t="array" ref="C56">B56*2.2046226218</f>
        <v>160.055602342680</v>
      </c>
      <c r="D56" s="962" cm="1">
        <f t="array" ref="D56">AVERAGE(B50:B56)</f>
        <v>72.37142857142859</v>
      </c>
      <c r="E56" s="962" cm="1">
        <f t="array" ref="E56">AVERAGE(B43:B56)</f>
        <v>71.9071428571429</v>
      </c>
      <c r="F56" s="962" cm="1">
        <f t="array" ref="F56">IF(ISBLANK(B56),"",AVERAGE(B27:B56))</f>
        <v>71.3566666666667</v>
      </c>
      <c r="G56" s="962">
        <v>30</v>
      </c>
      <c r="H56" s="962">
        <v>35</v>
      </c>
      <c r="I56" s="962">
        <v>35</v>
      </c>
      <c r="J56" s="962">
        <v>7.5</v>
      </c>
      <c r="K56" s="962"/>
      <c r="L56" s="962"/>
      <c r="M56" s="962"/>
      <c r="N56" s="962"/>
      <c r="O56" s="962"/>
      <c r="P56" s="962"/>
      <c r="Q56" s="962"/>
      <c r="R56" s="962"/>
      <c r="S56" s="962"/>
      <c r="T56" s="962"/>
      <c r="U56" s="962"/>
    </row>
    <row r="57" ht="8.75" customHeight="1" hidden="1">
      <c r="A57" s="963">
        <v>44396</v>
      </c>
      <c r="B57" s="961">
        <v>71.7</v>
      </c>
      <c r="C57" s="965" cm="1">
        <f t="array" ref="C57">B57*2.2046226218</f>
        <v>158.071441983060</v>
      </c>
      <c r="D57" s="962" cm="1">
        <f t="array" ref="D57">AVERAGE(B51:B57)</f>
        <v>72.3571428571429</v>
      </c>
      <c r="E57" s="962" cm="1">
        <f t="array" ref="E57">AVERAGE(B44:B57)</f>
        <v>71.92142857142861</v>
      </c>
      <c r="F57" s="962" cm="1">
        <f t="array" ref="F57">IF(ISBLANK(B57),"",AVERAGE(B28:B57))</f>
        <v>71.41</v>
      </c>
      <c r="G57" s="962">
        <v>35</v>
      </c>
      <c r="H57" s="962">
        <v>35</v>
      </c>
      <c r="I57" s="962">
        <v>35</v>
      </c>
      <c r="J57" s="962">
        <v>7.5</v>
      </c>
      <c r="K57" s="962"/>
      <c r="L57" s="962"/>
      <c r="M57" s="962"/>
      <c r="N57" s="962"/>
      <c r="O57" s="962"/>
      <c r="P57" s="962"/>
      <c r="Q57" s="962"/>
      <c r="R57" s="962"/>
      <c r="S57" s="962"/>
      <c r="T57" s="962"/>
      <c r="U57" s="962"/>
    </row>
    <row r="58" ht="8.75" customHeight="1" hidden="1">
      <c r="A58" s="960">
        <v>44397</v>
      </c>
      <c r="B58" s="961">
        <v>71.90000000000001</v>
      </c>
      <c r="C58" s="965" cm="1">
        <f t="array" ref="C58">B58*2.2046226218</f>
        <v>158.512366507420</v>
      </c>
      <c r="D58" s="962" cm="1">
        <f t="array" ref="D58">AVERAGE(B52:B58)</f>
        <v>72.28571428571431</v>
      </c>
      <c r="E58" s="962" cm="1">
        <f t="array" ref="E58">AVERAGE(B45:B58)</f>
        <v>71.95</v>
      </c>
      <c r="F58" s="962" cm="1">
        <f t="array" ref="F58">IF(ISBLANK(B58),"",AVERAGE(B29:B58))</f>
        <v>71.47</v>
      </c>
      <c r="G58" s="962">
        <v>35</v>
      </c>
      <c r="H58" s="962">
        <v>35</v>
      </c>
      <c r="I58" s="962">
        <v>35</v>
      </c>
      <c r="J58" s="962">
        <v>7.5</v>
      </c>
      <c r="K58" s="962"/>
      <c r="L58" s="962"/>
      <c r="M58" s="962"/>
      <c r="N58" s="962"/>
      <c r="O58" s="962"/>
      <c r="P58" s="962"/>
      <c r="Q58" s="962"/>
      <c r="R58" s="962"/>
      <c r="S58" s="962"/>
      <c r="T58" s="962"/>
      <c r="U58" s="962"/>
    </row>
    <row r="59" ht="8.75" customHeight="1" hidden="1">
      <c r="A59" s="963">
        <v>44398</v>
      </c>
      <c r="B59" s="961">
        <v>72.09999999999999</v>
      </c>
      <c r="C59" s="965" cm="1">
        <f t="array" ref="C59">B59*2.2046226218</f>
        <v>158.953291031780</v>
      </c>
      <c r="D59" s="962" cm="1">
        <f t="array" ref="D59">AVERAGE(B53:B59)</f>
        <v>72.3</v>
      </c>
      <c r="E59" s="962" cm="1">
        <f t="array" ref="E59">AVERAGE(B46:B59)</f>
        <v>72.03571428571431</v>
      </c>
      <c r="F59" s="962" cm="1">
        <f t="array" ref="F59">IF(ISBLANK(B59),"",AVERAGE(B30:B59))</f>
        <v>71.51666666666669</v>
      </c>
      <c r="G59" s="962">
        <v>35</v>
      </c>
      <c r="H59" s="962">
        <v>35</v>
      </c>
      <c r="I59" s="962">
        <v>35</v>
      </c>
      <c r="J59" s="962">
        <v>9</v>
      </c>
      <c r="K59" s="962"/>
      <c r="L59" s="962"/>
      <c r="M59" s="962"/>
      <c r="N59" s="962"/>
      <c r="O59" s="962"/>
      <c r="P59" s="962"/>
      <c r="Q59" s="962"/>
      <c r="R59" s="962"/>
      <c r="S59" s="962"/>
      <c r="T59" s="962"/>
      <c r="U59" s="962"/>
    </row>
    <row r="60" ht="8.75" customHeight="1" hidden="1">
      <c r="A60" s="960">
        <v>44399</v>
      </c>
      <c r="B60" s="961">
        <v>73.2</v>
      </c>
      <c r="C60" s="965" cm="1">
        <f t="array" ref="C60">B60*2.2046226218</f>
        <v>161.378375915760</v>
      </c>
      <c r="D60" s="962" cm="1">
        <f t="array" ref="D60">AVERAGE(B54:B60)</f>
        <v>72.32857142857139</v>
      </c>
      <c r="E60" s="962" cm="1">
        <f t="array" ref="E60">AVERAGE(B47:B60)</f>
        <v>72.17142857142861</v>
      </c>
      <c r="F60" s="962" cm="1">
        <f t="array" ref="F60">IF(ISBLANK(B60),"",AVERAGE(B31:B60))</f>
        <v>71.59666666666671</v>
      </c>
      <c r="G60" s="962">
        <v>35</v>
      </c>
      <c r="H60" s="962">
        <v>35</v>
      </c>
      <c r="I60" s="962">
        <v>35</v>
      </c>
      <c r="J60" s="962">
        <v>9</v>
      </c>
      <c r="K60" s="962"/>
      <c r="L60" s="962"/>
      <c r="M60" s="962"/>
      <c r="N60" s="962"/>
      <c r="O60" s="962"/>
      <c r="P60" s="962"/>
      <c r="Q60" s="962"/>
      <c r="R60" s="962"/>
      <c r="S60" s="962"/>
      <c r="T60" s="962"/>
      <c r="U60" s="962"/>
    </row>
    <row r="61" ht="8.75" customHeight="1" hidden="1">
      <c r="A61" s="963">
        <v>44400</v>
      </c>
      <c r="B61" s="961">
        <v>73.2</v>
      </c>
      <c r="C61" s="965" cm="1">
        <f t="array" ref="C61">B61*2.2046226218</f>
        <v>161.378375915760</v>
      </c>
      <c r="D61" s="962" cm="1">
        <f t="array" ref="D61">AVERAGE(B55:B61)</f>
        <v>72.4285714285714</v>
      </c>
      <c r="E61" s="962" cm="1">
        <f t="array" ref="E61">AVERAGE(B48:B61)</f>
        <v>72.28571428571431</v>
      </c>
      <c r="F61" s="962" cm="1">
        <f t="array" ref="F61">IF(ISBLANK(B61),"",AVERAGE(B32:B61))</f>
        <v>71.68000000000001</v>
      </c>
      <c r="G61" s="962">
        <v>35</v>
      </c>
      <c r="H61" s="962">
        <v>35</v>
      </c>
      <c r="I61" s="962">
        <v>35</v>
      </c>
      <c r="J61" s="962">
        <v>9</v>
      </c>
      <c r="K61" s="962"/>
      <c r="L61" s="962"/>
      <c r="M61" s="962"/>
      <c r="N61" s="962"/>
      <c r="O61" s="962"/>
      <c r="P61" s="962"/>
      <c r="Q61" s="962"/>
      <c r="R61" s="962"/>
      <c r="S61" s="962"/>
      <c r="T61" s="962"/>
      <c r="U61" s="962"/>
    </row>
    <row r="62" ht="8.75" customHeight="1" hidden="1">
      <c r="A62" s="960">
        <v>44401</v>
      </c>
      <c r="B62" s="961">
        <v>73</v>
      </c>
      <c r="C62" s="965" cm="1">
        <f t="array" ref="C62">B62*2.2046226218</f>
        <v>160.9374513914</v>
      </c>
      <c r="D62" s="962" cm="1">
        <f t="array" ref="D62">AVERAGE(B56:B62)</f>
        <v>72.5285714285714</v>
      </c>
      <c r="E62" s="962" cm="1">
        <f t="array" ref="E62">AVERAGE(B49:B62)</f>
        <v>72.3857142857143</v>
      </c>
      <c r="F62" s="962" cm="1">
        <f t="array" ref="F62">IF(ISBLANK(B62),"",AVERAGE(B33:B62))</f>
        <v>71.76000000000001</v>
      </c>
      <c r="G62" s="962">
        <v>35</v>
      </c>
      <c r="H62" s="962">
        <v>35</v>
      </c>
      <c r="I62" s="962">
        <v>35</v>
      </c>
      <c r="J62" s="962">
        <v>9</v>
      </c>
      <c r="K62" s="962"/>
      <c r="L62" s="962"/>
      <c r="M62" s="962"/>
      <c r="N62" s="962"/>
      <c r="O62" s="962"/>
      <c r="P62" s="962"/>
      <c r="Q62" s="962"/>
      <c r="R62" s="962"/>
      <c r="S62" s="962"/>
      <c r="T62" s="962"/>
      <c r="U62" s="962"/>
    </row>
    <row r="63" ht="8.75" customHeight="1" hidden="1">
      <c r="A63" s="960">
        <v>44402</v>
      </c>
      <c r="B63" s="961">
        <v>72.40000000000001</v>
      </c>
      <c r="C63" s="965" cm="1">
        <f t="array" ref="C63">B63*2.2046226218</f>
        <v>159.614677818320</v>
      </c>
      <c r="D63" s="962" cm="1">
        <f t="array" ref="D63">IF(ISBLANK(B63),"",AVERAGE(B57:B63))</f>
        <v>72.5</v>
      </c>
      <c r="E63" s="962" cm="1">
        <f t="array" ref="E63">IF(ISBLANK(B63),"",AVERAGE(B50:B63))</f>
        <v>72.4357142857143</v>
      </c>
      <c r="F63" s="962" cm="1">
        <f t="array" ref="F63">IF(ISBLANK(B63),"",AVERAGE(B34:B63))</f>
        <v>71.8133333333333</v>
      </c>
      <c r="G63" s="962">
        <v>35</v>
      </c>
      <c r="H63" s="962">
        <v>35</v>
      </c>
      <c r="I63" s="962">
        <v>35</v>
      </c>
      <c r="J63" s="962">
        <v>9</v>
      </c>
      <c r="K63" s="962"/>
      <c r="L63" s="962"/>
      <c r="M63" s="962"/>
      <c r="N63" s="962"/>
      <c r="O63" s="962"/>
      <c r="P63" s="962"/>
      <c r="Q63" s="962"/>
      <c r="R63" s="962"/>
      <c r="S63" s="962"/>
      <c r="T63" s="962"/>
      <c r="U63" s="962"/>
    </row>
    <row r="64" ht="8.75" customHeight="1" hidden="1">
      <c r="A64" s="963">
        <v>44403</v>
      </c>
      <c r="B64" s="961">
        <v>72.2</v>
      </c>
      <c r="C64" s="965" cm="1">
        <f t="array" ref="C64">B64*2.2046226218</f>
        <v>159.173753293960</v>
      </c>
      <c r="D64" s="962" cm="1">
        <f t="array" ref="D64">IF(ISBLANK(B64),"",AVERAGE(B58:B64))</f>
        <v>72.5714285714286</v>
      </c>
      <c r="E64" s="962" cm="1">
        <f t="array" ref="E64">IF(ISBLANK(B64),"",AVERAGE(B51:B64))</f>
        <v>72.46428571428569</v>
      </c>
      <c r="F64" s="962" cm="1">
        <f t="array" ref="F64">IF(ISBLANK(B64),"",AVERAGE(B35:B64))</f>
        <v>71.8566666666667</v>
      </c>
      <c r="G64" s="962">
        <v>35</v>
      </c>
      <c r="H64" s="962">
        <v>35</v>
      </c>
      <c r="I64" s="962">
        <v>35</v>
      </c>
      <c r="J64" s="962">
        <v>9</v>
      </c>
      <c r="K64" s="962"/>
      <c r="L64" s="962"/>
      <c r="M64" s="962"/>
      <c r="N64" s="962"/>
      <c r="O64" s="962"/>
      <c r="P64" s="962"/>
      <c r="Q64" s="962"/>
      <c r="R64" s="962"/>
      <c r="S64" s="962"/>
      <c r="T64" s="962"/>
      <c r="U64" s="962"/>
    </row>
    <row r="65" ht="8.75" customHeight="1" hidden="1">
      <c r="A65" s="960">
        <v>44404</v>
      </c>
      <c r="B65" s="961">
        <v>72.7</v>
      </c>
      <c r="C65" s="965" cm="1">
        <f t="array" ref="C65">B65*2.2046226218</f>
        <v>160.276064604860</v>
      </c>
      <c r="D65" s="962" cm="1">
        <f t="array" ref="D65">IF(ISBLANK(B65),"",AVERAGE(B59:B65))</f>
        <v>72.6857142857143</v>
      </c>
      <c r="E65" s="962" cm="1">
        <f t="array" ref="E65">IF(ISBLANK(B65),"",AVERAGE(B52:B65))</f>
        <v>72.48571428571429</v>
      </c>
      <c r="F65" s="962" cm="1">
        <f t="array" ref="F65">IF(ISBLANK(B65),"",AVERAGE(B36:B65))</f>
        <v>71.9266666666667</v>
      </c>
      <c r="G65" s="962">
        <v>35</v>
      </c>
      <c r="H65" s="962">
        <v>35</v>
      </c>
      <c r="I65" s="962">
        <v>35</v>
      </c>
      <c r="J65" s="962">
        <v>9</v>
      </c>
      <c r="K65" s="962"/>
      <c r="L65" s="962"/>
      <c r="M65" s="962"/>
      <c r="N65" s="962"/>
      <c r="O65" s="962"/>
      <c r="P65" s="962"/>
      <c r="Q65" s="962"/>
      <c r="R65" s="962"/>
      <c r="S65" s="962"/>
      <c r="T65" s="962"/>
      <c r="U65" s="962"/>
    </row>
    <row r="66" ht="8.75" customHeight="1" hidden="1">
      <c r="A66" s="963">
        <v>44405</v>
      </c>
      <c r="B66" s="961">
        <v>73.3</v>
      </c>
      <c r="C66" s="965" cm="1">
        <f t="array" ref="C66">B66*2.2046226218</f>
        <v>161.598838177940</v>
      </c>
      <c r="D66" s="962" cm="1">
        <f t="array" ref="D66">IF(ISBLANK(B66),"",AVERAGE(B60:B66))</f>
        <v>72.8571428571429</v>
      </c>
      <c r="E66" s="962" cm="1">
        <f t="array" ref="E66">IF(ISBLANK(B66),"",AVERAGE(B53:B66))</f>
        <v>72.57857142857139</v>
      </c>
      <c r="F66" s="962" cm="1">
        <f t="array" ref="F66">IF(ISBLANK(B66),"",AVERAGE(B37:B66))</f>
        <v>71.9966666666667</v>
      </c>
      <c r="G66" s="962">
        <v>35</v>
      </c>
      <c r="H66" s="962">
        <v>40</v>
      </c>
      <c r="I66" s="962">
        <v>40</v>
      </c>
      <c r="J66" s="962">
        <v>9</v>
      </c>
      <c r="K66" s="962"/>
      <c r="L66" s="962"/>
      <c r="M66" s="962"/>
      <c r="N66" s="962"/>
      <c r="O66" s="962"/>
      <c r="P66" s="962"/>
      <c r="Q66" s="962"/>
      <c r="R66" s="962"/>
      <c r="S66" s="962"/>
      <c r="T66" s="962"/>
      <c r="U66" s="962"/>
    </row>
    <row r="67" ht="8.75" customHeight="1" hidden="1">
      <c r="A67" s="960">
        <v>44406</v>
      </c>
      <c r="B67" s="961">
        <v>73.09999999999999</v>
      </c>
      <c r="C67" s="965" cm="1">
        <f t="array" ref="C67">B67*2.2046226218</f>
        <v>161.157913653580</v>
      </c>
      <c r="D67" s="962" cm="1">
        <f t="array" ref="D67">IF(ISBLANK(B67),"",AVERAGE(B61:B67))</f>
        <v>72.8428571428571</v>
      </c>
      <c r="E67" s="962" cm="1">
        <f t="array" ref="E67">IF(ISBLANK(B67),"",AVERAGE(B54:B67))</f>
        <v>72.5857142857143</v>
      </c>
      <c r="F67" s="962" cm="1">
        <f t="array" ref="F67">IF(ISBLANK(B67),"",AVERAGE(B38:B67))</f>
        <v>72.0533333333333</v>
      </c>
      <c r="G67" s="962">
        <v>35</v>
      </c>
      <c r="H67" s="962">
        <v>40</v>
      </c>
      <c r="I67" s="962">
        <v>40</v>
      </c>
      <c r="J67" s="962">
        <v>9</v>
      </c>
      <c r="K67" s="962"/>
      <c r="L67" s="962"/>
      <c r="M67" s="962"/>
      <c r="N67" s="962"/>
      <c r="O67" s="962"/>
      <c r="P67" s="962"/>
      <c r="Q67" s="962"/>
      <c r="R67" s="962"/>
      <c r="S67" s="962"/>
      <c r="T67" s="962"/>
      <c r="U67" s="962"/>
    </row>
    <row r="68" ht="8.75" customHeight="1" hidden="1">
      <c r="A68" s="963">
        <v>44407</v>
      </c>
      <c r="B68" s="961">
        <v>73.90000000000001</v>
      </c>
      <c r="C68" s="965" cm="1">
        <f t="array" ref="C68">B68*2.2046226218</f>
        <v>162.921611751020</v>
      </c>
      <c r="D68" s="962" cm="1">
        <f t="array" ref="D68">IF(ISBLANK(B68),"",AVERAGE(B62:B68))</f>
        <v>72.94285714285709</v>
      </c>
      <c r="E68" s="962" cm="1">
        <f t="array" ref="E68">IF(ISBLANK(B68),"",AVERAGE(B55:B68))</f>
        <v>72.6857142857143</v>
      </c>
      <c r="F68" s="962" cm="1">
        <f t="array" ref="F68">IF(ISBLANK(B68),"",AVERAGE(B39:B68))</f>
        <v>72.14</v>
      </c>
      <c r="G68" s="962">
        <v>40</v>
      </c>
      <c r="H68" s="962">
        <v>40</v>
      </c>
      <c r="I68" s="962">
        <v>40</v>
      </c>
      <c r="J68" s="962">
        <v>9</v>
      </c>
      <c r="K68" s="962">
        <v>11.5</v>
      </c>
      <c r="L68" s="962">
        <v>9</v>
      </c>
      <c r="M68" s="962">
        <v>10</v>
      </c>
      <c r="N68" s="962">
        <v>9</v>
      </c>
      <c r="O68" s="962">
        <v>11.5</v>
      </c>
      <c r="P68" s="962">
        <v>11.5</v>
      </c>
      <c r="Q68" s="962"/>
      <c r="R68" s="962"/>
      <c r="S68" s="962"/>
      <c r="T68" s="962"/>
      <c r="U68" s="962"/>
    </row>
    <row r="69" ht="8.75" customHeight="1" hidden="1">
      <c r="A69" s="960">
        <v>44408</v>
      </c>
      <c r="B69" s="961">
        <v>74</v>
      </c>
      <c r="C69" s="965" cm="1">
        <f t="array" ref="C69">B69*2.2046226218</f>
        <v>163.1420740132</v>
      </c>
      <c r="D69" s="962" cm="1">
        <f t="array" ref="D69">IF(ISBLANK(B69),"",AVERAGE(B63:B69))</f>
        <v>73.0857142857143</v>
      </c>
      <c r="E69" s="962" cm="1">
        <f t="array" ref="E69">IF(ISBLANK(B69),"",AVERAGE(B56:B69))</f>
        <v>72.80714285714291</v>
      </c>
      <c r="F69" s="962" cm="1">
        <f t="array" ref="F69">IF(ISBLANK(B69),"",AVERAGE(B40:B69))</f>
        <v>72.20666666666671</v>
      </c>
      <c r="G69" s="962">
        <v>40</v>
      </c>
      <c r="H69" s="962">
        <v>40</v>
      </c>
      <c r="I69" s="962">
        <v>40</v>
      </c>
      <c r="J69" s="962">
        <v>9</v>
      </c>
      <c r="K69" s="962"/>
      <c r="L69" s="962"/>
      <c r="M69" s="962"/>
      <c r="N69" s="962"/>
      <c r="O69" s="962"/>
      <c r="P69" s="962"/>
      <c r="Q69" s="962"/>
      <c r="R69" s="962"/>
      <c r="S69" s="962"/>
      <c r="T69" s="962"/>
      <c r="U69" s="962"/>
    </row>
    <row r="70" ht="8.75" customHeight="1" hidden="1">
      <c r="A70" s="960">
        <v>44409</v>
      </c>
      <c r="B70" s="961">
        <v>73.5</v>
      </c>
      <c r="C70" s="965" cm="1">
        <f t="array" ref="C70">B70*2.2046226218</f>
        <v>162.0397627023</v>
      </c>
      <c r="D70" s="962" cm="1">
        <f t="array" ref="D70">IF(ISBLANK(B70),"",AVERAGE(B64:B70))</f>
        <v>73.2428571428571</v>
      </c>
      <c r="E70" s="962" cm="1">
        <f t="array" ref="E70">IF(ISBLANK(B70),"",AVERAGE(B57:B70))</f>
        <v>72.87142857142859</v>
      </c>
      <c r="F70" s="962" cm="1">
        <f t="array" ref="F70">IF(ISBLANK(B70),"",AVERAGE(B41:B70))</f>
        <v>72.29333333333329</v>
      </c>
      <c r="G70" s="962">
        <v>40</v>
      </c>
      <c r="H70" s="962">
        <v>40</v>
      </c>
      <c r="I70" s="962">
        <v>40</v>
      </c>
      <c r="J70" s="962">
        <v>9</v>
      </c>
      <c r="K70" s="962"/>
      <c r="L70" s="962"/>
      <c r="M70" s="962"/>
      <c r="N70" s="962"/>
      <c r="O70" s="962"/>
      <c r="P70" s="962"/>
      <c r="Q70" s="962"/>
      <c r="R70" s="962"/>
      <c r="S70" s="962"/>
      <c r="T70" s="962"/>
      <c r="U70" s="966"/>
    </row>
    <row r="71" ht="8.75" customHeight="1" hidden="1">
      <c r="A71" s="963">
        <v>44410</v>
      </c>
      <c r="B71" s="961">
        <v>74</v>
      </c>
      <c r="C71" s="965" cm="1">
        <f t="array" ref="C71">B71*2.2046226218</f>
        <v>163.1420740132</v>
      </c>
      <c r="D71" s="962" cm="1">
        <f t="array" ref="D71">IF(ISBLANK(B71),"",AVERAGE(B65:B71))</f>
        <v>73.5</v>
      </c>
      <c r="E71" s="962" cm="1">
        <f t="array" ref="E71">IF(ISBLANK(B71),"",AVERAGE(B58:B71))</f>
        <v>73.03571428571431</v>
      </c>
      <c r="F71" s="962" cm="1">
        <f t="array" ref="F71">IF(ISBLANK(B71),"",AVERAGE(B42:B71))</f>
        <v>72.3966666666667</v>
      </c>
      <c r="G71" s="962">
        <v>40</v>
      </c>
      <c r="H71" s="962">
        <v>40</v>
      </c>
      <c r="I71" s="962">
        <v>40</v>
      </c>
      <c r="J71" s="962">
        <v>9</v>
      </c>
      <c r="K71" s="962">
        <v>11.5</v>
      </c>
      <c r="L71" s="962">
        <v>9</v>
      </c>
      <c r="M71" s="962">
        <v>10</v>
      </c>
      <c r="N71" s="962">
        <v>9</v>
      </c>
      <c r="O71" s="962">
        <v>11.5</v>
      </c>
      <c r="P71" s="962">
        <v>11.5</v>
      </c>
      <c r="Q71" s="962"/>
      <c r="R71" s="962"/>
      <c r="S71" s="962"/>
      <c r="T71" s="962"/>
      <c r="U71" s="966"/>
    </row>
    <row r="72" ht="8.75" customHeight="1" hidden="1">
      <c r="A72" s="960">
        <v>44411</v>
      </c>
      <c r="B72" s="961">
        <v>73.59999999999999</v>
      </c>
      <c r="C72" s="965" cm="1">
        <f t="array" ref="C72">B72*2.2046226218</f>
        <v>162.260224964480</v>
      </c>
      <c r="D72" s="962" cm="1">
        <f t="array" ref="D72">IF(ISBLANK(B72),"",AVERAGE(B66:B72))</f>
        <v>73.62857142857141</v>
      </c>
      <c r="E72" s="962" cm="1">
        <f t="array" ref="E72">IF(ISBLANK(B72),"",AVERAGE(B59:B72))</f>
        <v>73.1571428571429</v>
      </c>
      <c r="F72" s="962" cm="1">
        <f t="array" ref="F72">IF(ISBLANK(B72),"",AVERAGE(B43:B72))</f>
        <v>72.48333333333331</v>
      </c>
      <c r="G72" s="962">
        <v>40</v>
      </c>
      <c r="H72" s="962">
        <v>40</v>
      </c>
      <c r="I72" s="962">
        <v>40</v>
      </c>
      <c r="J72" s="962">
        <v>9</v>
      </c>
      <c r="K72" s="962">
        <v>11.5</v>
      </c>
      <c r="L72" s="962">
        <v>9</v>
      </c>
      <c r="M72" s="962">
        <v>10</v>
      </c>
      <c r="N72" s="962">
        <v>9</v>
      </c>
      <c r="O72" s="962">
        <v>11.5</v>
      </c>
      <c r="P72" s="962">
        <v>11.5</v>
      </c>
      <c r="Q72" s="962"/>
      <c r="R72" s="962"/>
      <c r="S72" s="962"/>
      <c r="T72" s="962"/>
      <c r="U72" s="966"/>
    </row>
    <row r="73" ht="8.75" customHeight="1" hidden="1">
      <c r="A73" s="963">
        <v>44412</v>
      </c>
      <c r="B73" s="961">
        <v>74.40000000000001</v>
      </c>
      <c r="C73" s="965" cm="1">
        <f t="array" ref="C73">B73*2.2046226218</f>
        <v>164.023923061920</v>
      </c>
      <c r="D73" s="962" cm="1">
        <f t="array" ref="D73">IF(ISBLANK(B73),"",AVERAGE(B67:B73))</f>
        <v>73.78571428571431</v>
      </c>
      <c r="E73" s="962" cm="1">
        <f t="array" ref="E73">IF(ISBLANK(B73),"",AVERAGE(B60:B73))</f>
        <v>73.3214285714286</v>
      </c>
      <c r="F73" s="962" cm="1">
        <f t="array" ref="F73">IF(ISBLANK(B73),"",AVERAGE(B44:B73))</f>
        <v>72.58</v>
      </c>
      <c r="G73" s="962">
        <v>45</v>
      </c>
      <c r="H73" s="962">
        <v>40</v>
      </c>
      <c r="I73" s="962">
        <v>40</v>
      </c>
      <c r="J73" s="962">
        <v>9</v>
      </c>
      <c r="K73" s="962">
        <v>11.5</v>
      </c>
      <c r="L73" s="962">
        <v>9</v>
      </c>
      <c r="M73" s="962">
        <v>10</v>
      </c>
      <c r="N73" s="962">
        <v>9</v>
      </c>
      <c r="O73" s="962">
        <v>11.5</v>
      </c>
      <c r="P73" s="962">
        <v>11.5</v>
      </c>
      <c r="Q73" s="962"/>
      <c r="R73" s="962"/>
      <c r="S73" s="962"/>
      <c r="T73" s="962"/>
      <c r="U73" s="966"/>
    </row>
    <row r="74" ht="8.75" customHeight="1" hidden="1">
      <c r="A74" s="960">
        <v>44413</v>
      </c>
      <c r="B74" s="961">
        <v>74.3</v>
      </c>
      <c r="C74" s="965" cm="1">
        <f t="array" ref="C74">B74*2.2046226218</f>
        <v>163.803460799740</v>
      </c>
      <c r="D74" s="962" cm="1">
        <f t="array" ref="D74">IF(ISBLANK(B74),"",AVERAGE(B68:B74))</f>
        <v>73.9571428571429</v>
      </c>
      <c r="E74" s="962" cm="1">
        <f t="array" ref="E74">IF(ISBLANK(B74),"",AVERAGE(B61:B74))</f>
        <v>73.40000000000001</v>
      </c>
      <c r="F74" s="962" cm="1">
        <f t="array" ref="F74">IF(ISBLANK(B74),"",AVERAGE(B45:B74))</f>
        <v>72.6733333333333</v>
      </c>
      <c r="G74" s="962">
        <v>45</v>
      </c>
      <c r="H74" s="962">
        <v>40</v>
      </c>
      <c r="I74" s="962">
        <v>40</v>
      </c>
      <c r="J74" s="962">
        <v>9</v>
      </c>
      <c r="K74" s="962">
        <v>11.5</v>
      </c>
      <c r="L74" s="962">
        <v>9</v>
      </c>
      <c r="M74" s="962">
        <v>10</v>
      </c>
      <c r="N74" s="962">
        <v>9</v>
      </c>
      <c r="O74" s="962">
        <v>11.5</v>
      </c>
      <c r="P74" s="962">
        <v>11.5</v>
      </c>
      <c r="Q74" s="962"/>
      <c r="R74" s="962"/>
      <c r="S74" s="962"/>
      <c r="T74" s="962"/>
      <c r="U74" s="966"/>
    </row>
    <row r="75" ht="8.75" customHeight="1" hidden="1">
      <c r="A75" s="963">
        <v>44414</v>
      </c>
      <c r="B75" s="961">
        <v>74.40000000000001</v>
      </c>
      <c r="C75" s="965" cm="1">
        <f t="array" ref="C75">B75*2.2046226218</f>
        <v>164.023923061920</v>
      </c>
      <c r="D75" s="962" cm="1">
        <f t="array" ref="D75">IF(ISBLANK(B75),"",AVERAGE(B69:B75))</f>
        <v>74.0285714285714</v>
      </c>
      <c r="E75" s="962" cm="1">
        <f t="array" ref="E75">IF(ISBLANK(B75),"",AVERAGE(B62:B75))</f>
        <v>73.48571428571429</v>
      </c>
      <c r="F75" s="962" cm="1">
        <f t="array" ref="F75">IF(ISBLANK(B75),"",AVERAGE(B46:B75))</f>
        <v>72.79000000000001</v>
      </c>
      <c r="G75" s="962">
        <v>45</v>
      </c>
      <c r="H75" s="962">
        <v>45</v>
      </c>
      <c r="I75" s="962">
        <v>40</v>
      </c>
      <c r="J75" s="962">
        <v>9</v>
      </c>
      <c r="K75" s="962">
        <v>11.5</v>
      </c>
      <c r="L75" s="962">
        <v>9</v>
      </c>
      <c r="M75" s="962">
        <v>10</v>
      </c>
      <c r="N75" s="962">
        <v>9</v>
      </c>
      <c r="O75" s="962">
        <v>11.5</v>
      </c>
      <c r="P75" s="962">
        <v>11.5</v>
      </c>
      <c r="Q75" s="962"/>
      <c r="R75" s="962"/>
      <c r="S75" s="962"/>
      <c r="T75" s="962"/>
      <c r="U75" s="966"/>
    </row>
    <row r="76" ht="8.75" customHeight="1" hidden="1">
      <c r="A76" s="960">
        <v>44415</v>
      </c>
      <c r="B76" s="961">
        <v>74.59999999999999</v>
      </c>
      <c r="C76" s="965" cm="1">
        <f t="array" ref="C76">B76*2.2046226218</f>
        <v>164.464847586280</v>
      </c>
      <c r="D76" s="962" cm="1">
        <f t="array" ref="D76">IF(ISBLANK(B76),"",AVERAGE(B70:B76))</f>
        <v>74.1142857142857</v>
      </c>
      <c r="E76" s="962" cm="1">
        <f t="array" ref="E76">IF(ISBLANK(B76),"",AVERAGE(B63:B76))</f>
        <v>73.59999999999999</v>
      </c>
      <c r="F76" s="962" cm="1">
        <f t="array" ref="F76">IF(ISBLANK(B76),"",AVERAGE(B47:B76))</f>
        <v>72.90000000000001</v>
      </c>
      <c r="G76" s="962">
        <v>45</v>
      </c>
      <c r="H76" s="962">
        <v>45</v>
      </c>
      <c r="I76" s="962">
        <v>40</v>
      </c>
      <c r="J76" s="962">
        <v>9</v>
      </c>
      <c r="K76" s="962">
        <v>11.5</v>
      </c>
      <c r="L76" s="962">
        <v>9</v>
      </c>
      <c r="M76" s="962">
        <v>10</v>
      </c>
      <c r="N76" s="962">
        <v>9</v>
      </c>
      <c r="O76" s="962">
        <v>11.5</v>
      </c>
      <c r="P76" s="962">
        <v>11.5</v>
      </c>
      <c r="Q76" s="962"/>
      <c r="R76" s="962"/>
      <c r="S76" s="962"/>
      <c r="T76" s="962"/>
      <c r="U76" s="966"/>
    </row>
    <row r="77" ht="8.75" customHeight="1" hidden="1">
      <c r="A77" s="960">
        <v>44416</v>
      </c>
      <c r="B77" s="961">
        <v>73.3</v>
      </c>
      <c r="C77" s="965" cm="1">
        <f t="array" ref="C77">B77*2.2046226218</f>
        <v>161.598838177940</v>
      </c>
      <c r="D77" s="962" cm="1">
        <f t="array" ref="D77">IF(ISBLANK(B77),"",AVERAGE(B71:B77))</f>
        <v>74.0857142857143</v>
      </c>
      <c r="E77" s="962" cm="1">
        <f t="array" ref="E77">IF(ISBLANK(B77),"",AVERAGE(B64:B77))</f>
        <v>73.6642857142857</v>
      </c>
      <c r="F77" s="962" cm="1">
        <f t="array" ref="F77">IF(ISBLANK(B77),"",AVERAGE(B48:B77))</f>
        <v>72.95666666666671</v>
      </c>
      <c r="G77" s="962">
        <v>45</v>
      </c>
      <c r="H77" s="962">
        <v>45</v>
      </c>
      <c r="I77" s="962">
        <v>40</v>
      </c>
      <c r="J77" s="962">
        <v>9</v>
      </c>
      <c r="K77" s="962">
        <v>11.5</v>
      </c>
      <c r="L77" s="962">
        <v>9</v>
      </c>
      <c r="M77" s="962">
        <v>10</v>
      </c>
      <c r="N77" s="962">
        <v>9</v>
      </c>
      <c r="O77" s="962">
        <v>11.5</v>
      </c>
      <c r="P77" s="962">
        <v>11.5</v>
      </c>
      <c r="Q77" s="962"/>
      <c r="R77" s="962"/>
      <c r="S77" s="962"/>
      <c r="T77" s="962"/>
      <c r="U77" s="966"/>
    </row>
    <row r="78" ht="8.75" customHeight="1" hidden="1">
      <c r="A78" s="963">
        <v>44417</v>
      </c>
      <c r="B78" s="961">
        <v>73.7</v>
      </c>
      <c r="C78" s="965" cm="1">
        <f t="array" ref="C78">B78*2.2046226218</f>
        <v>162.480687226660</v>
      </c>
      <c r="D78" s="962" cm="1">
        <f t="array" ref="D78">IF(ISBLANK(B78),"",AVERAGE(B72:B78))</f>
        <v>74.0428571428571</v>
      </c>
      <c r="E78" s="962" cm="1">
        <f t="array" ref="E78">IF(ISBLANK(B78),"",AVERAGE(B65:B78))</f>
        <v>73.7714285714286</v>
      </c>
      <c r="F78" s="962" cm="1">
        <f t="array" ref="F78">IF(ISBLANK(B78),"",AVERAGE(B49:B78))</f>
        <v>73.0266666666667</v>
      </c>
      <c r="G78" s="962">
        <v>45</v>
      </c>
      <c r="H78" s="962">
        <v>45</v>
      </c>
      <c r="I78" s="962">
        <v>40</v>
      </c>
      <c r="J78" s="962">
        <v>11.5</v>
      </c>
      <c r="K78" s="962">
        <v>11.5</v>
      </c>
      <c r="L78" s="962">
        <v>9</v>
      </c>
      <c r="M78" s="962">
        <v>10</v>
      </c>
      <c r="N78" s="962">
        <v>10</v>
      </c>
      <c r="O78" s="962">
        <v>11.5</v>
      </c>
      <c r="P78" s="962">
        <v>11.5</v>
      </c>
      <c r="Q78" s="962"/>
      <c r="R78" s="967">
        <v>225.180473118280</v>
      </c>
      <c r="S78" s="967">
        <v>127.338043010753</v>
      </c>
      <c r="T78" s="967">
        <v>212.879698924731</v>
      </c>
      <c r="U78" s="968">
        <v>2868.693428912780</v>
      </c>
    </row>
    <row r="79" ht="8.75" customHeight="1" hidden="1">
      <c r="A79" s="960">
        <v>44418</v>
      </c>
      <c r="B79" s="961">
        <v>74</v>
      </c>
      <c r="C79" s="965" cm="1">
        <f t="array" ref="C79">IF(ISBLANK(B79),"",B79*2.2046226218)</f>
        <v>163.1420740132</v>
      </c>
      <c r="D79" s="962" cm="1">
        <f t="array" ref="D79">IF(ISBLANK(B79),"",AVERAGE(B73:B79))</f>
        <v>74.09999999999999</v>
      </c>
      <c r="E79" s="962" cm="1">
        <f t="array" ref="E79">IF(ISBLANK(B79),"",AVERAGE(B66:B79))</f>
        <v>73.8642857142857</v>
      </c>
      <c r="F79" s="962" cm="1">
        <f t="array" ref="F79">IF(ISBLANK(B79),"",AVERAGE(B50:B79))</f>
        <v>73.1033333333333</v>
      </c>
      <c r="G79" s="962">
        <v>45</v>
      </c>
      <c r="H79" s="962">
        <v>45</v>
      </c>
      <c r="I79" s="962">
        <v>40</v>
      </c>
      <c r="J79" s="962">
        <v>11.5</v>
      </c>
      <c r="K79" s="962">
        <v>11.5</v>
      </c>
      <c r="L79" s="962">
        <v>9</v>
      </c>
      <c r="M79" s="962">
        <v>10</v>
      </c>
      <c r="N79" s="962">
        <v>10</v>
      </c>
      <c r="O79" s="962">
        <v>11.5</v>
      </c>
      <c r="P79" s="962">
        <v>11.5</v>
      </c>
      <c r="Q79" s="962"/>
      <c r="R79" s="967">
        <v>179.071374500768</v>
      </c>
      <c r="S79" s="967">
        <v>50.8859379416283</v>
      </c>
      <c r="T79" s="967">
        <v>178.533320122888</v>
      </c>
      <c r="U79" s="968">
        <v>1874.074401775050</v>
      </c>
    </row>
    <row r="80" ht="8.75" customHeight="1" hidden="1">
      <c r="A80" s="963">
        <v>44419</v>
      </c>
      <c r="B80" s="961">
        <v>73.8</v>
      </c>
      <c r="C80" s="965" cm="1">
        <f t="array" ref="C80">IF(ISBLANK(B80),"",B80*2.2046226218)</f>
        <v>162.701149488840</v>
      </c>
      <c r="D80" s="962" cm="1">
        <f t="array" ref="D80">IF(ISBLANK(B80),"",AVERAGE(B74:B80))</f>
        <v>74.01428571428571</v>
      </c>
      <c r="E80" s="962" cm="1">
        <f t="array" ref="E80">IF(ISBLANK(B80),"",AVERAGE(B67:B80))</f>
        <v>73.90000000000001</v>
      </c>
      <c r="F80" s="962" cm="1">
        <f t="array" ref="F80">IF(ISBLANK(B80),"",AVERAGE(B51:B80))</f>
        <v>73.17</v>
      </c>
      <c r="G80" s="962">
        <v>45</v>
      </c>
      <c r="H80" s="962">
        <v>45</v>
      </c>
      <c r="I80" s="962">
        <v>40</v>
      </c>
      <c r="J80" s="962">
        <v>11.5</v>
      </c>
      <c r="K80" s="962">
        <v>11.5</v>
      </c>
      <c r="L80" s="962">
        <v>9</v>
      </c>
      <c r="M80" s="962">
        <v>10</v>
      </c>
      <c r="N80" s="962">
        <v>10</v>
      </c>
      <c r="O80" s="962">
        <v>11.5</v>
      </c>
      <c r="P80" s="962">
        <v>11.5</v>
      </c>
      <c r="Q80" s="962"/>
      <c r="R80" s="967">
        <v>182.375557755133</v>
      </c>
      <c r="S80" s="967">
        <v>83.539044546851</v>
      </c>
      <c r="T80" s="967">
        <v>223.076808896389</v>
      </c>
      <c r="U80" s="968">
        <v>2622.501259288110</v>
      </c>
    </row>
    <row r="81" ht="8.75" customHeight="1" hidden="1">
      <c r="A81" s="960">
        <v>44420</v>
      </c>
      <c r="B81" s="961">
        <v>73.59999999999999</v>
      </c>
      <c r="C81" s="965" cm="1">
        <f t="array" ref="C81">IF(ISBLANK(B81),"",B81*2.2046226218)</f>
        <v>162.260224964480</v>
      </c>
      <c r="D81" s="962" cm="1">
        <f t="array" ref="D81">IF(ISBLANK(B81),"",AVERAGE(B75:B81))</f>
        <v>73.9142857142857</v>
      </c>
      <c r="E81" s="962" cm="1">
        <f t="array" ref="E81">IF(ISBLANK(B81),"",AVERAGE(B68:B81))</f>
        <v>73.9357142857143</v>
      </c>
      <c r="F81" s="962" cm="1">
        <f t="array" ref="F81">IF(ISBLANK(B81),"",AVERAGE(B52:B81))</f>
        <v>73.20999999999999</v>
      </c>
      <c r="G81" s="962">
        <v>45</v>
      </c>
      <c r="H81" s="962">
        <v>45</v>
      </c>
      <c r="I81" s="962">
        <v>40</v>
      </c>
      <c r="J81" s="962">
        <v>11.5</v>
      </c>
      <c r="K81" s="962">
        <v>11.5</v>
      </c>
      <c r="L81" s="962">
        <v>9</v>
      </c>
      <c r="M81" s="962">
        <v>10</v>
      </c>
      <c r="N81" s="962">
        <v>10</v>
      </c>
      <c r="O81" s="962">
        <v>11.5</v>
      </c>
      <c r="P81" s="962">
        <v>11.5</v>
      </c>
      <c r="Q81" s="962"/>
      <c r="R81" s="967">
        <v>172.309470588235</v>
      </c>
      <c r="S81" s="967">
        <v>78.40635294117649</v>
      </c>
      <c r="T81" s="967">
        <v>174.758</v>
      </c>
      <c r="U81" s="968">
        <v>2053.161764705880</v>
      </c>
    </row>
    <row r="82" ht="8.75" customHeight="1" hidden="1">
      <c r="A82" s="963">
        <v>44421</v>
      </c>
      <c r="B82" s="961">
        <v>73.8</v>
      </c>
      <c r="C82" s="965" cm="1">
        <f t="array" ref="C82">IF(ISBLANK(B82),"",B82*2.2046226218)</f>
        <v>162.701149488840</v>
      </c>
      <c r="D82" s="962" cm="1">
        <f t="array" ref="D82">IF(ISBLANK(B82),"",AVERAGE(B76:B82))</f>
        <v>73.82857142857139</v>
      </c>
      <c r="E82" s="962" cm="1">
        <f t="array" ref="E82">IF(ISBLANK(B82),"",AVERAGE(B69:B82))</f>
        <v>73.9285714285714</v>
      </c>
      <c r="F82" s="962" cm="1">
        <f t="array" ref="F82">IF(ISBLANK(B82),"",AVERAGE(B53:B82))</f>
        <v>73.27</v>
      </c>
      <c r="G82" s="962">
        <v>45</v>
      </c>
      <c r="H82" s="962">
        <v>45</v>
      </c>
      <c r="I82" s="962">
        <v>40</v>
      </c>
      <c r="J82" s="962">
        <v>11.5</v>
      </c>
      <c r="K82" s="962">
        <v>11.5</v>
      </c>
      <c r="L82" s="962">
        <v>9</v>
      </c>
      <c r="M82" s="962">
        <v>10</v>
      </c>
      <c r="N82" s="962">
        <v>10</v>
      </c>
      <c r="O82" s="962">
        <v>11.5</v>
      </c>
      <c r="P82" s="962">
        <v>11.5</v>
      </c>
      <c r="Q82" s="962"/>
      <c r="R82" s="967">
        <v>192.848786482335</v>
      </c>
      <c r="S82" s="967">
        <v>86.6202273425499</v>
      </c>
      <c r="T82" s="967">
        <v>232.599837173579</v>
      </c>
      <c r="U82" s="968">
        <v>2467.047277692440</v>
      </c>
    </row>
    <row r="83" ht="8.75" customHeight="1" hidden="1">
      <c r="A83" s="960">
        <v>44422</v>
      </c>
      <c r="B83" s="961">
        <v>73.40000000000001</v>
      </c>
      <c r="C83" s="965" cm="1">
        <f t="array" ref="C83">IF(ISBLANK(B83),"",B83*2.2046226218)</f>
        <v>161.819300440120</v>
      </c>
      <c r="D83" s="962" cm="1">
        <f t="array" ref="D83">IF(ISBLANK(B83),"",AVERAGE(B77:B83))</f>
        <v>73.6571428571429</v>
      </c>
      <c r="E83" s="962" cm="1">
        <f t="array" ref="E83">IF(ISBLANK(B83),"",AVERAGE(B70:B83))</f>
        <v>73.8857142857143</v>
      </c>
      <c r="F83" s="962" cm="1">
        <f t="array" ref="F83">IF(ISBLANK(B83),"",AVERAGE(B54:B83))</f>
        <v>73.2833333333333</v>
      </c>
      <c r="G83" s="962">
        <v>45</v>
      </c>
      <c r="H83" s="962">
        <v>45</v>
      </c>
      <c r="I83" s="962">
        <v>40</v>
      </c>
      <c r="J83" s="962">
        <v>11.5</v>
      </c>
      <c r="K83" s="962">
        <v>11.5</v>
      </c>
      <c r="L83" s="962">
        <v>9</v>
      </c>
      <c r="M83" s="962">
        <v>10</v>
      </c>
      <c r="N83" s="962">
        <v>10</v>
      </c>
      <c r="O83" s="962">
        <v>11.5</v>
      </c>
      <c r="P83" s="962">
        <v>11.5</v>
      </c>
      <c r="Q83" s="962"/>
      <c r="R83" s="967">
        <v>197.424817204301</v>
      </c>
      <c r="S83" s="967">
        <v>77.59789247311831</v>
      </c>
      <c r="T83" s="967">
        <v>209.561752688172</v>
      </c>
      <c r="U83" s="968">
        <v>2311.983094384710</v>
      </c>
    </row>
    <row r="84" ht="8.75" customHeight="1" hidden="1">
      <c r="A84" s="960">
        <v>44423</v>
      </c>
      <c r="B84" s="961">
        <v>73.2</v>
      </c>
      <c r="C84" s="965" cm="1">
        <f t="array" ref="C84">IF(ISBLANK(B84),"",B84*2.2046226218)</f>
        <v>161.378375915760</v>
      </c>
      <c r="D84" s="962" cm="1">
        <f t="array" ref="D84">IF(ISBLANK(B84),"",AVERAGE(B78:B84))</f>
        <v>73.6428571428571</v>
      </c>
      <c r="E84" s="962" cm="1">
        <f t="array" ref="E84">IF(ISBLANK(B84),"",AVERAGE(B71:B84))</f>
        <v>73.8642857142857</v>
      </c>
      <c r="F84" s="962" cm="1">
        <f t="array" ref="F84">IF(ISBLANK(B84),"",AVERAGE(B55:B84))</f>
        <v>73.3066666666667</v>
      </c>
      <c r="G84" s="962">
        <v>45</v>
      </c>
      <c r="H84" s="962">
        <v>45</v>
      </c>
      <c r="I84" s="962">
        <v>40</v>
      </c>
      <c r="J84" s="962">
        <v>11.5</v>
      </c>
      <c r="K84" s="962">
        <v>11.5</v>
      </c>
      <c r="L84" s="962">
        <v>9</v>
      </c>
      <c r="M84" s="962">
        <v>10</v>
      </c>
      <c r="N84" s="962">
        <v>10</v>
      </c>
      <c r="O84" s="962">
        <v>11.5</v>
      </c>
      <c r="P84" s="962">
        <v>11.5</v>
      </c>
      <c r="Q84" s="962"/>
      <c r="R84" s="967">
        <v>189.7674</v>
      </c>
      <c r="S84" s="967">
        <v>80.7482</v>
      </c>
      <c r="T84" s="967">
        <v>218.7798</v>
      </c>
      <c r="U84" s="968">
        <v>2344.092444444440</v>
      </c>
    </row>
    <row r="85" ht="8.75" customHeight="1" hidden="1">
      <c r="A85" s="963">
        <v>44424</v>
      </c>
      <c r="B85" s="961">
        <v>72.7</v>
      </c>
      <c r="C85" s="965" cm="1">
        <f t="array" ref="C85">IF(ISBLANK(B85),"",B85*2.2046226218)</f>
        <v>160.276064604860</v>
      </c>
      <c r="D85" s="962">
        <v>73.5</v>
      </c>
      <c r="E85" s="962">
        <v>73.7714285714286</v>
      </c>
      <c r="F85" s="962" cm="1">
        <f t="array" ref="F85">IF(ISBLANK(B85),"",AVERAGE(B56:B85))</f>
        <v>73.31999999999999</v>
      </c>
      <c r="G85" s="962">
        <v>45</v>
      </c>
      <c r="H85" s="962">
        <v>45</v>
      </c>
      <c r="I85" s="962">
        <v>40</v>
      </c>
      <c r="J85" s="962">
        <v>11.5</v>
      </c>
      <c r="K85" s="962">
        <v>12.5</v>
      </c>
      <c r="L85" s="962">
        <v>9</v>
      </c>
      <c r="M85" s="962">
        <v>11.5</v>
      </c>
      <c r="N85" s="962">
        <v>10</v>
      </c>
      <c r="O85" s="962">
        <v>11.5</v>
      </c>
      <c r="P85" s="962">
        <v>11.5</v>
      </c>
      <c r="Q85" s="962"/>
      <c r="R85" s="967">
        <v>217.488370814132</v>
      </c>
      <c r="S85" s="967">
        <v>96.8204181259601</v>
      </c>
      <c r="T85" s="967">
        <v>237.230530261137</v>
      </c>
      <c r="U85" s="968">
        <v>2681.915511179380</v>
      </c>
    </row>
    <row r="86" ht="8.75" customHeight="1" hidden="1">
      <c r="A86" s="960">
        <v>44425</v>
      </c>
      <c r="B86" s="961">
        <v>73</v>
      </c>
      <c r="C86" s="965" cm="1">
        <f t="array" ref="C86">IF(ISBLANK(B86),"",B86*2.2046226218)</f>
        <v>160.9374513914</v>
      </c>
      <c r="D86" s="962">
        <v>73.3571428571429</v>
      </c>
      <c r="E86" s="962">
        <v>73.7285714285714</v>
      </c>
      <c r="F86" s="962" cm="1">
        <f t="array" ref="F86">IF(ISBLANK(B86),"",AVERAGE(B57:B86))</f>
        <v>73.3333333333333</v>
      </c>
      <c r="G86" s="962">
        <v>45</v>
      </c>
      <c r="H86" s="962">
        <v>45</v>
      </c>
      <c r="I86" s="962">
        <v>40</v>
      </c>
      <c r="J86" s="962">
        <v>11.5</v>
      </c>
      <c r="K86" s="962">
        <v>12.5</v>
      </c>
      <c r="L86" s="962">
        <v>9</v>
      </c>
      <c r="M86" s="962">
        <v>11.5</v>
      </c>
      <c r="N86" s="962">
        <v>10</v>
      </c>
      <c r="O86" s="962">
        <v>11.5</v>
      </c>
      <c r="P86" s="962">
        <v>11.5</v>
      </c>
      <c r="Q86" s="962"/>
      <c r="R86" s="967">
        <v>185.509016908535</v>
      </c>
      <c r="S86" s="967">
        <v>136.639703352309</v>
      </c>
      <c r="T86" s="967">
        <v>96.1622273209147</v>
      </c>
      <c r="U86" s="968">
        <v>2537.663166920560</v>
      </c>
    </row>
    <row r="87" ht="8.75" customHeight="1" hidden="1">
      <c r="A87" s="963">
        <v>44426</v>
      </c>
      <c r="B87" s="961">
        <v>72.8</v>
      </c>
      <c r="C87" s="965" cm="1">
        <f t="array" ref="C87">IF(ISBLANK(B87),"",B87*2.2046226218)</f>
        <v>160.496526867040</v>
      </c>
      <c r="D87" s="962" cm="1">
        <f t="array" ref="D87">IF(ISBLANK(B87),"",AVERAGE(B81:B87))</f>
        <v>73.21428571428569</v>
      </c>
      <c r="E87" s="962" cm="1">
        <f t="array" ref="E87">IF(ISBLANK(B87),"",AVERAGE(B74:B87))</f>
        <v>73.6142857142857</v>
      </c>
      <c r="F87" s="962" cm="1">
        <f t="array" ref="F87">IF(ISBLANK(B87),"",AVERAGE(B58:B87))</f>
        <v>73.37</v>
      </c>
      <c r="G87" s="962">
        <v>50</v>
      </c>
      <c r="H87" s="962">
        <v>45</v>
      </c>
      <c r="I87" s="962">
        <v>40</v>
      </c>
      <c r="J87" s="962">
        <v>11.5</v>
      </c>
      <c r="K87" s="962">
        <v>12.5</v>
      </c>
      <c r="L87" s="962">
        <v>9</v>
      </c>
      <c r="M87" s="962">
        <v>11.5</v>
      </c>
      <c r="N87" s="962">
        <v>10</v>
      </c>
      <c r="O87" s="962">
        <v>12.5</v>
      </c>
      <c r="P87" s="962">
        <v>12.5</v>
      </c>
      <c r="Q87" s="962"/>
      <c r="R87" s="967">
        <v>222.854815668203</v>
      </c>
      <c r="S87" s="967">
        <v>92.70900921658991</v>
      </c>
      <c r="T87" s="967">
        <v>220.780506912442</v>
      </c>
      <c r="U87" s="968">
        <v>2601.240655401950</v>
      </c>
    </row>
    <row r="88" ht="8.75" customHeight="1" hidden="1">
      <c r="A88" s="960">
        <v>44427</v>
      </c>
      <c r="B88" s="961">
        <v>72.8</v>
      </c>
      <c r="C88" s="965" cm="1">
        <f t="array" ref="C88">IF(ISBLANK(B88),"",B88*2.2046226218)</f>
        <v>160.496526867040</v>
      </c>
      <c r="D88" s="962" cm="1">
        <f t="array" ref="D88">IF(ISBLANK(B88),"",AVERAGE(B82:B88))</f>
        <v>73.09999999999999</v>
      </c>
      <c r="E88" s="962" cm="1">
        <f t="array" ref="E88">IF(ISBLANK(B88),"",AVERAGE(B75:B88))</f>
        <v>73.5071428571429</v>
      </c>
      <c r="F88" s="962" cm="1">
        <f t="array" ref="F88">IF(ISBLANK(B88),"",AVERAGE(B59:B88))</f>
        <v>73.40000000000001</v>
      </c>
      <c r="G88" s="962" cm="1">
        <f t="array" ref="G88">IF(ISBLANK($B88),"",'tracking - Table 2-1-1'!$C$3)</f>
        <v>54.6</v>
      </c>
      <c r="H88" s="962" cm="1">
        <f t="array" ref="H88">IF(ISBLANK($B88),"",'tracking - Table 2-1-1'!$C$9)</f>
        <v>52.26</v>
      </c>
      <c r="I88" s="962" cm="1">
        <f t="array" ref="I88">IF(ISBLANK($B88),"",'tracking - Table 2-1-1'!$C$10)</f>
        <v>40</v>
      </c>
      <c r="J88" s="962" cm="1">
        <f t="array" ref="J88">IF(ISBLANK($B88),"",'tracking - Table 2-1-1'!$C$7)</f>
        <v>11.5</v>
      </c>
      <c r="K88" s="962" cm="1">
        <f t="array" ref="K88">IF(ISBLANK($B88),"",'tracking - Table 2-1-1'!$C$11)</f>
        <v>12.5</v>
      </c>
      <c r="L88" s="962" cm="1">
        <f t="array" ref="L88">IF(ISBLANK($B88),"",'tracking - Table 2-1-1'!$C$12)</f>
        <v>9</v>
      </c>
      <c r="M88" s="962" cm="1">
        <f t="array" ref="M88">IF(ISBLANK($B88),"",'tracking - Table 2-1-1'!$C$13)</f>
        <v>11.5</v>
      </c>
      <c r="N88" s="962" cm="1">
        <f t="array" ref="N88">IF(ISBLANK($B88),"",'tracking - Table 2-1-1'!$C$4)</f>
        <v>9</v>
      </c>
      <c r="O88" s="962" cm="1">
        <f t="array" ref="O88">IF(ISBLANK($B88),"",'tracking - Table 2-1-1'!$C$5)</f>
        <v>11.5</v>
      </c>
      <c r="P88" s="962" cm="1">
        <f t="array" ref="P88">IF(ISBLANK($B88),"",'tracking - Table 2-1-1'!$C$6)</f>
        <v>11.5</v>
      </c>
      <c r="Q88" s="962"/>
      <c r="R88" s="967">
        <v>45.9282857142857</v>
      </c>
      <c r="S88" s="967">
        <v>32.1242857142857</v>
      </c>
      <c r="T88" s="967">
        <v>60.9887142857143</v>
      </c>
      <c r="U88" s="968">
        <v>714.911428571429</v>
      </c>
    </row>
    <row r="89" ht="8.75" customHeight="1" hidden="1">
      <c r="A89" s="963">
        <v>44428</v>
      </c>
      <c r="B89" s="356"/>
      <c r="C89" t="str" s="352" cm="1">
        <f t="array" ref="C89">IF(ISBLANK(B89),"",B89*2.2046226218)</f>
      </c>
      <c r="D89" t="str" s="964" cm="1">
        <f t="array" ref="D89">IF(ISBLANK(B89),"",AVERAGE(B83:B89))</f>
      </c>
      <c r="E89" t="str" s="964" cm="1">
        <f t="array" ref="E89">IF(ISBLANK(B89),"",AVERAGE(B76:B89))</f>
      </c>
      <c r="F89" t="str" s="964" cm="1">
        <f t="array" ref="F89">IF(ISBLANK(B89),"",AVERAGE(B60:B89))</f>
      </c>
      <c r="G89" t="str" s="964" cm="1">
        <f t="array" ref="G89">IF(ISBLANK($B89),"",'tracking - Table 2-1-1'!$C$3)</f>
      </c>
      <c r="H89" t="str" s="964" cm="1">
        <f t="array" ref="H89">IF(ISBLANK($B89),"",'tracking - Table 2-1-1'!$C$9)</f>
      </c>
      <c r="I89" t="str" s="964" cm="1">
        <f t="array" ref="I89">IF(ISBLANK($B89),"",'tracking - Table 2-1-1'!$C$10)</f>
      </c>
      <c r="J89" t="str" s="964" cm="1">
        <f t="array" ref="J89">IF(ISBLANK($B89),"",'tracking - Table 2-1-1'!$C$7)</f>
      </c>
      <c r="K89" t="str" s="964" cm="1">
        <f t="array" ref="K89">IF(ISBLANK($B89),"",'tracking - Table 2-1-1'!$C$11)</f>
      </c>
      <c r="L89" t="str" s="964" cm="1">
        <f t="array" ref="L89">IF(ISBLANK($B89),"",'tracking - Table 2-1-1'!$C$12)</f>
      </c>
      <c r="M89" t="str" s="964" cm="1">
        <f t="array" ref="M89">IF(ISBLANK($B89),"",'tracking - Table 2-1-1'!$C$13)</f>
      </c>
      <c r="N89" t="str" s="964" cm="1">
        <f t="array" ref="N89">IF(ISBLANK($B89),"",'tracking - Table 2-1-1'!$C$4)</f>
      </c>
      <c r="O89" t="str" s="964" cm="1">
        <f t="array" ref="O89">IF(ISBLANK($B89),"",'tracking - Table 2-1-1'!$C$5)</f>
      </c>
      <c r="P89" t="str" s="964" cm="1">
        <f t="array" ref="P89">IF(ISBLANK($B89),"",'tracking - Table 2-1-1'!$C$6)</f>
      </c>
      <c r="Q89" s="962"/>
      <c r="R89" t="str" s="964" cm="1">
        <f t="array" ref="R89">IF(ISBLANK($B89),"",'tracking - Table 2-1-2'!C$66)</f>
      </c>
      <c r="S89" t="str" s="964" cm="1">
        <f t="array" ref="S89">IF(ISBLANK($B89),"",'tracking - Table 2-1-2'!D$66)</f>
      </c>
      <c r="T89" t="str" s="964" cm="1">
        <f t="array" ref="T89">IF(ISBLANK($B89),"",'tracking - Table 2-1-2'!E$66)</f>
      </c>
      <c r="U89" t="str" s="969" cm="1">
        <f t="array" ref="U89">IF(ISBLANK($B89),"",'tracking - Table 2-1-2'!F$66)</f>
      </c>
    </row>
    <row r="90" ht="8.75" customHeight="1" hidden="1">
      <c r="A90" s="960">
        <v>44429</v>
      </c>
      <c r="B90" s="356"/>
      <c r="C90" t="str" s="352" cm="1">
        <f t="array" ref="C90">IF(ISBLANK(B90),"",B90*2.2046226218)</f>
      </c>
      <c r="D90" t="str" s="964" cm="1">
        <f t="array" ref="D90">IF(ISBLANK(B90),"",AVERAGE(B84:B90))</f>
      </c>
      <c r="E90" t="str" s="964" cm="1">
        <f t="array" ref="E90">IF(ISBLANK(B90),"",AVERAGE(B77:B90))</f>
      </c>
      <c r="F90" t="str" s="964" cm="1">
        <f t="array" ref="F90">IF(ISBLANK(B90),"",AVERAGE(B61:B90))</f>
      </c>
      <c r="G90" t="str" s="964" cm="1">
        <f t="array" ref="G90">IF(ISBLANK($B90),"",'tracking - Table 2-1-1'!$C$3)</f>
      </c>
      <c r="H90" t="str" s="964" cm="1">
        <f t="array" ref="H90">IF(ISBLANK($B90),"",'tracking - Table 2-1-1'!$C$9)</f>
      </c>
      <c r="I90" t="str" s="964" cm="1">
        <f t="array" ref="I90">IF(ISBLANK($B90),"",'tracking - Table 2-1-1'!$C$10)</f>
      </c>
      <c r="J90" t="str" s="964" cm="1">
        <f t="array" ref="J90">IF(ISBLANK($B90),"",'tracking - Table 2-1-1'!$C$7)</f>
      </c>
      <c r="K90" t="str" s="964" cm="1">
        <f t="array" ref="K90">IF(ISBLANK($B90),"",'tracking - Table 2-1-1'!$C$11)</f>
      </c>
      <c r="L90" t="str" s="964" cm="1">
        <f t="array" ref="L90">IF(ISBLANK($B90),"",'tracking - Table 2-1-1'!$C$12)</f>
      </c>
      <c r="M90" t="str" s="964" cm="1">
        <f t="array" ref="M90">IF(ISBLANK($B90),"",'tracking - Table 2-1-1'!$C$13)</f>
      </c>
      <c r="N90" t="str" s="964" cm="1">
        <f t="array" ref="N90">IF(ISBLANK($B90),"",'tracking - Table 2-1-1'!$C$4)</f>
      </c>
      <c r="O90" t="str" s="964" cm="1">
        <f t="array" ref="O90">IF(ISBLANK($B90),"",'tracking - Table 2-1-1'!$C$5)</f>
      </c>
      <c r="P90" t="str" s="964" cm="1">
        <f t="array" ref="P90">IF(ISBLANK($B90),"",'tracking - Table 2-1-1'!$C$6)</f>
      </c>
      <c r="Q90" s="962"/>
      <c r="R90" t="str" s="964" cm="1">
        <f t="array" ref="R90">IF(ISBLANK($B90),"",'tracking - Table 2-1-2'!C$66)</f>
      </c>
      <c r="S90" t="str" s="964" cm="1">
        <f t="array" ref="S90">IF(ISBLANK($B90),"",'tracking - Table 2-1-2'!D$66)</f>
      </c>
      <c r="T90" t="str" s="964" cm="1">
        <f t="array" ref="T90">IF(ISBLANK($B90),"",'tracking - Table 2-1-2'!E$66)</f>
      </c>
      <c r="U90" t="str" s="969" cm="1">
        <f t="array" ref="U90">IF(ISBLANK($B90),"",'tracking - Table 2-1-2'!F$66)</f>
      </c>
    </row>
    <row r="91" ht="8.75" customHeight="1" hidden="1">
      <c r="A91" s="960">
        <v>44430</v>
      </c>
      <c r="B91" s="356"/>
      <c r="C91" t="str" s="352" cm="1">
        <f t="array" ref="C91">IF(ISBLANK(B91),"",B91*2.2046226218)</f>
      </c>
      <c r="D91" t="str" s="964" cm="1">
        <f t="array" ref="D91">IF(ISBLANK(B91),"",AVERAGE(B85:B91))</f>
      </c>
      <c r="E91" t="str" s="964" cm="1">
        <f t="array" ref="E91">IF(ISBLANK(B91),"",AVERAGE(B78:B91))</f>
      </c>
      <c r="F91" t="str" s="964" cm="1">
        <f t="array" ref="F91">IF(ISBLANK(B91),"",AVERAGE(B62:B91))</f>
      </c>
      <c r="G91" t="str" s="964" cm="1">
        <f t="array" ref="G91">IF(ISBLANK($B91),"",'tracking - Table 2-1-1'!$C$3)</f>
      </c>
      <c r="H91" t="str" s="964" cm="1">
        <f t="array" ref="H91">IF(ISBLANK($B91),"",'tracking - Table 2-1-1'!$C$9)</f>
      </c>
      <c r="I91" t="str" s="964" cm="1">
        <f t="array" ref="I91">IF(ISBLANK($B91),"",'tracking - Table 2-1-1'!$C$10)</f>
      </c>
      <c r="J91" t="str" s="964" cm="1">
        <f t="array" ref="J91">IF(ISBLANK($B91),"",'tracking - Table 2-1-1'!$C$7)</f>
      </c>
      <c r="K91" t="str" s="964" cm="1">
        <f t="array" ref="K91">IF(ISBLANK($B91),"",'tracking - Table 2-1-1'!$C$11)</f>
      </c>
      <c r="L91" t="str" s="964" cm="1">
        <f t="array" ref="L91">IF(ISBLANK($B91),"",'tracking - Table 2-1-1'!$C$12)</f>
      </c>
      <c r="M91" t="str" s="964" cm="1">
        <f t="array" ref="M91">IF(ISBLANK($B91),"",'tracking - Table 2-1-1'!$C$13)</f>
      </c>
      <c r="N91" t="str" s="964" cm="1">
        <f t="array" ref="N91">IF(ISBLANK($B91),"",'tracking - Table 2-1-1'!$C$4)</f>
      </c>
      <c r="O91" t="str" s="964" cm="1">
        <f t="array" ref="O91">IF(ISBLANK($B91),"",'tracking - Table 2-1-1'!$C$5)</f>
      </c>
      <c r="P91" t="str" s="964" cm="1">
        <f t="array" ref="P91">IF(ISBLANK($B91),"",'tracking - Table 2-1-1'!$C$6)</f>
      </c>
      <c r="Q91" s="962"/>
      <c r="R91" t="str" s="964" cm="1">
        <f t="array" ref="R91">IF(ISBLANK($B91),"",'tracking - Table 2-1-2'!C$66)</f>
      </c>
      <c r="S91" t="str" s="964" cm="1">
        <f t="array" ref="S91">IF(ISBLANK($B91),"",'tracking - Table 2-1-2'!D$66)</f>
      </c>
      <c r="T91" t="str" s="964" cm="1">
        <f t="array" ref="T91">IF(ISBLANK($B91),"",'tracking - Table 2-1-2'!E$66)</f>
      </c>
      <c r="U91" t="str" s="969" cm="1">
        <f t="array" ref="U91">IF(ISBLANK($B91),"",'tracking - Table 2-1-2'!F$66)</f>
      </c>
    </row>
    <row r="92" ht="8.75" customHeight="1" hidden="1">
      <c r="A92" s="963">
        <v>44431</v>
      </c>
      <c r="B92" s="356"/>
      <c r="C92" t="str" s="352" cm="1">
        <f t="array" ref="C92">IF(ISBLANK(B92),"",B92*2.2046226218)</f>
      </c>
      <c r="D92" t="str" s="964" cm="1">
        <f t="array" ref="D92">IF(ISBLANK(B92),"",AVERAGE(B86:B92))</f>
      </c>
      <c r="E92" t="str" s="964" cm="1">
        <f t="array" ref="E92">IF(ISBLANK(B92),"",AVERAGE(B79:B92))</f>
      </c>
      <c r="F92" t="str" s="964" cm="1">
        <f t="array" ref="F92">IF(ISBLANK(B92),"",AVERAGE(B63:B92))</f>
      </c>
      <c r="G92" t="str" s="964" cm="1">
        <f t="array" ref="G92">IF(ISBLANK($B92),"",'tracking - Table 2-1-1'!$C$3)</f>
      </c>
      <c r="H92" t="str" s="964" cm="1">
        <f t="array" ref="H92">IF(ISBLANK($B92),"",'tracking - Table 2-1-1'!$C$9)</f>
      </c>
      <c r="I92" t="str" s="964" cm="1">
        <f t="array" ref="I92">IF(ISBLANK($B92),"",'tracking - Table 2-1-1'!$C$10)</f>
      </c>
      <c r="J92" t="str" s="964" cm="1">
        <f t="array" ref="J92">IF(ISBLANK($B92),"",'tracking - Table 2-1-1'!$C$7)</f>
      </c>
      <c r="K92" t="str" s="964" cm="1">
        <f t="array" ref="K92">IF(ISBLANK($B92),"",'tracking - Table 2-1-1'!$C$11)</f>
      </c>
      <c r="L92" t="str" s="964" cm="1">
        <f t="array" ref="L92">IF(ISBLANK($B92),"",'tracking - Table 2-1-1'!$C$12)</f>
      </c>
      <c r="M92" t="str" s="964" cm="1">
        <f t="array" ref="M92">IF(ISBLANK($B92),"",'tracking - Table 2-1-1'!$C$13)</f>
      </c>
      <c r="N92" t="str" s="964" cm="1">
        <f t="array" ref="N92">IF(ISBLANK($B92),"",'tracking - Table 2-1-1'!$C$4)</f>
      </c>
      <c r="O92" t="str" s="964" cm="1">
        <f t="array" ref="O92">IF(ISBLANK($B92),"",'tracking - Table 2-1-1'!$C$5)</f>
      </c>
      <c r="P92" t="str" s="964" cm="1">
        <f t="array" ref="P92">IF(ISBLANK($B92),"",'tracking - Table 2-1-1'!$C$6)</f>
      </c>
      <c r="Q92" s="962"/>
      <c r="R92" t="str" s="964" cm="1">
        <f t="array" ref="R92">IF(ISBLANK($B92),"",'tracking - Table 2-1-2'!C$66)</f>
      </c>
      <c r="S92" t="str" s="964" cm="1">
        <f t="array" ref="S92">IF(ISBLANK($B92),"",'tracking - Table 2-1-2'!D$66)</f>
      </c>
      <c r="T92" t="str" s="964" cm="1">
        <f t="array" ref="T92">IF(ISBLANK($B92),"",'tracking - Table 2-1-2'!E$66)</f>
      </c>
      <c r="U92" t="str" s="969" cm="1">
        <f t="array" ref="U92">IF(ISBLANK($B92),"",'tracking - Table 2-1-2'!F$66)</f>
      </c>
    </row>
    <row r="93" ht="8.75" customHeight="1" hidden="1">
      <c r="A93" s="960">
        <v>44432</v>
      </c>
      <c r="B93" s="961">
        <v>71.40000000000001</v>
      </c>
      <c r="C93" s="965" cm="1">
        <f t="array" ref="C93">IF(ISBLANK(B93),"",B93*2.2046226218)</f>
        <v>157.410055196520</v>
      </c>
      <c r="D93" s="962" cm="1">
        <f t="array" ref="D93">IF(ISBLANK(B93),"",AVERAGE(B88:B94))</f>
        <v>71.9666666666667</v>
      </c>
      <c r="E93" s="962" cm="1">
        <f t="array" ref="E93">IF(ISBLANK(B93),"",AVERAGE(B81:B94))</f>
        <v>72.84</v>
      </c>
      <c r="F93" s="962" cm="1">
        <f t="array" ref="F93">IF(ISBLANK(B93),"",AVERAGE(B64:B93))</f>
        <v>73.44230769230769</v>
      </c>
      <c r="G93" s="962">
        <v>50</v>
      </c>
      <c r="H93" s="962">
        <v>45</v>
      </c>
      <c r="I93" s="962">
        <v>40</v>
      </c>
      <c r="J93" s="962">
        <v>11.5</v>
      </c>
      <c r="K93" s="962">
        <v>12.5</v>
      </c>
      <c r="L93" s="962">
        <v>9</v>
      </c>
      <c r="M93" s="962">
        <v>11.5</v>
      </c>
      <c r="N93" s="962">
        <v>9</v>
      </c>
      <c r="O93" s="962">
        <v>11.5</v>
      </c>
      <c r="P93" s="962">
        <v>11.5</v>
      </c>
      <c r="Q93" s="962"/>
      <c r="R93" s="967">
        <v>215.223937019969</v>
      </c>
      <c r="S93" s="967">
        <v>71.1277864823349</v>
      </c>
      <c r="T93" s="967">
        <v>330.986923195085</v>
      </c>
      <c r="U93" s="968">
        <v>2828.752964669740</v>
      </c>
    </row>
    <row r="94" ht="8.75" customHeight="1" hidden="1">
      <c r="A94" s="963">
        <v>44433</v>
      </c>
      <c r="B94" s="961">
        <v>71.7</v>
      </c>
      <c r="C94" s="965" cm="1">
        <f t="array" ref="C94">IF(ISBLANK(B94),"",B94*2.2046226218)</f>
        <v>158.071441983060</v>
      </c>
      <c r="D94" s="962" cm="1">
        <f t="array" ref="D94">IF(ISBLANK(B94),"",AVERAGE(B89:B95))</f>
        <v>71.8</v>
      </c>
      <c r="E94" s="962" cm="1">
        <f t="array" ref="E94">IF(ISBLANK(B94),"",AVERAGE(B82:B95))</f>
        <v>72.70999999999999</v>
      </c>
      <c r="F94" s="962" cm="1">
        <f t="array" ref="F94">IF(ISBLANK(B94),"",AVERAGE(B65:B94))</f>
        <v>73.42307692307691</v>
      </c>
      <c r="G94" s="962">
        <v>50</v>
      </c>
      <c r="H94" s="962">
        <v>45</v>
      </c>
      <c r="I94" s="962">
        <v>40</v>
      </c>
      <c r="J94" s="962">
        <v>11.5</v>
      </c>
      <c r="K94" s="962">
        <v>12.5</v>
      </c>
      <c r="L94" s="962">
        <v>9</v>
      </c>
      <c r="M94" s="962">
        <v>11.5</v>
      </c>
      <c r="N94" s="962">
        <v>9</v>
      </c>
      <c r="O94" s="962">
        <v>11.5</v>
      </c>
      <c r="P94" s="962">
        <v>11.5</v>
      </c>
      <c r="Q94" s="962"/>
      <c r="R94" s="967">
        <v>234.971320276498</v>
      </c>
      <c r="S94" s="967">
        <v>83.71046850998459</v>
      </c>
      <c r="T94" s="967">
        <v>248.540577572965</v>
      </c>
      <c r="U94" s="968">
        <v>2675.225406212660</v>
      </c>
    </row>
    <row r="95" ht="8.75" customHeight="1" hidden="1">
      <c r="A95" s="960">
        <v>44434</v>
      </c>
      <c r="B95" s="961">
        <v>72.3</v>
      </c>
      <c r="C95" s="965" cm="1">
        <f t="array" ref="C95">IF(ISBLANK(B95),"",B95*2.2046226218)</f>
        <v>159.394215556140</v>
      </c>
      <c r="D95" s="962" cm="1">
        <f t="array" ref="D95">IF(ISBLANK(B95),"",AVERAGE(B90:B96))</f>
        <v>71.7</v>
      </c>
      <c r="E95" s="962" cm="1">
        <f t="array" ref="E95">IF(ISBLANK(B95),"",AVERAGE(B83:B96))</f>
        <v>72.47</v>
      </c>
      <c r="F95" s="962" cm="1">
        <f t="array" ref="F95">IF(ISBLANK(B95),"",AVERAGE(B66:B95))</f>
        <v>73.4076923076923</v>
      </c>
      <c r="G95" s="962">
        <v>50</v>
      </c>
      <c r="H95" s="962">
        <v>45</v>
      </c>
      <c r="I95" s="962">
        <v>40</v>
      </c>
      <c r="J95" s="962">
        <v>11.5</v>
      </c>
      <c r="K95" s="962">
        <v>12.5</v>
      </c>
      <c r="L95" s="962">
        <v>9</v>
      </c>
      <c r="M95" s="962">
        <v>11.5</v>
      </c>
      <c r="N95" s="962">
        <v>9</v>
      </c>
      <c r="O95" s="962">
        <v>11.5</v>
      </c>
      <c r="P95" s="962">
        <v>11.5</v>
      </c>
      <c r="Q95" s="962"/>
      <c r="R95" s="967">
        <v>189.138298955020</v>
      </c>
      <c r="S95" s="967">
        <v>99.47187096774191</v>
      </c>
      <c r="T95" s="967">
        <v>187.333213084961</v>
      </c>
      <c r="U95" s="968">
        <v>2452.595691352410</v>
      </c>
    </row>
    <row r="96" ht="8.75" customHeight="1" hidden="1">
      <c r="A96" s="963">
        <v>44435</v>
      </c>
      <c r="B96" s="961">
        <v>71.40000000000001</v>
      </c>
      <c r="C96" s="965" cm="1">
        <f t="array" ref="C96">IF(ISBLANK(B96),"",B96*2.2046226218)</f>
        <v>157.410055196520</v>
      </c>
      <c r="D96" s="962" cm="1">
        <f t="array" ref="D96">IF(ISBLANK(B96),"",AVERAGE(B90:B96))</f>
        <v>71.7</v>
      </c>
      <c r="E96" s="962" cm="1">
        <f t="array" ref="E96">IF(ISBLANK(B96),"",AVERAGE(B83:B96))</f>
        <v>72.47</v>
      </c>
      <c r="F96" s="962" cm="1">
        <f t="array" ref="F96">IF(ISBLANK(B96),"",AVERAGE(B67:B96))</f>
        <v>73.3346153846154</v>
      </c>
      <c r="G96" s="962">
        <v>50</v>
      </c>
      <c r="H96" s="962">
        <v>45</v>
      </c>
      <c r="I96" s="962">
        <v>40</v>
      </c>
      <c r="J96" s="962">
        <v>11.5</v>
      </c>
      <c r="K96" s="962">
        <v>12.5</v>
      </c>
      <c r="L96" s="962">
        <v>9</v>
      </c>
      <c r="M96" s="962">
        <v>11.5</v>
      </c>
      <c r="N96" s="962">
        <v>9</v>
      </c>
      <c r="O96" s="962">
        <v>11.5</v>
      </c>
      <c r="P96" s="962">
        <v>11.5</v>
      </c>
      <c r="Q96" s="962"/>
      <c r="R96" s="967">
        <v>183.831529411765</v>
      </c>
      <c r="S96" s="967">
        <v>125.296647058824</v>
      </c>
      <c r="T96" s="967">
        <v>165.367</v>
      </c>
      <c r="U96" s="968">
        <v>2534.851568627450</v>
      </c>
    </row>
    <row r="97" ht="8.75" customHeight="1" hidden="1">
      <c r="A97" s="960">
        <v>44436</v>
      </c>
      <c r="B97" s="961">
        <v>71.7</v>
      </c>
      <c r="C97" s="965" cm="1">
        <f t="array" ref="C97">IF(ISBLANK(B97),"",B97*2.2046226218)</f>
        <v>158.071441983060</v>
      </c>
      <c r="D97" s="962" cm="1">
        <f t="array" ref="D97">IF(ISBLANK(B97),"",AVERAGE(B91:B97))</f>
        <v>71.7</v>
      </c>
      <c r="E97" s="962" cm="1">
        <f t="array" ref="E97">IF(ISBLANK(B97),"",AVERAGE(B84:B97))</f>
        <v>72.3</v>
      </c>
      <c r="F97" s="962" cm="1">
        <f t="array" ref="F97">IF(ISBLANK(B97),"",AVERAGE(B68:B97))</f>
        <v>73.2807692307692</v>
      </c>
      <c r="G97" s="962">
        <v>50</v>
      </c>
      <c r="H97" s="962">
        <v>45</v>
      </c>
      <c r="I97" s="962">
        <v>40</v>
      </c>
      <c r="J97" s="962">
        <v>11.5</v>
      </c>
      <c r="K97" s="962">
        <v>12.5</v>
      </c>
      <c r="L97" s="962">
        <v>9</v>
      </c>
      <c r="M97" s="962">
        <v>11.5</v>
      </c>
      <c r="N97" s="962">
        <v>9</v>
      </c>
      <c r="O97" s="962">
        <v>11.5</v>
      </c>
      <c r="P97" s="962">
        <v>11.5</v>
      </c>
      <c r="Q97" s="962"/>
      <c r="R97" s="967">
        <v>120.935537634409</v>
      </c>
      <c r="S97" s="967">
        <v>58.8461397849462</v>
      </c>
      <c r="T97" s="967">
        <v>112.692021505376</v>
      </c>
      <c r="U97" s="968">
        <v>1463.379569892470</v>
      </c>
    </row>
    <row r="98" ht="8.75" customHeight="1" hidden="1">
      <c r="A98" s="960">
        <v>44437</v>
      </c>
      <c r="B98" s="356"/>
      <c r="C98" t="str" s="352" cm="1">
        <f t="array" ref="C98">IF(ISBLANK(B98),"",B98*2.2046226218)</f>
      </c>
      <c r="D98" t="str" s="964" cm="1">
        <f t="array" ref="D98">IF(ISBLANK(B98),"",AVERAGE(B92:B98))</f>
      </c>
      <c r="E98" t="str" s="964" cm="1">
        <f t="array" ref="E98">IF(ISBLANK(B98),"",AVERAGE(B85:B98))</f>
      </c>
      <c r="F98" t="str" s="964" cm="1">
        <f t="array" ref="F98">IF(ISBLANK(B98),"",AVERAGE(B69:B98))</f>
      </c>
      <c r="G98" t="str" s="964" cm="1">
        <f t="array" ref="G98">IF(ISBLANK($B98),"",'tracking - Table 2-1-1'!$C$3)</f>
      </c>
      <c r="H98" t="str" s="964" cm="1">
        <f t="array" ref="H98">IF(ISBLANK($B98),"",'tracking - Table 2-1-1'!$C$9)</f>
      </c>
      <c r="I98" t="str" s="964" cm="1">
        <f t="array" ref="I98">IF(ISBLANK($B98),"",'tracking - Table 2-1-1'!$C$10)</f>
      </c>
      <c r="J98" t="str" s="964" cm="1">
        <f t="array" ref="J98">IF(ISBLANK($B98),"",'tracking - Table 2-1-1'!$C$7)</f>
      </c>
      <c r="K98" t="str" s="964" cm="1">
        <f t="array" ref="K98">IF(ISBLANK($B98),"",'tracking - Table 2-1-1'!$C$11)</f>
      </c>
      <c r="L98" t="str" s="964" cm="1">
        <f t="array" ref="L98">IF(ISBLANK($B98),"",'tracking - Table 2-1-1'!$C$12)</f>
      </c>
      <c r="M98" t="str" s="964" cm="1">
        <f t="array" ref="M98">IF(ISBLANK($B98),"",'tracking - Table 2-1-1'!$C$13)</f>
      </c>
      <c r="N98" t="str" s="964" cm="1">
        <f t="array" ref="N98">IF(ISBLANK($B98),"",'tracking - Table 2-1-1'!$C$4)</f>
      </c>
      <c r="O98" t="str" s="964" cm="1">
        <f t="array" ref="O98">IF(ISBLANK($B98),"",'tracking - Table 2-1-1'!$C$5)</f>
      </c>
      <c r="P98" t="str" s="964" cm="1">
        <f t="array" ref="P98">IF(ISBLANK($B98),"",'tracking - Table 2-1-1'!$C$6)</f>
      </c>
      <c r="Q98" s="962"/>
      <c r="R98" t="str" s="964" cm="1">
        <f t="array" ref="R98">IF(ISBLANK($B98),"",'tracking - Table 2-1-2'!C$66)</f>
      </c>
      <c r="S98" t="str" s="964" cm="1">
        <f t="array" ref="S98">IF(ISBLANK($B98),"",'tracking - Table 2-1-2'!D$66)</f>
      </c>
      <c r="T98" t="str" s="964" cm="1">
        <f t="array" ref="T98">IF(ISBLANK($B98),"",'tracking - Table 2-1-2'!E$66)</f>
      </c>
      <c r="U98" t="str" s="969" cm="1">
        <f t="array" ref="U98">IF(ISBLANK($B98),"",'tracking - Table 2-1-2'!F$66)</f>
      </c>
    </row>
    <row r="99" ht="8.75" customHeight="1" hidden="1">
      <c r="A99" s="963">
        <v>44438</v>
      </c>
      <c r="B99" s="356"/>
      <c r="C99" t="str" s="352" cm="1">
        <f t="array" ref="C99">IF(ISBLANK(B99),"",B99*2.2046226218)</f>
      </c>
      <c r="D99" t="str" s="964" cm="1">
        <f t="array" ref="D99">IF(ISBLANK(B99),"",AVERAGE(B93:B99))</f>
      </c>
      <c r="E99" t="str" s="964" cm="1">
        <f t="array" ref="E99">IF(ISBLANK(B99),"",AVERAGE(B86:B99))</f>
      </c>
      <c r="F99" t="str" s="964" cm="1">
        <f t="array" ref="F99">IF(ISBLANK(B99),"",AVERAGE(B70:B99))</f>
      </c>
      <c r="G99" t="str" s="964" cm="1">
        <f t="array" ref="G99">IF(ISBLANK($B99),"",'tracking - Table 2-1-1'!$C$3)</f>
      </c>
      <c r="H99" t="str" s="964" cm="1">
        <f t="array" ref="H99">IF(ISBLANK($B99),"",'tracking - Table 2-1-1'!$C$9)</f>
      </c>
      <c r="I99" t="str" s="964" cm="1">
        <f t="array" ref="I99">IF(ISBLANK($B99),"",'tracking - Table 2-1-1'!$C$10)</f>
      </c>
      <c r="J99" t="str" s="964" cm="1">
        <f t="array" ref="J99">IF(ISBLANK($B99),"",'tracking - Table 2-1-1'!$C$7)</f>
      </c>
      <c r="K99" t="str" s="964" cm="1">
        <f t="array" ref="K99">IF(ISBLANK($B99),"",'tracking - Table 2-1-1'!$C$11)</f>
      </c>
      <c r="L99" t="str" s="964" cm="1">
        <f t="array" ref="L99">IF(ISBLANK($B99),"",'tracking - Table 2-1-1'!$C$12)</f>
      </c>
      <c r="M99" t="str" s="964" cm="1">
        <f t="array" ref="M99">IF(ISBLANK($B99),"",'tracking - Table 2-1-1'!$C$13)</f>
      </c>
      <c r="N99" t="str" s="964" cm="1">
        <f t="array" ref="N99">IF(ISBLANK($B99),"",'tracking - Table 2-1-1'!$C$4)</f>
      </c>
      <c r="O99" t="str" s="964" cm="1">
        <f t="array" ref="O99">IF(ISBLANK($B99),"",'tracking - Table 2-1-1'!$C$5)</f>
      </c>
      <c r="P99" t="str" s="964" cm="1">
        <f t="array" ref="P99">IF(ISBLANK($B99),"",'tracking - Table 2-1-1'!$C$6)</f>
      </c>
      <c r="Q99" s="962"/>
      <c r="R99" t="str" s="964" cm="1">
        <f t="array" ref="R99">IF(ISBLANK($B99),"",'tracking - Table 2-1-2'!C$66)</f>
      </c>
      <c r="S99" t="str" s="964" cm="1">
        <f t="array" ref="S99">IF(ISBLANK($B99),"",'tracking - Table 2-1-2'!D$66)</f>
      </c>
      <c r="T99" t="str" s="964" cm="1">
        <f t="array" ref="T99">IF(ISBLANK($B99),"",'tracking - Table 2-1-2'!E$66)</f>
      </c>
      <c r="U99" t="str" s="969" cm="1">
        <f t="array" ref="U99">IF(ISBLANK($B99),"",'tracking - Table 2-1-2'!F$66)</f>
      </c>
    </row>
    <row r="100" ht="8.75" customHeight="1" hidden="1">
      <c r="A100" s="960">
        <v>44439</v>
      </c>
      <c r="B100" s="961">
        <v>71.7</v>
      </c>
      <c r="C100" s="965" cm="1">
        <f t="array" ref="C100">IF(ISBLANK(B100),"",B100*2.2046226218)</f>
        <v>158.071441983060</v>
      </c>
      <c r="D100" s="962" cm="1">
        <f t="array" ref="D100">IF(ISBLANK(B100),"",AVERAGE(B94:B100))</f>
        <v>71.76000000000001</v>
      </c>
      <c r="E100" s="962" cm="1">
        <f t="array" ref="E100">IF(ISBLANK(B100),"",AVERAGE(B87:B100))</f>
        <v>71.97499999999999</v>
      </c>
      <c r="F100" s="962" cm="1">
        <f t="array" ref="F100">IF(ISBLANK(B100),"",AVERAGE(B71:B100))</f>
        <v>73.15000000000001</v>
      </c>
      <c r="G100" s="962" cm="1">
        <f t="array" ref="G100">IF(ISBLANK($B100),"",'tracking - Table 2-1-1'!$C$3)</f>
        <v>54.6</v>
      </c>
      <c r="H100" s="962" cm="1">
        <f t="array" ref="H100">IF(ISBLANK($B100),"",'tracking - Table 2-1-1'!$C$9)</f>
        <v>52.26</v>
      </c>
      <c r="I100" s="962" cm="1">
        <f t="array" ref="I100">IF(ISBLANK($B100),"",'tracking - Table 2-1-1'!$C$10)</f>
        <v>40</v>
      </c>
      <c r="J100" s="962" cm="1">
        <f t="array" ref="J100">IF(ISBLANK($B100),"",'tracking - Table 2-1-1'!$C$7)</f>
        <v>11.5</v>
      </c>
      <c r="K100" s="962" cm="1">
        <f t="array" ref="K100">IF(ISBLANK($B100),"",'tracking - Table 2-1-1'!$C$11)</f>
        <v>12.5</v>
      </c>
      <c r="L100" s="962" cm="1">
        <f t="array" ref="L100">IF(ISBLANK($B100),"",'tracking - Table 2-1-1'!$C$12)</f>
        <v>9</v>
      </c>
      <c r="M100" s="962" cm="1">
        <f t="array" ref="M100">IF(ISBLANK($B100),"",'tracking - Table 2-1-1'!$C$13)</f>
        <v>11.5</v>
      </c>
      <c r="N100" s="962" cm="1">
        <f t="array" ref="N100">IF(ISBLANK($B100),"",'tracking - Table 2-1-1'!$C$4)</f>
        <v>9</v>
      </c>
      <c r="O100" s="962" cm="1">
        <f t="array" ref="O100">IF(ISBLANK($B100),"",'tracking - Table 2-1-1'!$C$5)</f>
        <v>11.5</v>
      </c>
      <c r="P100" s="962" cm="1">
        <f t="array" ref="P100">IF(ISBLANK($B100),"",'tracking - Table 2-1-1'!$C$6)</f>
        <v>11.5</v>
      </c>
      <c r="Q100" s="962"/>
      <c r="R100" s="967" cm="1">
        <f t="array" ref="R100">IF(ISBLANK($B100),"",'tracking - Table 2-1-2'!C$66)</f>
        <v>48.786</v>
      </c>
      <c r="S100" s="967" cm="1">
        <f t="array" ref="S100">IF(ISBLANK($B100),"",'tracking - Table 2-1-2'!D$66)</f>
        <v>27.93</v>
      </c>
      <c r="T100" s="967" cm="1">
        <f t="array" ref="T100">IF(ISBLANK($B100),"",'tracking - Table 2-1-2'!E$66)</f>
        <v>4.574</v>
      </c>
      <c r="U100" s="968" cm="1">
        <f t="array" ref="U100">IF(ISBLANK($B100),"",'tracking - Table 2-1-2'!F$66)</f>
        <v>587.6799999999999</v>
      </c>
    </row>
    <row r="101" ht="8.75" customHeight="1" hidden="1">
      <c r="A101" s="963">
        <v>44440</v>
      </c>
      <c r="B101" s="356"/>
      <c r="C101" t="str" s="352" cm="1">
        <f t="array" ref="C101">IF(ISBLANK(B101),"",B101*2.2046226218)</f>
      </c>
      <c r="D101" t="str" s="964" cm="1">
        <f t="array" ref="D101">IF(ISBLANK(B101),"",AVERAGE(B95:B101))</f>
      </c>
      <c r="E101" t="str" s="964" cm="1">
        <f t="array" ref="E101">IF(ISBLANK(B101),"",AVERAGE(B88:B101))</f>
      </c>
      <c r="F101" t="str" s="964" cm="1">
        <f t="array" ref="F101">IF(ISBLANK(B101),"",AVERAGE(B72:B101))</f>
      </c>
      <c r="G101" t="s" s="970"/>
      <c r="H101" t="s" s="970"/>
      <c r="I101" t="s" s="970"/>
      <c r="J101" t="s" s="970"/>
      <c r="K101" t="s" s="970"/>
      <c r="L101" t="s" s="970"/>
      <c r="M101" t="s" s="970"/>
      <c r="N101" t="s" s="970"/>
      <c r="O101" t="s" s="970"/>
      <c r="P101" t="s" s="970"/>
      <c r="Q101" s="962"/>
      <c r="R101" t="s" s="970"/>
      <c r="S101" t="s" s="970"/>
      <c r="T101" t="s" s="970"/>
      <c r="U101" t="s" s="971"/>
    </row>
    <row r="102" ht="8.75" customHeight="1" hidden="1">
      <c r="A102" s="960">
        <v>44441</v>
      </c>
      <c r="B102" s="356"/>
      <c r="C102" t="str" s="352" cm="1">
        <f t="array" ref="C102">IF(ISBLANK(B102),"",B102*2.2046226218)</f>
      </c>
      <c r="D102" t="str" s="964" cm="1">
        <f t="array" ref="D102">IF(ISBLANK(B102),"",AVERAGE(B96:B102))</f>
      </c>
      <c r="E102" t="str" s="964" cm="1">
        <f t="array" ref="E102">IF(ISBLANK(B102),"",AVERAGE(B89:B102))</f>
      </c>
      <c r="F102" t="str" s="964" cm="1">
        <f t="array" ref="F102">IF(ISBLANK(B102),"",AVERAGE(B73:B102))</f>
      </c>
      <c r="G102" t="s" s="970"/>
      <c r="H102" t="s" s="970"/>
      <c r="I102" t="s" s="970"/>
      <c r="J102" t="s" s="970"/>
      <c r="K102" t="s" s="970"/>
      <c r="L102" t="s" s="970"/>
      <c r="M102" t="s" s="970"/>
      <c r="N102" t="s" s="970"/>
      <c r="O102" t="s" s="970"/>
      <c r="P102" t="s" s="970"/>
      <c r="Q102" s="962"/>
      <c r="R102" t="s" s="970"/>
      <c r="S102" t="s" s="970"/>
      <c r="T102" t="s" s="970"/>
      <c r="U102" t="s" s="971"/>
    </row>
    <row r="103" ht="8.75" customHeight="1" hidden="1">
      <c r="A103" s="963">
        <v>44442</v>
      </c>
      <c r="B103" s="356"/>
      <c r="C103" t="str" s="352" cm="1">
        <f t="array" ref="C103">IF(ISBLANK(B103),"",B103*2.2046226218)</f>
      </c>
      <c r="D103" t="str" s="964" cm="1">
        <f t="array" ref="D103">IF(ISBLANK(B103),"",AVERAGE(B97:B103))</f>
      </c>
      <c r="E103" t="str" s="964" cm="1">
        <f t="array" ref="E103">IF(ISBLANK(B103),"",AVERAGE(B90:B103))</f>
      </c>
      <c r="F103" t="str" s="964" cm="1">
        <f t="array" ref="F103">IF(ISBLANK(B103),"",AVERAGE(B74:B103))</f>
      </c>
      <c r="G103" t="s" s="970"/>
      <c r="H103" t="s" s="970"/>
      <c r="I103" t="s" s="970"/>
      <c r="J103" t="s" s="970"/>
      <c r="K103" t="s" s="970"/>
      <c r="L103" t="s" s="970"/>
      <c r="M103" t="s" s="970"/>
      <c r="N103" t="s" s="970"/>
      <c r="O103" t="s" s="970"/>
      <c r="P103" t="s" s="970"/>
      <c r="Q103" s="962"/>
      <c r="R103" t="s" s="970"/>
      <c r="S103" t="s" s="970"/>
      <c r="T103" t="s" s="970"/>
      <c r="U103" t="s" s="971"/>
    </row>
    <row r="104" ht="8.75" customHeight="1" hidden="1">
      <c r="A104" s="960">
        <v>44443</v>
      </c>
      <c r="B104" s="356"/>
      <c r="C104" t="str" s="352" cm="1">
        <f t="array" ref="C104">IF(ISBLANK(B104),"",B104*2.2046226218)</f>
      </c>
      <c r="D104" t="str" s="964" cm="1">
        <f t="array" ref="D104">IF(ISBLANK(B104),"",AVERAGE(B98:B104))</f>
      </c>
      <c r="E104" t="str" s="964" cm="1">
        <f t="array" ref="E104">IF(ISBLANK(B104),"",AVERAGE(B91:B104))</f>
      </c>
      <c r="F104" t="str" s="964" cm="1">
        <f t="array" ref="F104">IF(ISBLANK(B104),"",AVERAGE(B75:B104))</f>
      </c>
      <c r="G104" t="s" s="970"/>
      <c r="H104" t="s" s="970"/>
      <c r="I104" t="s" s="970"/>
      <c r="J104" t="s" s="970"/>
      <c r="K104" t="s" s="970"/>
      <c r="L104" t="s" s="970"/>
      <c r="M104" t="s" s="970"/>
      <c r="N104" t="s" s="970"/>
      <c r="O104" t="s" s="970"/>
      <c r="P104" t="s" s="970"/>
      <c r="Q104" s="962"/>
      <c r="R104" t="s" s="970"/>
      <c r="S104" t="s" s="970"/>
      <c r="T104" t="s" s="970"/>
      <c r="U104" t="s" s="971"/>
    </row>
    <row r="105" ht="8.75" customHeight="1" hidden="1">
      <c r="A105" s="960">
        <v>44444</v>
      </c>
      <c r="B105" s="356"/>
      <c r="C105" t="str" s="352" cm="1">
        <f t="array" ref="C105">IF(ISBLANK(B105),"",B105*2.2046226218)</f>
      </c>
      <c r="D105" t="str" s="964" cm="1">
        <f t="array" ref="D105">IF(ISBLANK(B105),"",AVERAGE(B99:B105))</f>
      </c>
      <c r="E105" t="str" s="964" cm="1">
        <f t="array" ref="E105">IF(ISBLANK(B105),"",AVERAGE(B92:B105))</f>
      </c>
      <c r="F105" t="str" s="964" cm="1">
        <f t="array" ref="F105">IF(ISBLANK(B105),"",AVERAGE(B76:B105))</f>
      </c>
      <c r="G105" t="s" s="970"/>
      <c r="H105" t="s" s="970"/>
      <c r="I105" t="s" s="970"/>
      <c r="J105" t="s" s="970"/>
      <c r="K105" t="s" s="970"/>
      <c r="L105" t="s" s="970"/>
      <c r="M105" t="s" s="970"/>
      <c r="N105" t="s" s="970"/>
      <c r="O105" t="s" s="970"/>
      <c r="P105" t="s" s="970"/>
      <c r="Q105" s="962"/>
      <c r="R105" t="s" s="970"/>
      <c r="S105" t="s" s="970"/>
      <c r="T105" t="s" s="970"/>
      <c r="U105" t="s" s="971"/>
    </row>
    <row r="106" ht="8.75" customHeight="1" hidden="1">
      <c r="A106" s="963">
        <v>44445</v>
      </c>
      <c r="B106" s="356"/>
      <c r="C106" t="str" s="352" cm="1">
        <f t="array" ref="C106">IF(ISBLANK(B106),"",B106*2.2046226218)</f>
      </c>
      <c r="D106" t="str" s="964" cm="1">
        <f t="array" ref="D106">IF(ISBLANK(B106),"",AVERAGE(B100:B106))</f>
      </c>
      <c r="E106" t="str" s="964" cm="1">
        <f t="array" ref="E106">IF(ISBLANK(B106),"",AVERAGE(B93:B106))</f>
      </c>
      <c r="F106" t="str" s="964" cm="1">
        <f t="array" ref="F106">IF(ISBLANK(B106),"",AVERAGE(B77:B106))</f>
      </c>
      <c r="G106" t="s" s="970"/>
      <c r="H106" t="s" s="970"/>
      <c r="I106" t="s" s="970"/>
      <c r="J106" t="s" s="970"/>
      <c r="K106" t="s" s="970"/>
      <c r="L106" t="s" s="970"/>
      <c r="M106" t="s" s="970"/>
      <c r="N106" t="s" s="970"/>
      <c r="O106" t="s" s="970"/>
      <c r="P106" t="s" s="970"/>
      <c r="Q106" s="962"/>
      <c r="R106" t="s" s="970"/>
      <c r="S106" t="s" s="970"/>
      <c r="T106" t="s" s="970"/>
      <c r="U106" t="s" s="971"/>
    </row>
    <row r="107" ht="8.75" customHeight="1" hidden="1">
      <c r="A107" s="960">
        <v>44446</v>
      </c>
      <c r="B107" s="356"/>
      <c r="C107" t="str" s="352" cm="1">
        <f t="array" ref="C107">IF(ISBLANK(B107),"",B107*2.2046226218)</f>
      </c>
      <c r="D107" t="str" s="964" cm="1">
        <f t="array" ref="D107">IF(ISBLANK(B107),"",AVERAGE(B101:B107))</f>
      </c>
      <c r="E107" t="str" s="964" cm="1">
        <f t="array" ref="E107">IF(ISBLANK(B107),"",AVERAGE(B94:B107))</f>
      </c>
      <c r="F107" t="str" s="964" cm="1">
        <f t="array" ref="F107">IF(ISBLANK(B107),"",AVERAGE(B78:B107))</f>
      </c>
      <c r="G107" t="s" s="970"/>
      <c r="H107" t="s" s="970"/>
      <c r="I107" t="s" s="970"/>
      <c r="J107" t="s" s="970"/>
      <c r="K107" t="s" s="970"/>
      <c r="L107" t="s" s="970"/>
      <c r="M107" t="s" s="970"/>
      <c r="N107" t="s" s="970"/>
      <c r="O107" t="s" s="970"/>
      <c r="P107" t="s" s="970"/>
      <c r="Q107" s="962"/>
      <c r="R107" t="s" s="970"/>
      <c r="S107" t="s" s="970"/>
      <c r="T107" t="s" s="970"/>
      <c r="U107" t="s" s="971"/>
    </row>
    <row r="108" ht="8.75" customHeight="1" hidden="1">
      <c r="A108" s="963">
        <v>44447</v>
      </c>
      <c r="B108" s="356"/>
      <c r="C108" t="str" s="352" cm="1">
        <f t="array" ref="C108">IF(ISBLANK(B108),"",B108*2.2046226218)</f>
      </c>
      <c r="D108" t="str" s="964" cm="1">
        <f t="array" ref="D108">IF(ISBLANK(B108),"",AVERAGE(B102:B108))</f>
      </c>
      <c r="E108" t="str" s="964" cm="1">
        <f t="array" ref="E108">IF(ISBLANK(B108),"",AVERAGE(B95:B108))</f>
      </c>
      <c r="F108" t="str" s="964" cm="1">
        <f t="array" ref="F108">IF(ISBLANK(B108),"",AVERAGE(B79:B108))</f>
      </c>
      <c r="G108" t="s" s="970"/>
      <c r="H108" t="s" s="970"/>
      <c r="I108" t="s" s="970"/>
      <c r="J108" t="s" s="970"/>
      <c r="K108" t="s" s="970"/>
      <c r="L108" t="s" s="970"/>
      <c r="M108" t="s" s="970"/>
      <c r="N108" t="s" s="970"/>
      <c r="O108" t="s" s="970"/>
      <c r="P108" t="s" s="970"/>
      <c r="Q108" s="962"/>
      <c r="R108" t="s" s="970"/>
      <c r="S108" t="s" s="970"/>
      <c r="T108" t="s" s="970"/>
      <c r="U108" t="s" s="971"/>
    </row>
    <row r="109" ht="8.75" customHeight="1" hidden="1">
      <c r="A109" s="960">
        <v>44448</v>
      </c>
      <c r="B109" s="356"/>
      <c r="C109" t="str" s="352" cm="1">
        <f t="array" ref="C109">IF(ISBLANK(B109),"",B109*2.2046226218)</f>
      </c>
      <c r="D109" t="str" s="964" cm="1">
        <f t="array" ref="D109">IF(ISBLANK(B109),"",AVERAGE(B103:B109))</f>
      </c>
      <c r="E109" t="str" s="964" cm="1">
        <f t="array" ref="E109">IF(ISBLANK(B109),"",AVERAGE(B96:B109))</f>
      </c>
      <c r="F109" t="str" s="964" cm="1">
        <f t="array" ref="F109">IF(ISBLANK(B109),"",AVERAGE(B80:B109))</f>
      </c>
      <c r="G109" t="s" s="970"/>
      <c r="H109" t="s" s="970"/>
      <c r="I109" t="s" s="970"/>
      <c r="J109" t="s" s="970"/>
      <c r="K109" t="s" s="970"/>
      <c r="L109" t="s" s="970"/>
      <c r="M109" t="s" s="970"/>
      <c r="N109" t="s" s="970"/>
      <c r="O109" t="s" s="970"/>
      <c r="P109" t="s" s="970"/>
      <c r="Q109" s="962"/>
      <c r="R109" t="s" s="970"/>
      <c r="S109" t="s" s="970"/>
      <c r="T109" t="s" s="970"/>
      <c r="U109" t="s" s="971"/>
    </row>
    <row r="110" ht="8.75" customHeight="1" hidden="1">
      <c r="A110" s="963">
        <v>44449</v>
      </c>
      <c r="B110" s="356"/>
      <c r="C110" t="str" s="352" cm="1">
        <f t="array" ref="C110">IF(ISBLANK(B110),"",B110*2.2046226218)</f>
      </c>
      <c r="D110" t="str" s="964" cm="1">
        <f t="array" ref="D110">IF(ISBLANK(B110),"",AVERAGE(B104:B110))</f>
      </c>
      <c r="E110" t="str" s="964" cm="1">
        <f t="array" ref="E110">IF(ISBLANK(B110),"",AVERAGE(B97:B110))</f>
      </c>
      <c r="F110" t="str" s="964" cm="1">
        <f t="array" ref="F110">IF(ISBLANK(B110),"",AVERAGE(B81:B110))</f>
      </c>
      <c r="G110" t="s" s="970"/>
      <c r="H110" t="s" s="970"/>
      <c r="I110" t="s" s="970"/>
      <c r="J110" t="s" s="970"/>
      <c r="K110" t="s" s="970"/>
      <c r="L110" t="s" s="970"/>
      <c r="M110" t="s" s="970"/>
      <c r="N110" t="s" s="970"/>
      <c r="O110" t="s" s="970"/>
      <c r="P110" t="s" s="970"/>
      <c r="Q110" s="962"/>
      <c r="R110" t="s" s="970"/>
      <c r="S110" t="s" s="970"/>
      <c r="T110" t="s" s="970"/>
      <c r="U110" t="s" s="971"/>
    </row>
    <row r="111" ht="8.75" customHeight="1" hidden="1">
      <c r="A111" s="960">
        <v>44450</v>
      </c>
      <c r="B111" s="356"/>
      <c r="C111" t="str" s="352" cm="1">
        <f t="array" ref="C111">IF(ISBLANK(B111),"",B111*2.2046226218)</f>
      </c>
      <c r="D111" t="str" s="964" cm="1">
        <f t="array" ref="D111">IF(ISBLANK(B111),"",AVERAGE(B105:B111))</f>
      </c>
      <c r="E111" t="str" s="964" cm="1">
        <f t="array" ref="E111">IF(ISBLANK(B111),"",AVERAGE(B98:B111))</f>
      </c>
      <c r="F111" t="str" s="964" cm="1">
        <f t="array" ref="F111">IF(ISBLANK(B111),"",AVERAGE(B82:B111))</f>
      </c>
      <c r="G111" t="s" s="970"/>
      <c r="H111" t="s" s="970"/>
      <c r="I111" t="s" s="970"/>
      <c r="J111" t="s" s="970"/>
      <c r="K111" t="s" s="970"/>
      <c r="L111" t="s" s="970"/>
      <c r="M111" t="s" s="970"/>
      <c r="N111" t="s" s="970"/>
      <c r="O111" t="s" s="970"/>
      <c r="P111" t="s" s="970"/>
      <c r="Q111" s="962"/>
      <c r="R111" t="s" s="970"/>
      <c r="S111" t="s" s="970"/>
      <c r="T111" t="s" s="970"/>
      <c r="U111" t="s" s="971"/>
    </row>
    <row r="112" ht="8.75" customHeight="1" hidden="1">
      <c r="A112" s="960">
        <v>44451</v>
      </c>
      <c r="B112" s="356"/>
      <c r="C112" t="str" s="352" cm="1">
        <f t="array" ref="C112">IF(ISBLANK(B112),"",B112*2.2046226218)</f>
      </c>
      <c r="D112" t="str" s="964" cm="1">
        <f t="array" ref="D112">IF(ISBLANK(B112),"",AVERAGE(B106:B112))</f>
      </c>
      <c r="E112" t="str" s="964" cm="1">
        <f t="array" ref="E112">IF(ISBLANK(B112),"",AVERAGE(B99:B112))</f>
      </c>
      <c r="F112" t="str" s="964" cm="1">
        <f t="array" ref="F112">IF(ISBLANK(B112),"",AVERAGE(B83:B112))</f>
      </c>
      <c r="G112" t="s" s="970"/>
      <c r="H112" t="s" s="970"/>
      <c r="I112" t="s" s="970"/>
      <c r="J112" t="s" s="970"/>
      <c r="K112" t="s" s="970"/>
      <c r="L112" t="s" s="970"/>
      <c r="M112" t="s" s="970"/>
      <c r="N112" t="s" s="970"/>
      <c r="O112" t="s" s="970"/>
      <c r="P112" t="s" s="970"/>
      <c r="Q112" s="962"/>
      <c r="R112" t="s" s="970"/>
      <c r="S112" t="s" s="970"/>
      <c r="T112" t="s" s="970"/>
      <c r="U112" t="s" s="971"/>
    </row>
    <row r="113" ht="8.75" customHeight="1" hidden="1">
      <c r="A113" s="963">
        <v>44452</v>
      </c>
      <c r="B113" s="356"/>
      <c r="C113" t="str" s="352" cm="1">
        <f t="array" ref="C113">IF(ISBLANK(B113),"",B113*2.2046226218)</f>
      </c>
      <c r="D113" t="str" s="964" cm="1">
        <f t="array" ref="D113">IF(ISBLANK(B113),"",AVERAGE(B107:B113))</f>
      </c>
      <c r="E113" t="str" s="964" cm="1">
        <f t="array" ref="E113">IF(ISBLANK(B113),"",AVERAGE(B100:B113))</f>
      </c>
      <c r="F113" t="str" s="964" cm="1">
        <f t="array" ref="F113">IF(ISBLANK(B113),"",AVERAGE(B84:B113))</f>
      </c>
      <c r="G113" t="s" s="970"/>
      <c r="H113" t="s" s="970"/>
      <c r="I113" t="s" s="970"/>
      <c r="J113" t="s" s="970"/>
      <c r="K113" t="s" s="970"/>
      <c r="L113" t="s" s="970"/>
      <c r="M113" t="s" s="970"/>
      <c r="N113" t="s" s="970"/>
      <c r="O113" t="s" s="970"/>
      <c r="P113" t="s" s="970"/>
      <c r="Q113" s="962"/>
      <c r="R113" t="s" s="970"/>
      <c r="S113" t="s" s="970"/>
      <c r="T113" t="s" s="970"/>
      <c r="U113" t="s" s="971"/>
    </row>
    <row r="114" ht="8.75" customHeight="1" hidden="1">
      <c r="A114" s="960">
        <v>44453</v>
      </c>
      <c r="B114" s="356"/>
      <c r="C114" t="str" s="352" cm="1">
        <f t="array" ref="C114">IF(ISBLANK(B114),"",B114*2.2046226218)</f>
      </c>
      <c r="D114" t="str" s="964" cm="1">
        <f t="array" ref="D114">IF(ISBLANK(B114),"",AVERAGE(B108:B114))</f>
      </c>
      <c r="E114" t="str" s="964" cm="1">
        <f t="array" ref="E114">IF(ISBLANK(B114),"",AVERAGE(B101:B114))</f>
      </c>
      <c r="F114" t="str" s="964" cm="1">
        <f t="array" ref="F114">IF(ISBLANK(B114),"",AVERAGE(B85:B114))</f>
      </c>
      <c r="G114" t="s" s="970"/>
      <c r="H114" t="s" s="970"/>
      <c r="I114" t="s" s="970"/>
      <c r="J114" t="s" s="970"/>
      <c r="K114" t="s" s="970"/>
      <c r="L114" t="s" s="970"/>
      <c r="M114" t="s" s="970"/>
      <c r="N114" t="s" s="970"/>
      <c r="O114" t="s" s="970"/>
      <c r="P114" t="s" s="970"/>
      <c r="Q114" s="962"/>
      <c r="R114" t="s" s="970"/>
      <c r="S114" t="s" s="970"/>
      <c r="T114" t="s" s="970"/>
      <c r="U114" t="s" s="971"/>
    </row>
    <row r="115" ht="8.75" customHeight="1" hidden="1">
      <c r="A115" s="963">
        <v>44454</v>
      </c>
      <c r="B115" s="356"/>
      <c r="C115" t="str" s="352" cm="1">
        <f t="array" ref="C115">IF(ISBLANK(B115),"",B115*2.2046226218)</f>
      </c>
      <c r="D115" t="str" s="964" cm="1">
        <f t="array" ref="D115">IF(ISBLANK(B115),"",AVERAGE(B109:B115))</f>
      </c>
      <c r="E115" t="str" s="964" cm="1">
        <f t="array" ref="E115">IF(ISBLANK(B115),"",AVERAGE(B102:B115))</f>
      </c>
      <c r="F115" t="str" s="964" cm="1">
        <f t="array" ref="F115">IF(ISBLANK(B115),"",AVERAGE(B86:B115))</f>
      </c>
      <c r="G115" t="s" s="970"/>
      <c r="H115" t="s" s="970"/>
      <c r="I115" t="s" s="970"/>
      <c r="J115" t="s" s="970"/>
      <c r="K115" t="s" s="970"/>
      <c r="L115" t="s" s="970"/>
      <c r="M115" t="s" s="970"/>
      <c r="N115" t="s" s="970"/>
      <c r="O115" t="s" s="970"/>
      <c r="P115" t="s" s="970"/>
      <c r="Q115" s="962"/>
      <c r="R115" t="s" s="970"/>
      <c r="S115" t="s" s="970"/>
      <c r="T115" t="s" s="970"/>
      <c r="U115" t="s" s="971"/>
    </row>
    <row r="116" ht="8.75" customHeight="1" hidden="1">
      <c r="A116" s="960">
        <v>44455</v>
      </c>
      <c r="B116" s="356"/>
      <c r="C116" t="str" s="352" cm="1">
        <f t="array" ref="C116">IF(ISBLANK(B116),"",B116*2.2046226218)</f>
      </c>
      <c r="D116" t="str" s="964" cm="1">
        <f t="array" ref="D116">IF(ISBLANK(B116),"",AVERAGE(B110:B116))</f>
      </c>
      <c r="E116" t="str" s="964" cm="1">
        <f t="array" ref="E116">IF(ISBLANK(B116),"",AVERAGE(B103:B116))</f>
      </c>
      <c r="F116" t="str" s="964" cm="1">
        <f t="array" ref="F116">IF(ISBLANK(B116),"",AVERAGE(B87:B116))</f>
      </c>
      <c r="G116" t="s" s="970"/>
      <c r="H116" t="s" s="970"/>
      <c r="I116" t="s" s="970"/>
      <c r="J116" t="s" s="970"/>
      <c r="K116" t="s" s="970"/>
      <c r="L116" t="s" s="970"/>
      <c r="M116" t="s" s="970"/>
      <c r="N116" t="s" s="970"/>
      <c r="O116" t="s" s="970"/>
      <c r="P116" t="s" s="970"/>
      <c r="Q116" s="962"/>
      <c r="R116" t="s" s="970"/>
      <c r="S116" t="s" s="970"/>
      <c r="T116" t="s" s="970"/>
      <c r="U116" t="s" s="971"/>
    </row>
    <row r="117" ht="8.75" customHeight="1" hidden="1">
      <c r="A117" s="963">
        <v>44456</v>
      </c>
      <c r="B117" s="356"/>
      <c r="C117" t="str" s="352" cm="1">
        <f t="array" ref="C117">IF(ISBLANK(B117),"",B117*2.2046226218)</f>
      </c>
      <c r="D117" t="str" s="964" cm="1">
        <f t="array" ref="D117">IF(ISBLANK(B117),"",AVERAGE(B111:B117))</f>
      </c>
      <c r="E117" t="str" s="964" cm="1">
        <f t="array" ref="E117">IF(ISBLANK(B117),"",AVERAGE(B104:B117))</f>
      </c>
      <c r="F117" t="str" s="964" cm="1">
        <f t="array" ref="F117">IF(ISBLANK(B117),"",AVERAGE(B88:B117))</f>
      </c>
      <c r="G117" t="s" s="970"/>
      <c r="H117" t="s" s="970"/>
      <c r="I117" t="s" s="970"/>
      <c r="J117" t="s" s="970"/>
      <c r="K117" t="s" s="970"/>
      <c r="L117" t="s" s="970"/>
      <c r="M117" t="s" s="970"/>
      <c r="N117" t="s" s="970"/>
      <c r="O117" t="s" s="970"/>
      <c r="P117" t="s" s="970"/>
      <c r="Q117" s="962"/>
      <c r="R117" t="s" s="970"/>
      <c r="S117" t="s" s="970"/>
      <c r="T117" t="s" s="970"/>
      <c r="U117" t="s" s="971"/>
    </row>
    <row r="118" ht="8.75" customHeight="1" hidden="1">
      <c r="A118" s="960">
        <v>44457</v>
      </c>
      <c r="B118" s="356"/>
      <c r="C118" t="str" s="352" cm="1">
        <f t="array" ref="C118">IF(ISBLANK(B118),"",B118*2.2046226218)</f>
      </c>
      <c r="D118" t="str" s="964" cm="1">
        <f t="array" ref="D118">IF(ISBLANK(B118),"",AVERAGE(B112:B118))</f>
      </c>
      <c r="E118" t="str" s="964" cm="1">
        <f t="array" ref="E118">IF(ISBLANK(B118),"",AVERAGE(B105:B118))</f>
      </c>
      <c r="F118" t="str" s="964" cm="1">
        <f t="array" ref="F118">IF(ISBLANK(B118),"",AVERAGE(B89:B118))</f>
      </c>
      <c r="G118" t="s" s="970"/>
      <c r="H118" t="s" s="970"/>
      <c r="I118" t="s" s="970"/>
      <c r="J118" t="s" s="970"/>
      <c r="K118" t="s" s="970"/>
      <c r="L118" t="s" s="970"/>
      <c r="M118" t="s" s="970"/>
      <c r="N118" t="s" s="970"/>
      <c r="O118" t="s" s="970"/>
      <c r="P118" t="s" s="970"/>
      <c r="Q118" s="962"/>
      <c r="R118" t="s" s="970"/>
      <c r="S118" t="s" s="970"/>
      <c r="T118" t="s" s="970"/>
      <c r="U118" t="s" s="971"/>
    </row>
    <row r="119" ht="8.75" customHeight="1" hidden="1">
      <c r="A119" s="960">
        <v>44458</v>
      </c>
      <c r="B119" s="356"/>
      <c r="C119" t="str" s="352" cm="1">
        <f t="array" ref="C119">IF(ISBLANK(B119),"",B119*2.2046226218)</f>
      </c>
      <c r="D119" t="str" s="964" cm="1">
        <f t="array" ref="D119">IF(ISBLANK(B119),"",AVERAGE(B113:B119))</f>
      </c>
      <c r="E119" t="str" s="964" cm="1">
        <f t="array" ref="E119">IF(ISBLANK(B119),"",AVERAGE(B106:B119))</f>
      </c>
      <c r="F119" t="str" s="964" cm="1">
        <f t="array" ref="F119">IF(ISBLANK(B119),"",AVERAGE(B90:B119))</f>
      </c>
      <c r="G119" t="s" s="970"/>
      <c r="H119" t="s" s="970"/>
      <c r="I119" t="s" s="970"/>
      <c r="J119" t="s" s="970"/>
      <c r="K119" t="s" s="970"/>
      <c r="L119" t="s" s="970"/>
      <c r="M119" t="s" s="970"/>
      <c r="N119" t="s" s="970"/>
      <c r="O119" t="s" s="970"/>
      <c r="P119" t="s" s="970"/>
      <c r="Q119" s="962"/>
      <c r="R119" t="s" s="970"/>
      <c r="S119" t="s" s="970"/>
      <c r="T119" t="s" s="970"/>
      <c r="U119" t="s" s="971"/>
    </row>
    <row r="120" ht="8.75" customHeight="1" hidden="1">
      <c r="A120" s="963">
        <v>44459</v>
      </c>
      <c r="B120" s="356"/>
      <c r="C120" t="str" s="352" cm="1">
        <f t="array" ref="C120">IF(ISBLANK(B120),"",B120*2.2046226218)</f>
      </c>
      <c r="D120" t="str" s="964" cm="1">
        <f t="array" ref="D120">IF(ISBLANK(B120),"",AVERAGE(B114:B120))</f>
      </c>
      <c r="E120" t="str" s="964" cm="1">
        <f t="array" ref="E120">IF(ISBLANK(B120),"",AVERAGE(B107:B120))</f>
      </c>
      <c r="F120" t="str" s="964" cm="1">
        <f t="array" ref="F120">IF(ISBLANK(B120),"",AVERAGE(B91:B120))</f>
      </c>
      <c r="G120" t="s" s="970"/>
      <c r="H120" t="s" s="970"/>
      <c r="I120" t="s" s="970"/>
      <c r="J120" t="s" s="970"/>
      <c r="K120" t="s" s="970"/>
      <c r="L120" t="s" s="970"/>
      <c r="M120" t="s" s="970"/>
      <c r="N120" t="s" s="970"/>
      <c r="O120" t="s" s="970"/>
      <c r="P120" t="s" s="970"/>
      <c r="Q120" s="962"/>
      <c r="R120" t="s" s="970"/>
      <c r="S120" t="s" s="970"/>
      <c r="T120" t="s" s="970"/>
      <c r="U120" t="s" s="971"/>
    </row>
    <row r="121" ht="8.75" customHeight="1" hidden="1">
      <c r="A121" s="960">
        <v>44460</v>
      </c>
      <c r="B121" s="356"/>
      <c r="C121" t="str" s="352" cm="1">
        <f t="array" ref="C121">IF(ISBLANK(B121),"",B121*2.2046226218)</f>
      </c>
      <c r="D121" t="str" s="964" cm="1">
        <f t="array" ref="D121">IF(ISBLANK(B121),"",AVERAGE(B115:B121))</f>
      </c>
      <c r="E121" t="str" s="964" cm="1">
        <f t="array" ref="E121">IF(ISBLANK(B121),"",AVERAGE(B108:B121))</f>
      </c>
      <c r="F121" t="str" s="964" cm="1">
        <f t="array" ref="F121">IF(ISBLANK(B121),"",AVERAGE(B92:B121))</f>
      </c>
      <c r="G121" t="s" s="970"/>
      <c r="H121" t="s" s="970"/>
      <c r="I121" t="s" s="970"/>
      <c r="J121" t="s" s="970"/>
      <c r="K121" t="s" s="970"/>
      <c r="L121" t="s" s="970"/>
      <c r="M121" t="s" s="970"/>
      <c r="N121" t="s" s="970"/>
      <c r="O121" t="s" s="970"/>
      <c r="P121" t="s" s="970"/>
      <c r="Q121" s="962"/>
      <c r="R121" t="s" s="970"/>
      <c r="S121" t="s" s="970"/>
      <c r="T121" t="s" s="970"/>
      <c r="U121" t="s" s="971"/>
    </row>
    <row r="122" ht="8.75" customHeight="1" hidden="1">
      <c r="A122" s="963">
        <v>44461</v>
      </c>
      <c r="B122" s="356"/>
      <c r="C122" t="str" s="352" cm="1">
        <f t="array" ref="C122">IF(ISBLANK(B122),"",B122*2.2046226218)</f>
      </c>
      <c r="D122" t="str" s="964" cm="1">
        <f t="array" ref="D122">IF(ISBLANK(B122),"",AVERAGE(B116:B122))</f>
      </c>
      <c r="E122" t="str" s="964" cm="1">
        <f t="array" ref="E122">IF(ISBLANK(B122),"",AVERAGE(B109:B122))</f>
      </c>
      <c r="F122" t="str" s="964" cm="1">
        <f t="array" ref="F122">IF(ISBLANK(B122),"",AVERAGE(B93:B122))</f>
      </c>
      <c r="G122" t="s" s="970"/>
      <c r="H122" t="s" s="970"/>
      <c r="I122" t="s" s="970"/>
      <c r="J122" t="s" s="970"/>
      <c r="K122" t="s" s="970"/>
      <c r="L122" t="s" s="970"/>
      <c r="M122" t="s" s="970"/>
      <c r="N122" t="s" s="970"/>
      <c r="O122" t="s" s="970"/>
      <c r="P122" t="s" s="970"/>
      <c r="Q122" s="962"/>
      <c r="R122" t="s" s="970"/>
      <c r="S122" t="s" s="970"/>
      <c r="T122" t="s" s="970"/>
      <c r="U122" t="s" s="971"/>
    </row>
    <row r="123" ht="8.75" customHeight="1" hidden="1">
      <c r="A123" s="960">
        <v>44462</v>
      </c>
      <c r="B123" s="356"/>
      <c r="C123" t="str" s="352" cm="1">
        <f t="array" ref="C123">IF(ISBLANK(B123),"",B123*2.2046226218)</f>
      </c>
      <c r="D123" t="str" s="964" cm="1">
        <f t="array" ref="D123">IF(ISBLANK(B123),"",AVERAGE(B117:B123))</f>
      </c>
      <c r="E123" t="str" s="964" cm="1">
        <f t="array" ref="E123">IF(ISBLANK(B123),"",AVERAGE(B110:B123))</f>
      </c>
      <c r="F123" t="str" s="964" cm="1">
        <f t="array" ref="F123">IF(ISBLANK(B123),"",AVERAGE(B94:B123))</f>
      </c>
      <c r="G123" t="s" s="970"/>
      <c r="H123" t="s" s="970"/>
      <c r="I123" t="s" s="970"/>
      <c r="J123" t="s" s="970"/>
      <c r="K123" t="s" s="970"/>
      <c r="L123" t="s" s="970"/>
      <c r="M123" t="s" s="970"/>
      <c r="N123" t="s" s="970"/>
      <c r="O123" t="s" s="970"/>
      <c r="P123" t="s" s="970"/>
      <c r="Q123" s="962"/>
      <c r="R123" t="s" s="970"/>
      <c r="S123" t="s" s="970"/>
      <c r="T123" t="s" s="970"/>
      <c r="U123" t="s" s="971"/>
    </row>
    <row r="124" ht="8.75" customHeight="1" hidden="1">
      <c r="A124" s="963">
        <v>44463</v>
      </c>
      <c r="B124" s="356"/>
      <c r="C124" t="str" s="352" cm="1">
        <f t="array" ref="C124">IF(ISBLANK(B124),"",B124*2.2046226218)</f>
      </c>
      <c r="D124" t="str" s="964" cm="1">
        <f t="array" ref="D124">IF(ISBLANK(B124),"",AVERAGE(B118:B124))</f>
      </c>
      <c r="E124" t="str" s="964" cm="1">
        <f t="array" ref="E124">IF(ISBLANK(B124),"",AVERAGE(B111:B124))</f>
      </c>
      <c r="F124" t="str" s="964" cm="1">
        <f t="array" ref="F124">IF(ISBLANK(B124),"",AVERAGE(B95:B124))</f>
      </c>
      <c r="G124" t="s" s="970"/>
      <c r="H124" t="s" s="970"/>
      <c r="I124" t="s" s="970"/>
      <c r="J124" t="s" s="970"/>
      <c r="K124" t="s" s="970"/>
      <c r="L124" t="s" s="970"/>
      <c r="M124" t="s" s="970"/>
      <c r="N124" t="s" s="970"/>
      <c r="O124" t="s" s="970"/>
      <c r="P124" t="s" s="970"/>
      <c r="Q124" s="962"/>
      <c r="R124" t="s" s="970"/>
      <c r="S124" t="s" s="970"/>
      <c r="T124" t="s" s="970"/>
      <c r="U124" t="s" s="971"/>
    </row>
    <row r="125" ht="8.75" customHeight="1" hidden="1">
      <c r="A125" s="960">
        <v>44464</v>
      </c>
      <c r="B125" s="356"/>
      <c r="C125" t="str" s="352" cm="1">
        <f t="array" ref="C125">IF(ISBLANK(B125),"",B125*2.2046226218)</f>
      </c>
      <c r="D125" t="str" s="964" cm="1">
        <f t="array" ref="D125">IF(ISBLANK(B125),"",AVERAGE(B119:B125))</f>
      </c>
      <c r="E125" t="str" s="964" cm="1">
        <f t="array" ref="E125">IF(ISBLANK(B125),"",AVERAGE(B112:B125))</f>
      </c>
      <c r="F125" t="str" s="964" cm="1">
        <f t="array" ref="F125">IF(ISBLANK(B125),"",AVERAGE(B96:B125))</f>
      </c>
      <c r="G125" t="s" s="970"/>
      <c r="H125" t="s" s="970"/>
      <c r="I125" t="s" s="970"/>
      <c r="J125" t="s" s="970"/>
      <c r="K125" t="s" s="970"/>
      <c r="L125" t="s" s="970"/>
      <c r="M125" t="s" s="970"/>
      <c r="N125" t="s" s="970"/>
      <c r="O125" t="s" s="970"/>
      <c r="P125" t="s" s="970"/>
      <c r="Q125" s="962"/>
      <c r="R125" t="s" s="970"/>
      <c r="S125" t="s" s="970"/>
      <c r="T125" t="s" s="970"/>
      <c r="U125" t="s" s="971"/>
    </row>
    <row r="126" ht="8.75" customHeight="1" hidden="1">
      <c r="A126" s="960">
        <v>44465</v>
      </c>
      <c r="B126" s="356"/>
      <c r="C126" t="str" s="352" cm="1">
        <f t="array" ref="C126">IF(ISBLANK(B126),"",B126*2.2046226218)</f>
      </c>
      <c r="D126" t="str" s="964" cm="1">
        <f t="array" ref="D126">IF(ISBLANK(B126),"",AVERAGE(B120:B126))</f>
      </c>
      <c r="E126" t="str" s="964" cm="1">
        <f t="array" ref="E126">IF(ISBLANK(B126),"",AVERAGE(B113:B126))</f>
      </c>
      <c r="F126" t="str" s="964" cm="1">
        <f t="array" ref="F126">IF(ISBLANK(B126),"",AVERAGE(B97:B126))</f>
      </c>
      <c r="G126" t="s" s="970"/>
      <c r="H126" t="s" s="970"/>
      <c r="I126" t="s" s="970"/>
      <c r="J126" t="s" s="970"/>
      <c r="K126" t="s" s="970"/>
      <c r="L126" t="s" s="970"/>
      <c r="M126" t="s" s="970"/>
      <c r="N126" t="s" s="970"/>
      <c r="O126" t="s" s="970"/>
      <c r="P126" t="s" s="970"/>
      <c r="Q126" s="962"/>
      <c r="R126" t="s" s="970"/>
      <c r="S126" t="s" s="970"/>
      <c r="T126" t="s" s="970"/>
      <c r="U126" t="s" s="971"/>
    </row>
    <row r="127" ht="8.75" customHeight="1" hidden="1">
      <c r="A127" s="963">
        <v>44466</v>
      </c>
      <c r="B127" s="356"/>
      <c r="C127" t="str" s="352" cm="1">
        <f t="array" ref="C127">IF(ISBLANK(B127),"",B127*2.2046226218)</f>
      </c>
      <c r="D127" t="str" s="964" cm="1">
        <f t="array" ref="D127">IF(ISBLANK(B127),"",AVERAGE(B121:B127))</f>
      </c>
      <c r="E127" t="str" s="964" cm="1">
        <f t="array" ref="E127">IF(ISBLANK(B127),"",AVERAGE(B114:B127))</f>
      </c>
      <c r="F127" t="str" s="964" cm="1">
        <f t="array" ref="F127">IF(ISBLANK(B127),"",AVERAGE(B98:B127))</f>
      </c>
      <c r="G127" t="s" s="970"/>
      <c r="H127" t="s" s="970"/>
      <c r="I127" t="s" s="970"/>
      <c r="J127" t="s" s="970"/>
      <c r="K127" t="s" s="970"/>
      <c r="L127" t="s" s="970"/>
      <c r="M127" t="s" s="970"/>
      <c r="N127" t="s" s="970"/>
      <c r="O127" t="s" s="970"/>
      <c r="P127" t="s" s="970"/>
      <c r="Q127" s="962"/>
      <c r="R127" t="s" s="970"/>
      <c r="S127" t="s" s="970"/>
      <c r="T127" t="s" s="970"/>
      <c r="U127" t="s" s="971"/>
    </row>
    <row r="128" ht="8.75" customHeight="1" hidden="1">
      <c r="A128" s="960">
        <v>44467</v>
      </c>
      <c r="B128" s="356"/>
      <c r="C128" t="str" s="352" cm="1">
        <f t="array" ref="C128">IF(ISBLANK(B128),"",B128*2.2046226218)</f>
      </c>
      <c r="D128" t="str" s="964" cm="1">
        <f t="array" ref="D128">IF(ISBLANK(B128),"",AVERAGE(B122:B128))</f>
      </c>
      <c r="E128" t="str" s="964" cm="1">
        <f t="array" ref="E128">IF(ISBLANK(B128),"",AVERAGE(B115:B128))</f>
      </c>
      <c r="F128" t="str" s="964" cm="1">
        <f t="array" ref="F128">IF(ISBLANK(B128),"",AVERAGE(B99:B128))</f>
      </c>
      <c r="G128" t="s" s="970"/>
      <c r="H128" t="s" s="970"/>
      <c r="I128" t="s" s="970"/>
      <c r="J128" t="s" s="970"/>
      <c r="K128" t="s" s="970"/>
      <c r="L128" t="s" s="970"/>
      <c r="M128" t="s" s="970"/>
      <c r="N128" t="s" s="970"/>
      <c r="O128" t="s" s="970"/>
      <c r="P128" t="s" s="970"/>
      <c r="Q128" s="962"/>
      <c r="R128" t="s" s="970"/>
      <c r="S128" t="s" s="970"/>
      <c r="T128" t="s" s="970"/>
      <c r="U128" t="s" s="971"/>
    </row>
    <row r="129" ht="8.75" customHeight="1" hidden="1">
      <c r="A129" s="963">
        <v>44468</v>
      </c>
      <c r="B129" s="356"/>
      <c r="C129" t="str" s="352" cm="1">
        <f t="array" ref="C129">IF(ISBLANK(B129),"",B129*2.2046226218)</f>
      </c>
      <c r="D129" t="str" s="964" cm="1">
        <f t="array" ref="D129">IF(ISBLANK(B129),"",AVERAGE(B123:B129))</f>
      </c>
      <c r="E129" t="str" s="964" cm="1">
        <f t="array" ref="E129">IF(ISBLANK(B129),"",AVERAGE(B116:B129))</f>
      </c>
      <c r="F129" t="str" s="964" cm="1">
        <f t="array" ref="F129">IF(ISBLANK(B129),"",AVERAGE(B100:B129))</f>
      </c>
      <c r="G129" t="s" s="970"/>
      <c r="H129" t="s" s="970"/>
      <c r="I129" t="s" s="970"/>
      <c r="J129" t="s" s="970"/>
      <c r="K129" t="s" s="970"/>
      <c r="L129" t="s" s="970"/>
      <c r="M129" t="s" s="970"/>
      <c r="N129" t="s" s="970"/>
      <c r="O129" t="s" s="970"/>
      <c r="P129" t="s" s="970"/>
      <c r="Q129" s="962"/>
      <c r="R129" t="s" s="970"/>
      <c r="S129" t="s" s="970"/>
      <c r="T129" t="s" s="970"/>
      <c r="U129" t="s" s="971"/>
    </row>
    <row r="130" ht="8.75" customHeight="1" hidden="1">
      <c r="A130" s="960">
        <v>44469</v>
      </c>
      <c r="B130" s="356"/>
      <c r="C130" t="str" s="352" cm="1">
        <f t="array" ref="C130">IF(ISBLANK(B130),"",B130*2.2046226218)</f>
      </c>
      <c r="D130" t="str" s="964" cm="1">
        <f t="array" ref="D130">IF(ISBLANK(B130),"",AVERAGE(B124:B130))</f>
      </c>
      <c r="E130" t="str" s="964" cm="1">
        <f t="array" ref="E130">IF(ISBLANK(B130),"",AVERAGE(B117:B130))</f>
      </c>
      <c r="F130" t="str" s="964" cm="1">
        <f t="array" ref="F130">IF(ISBLANK(B130),"",AVERAGE(B101:B130))</f>
      </c>
      <c r="G130" t="s" s="970"/>
      <c r="H130" t="s" s="970"/>
      <c r="I130" t="s" s="970"/>
      <c r="J130" t="s" s="970"/>
      <c r="K130" t="s" s="970"/>
      <c r="L130" t="s" s="970"/>
      <c r="M130" t="s" s="970"/>
      <c r="N130" t="s" s="970"/>
      <c r="O130" t="s" s="970"/>
      <c r="P130" t="s" s="970"/>
      <c r="Q130" s="962"/>
      <c r="R130" t="s" s="970"/>
      <c r="S130" t="s" s="970"/>
      <c r="T130" t="s" s="970"/>
      <c r="U130" t="s" s="971"/>
    </row>
    <row r="131" ht="8.75" customHeight="1" hidden="1">
      <c r="A131" s="963">
        <v>44470</v>
      </c>
      <c r="B131" s="356"/>
      <c r="C131" t="str" s="352" cm="1">
        <f t="array" ref="C131">IF(ISBLANK(B131),"",B131*2.2046226218)</f>
      </c>
      <c r="D131" t="str" s="964" cm="1">
        <f t="array" ref="D131">IF(ISBLANK(B131),"",AVERAGE(B125:B131))</f>
      </c>
      <c r="E131" t="str" s="964" cm="1">
        <f t="array" ref="E131">IF(ISBLANK(B131),"",AVERAGE(B118:B131))</f>
      </c>
      <c r="F131" t="str" s="964" cm="1">
        <f t="array" ref="F131">IF(ISBLANK(B131),"",AVERAGE(B102:B131))</f>
      </c>
      <c r="G131" t="s" s="970"/>
      <c r="H131" t="s" s="970"/>
      <c r="I131" t="s" s="970"/>
      <c r="J131" t="s" s="970"/>
      <c r="K131" t="s" s="970"/>
      <c r="L131" t="s" s="970"/>
      <c r="M131" t="s" s="970"/>
      <c r="N131" t="s" s="970"/>
      <c r="O131" t="s" s="970"/>
      <c r="P131" t="s" s="970"/>
      <c r="Q131" s="962"/>
      <c r="R131" t="s" s="970"/>
      <c r="S131" t="s" s="970"/>
      <c r="T131" t="s" s="970"/>
      <c r="U131" t="s" s="971"/>
    </row>
    <row r="132" ht="8.75" customHeight="1" hidden="1">
      <c r="A132" s="963">
        <v>44471</v>
      </c>
      <c r="B132" s="356"/>
      <c r="C132" t="str" s="352" cm="1">
        <f t="array" ref="C132">IF(ISBLANK(B132),"",B132*2.2046226218)</f>
      </c>
      <c r="D132" t="str" s="964" cm="1">
        <f t="array" ref="D132">IF(ISBLANK(B132),"",AVERAGE(B126:B132))</f>
      </c>
      <c r="E132" t="str" s="964" cm="1">
        <f t="array" ref="E132">IF(ISBLANK(B132),"",AVERAGE(B119:B132))</f>
      </c>
      <c r="F132" t="str" s="964" cm="1">
        <f t="array" ref="F132">IF(ISBLANK(B132),"",AVERAGE(B103:B132))</f>
      </c>
      <c r="G132" t="s" s="970"/>
      <c r="H132" t="s" s="970"/>
      <c r="I132" t="s" s="970"/>
      <c r="J132" t="s" s="970"/>
      <c r="K132" t="s" s="970"/>
      <c r="L132" t="s" s="970"/>
      <c r="M132" t="s" s="970"/>
      <c r="N132" t="s" s="970"/>
      <c r="O132" t="s" s="970"/>
      <c r="P132" t="s" s="970"/>
      <c r="Q132" s="962"/>
      <c r="R132" t="s" s="970"/>
      <c r="S132" t="s" s="970"/>
      <c r="T132" t="s" s="970"/>
      <c r="U132" t="s" s="971"/>
    </row>
    <row r="133" ht="8.75" customHeight="1" hidden="1">
      <c r="A133" s="960">
        <v>44472</v>
      </c>
      <c r="B133" s="356"/>
      <c r="C133" t="str" s="352" cm="1">
        <f t="array" ref="C133">IF(ISBLANK(B133),"",B133*2.2046226218)</f>
      </c>
      <c r="D133" t="str" s="964" cm="1">
        <f t="array" ref="D133">IF(ISBLANK(B133),"",AVERAGE(B127:B133))</f>
      </c>
      <c r="E133" t="str" s="964" cm="1">
        <f t="array" ref="E133">IF(ISBLANK(B133),"",AVERAGE(B120:B133))</f>
      </c>
      <c r="F133" t="str" s="964" cm="1">
        <f t="array" ref="F133">IF(ISBLANK(B133),"",AVERAGE(B104:B133))</f>
      </c>
      <c r="G133" t="s" s="970"/>
      <c r="H133" t="s" s="970"/>
      <c r="I133" t="s" s="970"/>
      <c r="J133" t="s" s="970"/>
      <c r="K133" t="s" s="970"/>
      <c r="L133" t="s" s="970"/>
      <c r="M133" t="s" s="970"/>
      <c r="N133" t="s" s="970"/>
      <c r="O133" t="s" s="970"/>
      <c r="P133" t="s" s="970"/>
      <c r="Q133" s="962"/>
      <c r="R133" t="s" s="970"/>
      <c r="S133" t="s" s="970"/>
      <c r="T133" t="s" s="970"/>
      <c r="U133" t="s" s="971"/>
    </row>
    <row r="134" ht="8.75" customHeight="1" hidden="1">
      <c r="A134" s="963">
        <v>44473</v>
      </c>
      <c r="B134" s="356"/>
      <c r="C134" t="str" s="352" cm="1">
        <f t="array" ref="C134">IF(ISBLANK(B134),"",B134*2.2046226218)</f>
      </c>
      <c r="D134" t="str" s="964" cm="1">
        <f t="array" ref="D134">IF(ISBLANK(B134),"",AVERAGE(B128:B134))</f>
      </c>
      <c r="E134" t="str" s="964" cm="1">
        <f t="array" ref="E134">IF(ISBLANK(B134),"",AVERAGE(B121:B134))</f>
      </c>
      <c r="F134" t="str" s="964" cm="1">
        <f t="array" ref="F134">IF(ISBLANK(B134),"",AVERAGE(B105:B134))</f>
      </c>
      <c r="G134" t="s" s="970"/>
      <c r="H134" t="s" s="970"/>
      <c r="I134" t="s" s="970"/>
      <c r="J134" t="s" s="970"/>
      <c r="K134" t="s" s="970"/>
      <c r="L134" t="s" s="970"/>
      <c r="M134" t="s" s="970"/>
      <c r="N134" t="s" s="970"/>
      <c r="O134" t="s" s="970"/>
      <c r="P134" t="s" s="970"/>
      <c r="Q134" s="962"/>
      <c r="R134" t="s" s="970"/>
      <c r="S134" t="s" s="970"/>
      <c r="T134" t="s" s="970"/>
      <c r="U134" t="s" s="971"/>
    </row>
    <row r="135" ht="8.75" customHeight="1" hidden="1">
      <c r="A135" s="960">
        <v>44474</v>
      </c>
      <c r="B135" s="356"/>
      <c r="C135" t="str" s="352" cm="1">
        <f t="array" ref="C135">IF(ISBLANK(B135),"",B135*2.2046226218)</f>
      </c>
      <c r="D135" t="str" s="964" cm="1">
        <f t="array" ref="D135">IF(ISBLANK(B135),"",AVERAGE(B129:B135))</f>
      </c>
      <c r="E135" t="str" s="964" cm="1">
        <f t="array" ref="E135">IF(ISBLANK(B135),"",AVERAGE(B122:B135))</f>
      </c>
      <c r="F135" t="str" s="964" cm="1">
        <f t="array" ref="F135">IF(ISBLANK(B135),"",AVERAGE(B106:B135))</f>
      </c>
      <c r="G135" t="s" s="970"/>
      <c r="H135" t="s" s="970"/>
      <c r="I135" t="s" s="970"/>
      <c r="J135" t="s" s="970"/>
      <c r="K135" t="s" s="970"/>
      <c r="L135" t="s" s="970"/>
      <c r="M135" t="s" s="970"/>
      <c r="N135" t="s" s="970"/>
      <c r="O135" t="s" s="970"/>
      <c r="P135" t="s" s="970"/>
      <c r="Q135" s="962"/>
      <c r="R135" t="s" s="970"/>
      <c r="S135" t="s" s="970"/>
      <c r="T135" t="s" s="970"/>
      <c r="U135" t="s" s="971"/>
    </row>
    <row r="136" ht="8.75" customHeight="1" hidden="1">
      <c r="A136" s="963">
        <v>44475</v>
      </c>
      <c r="B136" s="356"/>
      <c r="C136" t="str" s="352" cm="1">
        <f t="array" ref="C136">IF(ISBLANK(B136),"",B136*2.2046226218)</f>
      </c>
      <c r="D136" t="str" s="964" cm="1">
        <f t="array" ref="D136">IF(ISBLANK(B136),"",AVERAGE(B130:B136))</f>
      </c>
      <c r="E136" t="str" s="964" cm="1">
        <f t="array" ref="E136">IF(ISBLANK(B136),"",AVERAGE(B123:B136))</f>
      </c>
      <c r="F136" t="str" s="964" cm="1">
        <f t="array" ref="F136">IF(ISBLANK(B136),"",AVERAGE(B107:B136))</f>
      </c>
      <c r="G136" t="s" s="970"/>
      <c r="H136" t="s" s="970"/>
      <c r="I136" t="s" s="970"/>
      <c r="J136" t="s" s="970"/>
      <c r="K136" t="s" s="970"/>
      <c r="L136" t="s" s="970"/>
      <c r="M136" t="s" s="970"/>
      <c r="N136" t="s" s="970"/>
      <c r="O136" t="s" s="970"/>
      <c r="P136" t="s" s="970"/>
      <c r="Q136" s="962"/>
      <c r="R136" t="s" s="970"/>
      <c r="S136" t="s" s="970"/>
      <c r="T136" t="s" s="970"/>
      <c r="U136" t="s" s="971"/>
    </row>
    <row r="137" ht="8.75" customHeight="1" hidden="1">
      <c r="A137" s="960">
        <v>44476</v>
      </c>
      <c r="B137" s="356"/>
      <c r="C137" t="str" s="352" cm="1">
        <f t="array" ref="C137">IF(ISBLANK(B137),"",B137*2.2046226218)</f>
      </c>
      <c r="D137" t="str" s="964" cm="1">
        <f t="array" ref="D137">IF(ISBLANK(B137),"",AVERAGE(B131:B137))</f>
      </c>
      <c r="E137" t="str" s="964" cm="1">
        <f t="array" ref="E137">IF(ISBLANK(B137),"",AVERAGE(B124:B137))</f>
      </c>
      <c r="F137" t="str" s="964" cm="1">
        <f t="array" ref="F137">IF(ISBLANK(B137),"",AVERAGE(B108:B137))</f>
      </c>
      <c r="G137" t="s" s="970"/>
      <c r="H137" t="s" s="970"/>
      <c r="I137" t="s" s="970"/>
      <c r="J137" t="s" s="970"/>
      <c r="K137" t="s" s="970"/>
      <c r="L137" t="s" s="970"/>
      <c r="M137" t="s" s="970"/>
      <c r="N137" t="s" s="970"/>
      <c r="O137" t="s" s="970"/>
      <c r="P137" t="s" s="970"/>
      <c r="Q137" s="962"/>
      <c r="R137" t="s" s="970"/>
      <c r="S137" t="s" s="970"/>
      <c r="T137" t="s" s="970"/>
      <c r="U137" t="s" s="971"/>
    </row>
    <row r="138" ht="8.75" customHeight="1" hidden="1">
      <c r="A138" s="960">
        <v>44477</v>
      </c>
      <c r="B138" s="356"/>
      <c r="C138" t="str" s="352" cm="1">
        <f t="array" ref="C138">IF(ISBLANK(B138),"",B138*2.2046226218)</f>
      </c>
      <c r="D138" t="str" s="964" cm="1">
        <f t="array" ref="D138">IF(ISBLANK(B138),"",AVERAGE(B132:B138))</f>
      </c>
      <c r="E138" t="str" s="964" cm="1">
        <f t="array" ref="E138">IF(ISBLANK(B138),"",AVERAGE(B125:B138))</f>
      </c>
      <c r="F138" t="str" s="964" cm="1">
        <f t="array" ref="F138">IF(ISBLANK(B138),"",AVERAGE(B109:B138))</f>
      </c>
      <c r="G138" t="s" s="970"/>
      <c r="H138" t="s" s="970"/>
      <c r="I138" t="s" s="970"/>
      <c r="J138" t="s" s="970"/>
      <c r="K138" t="s" s="970"/>
      <c r="L138" t="s" s="970"/>
      <c r="M138" t="s" s="970"/>
      <c r="N138" t="s" s="970"/>
      <c r="O138" t="s" s="970"/>
      <c r="P138" t="s" s="970"/>
      <c r="Q138" s="962"/>
      <c r="R138" t="s" s="970"/>
      <c r="S138" t="s" s="970"/>
      <c r="T138" t="s" s="970"/>
      <c r="U138" t="s" s="971"/>
    </row>
    <row r="139" ht="8.75" customHeight="1" hidden="1">
      <c r="A139" s="963">
        <v>44478</v>
      </c>
      <c r="B139" s="356"/>
      <c r="C139" t="str" s="352" cm="1">
        <f t="array" ref="C139">IF(ISBLANK(B139),"",B139*2.2046226218)</f>
      </c>
      <c r="D139" t="str" s="964" cm="1">
        <f t="array" ref="D139">IF(ISBLANK(B139),"",AVERAGE(B133:B139))</f>
      </c>
      <c r="E139" t="str" s="964" cm="1">
        <f t="array" ref="E139">IF(ISBLANK(B139),"",AVERAGE(B126:B139))</f>
      </c>
      <c r="F139" t="str" s="964" cm="1">
        <f t="array" ref="F139">IF(ISBLANK(B139),"",AVERAGE(B110:B139))</f>
      </c>
      <c r="G139" t="s" s="970"/>
      <c r="H139" t="s" s="970"/>
      <c r="I139" t="s" s="970"/>
      <c r="J139" t="s" s="970"/>
      <c r="K139" t="s" s="970"/>
      <c r="L139" t="s" s="970"/>
      <c r="M139" t="s" s="970"/>
      <c r="N139" t="s" s="970"/>
      <c r="O139" t="s" s="970"/>
      <c r="P139" t="s" s="970"/>
      <c r="Q139" s="962"/>
      <c r="R139" t="s" s="970"/>
      <c r="S139" t="s" s="970"/>
      <c r="T139" t="s" s="970"/>
      <c r="U139" t="s" s="971"/>
    </row>
    <row r="140" ht="8.75" customHeight="1" hidden="1">
      <c r="A140" s="960">
        <v>44479</v>
      </c>
      <c r="B140" s="356"/>
      <c r="C140" t="str" s="352" cm="1">
        <f t="array" ref="C140">IF(ISBLANK(B140),"",B140*2.2046226218)</f>
      </c>
      <c r="D140" t="str" s="964" cm="1">
        <f t="array" ref="D140">IF(ISBLANK(B140),"",AVERAGE(B134:B140))</f>
      </c>
      <c r="E140" t="str" s="964" cm="1">
        <f t="array" ref="E140">IF(ISBLANK(B140),"",AVERAGE(B127:B140))</f>
      </c>
      <c r="F140" t="str" s="964" cm="1">
        <f t="array" ref="F140">IF(ISBLANK(B140),"",AVERAGE(B111:B140))</f>
      </c>
      <c r="G140" t="s" s="970"/>
      <c r="H140" t="s" s="970"/>
      <c r="I140" t="s" s="970"/>
      <c r="J140" t="s" s="970"/>
      <c r="K140" t="s" s="970"/>
      <c r="L140" t="s" s="970"/>
      <c r="M140" t="s" s="970"/>
      <c r="N140" t="s" s="970"/>
      <c r="O140" t="s" s="970"/>
      <c r="P140" t="s" s="970"/>
      <c r="Q140" s="962"/>
      <c r="R140" t="s" s="970"/>
      <c r="S140" t="s" s="970"/>
      <c r="T140" t="s" s="970"/>
      <c r="U140" t="s" s="971"/>
    </row>
    <row r="141" ht="8.75" customHeight="1" hidden="1">
      <c r="A141" s="963">
        <v>44480</v>
      </c>
      <c r="B141" s="356"/>
      <c r="C141" t="str" s="352" cm="1">
        <f t="array" ref="C141">IF(ISBLANK(B141),"",B141*2.2046226218)</f>
      </c>
      <c r="D141" t="str" s="964" cm="1">
        <f t="array" ref="D141">IF(ISBLANK(B141),"",AVERAGE(B135:B141))</f>
      </c>
      <c r="E141" t="str" s="964" cm="1">
        <f t="array" ref="E141">IF(ISBLANK(B141),"",AVERAGE(B128:B141))</f>
      </c>
      <c r="F141" t="str" s="964" cm="1">
        <f t="array" ref="F141">IF(ISBLANK(B141),"",AVERAGE(B112:B141))</f>
      </c>
      <c r="G141" t="s" s="970"/>
      <c r="H141" t="s" s="970"/>
      <c r="I141" t="s" s="970"/>
      <c r="J141" t="s" s="970"/>
      <c r="K141" t="s" s="970"/>
      <c r="L141" t="s" s="970"/>
      <c r="M141" t="s" s="970"/>
      <c r="N141" t="s" s="970"/>
      <c r="O141" t="s" s="970"/>
      <c r="P141" t="s" s="970"/>
      <c r="Q141" s="962"/>
      <c r="R141" t="s" s="970"/>
      <c r="S141" t="s" s="970"/>
      <c r="T141" t="s" s="970"/>
      <c r="U141" t="s" s="971"/>
    </row>
    <row r="142" ht="8.75" customHeight="1" hidden="1">
      <c r="A142" s="960">
        <v>44481</v>
      </c>
      <c r="B142" s="356"/>
      <c r="C142" t="str" s="352" cm="1">
        <f t="array" ref="C142">IF(ISBLANK(B142),"",B142*2.2046226218)</f>
      </c>
      <c r="D142" t="str" s="964" cm="1">
        <f t="array" ref="D142">IF(ISBLANK(B142),"",AVERAGE(B136:B142))</f>
      </c>
      <c r="E142" t="str" s="964" cm="1">
        <f t="array" ref="E142">IF(ISBLANK(B142),"",AVERAGE(B129:B142))</f>
      </c>
      <c r="F142" t="str" s="964" cm="1">
        <f t="array" ref="F142">IF(ISBLANK(B142),"",AVERAGE(B113:B142))</f>
      </c>
      <c r="G142" t="s" s="970"/>
      <c r="H142" t="s" s="970"/>
      <c r="I142" t="s" s="970"/>
      <c r="J142" t="s" s="970"/>
      <c r="K142" t="s" s="970"/>
      <c r="L142" t="s" s="970"/>
      <c r="M142" t="s" s="970"/>
      <c r="N142" t="s" s="970"/>
      <c r="O142" t="s" s="970"/>
      <c r="P142" t="s" s="970"/>
      <c r="Q142" s="962"/>
      <c r="R142" t="s" s="970"/>
      <c r="S142" t="s" s="970"/>
      <c r="T142" t="s" s="970"/>
      <c r="U142" t="s" s="971"/>
    </row>
    <row r="143" ht="8.75" customHeight="1" hidden="1">
      <c r="A143" s="963">
        <v>44482</v>
      </c>
      <c r="B143" s="356"/>
      <c r="C143" t="str" s="352" cm="1">
        <f t="array" ref="C143">IF(ISBLANK(B143),"",B143*2.2046226218)</f>
      </c>
      <c r="D143" t="str" s="964" cm="1">
        <f t="array" ref="D143">IF(ISBLANK(B143),"",AVERAGE(B137:B143))</f>
      </c>
      <c r="E143" t="str" s="964" cm="1">
        <f t="array" ref="E143">IF(ISBLANK(B143),"",AVERAGE(B130:B143))</f>
      </c>
      <c r="F143" t="str" s="964" cm="1">
        <f t="array" ref="F143">IF(ISBLANK(B143),"",AVERAGE(B114:B143))</f>
      </c>
      <c r="G143" t="s" s="970"/>
      <c r="H143" t="s" s="970"/>
      <c r="I143" t="s" s="970"/>
      <c r="J143" t="s" s="970"/>
      <c r="K143" t="s" s="970"/>
      <c r="L143" t="s" s="970"/>
      <c r="M143" t="s" s="970"/>
      <c r="N143" t="s" s="970"/>
      <c r="O143" t="s" s="970"/>
      <c r="P143" t="s" s="970"/>
      <c r="Q143" s="962"/>
      <c r="R143" t="s" s="970"/>
      <c r="S143" t="s" s="970"/>
      <c r="T143" t="s" s="970"/>
      <c r="U143" t="s" s="971"/>
    </row>
    <row r="144" ht="8.75" customHeight="1" hidden="1">
      <c r="A144" s="960">
        <v>44483</v>
      </c>
      <c r="B144" s="356"/>
      <c r="C144" t="str" s="352" cm="1">
        <f t="array" ref="C144">IF(ISBLANK(B144),"",B144*2.2046226218)</f>
      </c>
      <c r="D144" t="str" s="964" cm="1">
        <f t="array" ref="D144">IF(ISBLANK(B144),"",AVERAGE(B138:B144))</f>
      </c>
      <c r="E144" t="str" s="964" cm="1">
        <f t="array" ref="E144">IF(ISBLANK(B144),"",AVERAGE(B131:B144))</f>
      </c>
      <c r="F144" t="str" s="964" cm="1">
        <f t="array" ref="F144">IF(ISBLANK(B144),"",AVERAGE(B115:B144))</f>
      </c>
      <c r="G144" t="s" s="970"/>
      <c r="H144" t="s" s="970"/>
      <c r="I144" t="s" s="970"/>
      <c r="J144" t="s" s="970"/>
      <c r="K144" t="s" s="970"/>
      <c r="L144" t="s" s="970"/>
      <c r="M144" t="s" s="970"/>
      <c r="N144" t="s" s="970"/>
      <c r="O144" t="s" s="970"/>
      <c r="P144" t="s" s="970"/>
      <c r="Q144" s="962"/>
      <c r="R144" t="s" s="970"/>
      <c r="S144" t="s" s="970"/>
      <c r="T144" t="s" s="970"/>
      <c r="U144" t="s" s="971"/>
    </row>
    <row r="145" ht="8.75" customHeight="1" hidden="1">
      <c r="A145" s="960">
        <v>44484</v>
      </c>
      <c r="B145" s="356"/>
      <c r="C145" t="str" s="352" cm="1">
        <f t="array" ref="C145">IF(ISBLANK(B145),"",B145*2.2046226218)</f>
      </c>
      <c r="D145" t="str" s="964" cm="1">
        <f t="array" ref="D145">IF(ISBLANK(B145),"",AVERAGE(B139:B145))</f>
      </c>
      <c r="E145" t="str" s="964" cm="1">
        <f t="array" ref="E145">IF(ISBLANK(B145),"",AVERAGE(B132:B145))</f>
      </c>
      <c r="F145" t="str" s="964" cm="1">
        <f t="array" ref="F145">IF(ISBLANK(B145),"",AVERAGE(B116:B145))</f>
      </c>
      <c r="G145" t="s" s="970"/>
      <c r="H145" t="s" s="970"/>
      <c r="I145" t="s" s="970"/>
      <c r="J145" t="s" s="970"/>
      <c r="K145" t="s" s="970"/>
      <c r="L145" t="s" s="970"/>
      <c r="M145" t="s" s="970"/>
      <c r="N145" t="s" s="970"/>
      <c r="O145" t="s" s="970"/>
      <c r="P145" t="s" s="970"/>
      <c r="Q145" s="962"/>
      <c r="R145" t="s" s="970"/>
      <c r="S145" t="s" s="970"/>
      <c r="T145" t="s" s="970"/>
      <c r="U145" t="s" s="971"/>
    </row>
    <row r="146" ht="8.75" customHeight="1" hidden="1">
      <c r="A146" s="963">
        <v>44485</v>
      </c>
      <c r="B146" s="356"/>
      <c r="C146" t="str" s="352" cm="1">
        <f t="array" ref="C146">IF(ISBLANK(B146),"",B146*2.2046226218)</f>
      </c>
      <c r="D146" t="str" s="964" cm="1">
        <f t="array" ref="D146">IF(ISBLANK(B146),"",AVERAGE(B140:B146))</f>
      </c>
      <c r="E146" t="str" s="964" cm="1">
        <f t="array" ref="E146">IF(ISBLANK(B146),"",AVERAGE(B133:B146))</f>
      </c>
      <c r="F146" t="str" s="964" cm="1">
        <f t="array" ref="F146">IF(ISBLANK(B146),"",AVERAGE(B117:B146))</f>
      </c>
      <c r="G146" t="s" s="970"/>
      <c r="H146" t="s" s="970"/>
      <c r="I146" t="s" s="970"/>
      <c r="J146" t="s" s="970"/>
      <c r="K146" t="s" s="970"/>
      <c r="L146" t="s" s="970"/>
      <c r="M146" t="s" s="970"/>
      <c r="N146" t="s" s="970"/>
      <c r="O146" t="s" s="970"/>
      <c r="P146" t="s" s="970"/>
      <c r="Q146" s="962"/>
      <c r="R146" t="s" s="970"/>
      <c r="S146" t="s" s="970"/>
      <c r="T146" t="s" s="970"/>
      <c r="U146" t="s" s="971"/>
    </row>
    <row r="147" ht="8.75" customHeight="1" hidden="1">
      <c r="A147" s="960">
        <v>44486</v>
      </c>
      <c r="B147" s="356"/>
      <c r="C147" t="str" s="352" cm="1">
        <f t="array" ref="C147">IF(ISBLANK(B147),"",B147*2.2046226218)</f>
      </c>
      <c r="D147" t="str" s="964" cm="1">
        <f t="array" ref="D147">IF(ISBLANK(B147),"",AVERAGE(B141:B147))</f>
      </c>
      <c r="E147" t="str" s="964" cm="1">
        <f t="array" ref="E147">IF(ISBLANK(B147),"",AVERAGE(B134:B147))</f>
      </c>
      <c r="F147" t="str" s="964" cm="1">
        <f t="array" ref="F147">IF(ISBLANK(B147),"",AVERAGE(B118:B147))</f>
      </c>
      <c r="G147" t="s" s="970"/>
      <c r="H147" t="s" s="970"/>
      <c r="I147" t="s" s="970"/>
      <c r="J147" t="s" s="970"/>
      <c r="K147" t="s" s="970"/>
      <c r="L147" t="s" s="970"/>
      <c r="M147" t="s" s="970"/>
      <c r="N147" t="s" s="970"/>
      <c r="O147" t="s" s="970"/>
      <c r="P147" t="s" s="970"/>
      <c r="Q147" s="962"/>
      <c r="R147" t="s" s="970"/>
      <c r="S147" t="s" s="970"/>
      <c r="T147" t="s" s="970"/>
      <c r="U147" t="s" s="971"/>
    </row>
    <row r="148" ht="8.75" customHeight="1" hidden="1">
      <c r="A148" s="963">
        <v>44487</v>
      </c>
      <c r="B148" s="356"/>
      <c r="C148" t="str" s="352" cm="1">
        <f t="array" ref="C148">IF(ISBLANK(B148),"",B148*2.2046226218)</f>
      </c>
      <c r="D148" t="str" s="964" cm="1">
        <f t="array" ref="D148">IF(ISBLANK(B148),"",AVERAGE(B142:B148))</f>
      </c>
      <c r="E148" t="str" s="964" cm="1">
        <f t="array" ref="E148">IF(ISBLANK(B148),"",AVERAGE(B135:B148))</f>
      </c>
      <c r="F148" t="str" s="964" cm="1">
        <f t="array" ref="F148">IF(ISBLANK(B148),"",AVERAGE(B119:B148))</f>
      </c>
      <c r="G148" t="s" s="970"/>
      <c r="H148" t="s" s="970"/>
      <c r="I148" t="s" s="970"/>
      <c r="J148" t="s" s="970"/>
      <c r="K148" t="s" s="970"/>
      <c r="L148" t="s" s="970"/>
      <c r="M148" t="s" s="970"/>
      <c r="N148" t="s" s="970"/>
      <c r="O148" t="s" s="970"/>
      <c r="P148" t="s" s="970"/>
      <c r="Q148" s="962"/>
      <c r="R148" t="s" s="970"/>
      <c r="S148" t="s" s="970"/>
      <c r="T148" t="s" s="970"/>
      <c r="U148" t="s" s="971"/>
    </row>
    <row r="149" ht="8.75" customHeight="1" hidden="1">
      <c r="A149" s="960">
        <v>44488</v>
      </c>
      <c r="B149" s="356"/>
      <c r="C149" t="str" s="352" cm="1">
        <f t="array" ref="C149">IF(ISBLANK(B149),"",B149*2.2046226218)</f>
      </c>
      <c r="D149" t="str" s="964" cm="1">
        <f t="array" ref="D149">IF(ISBLANK(B149),"",AVERAGE(B143:B149))</f>
      </c>
      <c r="E149" t="str" s="964" cm="1">
        <f t="array" ref="E149">IF(ISBLANK(B149),"",AVERAGE(B136:B149))</f>
      </c>
      <c r="F149" t="str" s="964" cm="1">
        <f t="array" ref="F149">IF(ISBLANK(B149),"",AVERAGE(B120:B149))</f>
      </c>
      <c r="G149" t="s" s="970"/>
      <c r="H149" t="s" s="970"/>
      <c r="I149" t="s" s="970"/>
      <c r="J149" t="s" s="970"/>
      <c r="K149" t="s" s="970"/>
      <c r="L149" t="s" s="970"/>
      <c r="M149" t="s" s="970"/>
      <c r="N149" t="s" s="970"/>
      <c r="O149" t="s" s="970"/>
      <c r="P149" t="s" s="970"/>
      <c r="Q149" s="962"/>
      <c r="R149" t="s" s="970"/>
      <c r="S149" t="s" s="970"/>
      <c r="T149" t="s" s="970"/>
      <c r="U149" t="s" s="971"/>
    </row>
    <row r="150" ht="8.75" customHeight="1" hidden="1">
      <c r="A150" s="963">
        <v>44489</v>
      </c>
      <c r="B150" s="356"/>
      <c r="C150" t="str" s="352" cm="1">
        <f t="array" ref="C150">IF(ISBLANK(B150),"",B150*2.2046226218)</f>
      </c>
      <c r="D150" t="str" s="964" cm="1">
        <f t="array" ref="D150">IF(ISBLANK(B150),"",AVERAGE(B144:B150))</f>
      </c>
      <c r="E150" t="str" s="964" cm="1">
        <f t="array" ref="E150">IF(ISBLANK(B150),"",AVERAGE(B137:B150))</f>
      </c>
      <c r="F150" t="str" s="964" cm="1">
        <f t="array" ref="F150">IF(ISBLANK(B150),"",AVERAGE(B121:B150))</f>
      </c>
      <c r="G150" t="s" s="970"/>
      <c r="H150" t="s" s="970"/>
      <c r="I150" t="s" s="970"/>
      <c r="J150" t="s" s="970"/>
      <c r="K150" t="s" s="970"/>
      <c r="L150" t="s" s="970"/>
      <c r="M150" t="s" s="970"/>
      <c r="N150" t="s" s="970"/>
      <c r="O150" t="s" s="970"/>
      <c r="P150" t="s" s="970"/>
      <c r="Q150" s="962"/>
      <c r="R150" t="s" s="970"/>
      <c r="S150" t="s" s="970"/>
      <c r="T150" t="s" s="970"/>
      <c r="U150" t="s" s="971"/>
    </row>
    <row r="151" ht="8.75" customHeight="1" hidden="1">
      <c r="A151" s="960">
        <v>44490</v>
      </c>
      <c r="B151" s="356"/>
      <c r="C151" t="str" s="352" cm="1">
        <f t="array" ref="C151">IF(ISBLANK(B151),"",B151*2.2046226218)</f>
      </c>
      <c r="D151" t="str" s="964" cm="1">
        <f t="array" ref="D151">IF(ISBLANK(B151),"",AVERAGE(B145:B151))</f>
      </c>
      <c r="E151" t="str" s="964" cm="1">
        <f t="array" ref="E151">IF(ISBLANK(B151),"",AVERAGE(B138:B151))</f>
      </c>
      <c r="F151" t="str" s="964" cm="1">
        <f t="array" ref="F151">IF(ISBLANK(B151),"",AVERAGE(B122:B151))</f>
      </c>
      <c r="G151" t="s" s="970"/>
      <c r="H151" t="s" s="970"/>
      <c r="I151" t="s" s="970"/>
      <c r="J151" t="s" s="970"/>
      <c r="K151" t="s" s="970"/>
      <c r="L151" t="s" s="970"/>
      <c r="M151" t="s" s="970"/>
      <c r="N151" t="s" s="970"/>
      <c r="O151" t="s" s="970"/>
      <c r="P151" t="s" s="970"/>
      <c r="Q151" s="962"/>
      <c r="R151" t="s" s="970"/>
      <c r="S151" t="s" s="970"/>
      <c r="T151" t="s" s="970"/>
      <c r="U151" t="s" s="971"/>
    </row>
    <row r="152" ht="8.75" customHeight="1" hidden="1">
      <c r="A152" s="960">
        <v>44491</v>
      </c>
      <c r="B152" s="356"/>
      <c r="C152" t="str" s="352" cm="1">
        <f t="array" ref="C152">IF(ISBLANK(B152),"",B152*2.2046226218)</f>
      </c>
      <c r="D152" t="str" s="964" cm="1">
        <f t="array" ref="D152">IF(ISBLANK(B152),"",AVERAGE(B146:B152))</f>
      </c>
      <c r="E152" t="str" s="964" cm="1">
        <f t="array" ref="E152">IF(ISBLANK(B152),"",AVERAGE(B139:B152))</f>
      </c>
      <c r="F152" t="str" s="964" cm="1">
        <f t="array" ref="F152">IF(ISBLANK(B152),"",AVERAGE(B123:B152))</f>
      </c>
      <c r="G152" t="s" s="970"/>
      <c r="H152" t="s" s="970"/>
      <c r="I152" t="s" s="970"/>
      <c r="J152" t="s" s="970"/>
      <c r="K152" t="s" s="970"/>
      <c r="L152" t="s" s="970"/>
      <c r="M152" t="s" s="970"/>
      <c r="N152" t="s" s="970"/>
      <c r="O152" t="s" s="970"/>
      <c r="P152" t="s" s="970"/>
      <c r="Q152" s="962"/>
      <c r="R152" t="s" s="970"/>
      <c r="S152" t="s" s="970"/>
      <c r="T152" t="s" s="970"/>
      <c r="U152" t="s" s="971"/>
    </row>
    <row r="153" ht="8.75" customHeight="1" hidden="1">
      <c r="A153" s="963">
        <v>44492</v>
      </c>
      <c r="B153" s="356"/>
      <c r="C153" t="str" s="352" cm="1">
        <f t="array" ref="C153">IF(ISBLANK(B153),"",B153*2.2046226218)</f>
      </c>
      <c r="D153" t="str" s="964" cm="1">
        <f t="array" ref="D153">IF(ISBLANK(B153),"",AVERAGE(B147:B153))</f>
      </c>
      <c r="E153" t="str" s="964" cm="1">
        <f t="array" ref="E153">IF(ISBLANK(B153),"",AVERAGE(B140:B153))</f>
      </c>
      <c r="F153" t="str" s="964" cm="1">
        <f t="array" ref="F153">IF(ISBLANK(B153),"",AVERAGE(B124:B153))</f>
      </c>
      <c r="G153" t="s" s="970"/>
      <c r="H153" t="s" s="970"/>
      <c r="I153" t="s" s="970"/>
      <c r="J153" t="s" s="970"/>
      <c r="K153" t="s" s="970"/>
      <c r="L153" t="s" s="970"/>
      <c r="M153" t="s" s="970"/>
      <c r="N153" t="s" s="970"/>
      <c r="O153" t="s" s="970"/>
      <c r="P153" t="s" s="970"/>
      <c r="Q153" s="962"/>
      <c r="R153" t="s" s="970"/>
      <c r="S153" t="s" s="970"/>
      <c r="T153" t="s" s="970"/>
      <c r="U153" t="s" s="971"/>
    </row>
    <row r="154" ht="8.75" customHeight="1" hidden="1">
      <c r="A154" s="960">
        <v>44493</v>
      </c>
      <c r="B154" s="356"/>
      <c r="C154" t="str" s="352" cm="1">
        <f t="array" ref="C154">IF(ISBLANK(B154),"",B154*2.2046226218)</f>
      </c>
      <c r="D154" t="str" s="964" cm="1">
        <f t="array" ref="D154">IF(ISBLANK(B154),"",AVERAGE(B148:B154))</f>
      </c>
      <c r="E154" t="str" s="964" cm="1">
        <f t="array" ref="E154">IF(ISBLANK(B154),"",AVERAGE(B141:B154))</f>
      </c>
      <c r="F154" t="str" s="964" cm="1">
        <f t="array" ref="F154">IF(ISBLANK(B154),"",AVERAGE(B125:B154))</f>
      </c>
      <c r="G154" t="s" s="970"/>
      <c r="H154" t="s" s="970"/>
      <c r="I154" t="s" s="970"/>
      <c r="J154" t="s" s="970"/>
      <c r="K154" t="s" s="970"/>
      <c r="L154" t="s" s="970"/>
      <c r="M154" t="s" s="970"/>
      <c r="N154" t="s" s="970"/>
      <c r="O154" t="s" s="970"/>
      <c r="P154" t="s" s="970"/>
      <c r="Q154" s="962"/>
      <c r="R154" t="s" s="970"/>
      <c r="S154" t="s" s="970"/>
      <c r="T154" t="s" s="970"/>
      <c r="U154" t="s" s="971"/>
    </row>
    <row r="155" ht="8.75" customHeight="1" hidden="1">
      <c r="A155" s="963">
        <v>44494</v>
      </c>
      <c r="B155" s="356"/>
      <c r="C155" t="str" s="352" cm="1">
        <f t="array" ref="C155">IF(ISBLANK(B155),"",B155*2.2046226218)</f>
      </c>
      <c r="D155" t="str" s="964" cm="1">
        <f t="array" ref="D155">IF(ISBLANK(B155),"",AVERAGE(B149:B155))</f>
      </c>
      <c r="E155" t="str" s="964" cm="1">
        <f t="array" ref="E155">IF(ISBLANK(B155),"",AVERAGE(B142:B155))</f>
      </c>
      <c r="F155" t="str" s="964" cm="1">
        <f t="array" ref="F155">IF(ISBLANK(B155),"",AVERAGE(B126:B155))</f>
      </c>
      <c r="G155" t="s" s="970"/>
      <c r="H155" t="s" s="970"/>
      <c r="I155" t="s" s="970"/>
      <c r="J155" t="s" s="970"/>
      <c r="K155" t="s" s="970"/>
      <c r="L155" t="s" s="970"/>
      <c r="M155" t="s" s="970"/>
      <c r="N155" t="s" s="970"/>
      <c r="O155" t="s" s="970"/>
      <c r="P155" t="s" s="970"/>
      <c r="Q155" s="962"/>
      <c r="R155" t="s" s="970"/>
      <c r="S155" t="s" s="970"/>
      <c r="T155" t="s" s="970"/>
      <c r="U155" t="s" s="971"/>
    </row>
    <row r="156" ht="8.75" customHeight="1" hidden="1">
      <c r="A156" s="960">
        <v>44495</v>
      </c>
      <c r="B156" s="356"/>
      <c r="C156" t="str" s="352" cm="1">
        <f t="array" ref="C156">IF(ISBLANK(B156),"",B156*2.2046226218)</f>
      </c>
      <c r="D156" t="str" s="964" cm="1">
        <f t="array" ref="D156">IF(ISBLANK(B156),"",AVERAGE(B150:B156))</f>
      </c>
      <c r="E156" t="str" s="964" cm="1">
        <f t="array" ref="E156">IF(ISBLANK(B156),"",AVERAGE(B143:B156))</f>
      </c>
      <c r="F156" t="str" s="964" cm="1">
        <f t="array" ref="F156">IF(ISBLANK(B156),"",AVERAGE(B127:B156))</f>
      </c>
      <c r="G156" t="s" s="970"/>
      <c r="H156" t="s" s="970"/>
      <c r="I156" t="s" s="970"/>
      <c r="J156" t="s" s="970"/>
      <c r="K156" t="s" s="970"/>
      <c r="L156" t="s" s="970"/>
      <c r="M156" t="s" s="970"/>
      <c r="N156" t="s" s="970"/>
      <c r="O156" t="s" s="970"/>
      <c r="P156" t="s" s="970"/>
      <c r="Q156" s="962"/>
      <c r="R156" t="s" s="970"/>
      <c r="S156" t="s" s="970"/>
      <c r="T156" t="s" s="970"/>
      <c r="U156" t="s" s="971"/>
    </row>
    <row r="157" ht="8.75" customHeight="1" hidden="1">
      <c r="A157" s="963">
        <v>44496</v>
      </c>
      <c r="B157" s="356"/>
      <c r="C157" t="str" s="352" cm="1">
        <f t="array" ref="C157">IF(ISBLANK(B157),"",B157*2.2046226218)</f>
      </c>
      <c r="D157" t="str" s="964" cm="1">
        <f t="array" ref="D157">IF(ISBLANK(B157),"",AVERAGE(B151:B157))</f>
      </c>
      <c r="E157" t="str" s="964" cm="1">
        <f t="array" ref="E157">IF(ISBLANK(B157),"",AVERAGE(B144:B157))</f>
      </c>
      <c r="F157" t="str" s="964" cm="1">
        <f t="array" ref="F157">IF(ISBLANK(B157),"",AVERAGE(B128:B157))</f>
      </c>
      <c r="G157" t="s" s="970"/>
      <c r="H157" t="s" s="970"/>
      <c r="I157" t="s" s="970"/>
      <c r="J157" t="s" s="970"/>
      <c r="K157" t="s" s="970"/>
      <c r="L157" t="s" s="970"/>
      <c r="M157" t="s" s="970"/>
      <c r="N157" t="s" s="970"/>
      <c r="O157" t="s" s="970"/>
      <c r="P157" t="s" s="970"/>
      <c r="Q157" s="962"/>
      <c r="R157" t="s" s="970"/>
      <c r="S157" t="s" s="970"/>
      <c r="T157" t="s" s="970"/>
      <c r="U157" t="s" s="971"/>
    </row>
    <row r="158" ht="8.75" customHeight="1" hidden="1">
      <c r="A158" s="960">
        <v>44497</v>
      </c>
      <c r="B158" s="356"/>
      <c r="C158" t="str" s="352" cm="1">
        <f t="array" ref="C158">IF(ISBLANK(B158),"",B158*2.2046226218)</f>
      </c>
      <c r="D158" t="str" s="964" cm="1">
        <f t="array" ref="D158">IF(ISBLANK(B158),"",AVERAGE(B152:B158))</f>
      </c>
      <c r="E158" t="str" s="964" cm="1">
        <f t="array" ref="E158">IF(ISBLANK(B158),"",AVERAGE(B145:B158))</f>
      </c>
      <c r="F158" t="str" s="964" cm="1">
        <f t="array" ref="F158">IF(ISBLANK(B158),"",AVERAGE(B129:B158))</f>
      </c>
      <c r="G158" t="s" s="970"/>
      <c r="H158" t="s" s="970"/>
      <c r="I158" t="s" s="970"/>
      <c r="J158" t="s" s="970"/>
      <c r="K158" t="s" s="970"/>
      <c r="L158" t="s" s="970"/>
      <c r="M158" t="s" s="970"/>
      <c r="N158" t="s" s="970"/>
      <c r="O158" t="s" s="970"/>
      <c r="P158" t="s" s="970"/>
      <c r="Q158" s="962"/>
      <c r="R158" t="s" s="970"/>
      <c r="S158" t="s" s="970"/>
      <c r="T158" t="s" s="970"/>
      <c r="U158" t="s" s="971"/>
    </row>
    <row r="159" ht="8.75" customHeight="1" hidden="1">
      <c r="A159" s="960">
        <v>44498</v>
      </c>
      <c r="B159" s="356"/>
      <c r="C159" t="str" s="352" cm="1">
        <f t="array" ref="C159">IF(ISBLANK(B159),"",B159*2.2046226218)</f>
      </c>
      <c r="D159" t="str" s="964" cm="1">
        <f t="array" ref="D159">IF(ISBLANK(B159),"",AVERAGE(B153:B159))</f>
      </c>
      <c r="E159" t="str" s="964" cm="1">
        <f t="array" ref="E159">IF(ISBLANK(B159),"",AVERAGE(B146:B159))</f>
      </c>
      <c r="F159" t="str" s="964" cm="1">
        <f t="array" ref="F159">IF(ISBLANK(B159),"",AVERAGE(B130:B159))</f>
      </c>
      <c r="G159" t="s" s="970"/>
      <c r="H159" t="s" s="970"/>
      <c r="I159" t="s" s="970"/>
      <c r="J159" t="s" s="970"/>
      <c r="K159" t="s" s="970"/>
      <c r="L159" t="s" s="970"/>
      <c r="M159" t="s" s="970"/>
      <c r="N159" t="s" s="970"/>
      <c r="O159" t="s" s="970"/>
      <c r="P159" t="s" s="970"/>
      <c r="Q159" s="962"/>
      <c r="R159" t="s" s="970"/>
      <c r="S159" t="s" s="970"/>
      <c r="T159" t="s" s="970"/>
      <c r="U159" t="s" s="971"/>
    </row>
    <row r="160" ht="8.75" customHeight="1" hidden="1">
      <c r="A160" s="963">
        <v>44499</v>
      </c>
      <c r="B160" s="356"/>
      <c r="C160" t="str" s="352" cm="1">
        <f t="array" ref="C160">IF(ISBLANK(B160),"",B160*2.2046226218)</f>
      </c>
      <c r="D160" t="str" s="964" cm="1">
        <f t="array" ref="D160">IF(ISBLANK(B160),"",AVERAGE(B154:B160))</f>
      </c>
      <c r="E160" t="str" s="964" cm="1">
        <f t="array" ref="E160">IF(ISBLANK(B160),"",AVERAGE(B147:B160))</f>
      </c>
      <c r="F160" t="str" s="964" cm="1">
        <f t="array" ref="F160">IF(ISBLANK(B160),"",AVERAGE(B131:B160))</f>
      </c>
      <c r="G160" t="s" s="970"/>
      <c r="H160" t="s" s="970"/>
      <c r="I160" t="s" s="970"/>
      <c r="J160" t="s" s="970"/>
      <c r="K160" t="s" s="970"/>
      <c r="L160" t="s" s="970"/>
      <c r="M160" t="s" s="970"/>
      <c r="N160" t="s" s="970"/>
      <c r="O160" t="s" s="970"/>
      <c r="P160" t="s" s="970"/>
      <c r="Q160" s="962"/>
      <c r="R160" t="s" s="970"/>
      <c r="S160" t="s" s="970"/>
      <c r="T160" t="s" s="970"/>
      <c r="U160" t="s" s="971"/>
    </row>
    <row r="161" ht="8.75" customHeight="1" hidden="1">
      <c r="A161" s="960">
        <v>44500</v>
      </c>
      <c r="B161" s="356"/>
      <c r="C161" t="str" s="352" cm="1">
        <f t="array" ref="C161">IF(ISBLANK(B161),"",B161*2.2046226218)</f>
      </c>
      <c r="D161" t="str" s="964" cm="1">
        <f t="array" ref="D161">IF(ISBLANK(B161),"",AVERAGE(B155:B161))</f>
      </c>
      <c r="E161" t="str" s="964" cm="1">
        <f t="array" ref="E161">IF(ISBLANK(B161),"",AVERAGE(B148:B161))</f>
      </c>
      <c r="F161" t="str" s="964" cm="1">
        <f t="array" ref="F161">IF(ISBLANK(B161),"",AVERAGE(B132:B161))</f>
      </c>
      <c r="G161" t="s" s="970"/>
      <c r="H161" t="s" s="970"/>
      <c r="I161" t="s" s="970"/>
      <c r="J161" t="s" s="970"/>
      <c r="K161" t="s" s="970"/>
      <c r="L161" t="s" s="970"/>
      <c r="M161" t="s" s="970"/>
      <c r="N161" t="s" s="970"/>
      <c r="O161" t="s" s="970"/>
      <c r="P161" t="s" s="970"/>
      <c r="Q161" s="962"/>
      <c r="R161" t="s" s="970"/>
      <c r="S161" t="s" s="970"/>
      <c r="T161" t="s" s="970"/>
      <c r="U161" t="s" s="971"/>
    </row>
    <row r="162" ht="8.75" customHeight="1" hidden="1">
      <c r="A162" s="960">
        <v>44501</v>
      </c>
      <c r="B162" s="356"/>
      <c r="C162" t="str" s="352" cm="1">
        <f t="array" ref="C162">IF(ISBLANK(B162),"",B162*2.2046226218)</f>
      </c>
      <c r="D162" t="str" s="964" cm="1">
        <f t="array" ref="D162">IF(ISBLANK(B162),"",AVERAGE(B156:B162))</f>
      </c>
      <c r="E162" t="str" s="964" cm="1">
        <f t="array" ref="E162">IF(ISBLANK(B162),"",AVERAGE(B149:B162))</f>
      </c>
      <c r="F162" t="str" s="964" cm="1">
        <f t="array" ref="F162">IF(ISBLANK(B162),"",AVERAGE(B133:B162))</f>
      </c>
      <c r="G162" t="str" s="964" cm="1">
        <f t="array" ref="G162">IF(ISBLANK($B162),"",'tracking - Table 2-1-1'!$C$3)</f>
      </c>
      <c r="H162" t="str" s="964" cm="1">
        <f t="array" ref="H162">IF(ISBLANK($B162),"",'tracking - Table 2-1-1'!$C$9)</f>
      </c>
      <c r="I162" t="str" s="964" cm="1">
        <f t="array" ref="I162">IF(ISBLANK($B162),"",'tracking - Table 2-1-1'!$C$10)</f>
      </c>
      <c r="J162" t="str" s="964" cm="1">
        <f t="array" ref="J162">IF(ISBLANK($B162),"",'tracking - Table 2-1-1'!$C$7)</f>
      </c>
      <c r="K162" t="str" s="964" cm="1">
        <f t="array" ref="K162">IF(ISBLANK($B162),"",'tracking - Table 2-1-1'!$C$11)</f>
      </c>
      <c r="L162" t="str" s="964" cm="1">
        <f t="array" ref="L162">IF(ISBLANK($B162),"",'tracking - Table 2-1-1'!$C$12)</f>
      </c>
      <c r="M162" t="str" s="964" cm="1">
        <f t="array" ref="M162">IF(ISBLANK($B162),"",'tracking - Table 2-1-1'!$C$13)</f>
      </c>
      <c r="N162" t="str" s="964" cm="1">
        <f t="array" ref="N162">IF(ISBLANK($B162),"",'tracking - Table 2-1-1'!$C$4)</f>
      </c>
      <c r="O162" t="str" s="964" cm="1">
        <f t="array" ref="O162">IF(ISBLANK($B162),"",'tracking - Table 2-1-1'!$C$5)</f>
      </c>
      <c r="P162" t="str" s="964" cm="1">
        <f t="array" ref="P162">IF(ISBLANK($B162),"",'tracking - Table 2-1-1'!$C$6)</f>
      </c>
      <c r="Q162" s="962"/>
      <c r="R162" t="str" s="964" cm="1">
        <f t="array" ref="R162">IF(ISBLANK($B162),"",'tracking - Table 2-1-2'!C$66)</f>
      </c>
      <c r="S162" t="str" s="964" cm="1">
        <f t="array" ref="S162">IF(ISBLANK($B162),"",'tracking - Table 2-1-2'!D$66)</f>
      </c>
      <c r="T162" t="str" s="964" cm="1">
        <f t="array" ref="T162">IF(ISBLANK($B162),"",'tracking - Table 2-1-2'!E$66)</f>
      </c>
      <c r="U162" t="str" s="969" cm="1">
        <f t="array" ref="U162">IF(ISBLANK($B162),"",'tracking - Table 2-1-2'!F$66)</f>
      </c>
    </row>
    <row r="163" ht="8.75" customHeight="1" hidden="1">
      <c r="A163" s="960">
        <v>44502</v>
      </c>
      <c r="B163" s="356"/>
      <c r="C163" t="str" s="352" cm="1">
        <f t="array" ref="C163">IF(ISBLANK(B163),"",B163*2.2046226218)</f>
      </c>
      <c r="D163" t="str" s="964" cm="1">
        <f t="array" ref="D163">IF(ISBLANK(B163),"",AVERAGE(B157:B163))</f>
      </c>
      <c r="E163" t="str" s="964" cm="1">
        <f t="array" ref="E163">IF(ISBLANK(B163),"",AVERAGE(B150:B163))</f>
      </c>
      <c r="F163" t="str" s="964" cm="1">
        <f t="array" ref="F163">IF(ISBLANK(B163),"",AVERAGE(B134:B163))</f>
      </c>
      <c r="G163" t="str" s="964" cm="1">
        <f t="array" ref="G163">IF(ISBLANK($B163),"",'tracking - Table 2-1-1'!$C$3)</f>
      </c>
      <c r="H163" t="str" s="964" cm="1">
        <f t="array" ref="H163">IF(ISBLANK($B163),"",'tracking - Table 2-1-1'!$C$9)</f>
      </c>
      <c r="I163" t="str" s="964" cm="1">
        <f t="array" ref="I163">IF(ISBLANK($B163),"",'tracking - Table 2-1-1'!$C$10)</f>
      </c>
      <c r="J163" t="str" s="964" cm="1">
        <f t="array" ref="J163">IF(ISBLANK($B163),"",'tracking - Table 2-1-1'!$C$7)</f>
      </c>
      <c r="K163" t="str" s="964" cm="1">
        <f t="array" ref="K163">IF(ISBLANK($B163),"",'tracking - Table 2-1-1'!$C$11)</f>
      </c>
      <c r="L163" t="str" s="964" cm="1">
        <f t="array" ref="L163">IF(ISBLANK($B163),"",'tracking - Table 2-1-1'!$C$12)</f>
      </c>
      <c r="M163" t="str" s="964" cm="1">
        <f t="array" ref="M163">IF(ISBLANK($B163),"",'tracking - Table 2-1-1'!$C$13)</f>
      </c>
      <c r="N163" t="str" s="964" cm="1">
        <f t="array" ref="N163">IF(ISBLANK($B163),"",'tracking - Table 2-1-1'!$C$4)</f>
      </c>
      <c r="O163" t="str" s="964" cm="1">
        <f t="array" ref="O163">IF(ISBLANK($B163),"",'tracking - Table 2-1-1'!$C$5)</f>
      </c>
      <c r="P163" t="str" s="964" cm="1">
        <f t="array" ref="P163">IF(ISBLANK($B163),"",'tracking - Table 2-1-1'!$C$6)</f>
      </c>
      <c r="Q163" s="962"/>
      <c r="R163" t="str" s="964" cm="1">
        <f t="array" ref="R163">IF(ISBLANK($B163),"",'tracking - Table 2-1-2'!C$66)</f>
      </c>
      <c r="S163" t="str" s="964" cm="1">
        <f t="array" ref="S163">IF(ISBLANK($B163),"",'tracking - Table 2-1-2'!D$66)</f>
      </c>
      <c r="T163" t="str" s="964" cm="1">
        <f t="array" ref="T163">IF(ISBLANK($B163),"",'tracking - Table 2-1-2'!E$66)</f>
      </c>
      <c r="U163" t="str" s="969" cm="1">
        <f t="array" ref="U163">IF(ISBLANK($B163),"",'tracking - Table 2-1-2'!F$66)</f>
      </c>
    </row>
    <row r="164" ht="8.75" customHeight="1" hidden="1">
      <c r="A164" s="960">
        <v>44503</v>
      </c>
      <c r="B164" s="356"/>
      <c r="C164" t="str" s="352" cm="1">
        <f t="array" ref="C164">IF(ISBLANK(B164),"",B164*2.2046226218)</f>
      </c>
      <c r="D164" t="str" s="964" cm="1">
        <f t="array" ref="D164">IF(ISBLANK(B164),"",AVERAGE(B158:B164))</f>
      </c>
      <c r="E164" t="str" s="964" cm="1">
        <f t="array" ref="E164">IF(ISBLANK(B164),"",AVERAGE(B151:B164))</f>
      </c>
      <c r="F164" t="str" s="964" cm="1">
        <f t="array" ref="F164">IF(ISBLANK(B164),"",AVERAGE(B135:B164))</f>
      </c>
      <c r="G164" t="str" s="964" cm="1">
        <f t="array" ref="G164">IF(ISBLANK($B164),"",'tracking - Table 2-1-1'!$C$3)</f>
      </c>
      <c r="H164" t="str" s="964" cm="1">
        <f t="array" ref="H164">IF(ISBLANK($B164),"",'tracking - Table 2-1-1'!$C$9)</f>
      </c>
      <c r="I164" t="str" s="964" cm="1">
        <f t="array" ref="I164">IF(ISBLANK($B164),"",'tracking - Table 2-1-1'!$C$10)</f>
      </c>
      <c r="J164" t="str" s="964" cm="1">
        <f t="array" ref="J164">IF(ISBLANK($B164),"",'tracking - Table 2-1-1'!$C$7)</f>
      </c>
      <c r="K164" t="str" s="964" cm="1">
        <f t="array" ref="K164">IF(ISBLANK($B164),"",'tracking - Table 2-1-1'!$C$11)</f>
      </c>
      <c r="L164" t="str" s="964" cm="1">
        <f t="array" ref="L164">IF(ISBLANK($B164),"",'tracking - Table 2-1-1'!$C$12)</f>
      </c>
      <c r="M164" t="str" s="964" cm="1">
        <f t="array" ref="M164">IF(ISBLANK($B164),"",'tracking - Table 2-1-1'!$C$13)</f>
      </c>
      <c r="N164" t="str" s="964" cm="1">
        <f t="array" ref="N164">IF(ISBLANK($B164),"",'tracking - Table 2-1-1'!$C$4)</f>
      </c>
      <c r="O164" t="str" s="964" cm="1">
        <f t="array" ref="O164">IF(ISBLANK($B164),"",'tracking - Table 2-1-1'!$C$5)</f>
      </c>
      <c r="P164" t="str" s="964" cm="1">
        <f t="array" ref="P164">IF(ISBLANK($B164),"",'tracking - Table 2-1-1'!$C$6)</f>
      </c>
      <c r="Q164" s="962"/>
      <c r="R164" t="str" s="964" cm="1">
        <f t="array" ref="R164">IF(ISBLANK($B164),"",'tracking - Table 2-1-2'!C$66)</f>
      </c>
      <c r="S164" t="str" s="964" cm="1">
        <f t="array" ref="S164">IF(ISBLANK($B164),"",'tracking - Table 2-1-2'!D$66)</f>
      </c>
      <c r="T164" t="str" s="964" cm="1">
        <f t="array" ref="T164">IF(ISBLANK($B164),"",'tracking - Table 2-1-2'!E$66)</f>
      </c>
      <c r="U164" t="str" s="969" cm="1">
        <f t="array" ref="U164">IF(ISBLANK($B164),"",'tracking - Table 2-1-2'!F$66)</f>
      </c>
    </row>
    <row r="165" ht="8.75" customHeight="1" hidden="1">
      <c r="A165" s="960">
        <v>44504</v>
      </c>
      <c r="B165" s="356"/>
      <c r="C165" t="str" s="352" cm="1">
        <f t="array" ref="C165">IF(ISBLANK(B165),"",B165*2.2046226218)</f>
      </c>
      <c r="D165" t="str" s="964" cm="1">
        <f t="array" ref="D165">IF(ISBLANK(B165),"",AVERAGE(B159:B165))</f>
      </c>
      <c r="E165" t="str" s="964" cm="1">
        <f t="array" ref="E165">IF(ISBLANK(B165),"",AVERAGE(B152:B165))</f>
      </c>
      <c r="F165" t="str" s="964" cm="1">
        <f t="array" ref="F165">IF(ISBLANK(B165),"",AVERAGE(B136:B165))</f>
      </c>
      <c r="G165" t="str" s="964" cm="1">
        <f t="array" ref="G165">IF(ISBLANK($B165),"",'tracking - Table 2-1-1'!$C$3)</f>
      </c>
      <c r="H165" t="str" s="964" cm="1">
        <f t="array" ref="H165">IF(ISBLANK($B165),"",'tracking - Table 2-1-1'!$C$9)</f>
      </c>
      <c r="I165" t="str" s="964" cm="1">
        <f t="array" ref="I165">IF(ISBLANK($B165),"",'tracking - Table 2-1-1'!$C$10)</f>
      </c>
      <c r="J165" t="str" s="964" cm="1">
        <f t="array" ref="J165">IF(ISBLANK($B165),"",'tracking - Table 2-1-1'!$C$7)</f>
      </c>
      <c r="K165" t="str" s="964" cm="1">
        <f t="array" ref="K165">IF(ISBLANK($B165),"",'tracking - Table 2-1-1'!$C$11)</f>
      </c>
      <c r="L165" t="str" s="964" cm="1">
        <f t="array" ref="L165">IF(ISBLANK($B165),"",'tracking - Table 2-1-1'!$C$12)</f>
      </c>
      <c r="M165" t="str" s="964" cm="1">
        <f t="array" ref="M165">IF(ISBLANK($B165),"",'tracking - Table 2-1-1'!$C$13)</f>
      </c>
      <c r="N165" t="str" s="964" cm="1">
        <f t="array" ref="N165">IF(ISBLANK($B165),"",'tracking - Table 2-1-1'!$C$4)</f>
      </c>
      <c r="O165" t="str" s="964" cm="1">
        <f t="array" ref="O165">IF(ISBLANK($B165),"",'tracking - Table 2-1-1'!$C$5)</f>
      </c>
      <c r="P165" t="str" s="964" cm="1">
        <f t="array" ref="P165">IF(ISBLANK($B165),"",'tracking - Table 2-1-1'!$C$6)</f>
      </c>
      <c r="Q165" s="962"/>
      <c r="R165" t="str" s="964" cm="1">
        <f t="array" ref="R165">IF(ISBLANK($B165),"",'tracking - Table 2-1-2'!C$66)</f>
      </c>
      <c r="S165" t="str" s="964" cm="1">
        <f t="array" ref="S165">IF(ISBLANK($B165),"",'tracking - Table 2-1-2'!D$66)</f>
      </c>
      <c r="T165" t="str" s="964" cm="1">
        <f t="array" ref="T165">IF(ISBLANK($B165),"",'tracking - Table 2-1-2'!E$66)</f>
      </c>
      <c r="U165" t="str" s="969" cm="1">
        <f t="array" ref="U165">IF(ISBLANK($B165),"",'tracking - Table 2-1-2'!F$66)</f>
      </c>
    </row>
    <row r="166" ht="8.75" customHeight="1" hidden="1">
      <c r="A166" s="960">
        <v>44505</v>
      </c>
      <c r="B166" s="356"/>
      <c r="C166" t="str" s="352" cm="1">
        <f t="array" ref="C166">IF(ISBLANK(B166),"",B166*2.2046226218)</f>
      </c>
      <c r="D166" t="str" s="964" cm="1">
        <f t="array" ref="D166">IF(ISBLANK(B166),"",AVERAGE(B160:B166))</f>
      </c>
      <c r="E166" t="str" s="964" cm="1">
        <f t="array" ref="E166">IF(ISBLANK(B166),"",AVERAGE(B153:B166))</f>
      </c>
      <c r="F166" t="str" s="964" cm="1">
        <f t="array" ref="F166">IF(ISBLANK(B166),"",AVERAGE(B137:B166))</f>
      </c>
      <c r="G166" t="str" s="964" cm="1">
        <f t="array" ref="G166">IF(ISBLANK($B166),"",'tracking - Table 2-1-1'!$C$3)</f>
      </c>
      <c r="H166" t="str" s="964" cm="1">
        <f t="array" ref="H166">IF(ISBLANK($B166),"",'tracking - Table 2-1-1'!$C$9)</f>
      </c>
      <c r="I166" t="str" s="964" cm="1">
        <f t="array" ref="I166">IF(ISBLANK($B166),"",'tracking - Table 2-1-1'!$C$10)</f>
      </c>
      <c r="J166" t="str" s="964" cm="1">
        <f t="array" ref="J166">IF(ISBLANK($B166),"",'tracking - Table 2-1-1'!$C$7)</f>
      </c>
      <c r="K166" t="str" s="964" cm="1">
        <f t="array" ref="K166">IF(ISBLANK($B166),"",'tracking - Table 2-1-1'!$C$11)</f>
      </c>
      <c r="L166" t="str" s="964" cm="1">
        <f t="array" ref="L166">IF(ISBLANK($B166),"",'tracking - Table 2-1-1'!$C$12)</f>
      </c>
      <c r="M166" t="str" s="964" cm="1">
        <f t="array" ref="M166">IF(ISBLANK($B166),"",'tracking - Table 2-1-1'!$C$13)</f>
      </c>
      <c r="N166" t="str" s="964" cm="1">
        <f t="array" ref="N166">IF(ISBLANK($B166),"",'tracking - Table 2-1-1'!$C$4)</f>
      </c>
      <c r="O166" t="str" s="964" cm="1">
        <f t="array" ref="O166">IF(ISBLANK($B166),"",'tracking - Table 2-1-1'!$C$5)</f>
      </c>
      <c r="P166" t="str" s="964" cm="1">
        <f t="array" ref="P166">IF(ISBLANK($B166),"",'tracking - Table 2-1-1'!$C$6)</f>
      </c>
      <c r="Q166" s="962"/>
      <c r="R166" t="str" s="964" cm="1">
        <f t="array" ref="R166">IF(ISBLANK($B166),"",'tracking - Table 2-1-2'!C$66)</f>
      </c>
      <c r="S166" t="str" s="964" cm="1">
        <f t="array" ref="S166">IF(ISBLANK($B166),"",'tracking - Table 2-1-2'!D$66)</f>
      </c>
      <c r="T166" t="str" s="964" cm="1">
        <f t="array" ref="T166">IF(ISBLANK($B166),"",'tracking - Table 2-1-2'!E$66)</f>
      </c>
      <c r="U166" t="str" s="969" cm="1">
        <f t="array" ref="U166">IF(ISBLANK($B166),"",'tracking - Table 2-1-2'!F$66)</f>
      </c>
    </row>
    <row r="167" ht="8.75" customHeight="1" hidden="1">
      <c r="A167" s="960">
        <v>44506</v>
      </c>
      <c r="B167" s="356"/>
      <c r="C167" t="str" s="352" cm="1">
        <f t="array" ref="C167">IF(ISBLANK(B167),"",B167*2.2046226218)</f>
      </c>
      <c r="D167" t="str" s="964" cm="1">
        <f t="array" ref="D167">IF(ISBLANK(B167),"",AVERAGE(B161:B167))</f>
      </c>
      <c r="E167" t="str" s="964" cm="1">
        <f t="array" ref="E167">IF(ISBLANK(B167),"",AVERAGE(B154:B167))</f>
      </c>
      <c r="F167" t="str" s="964" cm="1">
        <f t="array" ref="F167">IF(ISBLANK(B167),"",AVERAGE(B138:B167))</f>
      </c>
      <c r="G167" t="str" s="964" cm="1">
        <f t="array" ref="G167">IF(ISBLANK($B167),"",'tracking - Table 2-1-1'!$C$3)</f>
      </c>
      <c r="H167" t="str" s="964" cm="1">
        <f t="array" ref="H167">IF(ISBLANK($B167),"",'tracking - Table 2-1-1'!$C$9)</f>
      </c>
      <c r="I167" t="str" s="964" cm="1">
        <f t="array" ref="I167">IF(ISBLANK($B167),"",'tracking - Table 2-1-1'!$C$10)</f>
      </c>
      <c r="J167" t="str" s="964" cm="1">
        <f t="array" ref="J167">IF(ISBLANK($B167),"",'tracking - Table 2-1-1'!$C$7)</f>
      </c>
      <c r="K167" t="str" s="964" cm="1">
        <f t="array" ref="K167">IF(ISBLANK($B167),"",'tracking - Table 2-1-1'!$C$11)</f>
      </c>
      <c r="L167" t="str" s="964" cm="1">
        <f t="array" ref="L167">IF(ISBLANK($B167),"",'tracking - Table 2-1-1'!$C$12)</f>
      </c>
      <c r="M167" t="str" s="964" cm="1">
        <f t="array" ref="M167">IF(ISBLANK($B167),"",'tracking - Table 2-1-1'!$C$13)</f>
      </c>
      <c r="N167" t="str" s="964" cm="1">
        <f t="array" ref="N167">IF(ISBLANK($B167),"",'tracking - Table 2-1-1'!$C$4)</f>
      </c>
      <c r="O167" t="str" s="964" cm="1">
        <f t="array" ref="O167">IF(ISBLANK($B167),"",'tracking - Table 2-1-1'!$C$5)</f>
      </c>
      <c r="P167" t="str" s="964" cm="1">
        <f t="array" ref="P167">IF(ISBLANK($B167),"",'tracking - Table 2-1-1'!$C$6)</f>
      </c>
      <c r="Q167" s="962"/>
      <c r="R167" t="str" s="964" cm="1">
        <f t="array" ref="R167">IF(ISBLANK($B167),"",'tracking - Table 2-1-2'!C$66)</f>
      </c>
      <c r="S167" t="str" s="964" cm="1">
        <f t="array" ref="S167">IF(ISBLANK($B167),"",'tracking - Table 2-1-2'!D$66)</f>
      </c>
      <c r="T167" t="str" s="964" cm="1">
        <f t="array" ref="T167">IF(ISBLANK($B167),"",'tracking - Table 2-1-2'!E$66)</f>
      </c>
      <c r="U167" t="str" s="969" cm="1">
        <f t="array" ref="U167">IF(ISBLANK($B167),"",'tracking - Table 2-1-2'!F$66)</f>
      </c>
    </row>
    <row r="168" ht="8.75" customHeight="1" hidden="1">
      <c r="A168" s="960">
        <v>44507</v>
      </c>
      <c r="B168" s="356"/>
      <c r="C168" t="str" s="352" cm="1">
        <f t="array" ref="C168">IF(ISBLANK(B168),"",B168*2.2046226218)</f>
      </c>
      <c r="D168" t="str" s="964" cm="1">
        <f t="array" ref="D168">IF(ISBLANK(B168),"",AVERAGE(B162:B168))</f>
      </c>
      <c r="E168" t="str" s="964" cm="1">
        <f t="array" ref="E168">IF(ISBLANK(B168),"",AVERAGE(B155:B168))</f>
      </c>
      <c r="F168" t="str" s="964" cm="1">
        <f t="array" ref="F168">IF(ISBLANK(B168),"",AVERAGE(B139:B168))</f>
      </c>
      <c r="G168" t="str" s="964" cm="1">
        <f t="array" ref="G168">IF(ISBLANK($B168),"",'tracking - Table 2-1-1'!$C$3)</f>
      </c>
      <c r="H168" t="str" s="964" cm="1">
        <f t="array" ref="H168">IF(ISBLANK($B168),"",'tracking - Table 2-1-1'!$C$9)</f>
      </c>
      <c r="I168" t="str" s="964" cm="1">
        <f t="array" ref="I168">IF(ISBLANK($B168),"",'tracking - Table 2-1-1'!$C$10)</f>
      </c>
      <c r="J168" t="str" s="964" cm="1">
        <f t="array" ref="J168">IF(ISBLANK($B168),"",'tracking - Table 2-1-1'!$C$7)</f>
      </c>
      <c r="K168" t="str" s="964" cm="1">
        <f t="array" ref="K168">IF(ISBLANK($B168),"",'tracking - Table 2-1-1'!$C$11)</f>
      </c>
      <c r="L168" t="str" s="964" cm="1">
        <f t="array" ref="L168">IF(ISBLANK($B168),"",'tracking - Table 2-1-1'!$C$12)</f>
      </c>
      <c r="M168" t="str" s="964" cm="1">
        <f t="array" ref="M168">IF(ISBLANK($B168),"",'tracking - Table 2-1-1'!$C$13)</f>
      </c>
      <c r="N168" t="str" s="964" cm="1">
        <f t="array" ref="N168">IF(ISBLANK($B168),"",'tracking - Table 2-1-1'!$C$4)</f>
      </c>
      <c r="O168" t="str" s="964" cm="1">
        <f t="array" ref="O168">IF(ISBLANK($B168),"",'tracking - Table 2-1-1'!$C$5)</f>
      </c>
      <c r="P168" t="str" s="964" cm="1">
        <f t="array" ref="P168">IF(ISBLANK($B168),"",'tracking - Table 2-1-1'!$C$6)</f>
      </c>
      <c r="Q168" s="962"/>
      <c r="R168" t="str" s="964" cm="1">
        <f t="array" ref="R168">IF(ISBLANK($B168),"",'tracking - Table 2-1-2'!C$66)</f>
      </c>
      <c r="S168" t="str" s="964" cm="1">
        <f t="array" ref="S168">IF(ISBLANK($B168),"",'tracking - Table 2-1-2'!D$66)</f>
      </c>
      <c r="T168" t="str" s="964" cm="1">
        <f t="array" ref="T168">IF(ISBLANK($B168),"",'tracking - Table 2-1-2'!E$66)</f>
      </c>
      <c r="U168" t="str" s="969" cm="1">
        <f t="array" ref="U168">IF(ISBLANK($B168),"",'tracking - Table 2-1-2'!F$66)</f>
      </c>
    </row>
    <row r="169" ht="8.75" customHeight="1" hidden="1">
      <c r="A169" s="960">
        <v>44508</v>
      </c>
      <c r="B169" s="356"/>
      <c r="C169" t="str" s="352" cm="1">
        <f t="array" ref="C169">IF(ISBLANK(B169),"",B169*2.2046226218)</f>
      </c>
      <c r="D169" t="str" s="964" cm="1">
        <f t="array" ref="D169">IF(ISBLANK(B169),"",AVERAGE(B163:B169))</f>
      </c>
      <c r="E169" t="str" s="964" cm="1">
        <f t="array" ref="E169">IF(ISBLANK(B169),"",AVERAGE(B156:B169))</f>
      </c>
      <c r="F169" t="str" s="964" cm="1">
        <f t="array" ref="F169">IF(ISBLANK(B169),"",AVERAGE(B140:B169))</f>
      </c>
      <c r="G169" t="str" s="964" cm="1">
        <f t="array" ref="G169">IF(ISBLANK($B169),"",'tracking - Table 2-1-1'!$C$3)</f>
      </c>
      <c r="H169" t="str" s="964" cm="1">
        <f t="array" ref="H169">IF(ISBLANK($B169),"",'tracking - Table 2-1-1'!$C$9)</f>
      </c>
      <c r="I169" t="str" s="964" cm="1">
        <f t="array" ref="I169">IF(ISBLANK($B169),"",'tracking - Table 2-1-1'!$C$10)</f>
      </c>
      <c r="J169" t="str" s="964" cm="1">
        <f t="array" ref="J169">IF(ISBLANK($B169),"",'tracking - Table 2-1-1'!$C$7)</f>
      </c>
      <c r="K169" t="str" s="964" cm="1">
        <f t="array" ref="K169">IF(ISBLANK($B169),"",'tracking - Table 2-1-1'!$C$11)</f>
      </c>
      <c r="L169" t="str" s="964" cm="1">
        <f t="array" ref="L169">IF(ISBLANK($B169),"",'tracking - Table 2-1-1'!$C$12)</f>
      </c>
      <c r="M169" t="str" s="964" cm="1">
        <f t="array" ref="M169">IF(ISBLANK($B169),"",'tracking - Table 2-1-1'!$C$13)</f>
      </c>
      <c r="N169" t="str" s="964" cm="1">
        <f t="array" ref="N169">IF(ISBLANK($B169),"",'tracking - Table 2-1-1'!$C$4)</f>
      </c>
      <c r="O169" t="str" s="964" cm="1">
        <f t="array" ref="O169">IF(ISBLANK($B169),"",'tracking - Table 2-1-1'!$C$5)</f>
      </c>
      <c r="P169" t="str" s="964" cm="1">
        <f t="array" ref="P169">IF(ISBLANK($B169),"",'tracking - Table 2-1-1'!$C$6)</f>
      </c>
      <c r="Q169" s="962"/>
      <c r="R169" t="str" s="964" cm="1">
        <f t="array" ref="R169">IF(ISBLANK($B169),"",'tracking - Table 2-1-2'!C$66)</f>
      </c>
      <c r="S169" t="str" s="964" cm="1">
        <f t="array" ref="S169">IF(ISBLANK($B169),"",'tracking - Table 2-1-2'!D$66)</f>
      </c>
      <c r="T169" t="str" s="964" cm="1">
        <f t="array" ref="T169">IF(ISBLANK($B169),"",'tracking - Table 2-1-2'!E$66)</f>
      </c>
      <c r="U169" t="str" s="969" cm="1">
        <f t="array" ref="U169">IF(ISBLANK($B169),"",'tracking - Table 2-1-2'!F$66)</f>
      </c>
    </row>
    <row r="170" ht="8.75" customHeight="1" hidden="1">
      <c r="A170" s="960">
        <v>44509</v>
      </c>
      <c r="B170" s="961">
        <v>70.5</v>
      </c>
      <c r="C170" s="965" cm="1">
        <f t="array" ref="C170">IF(ISBLANK(B170),"",B170*2.2046226218)</f>
        <v>155.4258948369</v>
      </c>
      <c r="D170" s="962" cm="1">
        <f t="array" ref="D170">IF(ISBLANK(B170),"",AVERAGE(B164:B170))</f>
        <v>70.5</v>
      </c>
      <c r="E170" s="962" cm="1">
        <f t="array" ref="E170">IF(ISBLANK(B170),"",AVERAGE(B157:B170))</f>
        <v>70.5</v>
      </c>
      <c r="F170" s="962" cm="1">
        <f t="array" ref="F170">IF(ISBLANK(B170),"",AVERAGE(B141:B170))</f>
        <v>70.5</v>
      </c>
      <c r="G170" s="962"/>
      <c r="H170" s="962"/>
      <c r="I170" s="962"/>
      <c r="J170" s="962"/>
      <c r="K170" s="962"/>
      <c r="L170" s="962"/>
      <c r="M170" s="962"/>
      <c r="N170" s="962"/>
      <c r="O170" s="962"/>
      <c r="P170" s="962"/>
      <c r="Q170" s="962"/>
      <c r="R170" s="967">
        <v>174.409176470588</v>
      </c>
      <c r="S170" s="967">
        <v>92.7738823529412</v>
      </c>
      <c r="T170" s="967">
        <v>185.55</v>
      </c>
      <c r="U170" s="968">
        <v>2261.382745098040</v>
      </c>
    </row>
    <row r="171" ht="8.75" customHeight="1" hidden="1">
      <c r="A171" s="960">
        <v>44510</v>
      </c>
      <c r="B171" s="356"/>
      <c r="C171" t="str" s="352" cm="1">
        <f t="array" ref="C171">IF(ISBLANK(B171),"",B171*2.2046226218)</f>
      </c>
      <c r="D171" t="str" s="964" cm="1">
        <f t="array" ref="D171">IF(ISBLANK(B171),"",AVERAGE(B165:B171))</f>
      </c>
      <c r="E171" t="str" s="964" cm="1">
        <f t="array" ref="E171">IF(ISBLANK(B171),"",AVERAGE(B158:B171))</f>
      </c>
      <c r="F171" t="str" s="964" cm="1">
        <f t="array" ref="F171">IF(ISBLANK(B171),"",AVERAGE(B142:B171))</f>
      </c>
      <c r="G171" s="962"/>
      <c r="H171" s="962"/>
      <c r="I171" s="962"/>
      <c r="J171" s="962"/>
      <c r="K171" s="962"/>
      <c r="L171" s="962"/>
      <c r="M171" s="962"/>
      <c r="N171" s="962"/>
      <c r="O171" s="962"/>
      <c r="P171" s="962"/>
      <c r="Q171" s="962"/>
      <c r="R171" s="967"/>
      <c r="S171" s="967"/>
      <c r="T171" s="967"/>
      <c r="U171" s="968"/>
    </row>
    <row r="172" ht="8.75" customHeight="1" hidden="1">
      <c r="A172" s="960">
        <v>44511</v>
      </c>
      <c r="B172" s="961">
        <v>70.55</v>
      </c>
      <c r="C172" s="965" cm="1">
        <f t="array" ref="C172">IF(ISBLANK(B172),"",B172*2.2046226218)</f>
        <v>155.536125967990</v>
      </c>
      <c r="D172" s="962" cm="1">
        <f t="array" ref="D172">IF(ISBLANK(B172),"",AVERAGE(B166:B172))</f>
        <v>70.52500000000001</v>
      </c>
      <c r="E172" s="962" cm="1">
        <f t="array" ref="E172">IF(ISBLANK(B172),"",AVERAGE(B159:B172))</f>
        <v>70.52500000000001</v>
      </c>
      <c r="F172" s="962" cm="1">
        <f t="array" ref="F172">IF(ISBLANK(B172),"",AVERAGE(B143:B172))</f>
        <v>70.52500000000001</v>
      </c>
      <c r="G172" s="964"/>
      <c r="H172" s="964"/>
      <c r="I172" s="964"/>
      <c r="J172" s="964"/>
      <c r="K172" s="964"/>
      <c r="L172" s="964"/>
      <c r="M172" s="964"/>
      <c r="N172" s="964"/>
      <c r="O172" s="964"/>
      <c r="P172" s="964"/>
      <c r="Q172" s="962"/>
      <c r="R172" s="967">
        <v>165.070014084507</v>
      </c>
      <c r="S172" s="967">
        <v>83.943</v>
      </c>
      <c r="T172" s="967">
        <v>182.191084507042</v>
      </c>
      <c r="U172" s="968">
        <v>2322.459812206570</v>
      </c>
    </row>
    <row r="173" ht="8.75" customHeight="1" hidden="1">
      <c r="A173" s="960">
        <v>44512</v>
      </c>
      <c r="B173" s="961">
        <v>70.55</v>
      </c>
      <c r="C173" s="965" cm="1">
        <f t="array" ref="C173">IF(ISBLANK(B173),"",B173*2.2046226218)</f>
        <v>155.536125967990</v>
      </c>
      <c r="D173" s="962" cm="1">
        <f t="array" ref="D173">IF(ISBLANK(B173),"",AVERAGE(B167:B173))</f>
        <v>70.5333333333333</v>
      </c>
      <c r="E173" s="962" cm="1">
        <f t="array" ref="E173">IF(ISBLANK(B173),"",AVERAGE(B160:B173))</f>
        <v>70.5333333333333</v>
      </c>
      <c r="F173" s="962" cm="1">
        <f t="array" ref="F173">IF(ISBLANK(B173),"",AVERAGE(B144:B173))</f>
        <v>70.5333333333333</v>
      </c>
      <c r="G173" s="964"/>
      <c r="H173" s="964"/>
      <c r="I173" s="964"/>
      <c r="J173" s="964"/>
      <c r="K173" s="964"/>
      <c r="L173" s="964"/>
      <c r="M173" s="964"/>
      <c r="N173" s="964"/>
      <c r="O173" s="964"/>
      <c r="P173" s="964"/>
      <c r="Q173" s="962"/>
      <c r="R173" s="967">
        <v>201.01</v>
      </c>
      <c r="S173" s="967">
        <v>130.050272727273</v>
      </c>
      <c r="T173" s="967">
        <v>178.859363636364</v>
      </c>
      <c r="U173" s="968">
        <v>2619.245151515150</v>
      </c>
    </row>
    <row r="174" ht="8.75" customHeight="1" hidden="1">
      <c r="A174" s="960">
        <v>44513</v>
      </c>
      <c r="B174" s="961">
        <v>70.15000000000001</v>
      </c>
      <c r="C174" s="965" cm="1">
        <f t="array" ref="C174">IF(ISBLANK(B174),"",B174*2.2046226218)</f>
        <v>154.654276919270</v>
      </c>
      <c r="D174" s="962" cm="1">
        <f t="array" ref="D174">IF(ISBLANK(B174),"",AVERAGE(B168:B174))</f>
        <v>70.4375</v>
      </c>
      <c r="E174" s="962" cm="1">
        <f t="array" ref="E174">IF(ISBLANK(B174),"",AVERAGE(B161:B174))</f>
        <v>70.4375</v>
      </c>
      <c r="F174" s="962" cm="1">
        <f t="array" ref="F174">IF(ISBLANK(B174),"",AVERAGE(B145:B174))</f>
        <v>70.4375</v>
      </c>
      <c r="G174" s="964"/>
      <c r="H174" s="964"/>
      <c r="I174" s="964"/>
      <c r="J174" s="964"/>
      <c r="K174" s="964"/>
      <c r="L174" s="964"/>
      <c r="M174" s="964"/>
      <c r="N174" s="964"/>
      <c r="O174" s="964"/>
      <c r="P174" s="964"/>
      <c r="Q174" s="962"/>
      <c r="R174" s="967">
        <v>210.565</v>
      </c>
      <c r="S174" s="967">
        <v>98.3508181818182</v>
      </c>
      <c r="T174" s="967">
        <v>266.364090909091</v>
      </c>
      <c r="U174" s="968">
        <v>2732.135454545450</v>
      </c>
    </row>
    <row r="175" ht="8.75" customHeight="1" hidden="1">
      <c r="A175" s="960">
        <v>44514</v>
      </c>
      <c r="B175" s="961">
        <v>70.15000000000001</v>
      </c>
      <c r="C175" s="965" cm="1">
        <f t="array" ref="C175">IF(ISBLANK(B175),"",B175*2.2046226218)</f>
        <v>154.654276919270</v>
      </c>
      <c r="D175" s="962" cm="1">
        <f t="array" ref="D175">IF(ISBLANK(B175),"",AVERAGE(B169:B175))</f>
        <v>70.38</v>
      </c>
      <c r="E175" s="962" cm="1">
        <f t="array" ref="E175">IF(ISBLANK(B175),"",AVERAGE(B162:B175))</f>
        <v>70.38</v>
      </c>
      <c r="F175" s="962" cm="1">
        <f t="array" ref="F175">IF(ISBLANK(B175),"",AVERAGE(B146:B175))</f>
        <v>70.38</v>
      </c>
      <c r="G175" s="964"/>
      <c r="H175" s="964"/>
      <c r="I175" s="964"/>
      <c r="J175" s="964"/>
      <c r="K175" s="964"/>
      <c r="L175" s="964"/>
      <c r="M175" s="964"/>
      <c r="N175" s="964"/>
      <c r="O175" s="964"/>
      <c r="P175" s="964"/>
      <c r="Q175" s="962"/>
      <c r="R175" s="967">
        <v>199.888352941176</v>
      </c>
      <c r="S175" s="967">
        <v>98.90376470588239</v>
      </c>
      <c r="T175" s="967">
        <v>193.327</v>
      </c>
      <c r="U175" s="968">
        <v>2482.522156862750</v>
      </c>
    </row>
    <row r="176" ht="8.75" customHeight="1" hidden="1">
      <c r="A176" s="960">
        <v>44515</v>
      </c>
      <c r="B176" s="961">
        <v>70.55</v>
      </c>
      <c r="C176" s="965" cm="1">
        <f t="array" ref="C176">IF(ISBLANK(B176),"",B176*2.2046226218)</f>
        <v>155.536125967990</v>
      </c>
      <c r="D176" s="962" cm="1">
        <f t="array" ref="D176">IF(ISBLANK(B176),"",AVERAGE(B170:B176))</f>
        <v>70.4083333333333</v>
      </c>
      <c r="E176" s="962" cm="1">
        <f t="array" ref="E176">IF(ISBLANK(B176),"",AVERAGE(B163:B176))</f>
        <v>70.4083333333333</v>
      </c>
      <c r="F176" s="962" cm="1">
        <f t="array" ref="F176">IF(ISBLANK(B176),"",AVERAGE(B147:B176))</f>
        <v>70.4083333333333</v>
      </c>
      <c r="G176" s="964"/>
      <c r="H176" s="964"/>
      <c r="I176" s="964"/>
      <c r="J176" s="964"/>
      <c r="K176" s="964"/>
      <c r="L176" s="964"/>
      <c r="M176" s="964"/>
      <c r="N176" s="964"/>
      <c r="O176" s="964"/>
      <c r="P176" s="964"/>
      <c r="Q176" s="962"/>
      <c r="R176" s="967">
        <v>181.616666666667</v>
      </c>
      <c r="S176" s="967">
        <v>55.8316666666667</v>
      </c>
      <c r="T176" s="967">
        <v>213.634</v>
      </c>
      <c r="U176" s="968">
        <v>2125.156666666670</v>
      </c>
    </row>
    <row r="177" ht="8.75" customHeight="1" hidden="1">
      <c r="A177" s="960">
        <v>44516</v>
      </c>
      <c r="B177" s="961">
        <v>70.90000000000001</v>
      </c>
      <c r="C177" s="965" cm="1">
        <f t="array" ref="C177">IF(ISBLANK(B177),"",B177*2.2046226218)</f>
        <v>156.307743885620</v>
      </c>
      <c r="D177" s="962" cm="1">
        <f t="array" ref="D177">IF(ISBLANK(B177),"",AVERAGE(B171:B177))</f>
        <v>70.47499999999999</v>
      </c>
      <c r="E177" s="962" cm="1">
        <f t="array" ref="E177">IF(ISBLANK(B177),"",AVERAGE(B164:B177))</f>
        <v>70.4785714285714</v>
      </c>
      <c r="F177" s="962" cm="1">
        <f t="array" ref="F177">IF(ISBLANK(B177),"",AVERAGE(B148:B177))</f>
        <v>70.4785714285714</v>
      </c>
      <c r="G177" s="964"/>
      <c r="H177" s="964"/>
      <c r="I177" s="964"/>
      <c r="J177" s="964"/>
      <c r="K177" s="964"/>
      <c r="L177" s="964"/>
      <c r="M177" s="964"/>
      <c r="N177" s="964"/>
      <c r="O177" s="964"/>
      <c r="P177" s="964"/>
      <c r="Q177" s="962"/>
      <c r="R177" s="967">
        <v>167.445</v>
      </c>
      <c r="S177" s="967">
        <v>81.01000000000001</v>
      </c>
      <c r="T177" s="967">
        <v>71.73999999999999</v>
      </c>
      <c r="U177" s="968">
        <v>1789.834074074070</v>
      </c>
    </row>
    <row r="178" ht="8.75" customHeight="1" hidden="1">
      <c r="A178" s="960">
        <v>44517</v>
      </c>
      <c r="B178" s="961">
        <v>70</v>
      </c>
      <c r="C178" s="965" cm="1">
        <f t="array" ref="C178">IF(ISBLANK(B178),"",B178*2.2046226218)</f>
        <v>154.323583526</v>
      </c>
      <c r="D178" s="962" cm="1">
        <f t="array" ref="D178">IF(ISBLANK(B178),"",AVERAGE(B172:B178))</f>
        <v>70.4071428571429</v>
      </c>
      <c r="E178" s="962" cm="1">
        <f t="array" ref="E178">IF(ISBLANK(B178),"",AVERAGE(B165:B178))</f>
        <v>70.41875</v>
      </c>
      <c r="F178" s="962" cm="1">
        <f t="array" ref="F178">IF(ISBLANK(B178),"",AVERAGE(B149:B178))</f>
        <v>70.41875</v>
      </c>
      <c r="G178" s="964"/>
      <c r="H178" s="964"/>
      <c r="I178" s="964"/>
      <c r="J178" s="964"/>
      <c r="K178" s="964"/>
      <c r="L178" s="964"/>
      <c r="M178" s="964"/>
      <c r="N178" s="964"/>
      <c r="O178" s="964"/>
      <c r="P178" s="964"/>
      <c r="Q178" s="962"/>
      <c r="R178" s="967">
        <v>189.22</v>
      </c>
      <c r="S178" s="967">
        <v>72.798</v>
      </c>
      <c r="T178" s="967">
        <v>161.089</v>
      </c>
      <c r="U178" s="968">
        <v>2035.65</v>
      </c>
    </row>
    <row r="179" ht="8.75" customHeight="1" hidden="1">
      <c r="A179" s="960">
        <v>44518</v>
      </c>
      <c r="B179" s="961">
        <v>69.59999999999999</v>
      </c>
      <c r="C179" s="965" cm="1">
        <f t="array" ref="C179">IF(ISBLANK(B179),"",B179*2.2046226218)</f>
        <v>153.441734477280</v>
      </c>
      <c r="D179" s="962" cm="1">
        <f t="array" ref="D179">IF(ISBLANK(B179),"",AVERAGE(B173:B179))</f>
        <v>70.2714285714286</v>
      </c>
      <c r="E179" s="962" cm="1">
        <f t="array" ref="E179">IF(ISBLANK(B179),"",AVERAGE(B166:B179))</f>
        <v>70.3277777777778</v>
      </c>
      <c r="F179" s="962" cm="1">
        <f t="array" ref="F179">IF(ISBLANK(B179),"",AVERAGE(B150:B179))</f>
        <v>70.3277777777778</v>
      </c>
      <c r="G179" s="964"/>
      <c r="H179" s="964"/>
      <c r="I179" s="964"/>
      <c r="J179" s="964"/>
      <c r="K179" s="964"/>
      <c r="L179" s="964"/>
      <c r="M179" s="964"/>
      <c r="N179" s="964"/>
      <c r="O179" s="964"/>
      <c r="P179" s="964"/>
      <c r="Q179" s="962"/>
      <c r="R179" s="967">
        <v>187.158</v>
      </c>
      <c r="S179" s="967">
        <v>74.91</v>
      </c>
      <c r="T179" s="967">
        <v>161.204</v>
      </c>
      <c r="U179" s="968">
        <v>2035.78</v>
      </c>
    </row>
    <row r="180" ht="8.75" customHeight="1" hidden="1">
      <c r="A180" s="960">
        <v>44519</v>
      </c>
      <c r="B180" s="961">
        <v>69.90000000000001</v>
      </c>
      <c r="C180" s="965" cm="1">
        <f t="array" ref="C180">IF(ISBLANK(B180),"",B180*2.2046226218)</f>
        <v>154.103121263820</v>
      </c>
      <c r="D180" s="962" cm="1">
        <f t="array" ref="D180">IF(ISBLANK(B180),"",AVERAGE(B174:B180))</f>
        <v>70.1785714285714</v>
      </c>
      <c r="E180" s="962" cm="1">
        <f t="array" ref="E180">IF(ISBLANK(B180),"",AVERAGE(B167:B180))</f>
        <v>70.285</v>
      </c>
      <c r="F180" s="962" cm="1">
        <f t="array" ref="F180">IF(ISBLANK(B180),"",AVERAGE(B151:B180))</f>
        <v>70.285</v>
      </c>
      <c r="G180" s="964"/>
      <c r="H180" s="964"/>
      <c r="I180" s="964"/>
      <c r="J180" s="964"/>
      <c r="K180" s="964"/>
      <c r="L180" s="964"/>
      <c r="M180" s="964"/>
      <c r="N180" s="964"/>
      <c r="O180" s="964"/>
      <c r="P180" s="964"/>
      <c r="Q180" s="962"/>
      <c r="R180" s="967">
        <v>160.653</v>
      </c>
      <c r="S180" s="967">
        <v>101.054</v>
      </c>
      <c r="T180" s="967">
        <v>157.036</v>
      </c>
      <c r="U180" s="968">
        <v>2315.246666666670</v>
      </c>
    </row>
    <row r="181" ht="8.75" customHeight="1" hidden="1">
      <c r="A181" s="960">
        <v>44520</v>
      </c>
      <c r="B181" s="961">
        <v>69.90000000000001</v>
      </c>
      <c r="C181" s="965" cm="1">
        <f t="array" ref="C181">IF(ISBLANK(B181),"",B181*2.2046226218)</f>
        <v>154.103121263820</v>
      </c>
      <c r="D181" s="962" cm="1">
        <f t="array" ref="D181">IF(ISBLANK(B181),"",AVERAGE(B175:B181))</f>
        <v>70.1428571428571</v>
      </c>
      <c r="E181" s="962" cm="1">
        <f t="array" ref="E181">IF(ISBLANK(B181),"",AVERAGE(B168:B181))</f>
        <v>70.25</v>
      </c>
      <c r="F181" s="962" cm="1">
        <f t="array" ref="F181">IF(ISBLANK(B181),"",AVERAGE(B152:B181))</f>
        <v>70.25</v>
      </c>
      <c r="G181" s="964"/>
      <c r="H181" s="964"/>
      <c r="I181" s="964"/>
      <c r="J181" s="964"/>
      <c r="K181" s="964"/>
      <c r="L181" s="964"/>
      <c r="M181" s="964"/>
      <c r="N181" s="964"/>
      <c r="O181" s="964"/>
      <c r="P181" s="964"/>
      <c r="Q181" s="962"/>
      <c r="R181" s="967">
        <v>33.255</v>
      </c>
      <c r="S181" s="967">
        <v>26.055</v>
      </c>
      <c r="T181" s="967">
        <v>25.665</v>
      </c>
      <c r="U181" s="968">
        <v>458.05</v>
      </c>
    </row>
    <row r="182" ht="8.75" customHeight="1" hidden="1">
      <c r="A182" s="960">
        <v>44521</v>
      </c>
      <c r="B182" s="356"/>
      <c r="C182" t="str" s="352" cm="1">
        <f t="array" ref="C182">IF(ISBLANK(B182),"",B182*2.2046226218)</f>
      </c>
      <c r="D182" t="str" s="964" cm="1">
        <f t="array" ref="D182">IF(ISBLANK(B182),"",AVERAGE(B176:B182))</f>
      </c>
      <c r="E182" t="str" s="964" cm="1">
        <f t="array" ref="E182">IF(ISBLANK(B182),"",AVERAGE(B169:B182))</f>
      </c>
      <c r="F182" t="str" s="964" cm="1">
        <f t="array" ref="F182">IF(ISBLANK(B182),"",AVERAGE(B153:B182))</f>
      </c>
      <c r="G182" s="964"/>
      <c r="H182" s="964"/>
      <c r="I182" s="964"/>
      <c r="J182" s="964"/>
      <c r="K182" s="964"/>
      <c r="L182" s="964"/>
      <c r="M182" s="964"/>
      <c r="N182" s="964"/>
      <c r="O182" s="964"/>
      <c r="P182" s="964"/>
      <c r="Q182" s="962"/>
      <c r="R182" t="str" s="964" cm="1">
        <f t="array" ref="R182">IF(ISBLANK($B182),"",'tracking - Table 2-1-2'!C$66)</f>
      </c>
      <c r="S182" t="str" s="964" cm="1">
        <f t="array" ref="S182">IF(ISBLANK($B182),"",'tracking - Table 2-1-2'!D$66)</f>
      </c>
      <c r="T182" t="str" s="964" cm="1">
        <f t="array" ref="T182">IF(ISBLANK($B182),"",'tracking - Table 2-1-2'!E$66)</f>
      </c>
      <c r="U182" t="str" s="969" cm="1">
        <f t="array" ref="U182">IF(ISBLANK($B182),"",'tracking - Table 2-1-2'!F$66)</f>
      </c>
    </row>
    <row r="183" ht="8.75" customHeight="1" hidden="1">
      <c r="A183" s="960">
        <v>44522</v>
      </c>
      <c r="B183" s="356"/>
      <c r="C183" t="str" s="352" cm="1">
        <f t="array" ref="C183">IF(ISBLANK(B183),"",B183*2.2046226218)</f>
      </c>
      <c r="D183" t="str" s="964" cm="1">
        <f t="array" ref="D183">IF(ISBLANK(B183),"",AVERAGE(B177:B183))</f>
      </c>
      <c r="E183" t="str" s="964" cm="1">
        <f t="array" ref="E183">IF(ISBLANK(B183),"",AVERAGE(B170:B183))</f>
      </c>
      <c r="F183" t="str" s="964" cm="1">
        <f t="array" ref="F183">IF(ISBLANK(B183),"",AVERAGE(B154:B183))</f>
      </c>
      <c r="G183" s="964"/>
      <c r="H183" s="964"/>
      <c r="I183" s="964"/>
      <c r="J183" s="964"/>
      <c r="K183" s="964"/>
      <c r="L183" s="964"/>
      <c r="M183" s="964"/>
      <c r="N183" s="964"/>
      <c r="O183" s="964"/>
      <c r="P183" s="964"/>
      <c r="Q183" s="962"/>
      <c r="R183" t="str" s="964" cm="1">
        <f t="array" ref="R183">IF(ISBLANK($B183),"",'tracking - Table 2-1-2'!C$66)</f>
      </c>
      <c r="S183" t="str" s="964" cm="1">
        <f t="array" ref="S183">IF(ISBLANK($B183),"",'tracking - Table 2-1-2'!D$66)</f>
      </c>
      <c r="T183" t="str" s="964" cm="1">
        <f t="array" ref="T183">IF(ISBLANK($B183),"",'tracking - Table 2-1-2'!E$66)</f>
      </c>
      <c r="U183" t="str" s="969" cm="1">
        <f t="array" ref="U183">IF(ISBLANK($B183),"",'tracking - Table 2-1-2'!F$66)</f>
      </c>
    </row>
    <row r="184" ht="8.75" customHeight="1" hidden="1">
      <c r="A184" s="960">
        <v>44523</v>
      </c>
      <c r="B184" s="961">
        <v>70.3</v>
      </c>
      <c r="C184" s="965" cm="1">
        <f t="array" ref="C184">IF(ISBLANK(B184),"",B184*2.2046226218)</f>
        <v>154.984970312540</v>
      </c>
      <c r="D184" s="962" cm="1">
        <f t="array" ref="D184">IF(ISBLANK(B184),"",AVERAGE(B178:B184))</f>
        <v>69.94</v>
      </c>
      <c r="E184" s="962" cm="1">
        <f t="array" ref="E184">IF(ISBLANK(B184),"",AVERAGE(B171:B184))</f>
        <v>70.2318181818182</v>
      </c>
      <c r="F184" s="962" cm="1">
        <f t="array" ref="F184">IF(ISBLANK(B184),"",AVERAGE(B155:B184))</f>
        <v>70.25416666666671</v>
      </c>
      <c r="G184" s="964"/>
      <c r="H184" s="964"/>
      <c r="I184" s="964"/>
      <c r="J184" s="964"/>
      <c r="K184" s="964"/>
      <c r="L184" s="964"/>
      <c r="M184" s="964"/>
      <c r="N184" s="964"/>
      <c r="O184" s="964"/>
      <c r="P184" s="964"/>
      <c r="Q184" s="962"/>
      <c r="R184" s="967">
        <v>152.301</v>
      </c>
      <c r="S184" s="967">
        <v>49.06</v>
      </c>
      <c r="T184" s="967">
        <v>137.886</v>
      </c>
      <c r="U184" s="968">
        <v>2088.643333333330</v>
      </c>
    </row>
    <row r="185" ht="8.75" customHeight="1" hidden="1">
      <c r="A185" s="960">
        <v>44524</v>
      </c>
      <c r="B185" s="961">
        <v>69.7</v>
      </c>
      <c r="C185" s="965" cm="1">
        <f t="array" ref="C185">IF(ISBLANK(B185),"",B185*2.2046226218)</f>
        <v>153.662196739460</v>
      </c>
      <c r="D185" s="962" cm="1">
        <f t="array" ref="D185">IF(ISBLANK(B185),"",AVERAGE(B179:B185))</f>
        <v>69.88</v>
      </c>
      <c r="E185" s="962" cm="1">
        <f t="array" ref="E185">IF(ISBLANK(B185),"",AVERAGE(B172:B185))</f>
        <v>70.1875</v>
      </c>
      <c r="F185" s="962" cm="1">
        <f t="array" ref="F185">IF(ISBLANK(B185),"",AVERAGE(B156:B185))</f>
        <v>70.2115384615385</v>
      </c>
      <c r="G185" s="964"/>
      <c r="H185" s="964"/>
      <c r="I185" s="964"/>
      <c r="J185" s="964"/>
      <c r="K185" s="964"/>
      <c r="L185" s="964"/>
      <c r="M185" s="964"/>
      <c r="N185" s="964"/>
      <c r="O185" s="964"/>
      <c r="P185" s="964"/>
      <c r="Q185" s="962"/>
      <c r="R185" s="967">
        <v>174.796</v>
      </c>
      <c r="S185" s="967">
        <v>80.065</v>
      </c>
      <c r="T185" s="967">
        <v>165.053</v>
      </c>
      <c r="U185" s="968">
        <v>2048.943333333330</v>
      </c>
    </row>
    <row r="186" ht="8.75" customHeight="1" hidden="1">
      <c r="A186" s="960">
        <v>44525</v>
      </c>
      <c r="B186" s="961">
        <v>69.7</v>
      </c>
      <c r="C186" s="965" cm="1">
        <f t="array" ref="C186">IF(ISBLANK(B186),"",B186*2.2046226218)</f>
        <v>153.662196739460</v>
      </c>
      <c r="D186" s="962" cm="1">
        <f t="array" ref="D186">IF(ISBLANK(B186),"",AVERAGE(B180:B186))</f>
        <v>69.90000000000001</v>
      </c>
      <c r="E186" s="962" cm="1">
        <f t="array" ref="E186">IF(ISBLANK(B186),"",AVERAGE(B173:B186))</f>
        <v>70.1166666666667</v>
      </c>
      <c r="F186" s="962" cm="1">
        <f t="array" ref="F186">IF(ISBLANK(B186),"",AVERAGE(B157:B186))</f>
        <v>70.175</v>
      </c>
      <c r="G186" s="964"/>
      <c r="H186" s="964"/>
      <c r="I186" s="964"/>
      <c r="J186" s="964"/>
      <c r="K186" s="964"/>
      <c r="L186" s="964"/>
      <c r="M186" s="964"/>
      <c r="N186" s="964"/>
      <c r="O186" s="964"/>
      <c r="P186" s="964"/>
      <c r="Q186" s="962"/>
      <c r="R186" s="967">
        <v>159.997470588235</v>
      </c>
      <c r="S186" s="967">
        <v>86.4113529411765</v>
      </c>
      <c r="T186" s="967">
        <v>166.292</v>
      </c>
      <c r="U186" s="968">
        <v>2060.641764705880</v>
      </c>
    </row>
    <row r="187" ht="8.75" customHeight="1" hidden="1">
      <c r="A187" s="960">
        <v>44526</v>
      </c>
      <c r="B187" s="961">
        <v>69.7</v>
      </c>
      <c r="C187" s="965" cm="1">
        <f t="array" ref="C187">IF(ISBLANK(B187),"",B187*2.2046226218)</f>
        <v>153.662196739460</v>
      </c>
      <c r="D187" s="962" cm="1">
        <f t="array" ref="D187">IF(ISBLANK(B187),"",AVERAGE(B181:B187))</f>
        <v>69.86</v>
      </c>
      <c r="E187" s="962" cm="1">
        <f t="array" ref="E187">IF(ISBLANK(B187),"",AVERAGE(B174:B187))</f>
        <v>70.04583333333331</v>
      </c>
      <c r="F187" s="962" cm="1">
        <f t="array" ref="F187">IF(ISBLANK(B187),"",AVERAGE(B158:B187))</f>
        <v>70.1433333333333</v>
      </c>
      <c r="G187" s="964"/>
      <c r="H187" s="964"/>
      <c r="I187" s="964"/>
      <c r="J187" s="964"/>
      <c r="K187" s="964"/>
      <c r="L187" s="964"/>
      <c r="M187" s="964"/>
      <c r="N187" s="964"/>
      <c r="O187" s="964"/>
      <c r="P187" s="964"/>
      <c r="Q187" s="962"/>
      <c r="R187" s="967">
        <v>158.436569892473</v>
      </c>
      <c r="S187" s="967">
        <v>41.786688172043</v>
      </c>
      <c r="T187" s="967">
        <v>199.352182795699</v>
      </c>
      <c r="U187" s="968">
        <v>1791.476344086020</v>
      </c>
    </row>
    <row r="188" ht="8.75" customHeight="1" hidden="1">
      <c r="A188" s="960">
        <v>44527</v>
      </c>
      <c r="B188" s="961">
        <v>69.7</v>
      </c>
      <c r="C188" s="965" cm="1">
        <f t="array" ref="C188">IF(ISBLANK(B188),"",B188*2.2046226218)</f>
        <v>153.662196739460</v>
      </c>
      <c r="D188" s="962" cm="1">
        <f t="array" ref="D188">IF(ISBLANK(B188),"",AVERAGE(B182:B188))</f>
        <v>69.81999999999999</v>
      </c>
      <c r="E188" s="962" cm="1">
        <f t="array" ref="E188">IF(ISBLANK(B188),"",AVERAGE(B175:B188))</f>
        <v>70.0083333333333</v>
      </c>
      <c r="F188" s="962" cm="1">
        <f t="array" ref="F188">IF(ISBLANK(B188),"",AVERAGE(B159:B188))</f>
        <v>70.11562499999999</v>
      </c>
      <c r="G188" s="964"/>
      <c r="H188" s="964"/>
      <c r="I188" s="964"/>
      <c r="J188" s="964"/>
      <c r="K188" s="964"/>
      <c r="L188" s="964"/>
      <c r="M188" s="964"/>
      <c r="N188" s="964"/>
      <c r="O188" s="964"/>
      <c r="P188" s="964"/>
      <c r="Q188" s="962"/>
      <c r="R188" s="967">
        <v>203.810913978495</v>
      </c>
      <c r="S188" s="967">
        <v>71.13520430107531</v>
      </c>
      <c r="T188" s="967">
        <v>219.714569892473</v>
      </c>
      <c r="U188" s="968">
        <v>2292.948602150540</v>
      </c>
    </row>
    <row r="189" ht="8.75" customHeight="1" hidden="1">
      <c r="A189" s="960">
        <v>44528</v>
      </c>
      <c r="B189" s="961">
        <v>70.3</v>
      </c>
      <c r="C189" s="965" cm="1">
        <f t="array" ref="C189">IF(ISBLANK(B189),"",B189*2.2046226218)</f>
        <v>154.984970312540</v>
      </c>
      <c r="D189" s="962" cm="1">
        <f t="array" ref="D189">IF(ISBLANK(B189),"",AVERAGE(B183:B189))</f>
        <v>69.90000000000001</v>
      </c>
      <c r="E189" s="962" cm="1">
        <f t="array" ref="E189">IF(ISBLANK(B189),"",AVERAGE(B176:B189))</f>
        <v>70.0208333333333</v>
      </c>
      <c r="F189" s="962" cm="1">
        <f t="array" ref="F189">IF(ISBLANK(B189),"",AVERAGE(B160:B189))</f>
        <v>70.12647058823531</v>
      </c>
      <c r="G189" s="964"/>
      <c r="H189" s="964"/>
      <c r="I189" s="964"/>
      <c r="J189" s="964"/>
      <c r="K189" s="964"/>
      <c r="L189" s="964"/>
      <c r="M189" s="964"/>
      <c r="N189" s="964"/>
      <c r="O189" s="964"/>
      <c r="P189" s="964"/>
      <c r="Q189" s="962"/>
      <c r="R189" s="967">
        <v>169.190935483871</v>
      </c>
      <c r="S189" s="967">
        <v>50.6685698924731</v>
      </c>
      <c r="T189" s="967">
        <v>234.931010752688</v>
      </c>
      <c r="U189" s="968">
        <v>2059.299784946240</v>
      </c>
    </row>
    <row r="190" ht="8.75" customHeight="1" hidden="1">
      <c r="A190" s="960">
        <v>44529</v>
      </c>
      <c r="B190" s="961">
        <v>70.25</v>
      </c>
      <c r="C190" s="965" cm="1">
        <f t="array" ref="C190">IF(ISBLANK(B190),"",B190*2.2046226218)</f>
        <v>154.874739181450</v>
      </c>
      <c r="D190" s="962" cm="1">
        <f t="array" ref="D190">IF(ISBLANK(B190),"",AVERAGE(B184:B190))</f>
        <v>69.95</v>
      </c>
      <c r="E190" s="962" cm="1">
        <f t="array" ref="E190">IF(ISBLANK(B190),"",AVERAGE(B177:B190))</f>
        <v>69.99583333333329</v>
      </c>
      <c r="F190" s="962" cm="1">
        <f t="array" ref="F190">IF(ISBLANK(B190),"",AVERAGE(B161:B190))</f>
        <v>70.1333333333333</v>
      </c>
      <c r="G190" s="964"/>
      <c r="H190" s="964"/>
      <c r="I190" s="964"/>
      <c r="J190" s="964"/>
      <c r="K190" s="964"/>
      <c r="L190" s="964"/>
      <c r="M190" s="964"/>
      <c r="N190" s="964"/>
      <c r="O190" s="964"/>
      <c r="P190" s="964"/>
      <c r="Q190" s="962"/>
      <c r="R190" s="967">
        <v>171.166322580645</v>
      </c>
      <c r="S190" s="967">
        <v>56.0374838709677</v>
      </c>
      <c r="T190" s="967">
        <v>184.729612903226</v>
      </c>
      <c r="U190" s="968">
        <v>1930.417741935480</v>
      </c>
    </row>
    <row r="191" ht="8.75" customHeight="1" hidden="1">
      <c r="A191" s="960">
        <v>44530</v>
      </c>
      <c r="B191" s="961">
        <v>69.3</v>
      </c>
      <c r="C191" s="965" cm="1">
        <f t="array" ref="C191">IF(ISBLANK(B191),"",B191*2.2046226218)</f>
        <v>152.780347690740</v>
      </c>
      <c r="D191" s="962" cm="1">
        <f t="array" ref="D191">IF(ISBLANK(B191),"",AVERAGE(B185:B191))</f>
        <v>69.80714285714291</v>
      </c>
      <c r="E191" s="962" cm="1">
        <f t="array" ref="E191">IF(ISBLANK(B191),"",AVERAGE(B178:B191))</f>
        <v>69.8625</v>
      </c>
      <c r="F191" s="962" cm="1">
        <f t="array" ref="F191">IF(ISBLANK(B191),"",AVERAGE(B162:B191))</f>
        <v>70.0894736842105</v>
      </c>
      <c r="G191" s="964"/>
      <c r="H191" s="964"/>
      <c r="I191" s="964"/>
      <c r="J191" s="964"/>
      <c r="K191" s="964"/>
      <c r="L191" s="964"/>
      <c r="M191" s="964"/>
      <c r="N191" s="964"/>
      <c r="O191" s="964"/>
      <c r="P191" s="964"/>
      <c r="Q191" s="962"/>
      <c r="R191" s="967">
        <v>168.168359740670</v>
      </c>
      <c r="S191" s="967">
        <v>93.8335567678684</v>
      </c>
      <c r="T191" s="967">
        <v>219.558440860215</v>
      </c>
      <c r="U191" s="968">
        <v>2362.025888678050</v>
      </c>
    </row>
    <row r="192" ht="8.75" customHeight="1" hidden="1">
      <c r="A192" s="960">
        <v>44531</v>
      </c>
      <c r="B192" s="961">
        <v>69.75</v>
      </c>
      <c r="C192" s="965" cm="1">
        <f t="array" ref="C192">IF(ISBLANK(B192),"",B192*2.2046226218)</f>
        <v>153.772427870550</v>
      </c>
      <c r="D192" s="962" cm="1">
        <f t="array" ref="D192">IF(ISBLANK(B192),"",AVERAGE(B186:B192))</f>
        <v>69.8142857142857</v>
      </c>
      <c r="E192" s="962" cm="1">
        <f t="array" ref="E192">IF(ISBLANK(B192),"",AVERAGE(B179:B192))</f>
        <v>69.8416666666667</v>
      </c>
      <c r="F192" s="962" cm="1">
        <f t="array" ref="F192">IF(ISBLANK(B192),"",AVERAGE(B163:B192))</f>
        <v>70.07250000000001</v>
      </c>
      <c r="G192" s="964"/>
      <c r="H192" s="964"/>
      <c r="I192" s="964"/>
      <c r="J192" s="964"/>
      <c r="K192" s="964"/>
      <c r="L192" s="964"/>
      <c r="M192" s="964"/>
      <c r="N192" s="964"/>
      <c r="O192" s="964"/>
      <c r="P192" s="964"/>
      <c r="Q192" s="962"/>
      <c r="R192" s="967">
        <v>176.958598566308</v>
      </c>
      <c r="S192" s="967">
        <v>87.69773118279571</v>
      </c>
      <c r="T192" s="967">
        <v>142.604548387097</v>
      </c>
      <c r="U192" s="968">
        <v>2050.445698924730</v>
      </c>
    </row>
    <row r="193" ht="8.75" customHeight="1" hidden="1">
      <c r="A193" s="960">
        <v>44532</v>
      </c>
      <c r="B193" s="961">
        <v>69.3</v>
      </c>
      <c r="C193" s="965" cm="1">
        <f t="array" ref="C193">IF(ISBLANK(B193),"",B193*2.2046226218)</f>
        <v>152.780347690740</v>
      </c>
      <c r="D193" s="962" cm="1">
        <f t="array" ref="D193">IF(ISBLANK(B193),"",AVERAGE(B187:B193))</f>
        <v>69.7571428571429</v>
      </c>
      <c r="E193" s="962" cm="1">
        <f t="array" ref="E193">IF(ISBLANK(B193),"",AVERAGE(B180:B193))</f>
        <v>69.81666666666671</v>
      </c>
      <c r="F193" s="962" cm="1">
        <f t="array" ref="F193">IF(ISBLANK(B193),"",AVERAGE(B164:B193))</f>
        <v>70.03571428571431</v>
      </c>
      <c r="G193" s="964"/>
      <c r="H193" s="964"/>
      <c r="I193" s="964"/>
      <c r="J193" s="964"/>
      <c r="K193" s="964"/>
      <c r="L193" s="964"/>
      <c r="M193" s="964"/>
      <c r="N193" s="964"/>
      <c r="O193" s="964"/>
      <c r="P193" s="964"/>
      <c r="Q193" s="962"/>
      <c r="R193" s="967">
        <v>139.295</v>
      </c>
      <c r="S193" s="967">
        <v>90.886</v>
      </c>
      <c r="T193" s="967">
        <v>173.755</v>
      </c>
      <c r="U193" s="968">
        <v>2055.87</v>
      </c>
    </row>
    <row r="194" ht="8.75" customHeight="1" hidden="1">
      <c r="A194" s="960">
        <v>44533</v>
      </c>
      <c r="B194" s="961">
        <v>69.3</v>
      </c>
      <c r="C194" s="965" cm="1">
        <f t="array" ref="C194">IF(ISBLANK(B194),"",B194*2.2046226218)</f>
        <v>152.780347690740</v>
      </c>
      <c r="D194" s="962" cm="1">
        <f t="array" ref="D194">IF(ISBLANK(B194),"",AVERAGE(B188:B194))</f>
        <v>69.7</v>
      </c>
      <c r="E194" s="962" cm="1">
        <f t="array" ref="E194">IF(ISBLANK(B194),"",AVERAGE(B181:B194))</f>
        <v>69.76666666666669</v>
      </c>
      <c r="F194" s="962" cm="1">
        <f t="array" ref="F194">IF(ISBLANK(B194),"",AVERAGE(B165:B194))</f>
        <v>70.0022727272727</v>
      </c>
      <c r="G194" s="964"/>
      <c r="H194" s="964"/>
      <c r="I194" s="964"/>
      <c r="J194" s="964"/>
      <c r="K194" s="964"/>
      <c r="L194" s="964"/>
      <c r="M194" s="964"/>
      <c r="N194" s="964"/>
      <c r="O194" s="964"/>
      <c r="P194" s="964"/>
      <c r="Q194" s="962"/>
      <c r="R194" s="967">
        <v>152.395</v>
      </c>
      <c r="S194" s="967">
        <v>91.173</v>
      </c>
      <c r="T194" s="967">
        <v>139.48</v>
      </c>
      <c r="U194" s="968">
        <v>2035.75</v>
      </c>
    </row>
    <row r="195" ht="8.75" customHeight="1" hidden="1">
      <c r="A195" s="960">
        <v>44534</v>
      </c>
      <c r="B195" s="961">
        <v>69</v>
      </c>
      <c r="C195" s="965" cm="1">
        <f t="array" ref="C195">IF(ISBLANK(B195),"",B195*2.2046226218)</f>
        <v>152.1189609042</v>
      </c>
      <c r="D195" s="962" cm="1">
        <f t="array" ref="D195">IF(ISBLANK(B195),"",AVERAGE(B189:B195))</f>
        <v>69.59999999999999</v>
      </c>
      <c r="E195" s="962" cm="1">
        <f t="array" ref="E195">IF(ISBLANK(B195),"",AVERAGE(B182:B195))</f>
        <v>69.69166666666671</v>
      </c>
      <c r="F195" s="962" cm="1">
        <f t="array" ref="F195">IF(ISBLANK(B195),"",AVERAGE(B166:B195))</f>
        <v>69.9586956521739</v>
      </c>
      <c r="G195" s="964"/>
      <c r="H195" s="964"/>
      <c r="I195" s="964"/>
      <c r="J195" s="964"/>
      <c r="K195" s="964"/>
      <c r="L195" s="964"/>
      <c r="M195" s="964"/>
      <c r="N195" s="964"/>
      <c r="O195" s="964"/>
      <c r="P195" s="964"/>
      <c r="Q195" s="962"/>
      <c r="R195" s="967">
        <v>186.976931899642</v>
      </c>
      <c r="S195" s="967">
        <v>55.8057311827957</v>
      </c>
      <c r="T195" s="967">
        <v>209.771548387097</v>
      </c>
      <c r="U195" s="968">
        <v>2048.659032258060</v>
      </c>
    </row>
    <row r="196" ht="8.75" customHeight="1" hidden="1">
      <c r="A196" s="960">
        <v>44535</v>
      </c>
      <c r="B196" s="961">
        <v>69</v>
      </c>
      <c r="C196" s="965" cm="1">
        <f t="array" ref="C196">IF(ISBLANK(B196),"",B196*2.2046226218)</f>
        <v>152.1189609042</v>
      </c>
      <c r="D196" s="962" cm="1">
        <f t="array" ref="D196">IF(ISBLANK(B196),"",AVERAGE(B190:B196))</f>
        <v>69.4142857142857</v>
      </c>
      <c r="E196" s="962" cm="1">
        <f t="array" ref="E196">IF(ISBLANK(B196),"",AVERAGE(B183:B196))</f>
        <v>69.6384615384615</v>
      </c>
      <c r="F196" s="962" cm="1">
        <f t="array" ref="F196">IF(ISBLANK(B196),"",AVERAGE(B167:B196))</f>
        <v>69.91875</v>
      </c>
      <c r="G196" s="964"/>
      <c r="H196" s="964"/>
      <c r="I196" s="964"/>
      <c r="J196" s="964"/>
      <c r="K196" s="964"/>
      <c r="L196" s="964"/>
      <c r="M196" s="964"/>
      <c r="N196" s="964"/>
      <c r="O196" s="964"/>
      <c r="P196" s="964"/>
      <c r="Q196" s="962"/>
      <c r="R196" s="967">
        <v>157.359926470588</v>
      </c>
      <c r="S196" s="967">
        <v>60.3981323529412</v>
      </c>
      <c r="T196" s="967">
        <v>189.97</v>
      </c>
      <c r="U196" s="968">
        <v>1897.679411764710</v>
      </c>
    </row>
    <row r="197" ht="8.75" customHeight="1" hidden="1">
      <c r="A197" s="960">
        <v>44536</v>
      </c>
      <c r="B197" s="961">
        <v>69.3</v>
      </c>
      <c r="C197" s="965" cm="1">
        <f t="array" ref="C197">IF(ISBLANK(B197),"",B197*2.2046226218)</f>
        <v>152.780347690740</v>
      </c>
      <c r="D197" s="962" cm="1">
        <f t="array" ref="D197">IF(ISBLANK(B197),"",AVERAGE(B191:B197))</f>
        <v>69.2785714285714</v>
      </c>
      <c r="E197" s="962" cm="1">
        <f t="array" ref="E197">IF(ISBLANK(B197),"",AVERAGE(B184:B197))</f>
        <v>69.6142857142857</v>
      </c>
      <c r="F197" s="962" cm="1">
        <f t="array" ref="F197">IF(ISBLANK(B197),"",AVERAGE(B168:B197))</f>
        <v>69.89400000000001</v>
      </c>
      <c r="G197" s="964"/>
      <c r="H197" s="964"/>
      <c r="I197" s="964"/>
      <c r="J197" s="964"/>
      <c r="K197" s="964"/>
      <c r="L197" s="964"/>
      <c r="M197" s="964"/>
      <c r="N197" s="964"/>
      <c r="O197" s="964"/>
      <c r="P197" s="964"/>
      <c r="Q197" s="962"/>
      <c r="R197" s="967">
        <v>131.067892473118</v>
      </c>
      <c r="S197" s="967">
        <v>94.4421720430108</v>
      </c>
      <c r="T197" s="967">
        <v>170.445795698925</v>
      </c>
      <c r="U197" s="968">
        <v>2016.092604540020</v>
      </c>
    </row>
    <row r="198" ht="8.75" customHeight="1" hidden="1">
      <c r="A198" s="960">
        <v>44537</v>
      </c>
      <c r="B198" s="961">
        <v>69</v>
      </c>
      <c r="C198" s="965" cm="1">
        <f t="array" ref="C198">IF(ISBLANK(B198),"",B198*2.2046226218)</f>
        <v>152.1189609042</v>
      </c>
      <c r="D198" s="962" cm="1">
        <f t="array" ref="D198">IF(ISBLANK(B198),"",AVERAGE(B192:B198))</f>
        <v>69.23571428571429</v>
      </c>
      <c r="E198" s="962" cm="1">
        <f t="array" ref="E198">IF(ISBLANK(B198),"",AVERAGE(B185:B198))</f>
        <v>69.5214285714286</v>
      </c>
      <c r="F198" s="962" cm="1">
        <f t="array" ref="F198">IF(ISBLANK(B198),"",AVERAGE(B169:B198))</f>
        <v>69.8596153846154</v>
      </c>
      <c r="G198" s="964"/>
      <c r="H198" s="964"/>
      <c r="I198" s="964"/>
      <c r="J198" s="964"/>
      <c r="K198" s="964"/>
      <c r="L198" s="964"/>
      <c r="M198" s="964"/>
      <c r="N198" s="964"/>
      <c r="O198" s="964"/>
      <c r="P198" s="964"/>
      <c r="Q198" s="962"/>
      <c r="R198" s="967">
        <v>178.062709677419</v>
      </c>
      <c r="S198" s="967">
        <v>74.38206451612901</v>
      </c>
      <c r="T198" s="967">
        <v>201.549548387097</v>
      </c>
      <c r="U198" s="968">
        <v>2141.259032258060</v>
      </c>
    </row>
    <row r="199" ht="8.75" customHeight="1" hidden="1">
      <c r="A199" s="960">
        <v>44538</v>
      </c>
      <c r="B199" s="961">
        <v>68.5</v>
      </c>
      <c r="C199" s="965" cm="1">
        <f t="array" ref="C199">IF(ISBLANK(B199),"",B199*2.2046226218)</f>
        <v>151.0166495933</v>
      </c>
      <c r="D199" s="962" cm="1">
        <f t="array" ref="D199">IF(ISBLANK(B199),"",AVERAGE(B193:B199))</f>
        <v>69.05714285714291</v>
      </c>
      <c r="E199" s="962" cm="1">
        <f t="array" ref="E199">IF(ISBLANK(B199),"",AVERAGE(B186:B199))</f>
        <v>69.4357142857143</v>
      </c>
      <c r="F199" s="962" cm="1">
        <f t="array" ref="F199">IF(ISBLANK(B199),"",AVERAGE(B170:B199))</f>
        <v>69.80925925925931</v>
      </c>
      <c r="G199" s="964"/>
      <c r="H199" s="964"/>
      <c r="I199" s="964"/>
      <c r="J199" s="964"/>
      <c r="K199" s="964"/>
      <c r="L199" s="964"/>
      <c r="M199" s="964"/>
      <c r="N199" s="964"/>
      <c r="O199" s="964"/>
      <c r="P199" s="964"/>
      <c r="Q199" s="962"/>
      <c r="R199" s="967">
        <v>169.654677419355</v>
      </c>
      <c r="S199" s="967">
        <v>78.1305161290323</v>
      </c>
      <c r="T199" s="967">
        <v>170.023387096774</v>
      </c>
      <c r="U199" s="968">
        <v>2041.962998805260</v>
      </c>
    </row>
    <row r="200" ht="8.75" customHeight="1" hidden="1">
      <c r="A200" s="960">
        <v>44539</v>
      </c>
      <c r="B200" s="961">
        <v>69</v>
      </c>
      <c r="C200" s="965" cm="1">
        <f t="array" ref="C200">IF(ISBLANK(B200),"",B200*2.2046226218)</f>
        <v>152.1189609042</v>
      </c>
      <c r="D200" s="962" cm="1">
        <f t="array" ref="D200">IF(ISBLANK(B200),"",AVERAGE(B194:B200))</f>
        <v>69.01428571428571</v>
      </c>
      <c r="E200" s="962" cm="1">
        <f t="array" ref="E200">IF(ISBLANK(B200),"",AVERAGE(B187:B200))</f>
        <v>69.3857142857143</v>
      </c>
      <c r="F200" s="962" cm="1">
        <f t="array" ref="F200">IF(ISBLANK(B200),"",AVERAGE(B171:B200))</f>
        <v>69.75370370370371</v>
      </c>
      <c r="G200" s="964"/>
      <c r="H200" s="964"/>
      <c r="I200" s="964"/>
      <c r="J200" s="964"/>
      <c r="K200" s="964"/>
      <c r="L200" s="964"/>
      <c r="M200" s="964"/>
      <c r="N200" s="964"/>
      <c r="O200" s="964"/>
      <c r="P200" s="964"/>
      <c r="Q200" s="962"/>
      <c r="R200" s="967">
        <v>161.163763440860</v>
      </c>
      <c r="S200" s="967">
        <v>84.8059784946237</v>
      </c>
      <c r="T200" s="967">
        <v>198.592150537634</v>
      </c>
      <c r="U200" s="968">
        <v>2180.423655913980</v>
      </c>
    </row>
    <row r="201" ht="8.75" customHeight="1" hidden="1">
      <c r="A201" s="960">
        <v>44540</v>
      </c>
      <c r="B201" s="961">
        <v>69</v>
      </c>
      <c r="C201" s="965" cm="1">
        <f t="array" ref="C201">IF(ISBLANK(B201),"",B201*2.2046226218)</f>
        <v>152.1189609042</v>
      </c>
      <c r="D201" s="962" cm="1">
        <f t="array" ref="D201">IF(ISBLANK(B201),"",AVERAGE(B195:B201))</f>
        <v>68.9714285714286</v>
      </c>
      <c r="E201" s="962" cm="1">
        <f t="array" ref="E201">IF(ISBLANK(B201),"",AVERAGE(B188:B201))</f>
        <v>69.3357142857143</v>
      </c>
      <c r="F201" s="962" cm="1">
        <f t="array" ref="F201">IF(ISBLANK(B201),"",AVERAGE(B172:B201))</f>
        <v>69.7267857142857</v>
      </c>
      <c r="G201" s="964"/>
      <c r="H201" s="964"/>
      <c r="I201" s="964"/>
      <c r="J201" s="964"/>
      <c r="K201" s="964"/>
      <c r="L201" s="964"/>
      <c r="M201" s="964"/>
      <c r="N201" s="964"/>
      <c r="O201" s="964"/>
      <c r="P201" s="964"/>
      <c r="Q201" s="962"/>
      <c r="R201" s="967">
        <v>166.518677419355</v>
      </c>
      <c r="S201" s="967">
        <v>94.1955161290323</v>
      </c>
      <c r="T201" s="967">
        <v>139.975387096774</v>
      </c>
      <c r="U201" s="968">
        <v>2049.952258064520</v>
      </c>
    </row>
    <row r="202" ht="8.75" customHeight="1" hidden="1">
      <c r="A202" s="960">
        <v>44541</v>
      </c>
      <c r="B202" s="961">
        <v>68.95</v>
      </c>
      <c r="C202" s="965" cm="1">
        <f t="array" ref="C202">IF(ISBLANK(B202),"",B202*2.2046226218)</f>
        <v>152.008729773110</v>
      </c>
      <c r="D202" s="962" cm="1">
        <f t="array" ref="D202">IF(ISBLANK(B202),"",AVERAGE(B196:B202))</f>
        <v>68.96428571428569</v>
      </c>
      <c r="E202" s="962" cm="1">
        <f t="array" ref="E202">IF(ISBLANK(B202),"",AVERAGE(B189:B202))</f>
        <v>69.2821428571429</v>
      </c>
      <c r="F202" s="962" cm="1">
        <f t="array" ref="F202">IF(ISBLANK(B202),"",AVERAGE(B173:B202))</f>
        <v>69.6696428571429</v>
      </c>
      <c r="G202" s="964"/>
      <c r="H202" s="964"/>
      <c r="I202" s="964"/>
      <c r="J202" s="964"/>
      <c r="K202" s="964"/>
      <c r="L202" s="964"/>
      <c r="M202" s="964"/>
      <c r="N202" s="964"/>
      <c r="O202" s="964"/>
      <c r="P202" s="964"/>
      <c r="Q202" s="962"/>
      <c r="R202" s="967">
        <v>147.431419354839</v>
      </c>
      <c r="S202" s="967">
        <v>84.06712903225809</v>
      </c>
      <c r="T202" s="967">
        <v>208.533096774194</v>
      </c>
      <c r="U202" s="968">
        <v>2120.948064516130</v>
      </c>
    </row>
    <row r="203" ht="8.75" customHeight="1" hidden="1">
      <c r="A203" s="960">
        <v>44542</v>
      </c>
      <c r="B203" s="961">
        <v>68.65000000000001</v>
      </c>
      <c r="C203" s="965" cm="1">
        <f t="array" ref="C203">IF(ISBLANK(B203),"",B203*2.2046226218)</f>
        <v>151.347342986570</v>
      </c>
      <c r="D203" s="962" cm="1">
        <f t="array" ref="D203">IF(ISBLANK(B203),"",AVERAGE(B197:B203))</f>
        <v>68.9142857142857</v>
      </c>
      <c r="E203" s="962" cm="1">
        <f t="array" ref="E203">IF(ISBLANK(B203),"",AVERAGE(B190:B203))</f>
        <v>69.1642857142857</v>
      </c>
      <c r="F203" s="962" cm="1">
        <f t="array" ref="F203">IF(ISBLANK(B203),"",AVERAGE(B174:B203))</f>
        <v>69.6017857142857</v>
      </c>
      <c r="G203" s="964"/>
      <c r="H203" s="964"/>
      <c r="I203" s="964"/>
      <c r="J203" s="964"/>
      <c r="K203" s="964"/>
      <c r="L203" s="964"/>
      <c r="M203" s="964"/>
      <c r="N203" s="964"/>
      <c r="O203" s="964"/>
      <c r="P203" s="964"/>
      <c r="Q203" s="962"/>
      <c r="R203" s="967">
        <v>178.986745519713</v>
      </c>
      <c r="S203" s="967">
        <v>77.4674516129032</v>
      </c>
      <c r="T203" s="967">
        <v>196.878172043011</v>
      </c>
      <c r="U203" s="968">
        <v>2662.251559139780</v>
      </c>
    </row>
    <row r="204" ht="8.75" customHeight="1" hidden="1">
      <c r="A204" s="960">
        <v>44543</v>
      </c>
      <c r="B204" s="961">
        <v>68.7</v>
      </c>
      <c r="C204" s="965" cm="1">
        <f t="array" ref="C204">IF(ISBLANK(B204),"",B204*2.2046226218)</f>
        <v>151.457574117660</v>
      </c>
      <c r="D204" s="962" cm="1">
        <f t="array" ref="D204">IF(ISBLANK(B204),"",AVERAGE(B198:B204))</f>
        <v>68.82857142857139</v>
      </c>
      <c r="E204" s="962" cm="1">
        <f t="array" ref="E204">IF(ISBLANK(B204),"",AVERAGE(B191:B204))</f>
        <v>69.0535714285714</v>
      </c>
      <c r="F204" s="962" cm="1">
        <f t="array" ref="F204">IF(ISBLANK(B204),"",AVERAGE(B175:B204))</f>
        <v>69.55</v>
      </c>
      <c r="G204" s="964"/>
      <c r="H204" s="964"/>
      <c r="I204" s="964"/>
      <c r="J204" s="964"/>
      <c r="K204" s="964"/>
      <c r="L204" s="964"/>
      <c r="M204" s="964"/>
      <c r="N204" s="964"/>
      <c r="O204" s="964"/>
      <c r="P204" s="964"/>
      <c r="Q204" s="962"/>
      <c r="R204" s="967">
        <v>131.960263440860</v>
      </c>
      <c r="S204" s="967">
        <v>44.2451340501792</v>
      </c>
      <c r="T204" s="967">
        <v>169.612139426523</v>
      </c>
      <c r="U204" s="968">
        <v>2171.026989247310</v>
      </c>
    </row>
    <row r="205" ht="8.75" customHeight="1" hidden="1">
      <c r="A205" s="960">
        <v>44544</v>
      </c>
      <c r="B205" s="961">
        <v>68.7</v>
      </c>
      <c r="C205" s="965" cm="1">
        <f t="array" ref="C205">IF(ISBLANK(B205),"",B205*2.2046226218)</f>
        <v>151.457574117660</v>
      </c>
      <c r="D205" s="962" cm="1">
        <f t="array" ref="D205">IF(ISBLANK(B205),"",AVERAGE(B199:B205))</f>
        <v>68.78571428571431</v>
      </c>
      <c r="E205" s="962" cm="1">
        <f t="array" ref="E205">IF(ISBLANK(B205),"",AVERAGE(B192:B205))</f>
        <v>69.0107142857143</v>
      </c>
      <c r="F205" s="962" cm="1">
        <f t="array" ref="F205">IF(ISBLANK(B205),"",AVERAGE(B176:B205))</f>
        <v>69.4982142857143</v>
      </c>
      <c r="G205" s="964"/>
      <c r="H205" s="964"/>
      <c r="I205" s="964"/>
      <c r="J205" s="964"/>
      <c r="K205" s="964"/>
      <c r="L205" s="964"/>
      <c r="M205" s="964"/>
      <c r="N205" s="964"/>
      <c r="O205" s="964"/>
      <c r="P205" s="964"/>
      <c r="Q205" s="962"/>
      <c r="R205" s="967">
        <v>116.651666666667</v>
      </c>
      <c r="S205" s="967">
        <v>65.0033333333333</v>
      </c>
      <c r="T205" s="967">
        <v>131.835</v>
      </c>
      <c r="U205" s="968">
        <v>2467.026666666670</v>
      </c>
    </row>
    <row r="206" ht="8.75" customHeight="1" hidden="1">
      <c r="A206" s="960">
        <v>44545</v>
      </c>
      <c r="B206" s="961">
        <v>68.7</v>
      </c>
      <c r="C206" s="965" cm="1">
        <f t="array" ref="C206">IF(ISBLANK(B206),"",B206*2.2046226218)</f>
        <v>151.457574117660</v>
      </c>
      <c r="D206" s="962" cm="1">
        <f t="array" ref="D206">IF(ISBLANK(B206),"",AVERAGE(B200:B206))</f>
        <v>68.8142857142857</v>
      </c>
      <c r="E206" s="962" cm="1">
        <f t="array" ref="E206">IF(ISBLANK(B206),"",AVERAGE(B193:B206))</f>
        <v>68.9357142857143</v>
      </c>
      <c r="F206" s="962" cm="1">
        <f t="array" ref="F206">IF(ISBLANK(B206),"",AVERAGE(B177:B206))</f>
        <v>69.43214285714291</v>
      </c>
      <c r="G206" s="964"/>
      <c r="H206" s="964"/>
      <c r="I206" s="964"/>
      <c r="J206" s="964"/>
      <c r="K206" s="964"/>
      <c r="L206" s="964"/>
      <c r="M206" s="964"/>
      <c r="N206" s="964"/>
      <c r="O206" s="964"/>
      <c r="P206" s="964"/>
      <c r="Q206" s="962"/>
      <c r="R206" s="967">
        <v>114.16</v>
      </c>
      <c r="S206" s="967">
        <v>47.245</v>
      </c>
      <c r="T206" s="967">
        <v>316.865</v>
      </c>
      <c r="U206" s="968">
        <v>1957.51</v>
      </c>
    </row>
    <row r="207" ht="8.75" customHeight="1" hidden="1">
      <c r="A207" s="960">
        <v>44546</v>
      </c>
      <c r="B207" s="961">
        <v>68.7</v>
      </c>
      <c r="C207" s="965" cm="1">
        <f t="array" ref="C207">IF(ISBLANK(B207),"",B207*2.2046226218)</f>
        <v>151.457574117660</v>
      </c>
      <c r="D207" s="962" cm="1">
        <f t="array" ref="D207">IF(ISBLANK(B207),"",AVERAGE(B201:B207))</f>
        <v>68.7714285714286</v>
      </c>
      <c r="E207" s="962" cm="1">
        <f t="array" ref="E207">IF(ISBLANK(B207),"",AVERAGE(B194:B207))</f>
        <v>68.8928571428571</v>
      </c>
      <c r="F207" s="962" cm="1">
        <f t="array" ref="F207">IF(ISBLANK(B207),"",AVERAGE(B178:B207))</f>
        <v>69.3535714285714</v>
      </c>
      <c r="G207" s="964"/>
      <c r="H207" s="964"/>
      <c r="I207" s="964"/>
      <c r="J207" s="964"/>
      <c r="K207" s="964"/>
      <c r="L207" s="964"/>
      <c r="M207" s="964"/>
      <c r="N207" s="964"/>
      <c r="O207" s="964"/>
      <c r="P207" s="964"/>
      <c r="Q207" s="962"/>
      <c r="R207" s="967">
        <v>134.639333333333</v>
      </c>
      <c r="S207" s="967">
        <v>49.081</v>
      </c>
      <c r="T207" s="967">
        <v>171.498333333333</v>
      </c>
      <c r="U207" s="968">
        <v>2049.723333333330</v>
      </c>
    </row>
    <row r="208" ht="8.75" customHeight="1" hidden="1">
      <c r="A208" s="960">
        <v>44547</v>
      </c>
      <c r="B208" s="961">
        <v>68.7</v>
      </c>
      <c r="C208" s="965" cm="1">
        <f t="array" ref="C208">IF(ISBLANK(B208),"",B208*2.2046226218)</f>
        <v>151.457574117660</v>
      </c>
      <c r="D208" s="962" cm="1">
        <f t="array" ref="D208">IF(ISBLANK(B208),"",AVERAGE(B202:B208))</f>
        <v>68.7285714285714</v>
      </c>
      <c r="E208" s="962" cm="1">
        <f t="array" ref="E208">IF(ISBLANK(B208),"",AVERAGE(B195:B208))</f>
        <v>68.84999999999999</v>
      </c>
      <c r="F208" s="962" cm="1">
        <f t="array" ref="F208">IF(ISBLANK(B208),"",AVERAGE(B179:B208))</f>
        <v>69.30714285714291</v>
      </c>
      <c r="G208" s="964"/>
      <c r="H208" s="964"/>
      <c r="I208" s="964"/>
      <c r="J208" s="964"/>
      <c r="K208" s="964"/>
      <c r="L208" s="964"/>
      <c r="M208" s="964"/>
      <c r="N208" s="964"/>
      <c r="O208" s="964"/>
      <c r="P208" s="964"/>
      <c r="Q208" s="962"/>
      <c r="R208" s="967">
        <v>180.128941176471</v>
      </c>
      <c r="S208" s="967">
        <v>77.2591176470588</v>
      </c>
      <c r="T208" s="967">
        <v>178.410411764706</v>
      </c>
      <c r="U208" s="968">
        <v>2270.160588235290</v>
      </c>
    </row>
    <row r="209" ht="8.75" customHeight="1" hidden="1">
      <c r="A209" s="960">
        <v>44548</v>
      </c>
      <c r="B209" s="961">
        <v>68.7</v>
      </c>
      <c r="C209" s="965" cm="1">
        <f t="array" ref="C209">IF(ISBLANK(B209),"",B209*2.2046226218)</f>
        <v>151.457574117660</v>
      </c>
      <c r="D209" s="962" cm="1">
        <f t="array" ref="D209">IF(ISBLANK(B209),"",AVERAGE(B203:B209))</f>
        <v>68.69285714285709</v>
      </c>
      <c r="E209" s="962" cm="1">
        <f t="array" ref="E209">IF(ISBLANK(B209),"",AVERAGE(B196:B209))</f>
        <v>68.82857142857139</v>
      </c>
      <c r="F209" s="962" cm="1">
        <f t="array" ref="F209">IF(ISBLANK(B209),"",AVERAGE(B180:B209))</f>
        <v>69.27500000000001</v>
      </c>
      <c r="G209" s="964"/>
      <c r="H209" s="964"/>
      <c r="I209" s="964"/>
      <c r="J209" s="964"/>
      <c r="K209" s="964"/>
      <c r="L209" s="964"/>
      <c r="M209" s="964"/>
      <c r="N209" s="964"/>
      <c r="O209" s="964"/>
      <c r="P209" s="964"/>
      <c r="Q209" s="962"/>
      <c r="R209" s="967">
        <v>111.573</v>
      </c>
      <c r="S209" s="967">
        <v>52.968</v>
      </c>
      <c r="T209" s="967">
        <v>138.071</v>
      </c>
      <c r="U209" s="968">
        <v>1496.69</v>
      </c>
    </row>
    <row r="210" ht="8.75" customHeight="1" hidden="1">
      <c r="A210" s="960">
        <v>44549</v>
      </c>
      <c r="B210" s="356"/>
      <c r="C210" t="str" s="352" cm="1">
        <f t="array" ref="C210">IF(ISBLANK(B210),"",B210*2.2046226218)</f>
      </c>
      <c r="D210" t="str" s="964" cm="1">
        <f t="array" ref="D210">IF(ISBLANK(B210),"",AVERAGE(B204:B210))</f>
      </c>
      <c r="E210" t="str" s="964" cm="1">
        <f t="array" ref="E210">IF(ISBLANK(B210),"",AVERAGE(B197:B210))</f>
      </c>
      <c r="F210" t="str" s="964" cm="1">
        <f t="array" ref="F210">IF(ISBLANK(B210),"",AVERAGE(B181:B210))</f>
      </c>
      <c r="G210" s="964"/>
      <c r="H210" s="964"/>
      <c r="I210" s="964"/>
      <c r="J210" s="964"/>
      <c r="K210" s="964"/>
      <c r="L210" s="964"/>
      <c r="M210" s="964"/>
      <c r="N210" s="964"/>
      <c r="O210" s="964"/>
      <c r="P210" s="964"/>
      <c r="Q210" s="962"/>
      <c r="R210" t="str" s="964" cm="1">
        <f t="array" ref="R210">IF(ISBLANK($B210),"",'tracking - Table 2-1-2'!C$66)</f>
      </c>
      <c r="S210" t="str" s="964" cm="1">
        <f t="array" ref="S210">IF(ISBLANK($B210),"",'tracking - Table 2-1-2'!D$66)</f>
      </c>
      <c r="T210" t="str" s="964" cm="1">
        <f t="array" ref="T210">IF(ISBLANK($B210),"",'tracking - Table 2-1-2'!E$66)</f>
      </c>
      <c r="U210" t="str" s="969" cm="1">
        <f t="array" ref="U210">IF(ISBLANK($B210),"",'tracking - Table 2-1-2'!F$66)</f>
      </c>
    </row>
    <row r="211" ht="8.75" customHeight="1" hidden="1">
      <c r="A211" s="960">
        <v>44550</v>
      </c>
      <c r="B211" s="961">
        <v>68.90000000000001</v>
      </c>
      <c r="C211" s="965" cm="1">
        <f t="array" ref="C211">IF(ISBLANK(B211),"",B211*2.2046226218)</f>
        <v>151.898498642020</v>
      </c>
      <c r="D211" s="962" cm="1">
        <f t="array" ref="D211">IF(ISBLANK(B211),"",AVERAGE(B205:B211))</f>
        <v>68.73333333333331</v>
      </c>
      <c r="E211" s="962" cm="1">
        <f t="array" ref="E211">IF(ISBLANK(B211),"",AVERAGE(B198:B211))</f>
        <v>68.78461538461541</v>
      </c>
      <c r="F211" s="962" cm="1">
        <f t="array" ref="F211">IF(ISBLANK(B211),"",AVERAGE(B182:B211))</f>
        <v>69.2148148148148</v>
      </c>
      <c r="G211" s="964"/>
      <c r="H211" s="964"/>
      <c r="I211" s="964"/>
      <c r="J211" s="964"/>
      <c r="K211" s="964"/>
      <c r="L211" s="964"/>
      <c r="M211" s="964"/>
      <c r="N211" s="964"/>
      <c r="O211" s="964"/>
      <c r="P211" s="964"/>
      <c r="Q211" s="962"/>
      <c r="R211" s="967">
        <v>185.011650853890</v>
      </c>
      <c r="S211" s="967">
        <v>60.6881821631879</v>
      </c>
      <c r="T211" s="967">
        <v>236.307960151803</v>
      </c>
      <c r="U211" s="968">
        <v>2273.059620493360</v>
      </c>
    </row>
    <row r="212" ht="8.75" customHeight="1" hidden="1">
      <c r="A212" s="960">
        <v>44551</v>
      </c>
      <c r="B212" s="961">
        <v>68.90000000000001</v>
      </c>
      <c r="C212" s="965" cm="1">
        <f t="array" ref="C212">IF(ISBLANK(B212),"",B212*2.2046226218)</f>
        <v>151.898498642020</v>
      </c>
      <c r="D212" s="962" cm="1">
        <f t="array" ref="D212">IF(ISBLANK(B212),"",AVERAGE(B206:B212))</f>
        <v>68.76666666666669</v>
      </c>
      <c r="E212" s="962" cm="1">
        <f t="array" ref="E212">IF(ISBLANK(B212),"",AVERAGE(B199:B212))</f>
        <v>68.7769230769231</v>
      </c>
      <c r="F212" s="962" cm="1">
        <f t="array" ref="F212">IF(ISBLANK(B212),"",AVERAGE(B183:B212))</f>
        <v>69.20357142857139</v>
      </c>
      <c r="G212" s="964"/>
      <c r="H212" s="964"/>
      <c r="I212" s="964"/>
      <c r="J212" s="964"/>
      <c r="K212" s="964"/>
      <c r="L212" s="964"/>
      <c r="M212" s="964"/>
      <c r="N212" s="964"/>
      <c r="O212" s="964"/>
      <c r="P212" s="964"/>
      <c r="Q212" s="962"/>
      <c r="R212" s="967"/>
      <c r="S212" s="967"/>
      <c r="T212" s="967"/>
      <c r="U212" s="968"/>
    </row>
    <row r="213" ht="8.75" customHeight="1" hidden="1">
      <c r="A213" s="960">
        <v>44552</v>
      </c>
      <c r="B213" s="961">
        <v>68.7</v>
      </c>
      <c r="C213" s="965" cm="1">
        <f t="array" ref="C213">IF(ISBLANK(B213),"",B213*2.2046226218)</f>
        <v>151.457574117660</v>
      </c>
      <c r="D213" s="962" cm="1">
        <f t="array" ref="D213">IF(ISBLANK(B213),"",AVERAGE(B207:B213))</f>
        <v>68.76666666666669</v>
      </c>
      <c r="E213" s="962" cm="1">
        <f t="array" ref="E213">IF(ISBLANK(B213),"",AVERAGE(B200:B213))</f>
        <v>68.7923076923077</v>
      </c>
      <c r="F213" s="962" cm="1">
        <f t="array" ref="F213">IF(ISBLANK(B213),"",AVERAGE(B184:B213))</f>
        <v>69.1862068965517</v>
      </c>
      <c r="G213" s="964"/>
      <c r="H213" s="964"/>
      <c r="I213" s="964"/>
      <c r="J213" s="964"/>
      <c r="K213" s="964"/>
      <c r="L213" s="964"/>
      <c r="M213" s="964"/>
      <c r="N213" s="964"/>
      <c r="O213" s="964"/>
      <c r="P213" s="964"/>
      <c r="Q213" s="962"/>
      <c r="R213" s="967">
        <v>116.434709677419</v>
      </c>
      <c r="S213" s="967">
        <v>55.178064516129</v>
      </c>
      <c r="T213" s="967">
        <v>166.956548387097</v>
      </c>
      <c r="U213" s="968">
        <v>1898.179032258060</v>
      </c>
    </row>
    <row r="214" ht="8.75" customHeight="1" hidden="1">
      <c r="A214" s="960">
        <v>44553</v>
      </c>
      <c r="B214" s="356"/>
      <c r="C214" t="str" s="352" cm="1">
        <f t="array" ref="C214">IF(ISBLANK(B214),"",B214*2.2046226218)</f>
      </c>
      <c r="D214" t="str" s="964" cm="1">
        <f t="array" ref="D214">IF(ISBLANK(B214),"",AVERAGE(B208:B214))</f>
      </c>
      <c r="E214" t="str" s="964" cm="1">
        <f t="array" ref="E214">IF(ISBLANK(B214),"",AVERAGE(B201:B214))</f>
      </c>
      <c r="F214" t="str" s="964" cm="1">
        <f t="array" ref="F214">IF(ISBLANK(B214),"",AVERAGE(B185:B214))</f>
      </c>
      <c r="G214" s="964"/>
      <c r="H214" s="964"/>
      <c r="I214" s="964"/>
      <c r="J214" s="964"/>
      <c r="K214" s="964"/>
      <c r="L214" s="964"/>
      <c r="M214" s="964"/>
      <c r="N214" s="964"/>
      <c r="O214" s="964"/>
      <c r="P214" s="964"/>
      <c r="Q214" s="962"/>
      <c r="R214" t="str" s="964" cm="1">
        <f t="array" ref="R214">IF(ISBLANK($B214),"",'tracking - Table 2-1-2'!C$66)</f>
      </c>
      <c r="S214" t="str" s="964" cm="1">
        <f t="array" ref="S214">IF(ISBLANK($B214),"",'tracking - Table 2-1-2'!D$66)</f>
      </c>
      <c r="T214" t="str" s="964" cm="1">
        <f t="array" ref="T214">IF(ISBLANK($B214),"",'tracking - Table 2-1-2'!E$66)</f>
      </c>
      <c r="U214" t="str" s="969" cm="1">
        <f t="array" ref="U214">IF(ISBLANK($B214),"",'tracking - Table 2-1-2'!F$66)</f>
      </c>
    </row>
    <row r="215" ht="8.75" customHeight="1" hidden="1">
      <c r="A215" s="960">
        <v>44554</v>
      </c>
      <c r="B215" s="356"/>
      <c r="C215" t="str" s="352" cm="1">
        <f t="array" ref="C215">IF(ISBLANK(B215),"",B215*2.2046226218)</f>
      </c>
      <c r="D215" t="str" s="964" cm="1">
        <f t="array" ref="D215">IF(ISBLANK(B215),"",AVERAGE(B209:B215))</f>
      </c>
      <c r="E215" t="str" s="964" cm="1">
        <f t="array" ref="E215">IF(ISBLANK(B215),"",AVERAGE(B202:B215))</f>
      </c>
      <c r="F215" t="str" s="964" cm="1">
        <f t="array" ref="F215">IF(ISBLANK(B215),"",AVERAGE(B186:B215))</f>
      </c>
      <c r="G215" s="964"/>
      <c r="H215" s="964"/>
      <c r="I215" s="964"/>
      <c r="J215" s="964"/>
      <c r="K215" s="964"/>
      <c r="L215" s="964"/>
      <c r="M215" s="964"/>
      <c r="N215" s="964"/>
      <c r="O215" s="964"/>
      <c r="P215" s="964"/>
      <c r="Q215" s="962"/>
      <c r="R215" t="str" s="964" cm="1">
        <f t="array" ref="R215">IF(ISBLANK($B215),"",'tracking - Table 2-1-2'!C$66)</f>
      </c>
      <c r="S215" t="str" s="964" cm="1">
        <f t="array" ref="S215">IF(ISBLANK($B215),"",'tracking - Table 2-1-2'!D$66)</f>
      </c>
      <c r="T215" t="str" s="964" cm="1">
        <f t="array" ref="T215">IF(ISBLANK($B215),"",'tracking - Table 2-1-2'!E$66)</f>
      </c>
      <c r="U215" t="str" s="969" cm="1">
        <f t="array" ref="U215">IF(ISBLANK($B215),"",'tracking - Table 2-1-2'!F$66)</f>
      </c>
    </row>
    <row r="216" ht="8.75" customHeight="1" hidden="1">
      <c r="A216" s="960">
        <v>44555</v>
      </c>
      <c r="B216" s="356"/>
      <c r="C216" t="str" s="352" cm="1">
        <f t="array" ref="C216">IF(ISBLANK(B216),"",B216*2.2046226218)</f>
      </c>
      <c r="D216" t="str" s="964" cm="1">
        <f t="array" ref="D216">IF(ISBLANK(B216),"",AVERAGE(B210:B216))</f>
      </c>
      <c r="E216" t="str" s="964" cm="1">
        <f t="array" ref="E216">IF(ISBLANK(B216),"",AVERAGE(B203:B216))</f>
      </c>
      <c r="F216" t="str" s="964" cm="1">
        <f t="array" ref="F216">IF(ISBLANK(B216),"",AVERAGE(B187:B216))</f>
      </c>
      <c r="G216" s="964"/>
      <c r="H216" s="964"/>
      <c r="I216" s="964"/>
      <c r="J216" s="964"/>
      <c r="K216" s="964"/>
      <c r="L216" s="964"/>
      <c r="M216" s="964"/>
      <c r="N216" s="964"/>
      <c r="O216" s="964"/>
      <c r="P216" s="964"/>
      <c r="Q216" s="962"/>
      <c r="R216" t="str" s="964" cm="1">
        <f t="array" ref="R216">IF(ISBLANK($B216),"",'tracking - Table 2-1-2'!C$66)</f>
      </c>
      <c r="S216" t="str" s="964" cm="1">
        <f t="array" ref="S216">IF(ISBLANK($B216),"",'tracking - Table 2-1-2'!D$66)</f>
      </c>
      <c r="T216" t="str" s="964" cm="1">
        <f t="array" ref="T216">IF(ISBLANK($B216),"",'tracking - Table 2-1-2'!E$66)</f>
      </c>
      <c r="U216" t="str" s="969" cm="1">
        <f t="array" ref="U216">IF(ISBLANK($B216),"",'tracking - Table 2-1-2'!F$66)</f>
      </c>
    </row>
    <row r="217" ht="8.75" customHeight="1" hidden="1">
      <c r="A217" s="960">
        <v>44556</v>
      </c>
      <c r="B217" s="961">
        <v>67.40000000000001</v>
      </c>
      <c r="C217" s="965" cm="1">
        <f t="array" ref="C217">IF(ISBLANK(B217),"",B217*2.2046226218)</f>
        <v>148.591564709320</v>
      </c>
      <c r="D217" s="962" cm="1">
        <f t="array" ref="D217">IF(ISBLANK(B217),"",AVERAGE(B211:B217))</f>
        <v>68.47499999999999</v>
      </c>
      <c r="E217" s="962" cm="1">
        <f t="array" ref="E217">IF(ISBLANK(B217),"",AVERAGE(B204:B217))</f>
        <v>68.61</v>
      </c>
      <c r="F217" s="962" cm="1">
        <f t="array" ref="F217">IF(ISBLANK(B217),"",AVERAGE(B188:B217))</f>
        <v>69.0153846153846</v>
      </c>
      <c r="G217" s="964"/>
      <c r="H217" s="964"/>
      <c r="I217" s="964"/>
      <c r="J217" s="964"/>
      <c r="K217" s="964"/>
      <c r="L217" s="964"/>
      <c r="M217" s="964"/>
      <c r="N217" s="964"/>
      <c r="O217" s="964"/>
      <c r="P217" s="964"/>
      <c r="Q217" s="962"/>
      <c r="R217" s="967"/>
      <c r="S217" s="967"/>
      <c r="T217" s="967"/>
      <c r="U217" s="968"/>
    </row>
    <row r="218" ht="8.75" customHeight="1" hidden="1">
      <c r="A218" s="960">
        <v>44557</v>
      </c>
      <c r="B218" s="961">
        <v>67.40000000000001</v>
      </c>
      <c r="C218" s="965" cm="1">
        <f t="array" ref="C218">IF(ISBLANK(B218),"",B218*2.2046226218)</f>
        <v>148.591564709320</v>
      </c>
      <c r="D218" s="962" cm="1">
        <f t="array" ref="D218">IF(ISBLANK(B218),"",AVERAGE(B212:B218))</f>
        <v>68.09999999999999</v>
      </c>
      <c r="E218" s="962" cm="1">
        <f t="array" ref="E218">IF(ISBLANK(B218),"",AVERAGE(B205:B218))</f>
        <v>68.48</v>
      </c>
      <c r="F218" s="962" cm="1">
        <f t="array" ref="F218">IF(ISBLANK(B218),"",AVERAGE(B189:B218))</f>
        <v>68.9269230769231</v>
      </c>
      <c r="G218" s="964"/>
      <c r="H218" s="964"/>
      <c r="I218" s="964"/>
      <c r="J218" s="964"/>
      <c r="K218" s="964"/>
      <c r="L218" s="964"/>
      <c r="M218" s="964"/>
      <c r="N218" s="964"/>
      <c r="O218" s="964"/>
      <c r="P218" s="964"/>
      <c r="Q218" s="962"/>
      <c r="R218" s="967"/>
      <c r="S218" s="967"/>
      <c r="T218" s="967"/>
      <c r="U218" s="968"/>
    </row>
    <row r="219" ht="8.75" customHeight="1" hidden="1">
      <c r="A219" s="960">
        <v>44558</v>
      </c>
      <c r="B219" s="961">
        <v>69.40000000000001</v>
      </c>
      <c r="C219" s="965" cm="1">
        <f t="array" ref="C219">IF(ISBLANK(B219),"",B219*2.2046226218)</f>
        <v>153.000809952920</v>
      </c>
      <c r="D219" s="962" cm="1">
        <f t="array" ref="D219">IF(ISBLANK(B219),"",AVERAGE(B213:B219))</f>
        <v>68.22499999999999</v>
      </c>
      <c r="E219" s="962" cm="1">
        <f t="array" ref="E219">IF(ISBLANK(B219),"",AVERAGE(B206:B219))</f>
        <v>68.55</v>
      </c>
      <c r="F219" s="962" cm="1">
        <f t="array" ref="F219">IF(ISBLANK(B219),"",AVERAGE(B190:B219))</f>
        <v>68.8923076923077</v>
      </c>
      <c r="G219" s="964"/>
      <c r="H219" s="964"/>
      <c r="I219" s="964"/>
      <c r="J219" s="964"/>
      <c r="K219" s="964"/>
      <c r="L219" s="964"/>
      <c r="M219" s="964"/>
      <c r="N219" s="964"/>
      <c r="O219" s="964"/>
      <c r="P219" s="964"/>
      <c r="Q219" s="962"/>
      <c r="R219" s="964"/>
      <c r="S219" s="964"/>
      <c r="T219" s="964"/>
      <c r="U219" s="969"/>
    </row>
    <row r="220" ht="8.75" customHeight="1" hidden="1">
      <c r="A220" s="960">
        <v>44559</v>
      </c>
      <c r="B220" s="961">
        <v>69.40000000000001</v>
      </c>
      <c r="C220" s="965" cm="1">
        <f t="array" ref="C220">IF(ISBLANK(B220),"",B220*2.2046226218)</f>
        <v>153.000809952920</v>
      </c>
      <c r="D220" s="962" cm="1">
        <f t="array" ref="D220">IF(ISBLANK(B220),"",AVERAGE(B214:B220))</f>
        <v>68.40000000000001</v>
      </c>
      <c r="E220" s="962" cm="1">
        <f t="array" ref="E220">IF(ISBLANK(B220),"",AVERAGE(B207:B220))</f>
        <v>68.62</v>
      </c>
      <c r="F220" s="962" cm="1">
        <f t="array" ref="F220">IF(ISBLANK(B220),"",AVERAGE(B191:B220))</f>
        <v>68.8596153846154</v>
      </c>
      <c r="G220" s="964"/>
      <c r="H220" s="964"/>
      <c r="I220" s="964"/>
      <c r="J220" s="964"/>
      <c r="K220" s="964"/>
      <c r="L220" s="964"/>
      <c r="M220" s="964"/>
      <c r="N220" s="964"/>
      <c r="O220" s="964"/>
      <c r="P220" s="964"/>
      <c r="Q220" s="962"/>
      <c r="R220" s="964"/>
      <c r="S220" s="964"/>
      <c r="T220" s="964"/>
      <c r="U220" s="969"/>
    </row>
    <row r="221" ht="8.75" customHeight="1" hidden="1">
      <c r="A221" s="960">
        <v>44560</v>
      </c>
      <c r="B221" s="961">
        <v>69.2</v>
      </c>
      <c r="C221" s="965" cm="1">
        <f t="array" ref="C221">IF(ISBLANK(B221),"",B221*2.2046226218)</f>
        <v>152.559885428560</v>
      </c>
      <c r="D221" s="962" cm="1">
        <f t="array" ref="D221">IF(ISBLANK(B221),"",AVERAGE(B215:B221))</f>
        <v>68.56</v>
      </c>
      <c r="E221" s="962" cm="1">
        <f t="array" ref="E221">IF(ISBLANK(B221),"",AVERAGE(B208:B221))</f>
        <v>68.67</v>
      </c>
      <c r="F221" s="962" cm="1">
        <f t="array" ref="F221">IF(ISBLANK(B221),"",AVERAGE(B192:B221))</f>
        <v>68.8557692307692</v>
      </c>
      <c r="G221" s="964"/>
      <c r="H221" s="964"/>
      <c r="I221" s="964"/>
      <c r="J221" s="964"/>
      <c r="K221" s="964"/>
      <c r="L221" s="964"/>
      <c r="M221" s="964"/>
      <c r="N221" s="964"/>
      <c r="O221" s="964"/>
      <c r="P221" s="964"/>
      <c r="Q221" s="962"/>
      <c r="R221" s="967"/>
      <c r="S221" s="967"/>
      <c r="T221" s="967"/>
      <c r="U221" s="968"/>
    </row>
    <row r="222" ht="8.75" customHeight="1" hidden="1">
      <c r="A222" s="960">
        <v>44561</v>
      </c>
      <c r="B222" s="356"/>
      <c r="C222" t="str" s="352" cm="1">
        <f t="array" ref="C222">IF(ISBLANK(B222),"",B222*2.2046226218)</f>
      </c>
      <c r="D222" t="str" s="964" cm="1">
        <f t="array" ref="D222">IF(ISBLANK(B222),"",AVERAGE(B216:B222))</f>
      </c>
      <c r="E222" t="str" s="964" cm="1">
        <f t="array" ref="E222">IF(ISBLANK(B222),"",AVERAGE(B209:B222))</f>
      </c>
      <c r="F222" t="str" s="964" cm="1">
        <f t="array" ref="F222">IF(ISBLANK(B222),"",AVERAGE(B193:B222))</f>
      </c>
      <c r="G222" s="964"/>
      <c r="H222" s="964"/>
      <c r="I222" s="964"/>
      <c r="J222" s="964"/>
      <c r="K222" s="964"/>
      <c r="L222" s="964"/>
      <c r="M222" s="964"/>
      <c r="N222" s="964"/>
      <c r="O222" s="964"/>
      <c r="P222" s="964"/>
      <c r="Q222" s="962"/>
      <c r="R222" s="964"/>
      <c r="S222" s="964"/>
      <c r="T222" s="964"/>
      <c r="U222" s="969"/>
    </row>
    <row r="223" ht="8.75" customHeight="1" hidden="1">
      <c r="A223" s="960">
        <v>44562</v>
      </c>
      <c r="B223" s="961">
        <v>69.40000000000001</v>
      </c>
      <c r="C223" s="965" cm="1">
        <f t="array" ref="C223">IF(ISBLANK(B223),"",B223*2.2046226218)</f>
        <v>153.000809952920</v>
      </c>
      <c r="D223" s="962" cm="1">
        <f t="array" ref="D223">IF(ISBLANK(B223),"",AVERAGE(B217:B223))</f>
        <v>68.7</v>
      </c>
      <c r="E223" s="962" cm="1">
        <f t="array" ref="E223">IF(ISBLANK(B223),"",AVERAGE(B210:B223))</f>
        <v>68.7444444444444</v>
      </c>
      <c r="F223" s="962" cm="1">
        <f t="array" ref="F223">IF(ISBLANK(B223),"",AVERAGE(B194:B223))</f>
        <v>68.824</v>
      </c>
      <c r="G223" s="964"/>
      <c r="H223" s="964"/>
      <c r="I223" s="964"/>
      <c r="J223" s="964"/>
      <c r="K223" s="964"/>
      <c r="L223" s="964"/>
      <c r="M223" s="964"/>
      <c r="N223" s="964"/>
      <c r="O223" s="964"/>
      <c r="P223" s="964"/>
      <c r="Q223" s="962"/>
      <c r="R223" s="964"/>
      <c r="S223" s="964"/>
      <c r="T223" s="964"/>
      <c r="U223" s="969"/>
    </row>
    <row r="224" ht="8.75" customHeight="1" hidden="1">
      <c r="A224" s="960">
        <v>44563</v>
      </c>
      <c r="B224" s="961">
        <v>69.40000000000001</v>
      </c>
      <c r="C224" s="965" cm="1">
        <f t="array" ref="C224">IF(ISBLANK(B224),"",B224*2.2046226218)</f>
        <v>153.000809952920</v>
      </c>
      <c r="D224" s="962" cm="1">
        <f t="array" ref="D224">IF(ISBLANK(B224),"",AVERAGE(B218:B224))</f>
        <v>69.0333333333333</v>
      </c>
      <c r="E224" s="962" cm="1">
        <f t="array" ref="E224">IF(ISBLANK(B224),"",AVERAGE(B211:B224))</f>
        <v>68.81</v>
      </c>
      <c r="F224" s="962" cm="1">
        <f t="array" ref="F224">IF(ISBLANK(B224),"",AVERAGE(B195:B224))</f>
        <v>68.828</v>
      </c>
      <c r="G224" s="964"/>
      <c r="H224" s="964"/>
      <c r="I224" s="964"/>
      <c r="J224" s="964"/>
      <c r="K224" s="964"/>
      <c r="L224" s="964"/>
      <c r="M224" s="964"/>
      <c r="N224" s="964"/>
      <c r="O224" s="964"/>
      <c r="P224" s="964"/>
      <c r="Q224" s="962"/>
      <c r="R224" s="964"/>
      <c r="S224" s="964"/>
      <c r="T224" s="964"/>
      <c r="U224" s="969"/>
    </row>
    <row r="225" ht="8.75" customHeight="1" hidden="1">
      <c r="A225" s="960">
        <v>44564</v>
      </c>
      <c r="B225" s="356"/>
      <c r="C225" t="str" s="352" cm="1">
        <f t="array" ref="C225">IF(ISBLANK(B225),"",B225*2.2046226218)</f>
      </c>
      <c r="D225" t="str" s="964" cm="1">
        <f t="array" ref="D225">IF(ISBLANK(B225),"",AVERAGE(B219:B225))</f>
      </c>
      <c r="E225" t="str" s="964" cm="1">
        <f t="array" ref="E225">IF(ISBLANK(B225),"",AVERAGE(B212:B225))</f>
      </c>
      <c r="F225" t="str" s="964" cm="1">
        <f t="array" ref="F225">IF(ISBLANK(B225),"",AVERAGE(B196:B225))</f>
      </c>
      <c r="G225" s="964"/>
      <c r="H225" s="964"/>
      <c r="I225" s="964"/>
      <c r="J225" s="964"/>
      <c r="K225" s="964"/>
      <c r="L225" s="964"/>
      <c r="M225" s="964"/>
      <c r="N225" s="964"/>
      <c r="O225" s="964"/>
      <c r="P225" s="964"/>
      <c r="Q225" s="962"/>
      <c r="R225" s="964"/>
      <c r="S225" s="964"/>
      <c r="T225" s="964"/>
      <c r="U225" s="969"/>
    </row>
    <row r="226" ht="8.75" customHeight="1" hidden="1">
      <c r="A226" s="960">
        <v>44565</v>
      </c>
      <c r="B226" s="356"/>
      <c r="C226" t="str" s="352" cm="1">
        <f t="array" ref="C226">IF(ISBLANK(B226),"",B226*2.2046226218)</f>
      </c>
      <c r="D226" t="str" s="964" cm="1">
        <f t="array" ref="D226">IF(ISBLANK(B226),"",AVERAGE(B220:B226))</f>
      </c>
      <c r="E226" t="str" s="964" cm="1">
        <f t="array" ref="E226">IF(ISBLANK(B226),"",AVERAGE(B213:B226))</f>
      </c>
      <c r="F226" t="str" s="964" cm="1">
        <f t="array" ref="F226">IF(ISBLANK(B226),"",AVERAGE(B197:B226))</f>
      </c>
      <c r="G226" s="964"/>
      <c r="H226" s="964"/>
      <c r="I226" s="964"/>
      <c r="J226" s="964"/>
      <c r="K226" s="964"/>
      <c r="L226" s="964"/>
      <c r="M226" s="964"/>
      <c r="N226" s="964"/>
      <c r="O226" s="964"/>
      <c r="P226" s="964"/>
      <c r="Q226" s="962"/>
      <c r="R226" s="964"/>
      <c r="S226" s="964"/>
      <c r="T226" s="964"/>
      <c r="U226" s="969"/>
    </row>
    <row r="227" ht="8.75" customHeight="1" hidden="1">
      <c r="A227" s="960">
        <v>44566</v>
      </c>
      <c r="B227" s="961" cm="1">
        <f t="array" ref="B227">71.4-1.3</f>
        <v>70.09999999999999</v>
      </c>
      <c r="C227" s="965" cm="1">
        <f t="array" ref="C227">IF(ISBLANK(B227),"",B227*2.2046226218)</f>
        <v>154.544045788180</v>
      </c>
      <c r="D227" s="962" cm="1">
        <f t="array" ref="D227">IF(ISBLANK(B227),"",AVERAGE(B221:B227))</f>
        <v>69.52500000000001</v>
      </c>
      <c r="E227" s="962" cm="1">
        <f t="array" ref="E227">IF(ISBLANK(B227),"",AVERAGE(B214:B227))</f>
        <v>68.96250000000001</v>
      </c>
      <c r="F227" s="962" cm="1">
        <f t="array" ref="F227">IF(ISBLANK(B227),"",AVERAGE(B198:B227))</f>
        <v>68.8478260869565</v>
      </c>
      <c r="G227" s="964"/>
      <c r="H227" s="964"/>
      <c r="I227" s="964"/>
      <c r="J227" s="964"/>
      <c r="K227" s="964"/>
      <c r="L227" s="964"/>
      <c r="M227" s="964"/>
      <c r="N227" s="964"/>
      <c r="O227" s="964"/>
      <c r="P227" s="964"/>
      <c r="Q227" s="962"/>
      <c r="R227" s="967"/>
      <c r="S227" s="967"/>
      <c r="T227" s="967"/>
      <c r="U227" s="968"/>
    </row>
    <row r="228" ht="8.75" customHeight="1" hidden="1">
      <c r="A228" s="960">
        <v>44567</v>
      </c>
      <c r="B228" s="961" cm="1">
        <f t="array" ref="B228">71.4-1.3</f>
        <v>70.09999999999999</v>
      </c>
      <c r="C228" s="965" cm="1">
        <f t="array" ref="C228">IF(ISBLANK(B228),"",B228*2.2046226218)</f>
        <v>154.544045788180</v>
      </c>
      <c r="D228" s="962" cm="1">
        <f t="array" ref="D228">IF(ISBLANK(B228),"",AVERAGE(B222:B228))</f>
        <v>69.75</v>
      </c>
      <c r="E228" s="962" cm="1">
        <f t="array" ref="E228">IF(ISBLANK(B228),"",AVERAGE(B215:B228))</f>
        <v>69.0888888888889</v>
      </c>
      <c r="F228" s="962" cm="1">
        <f t="array" ref="F228">IF(ISBLANK(B228),"",AVERAGE(B199:B228))</f>
        <v>68.89565217391301</v>
      </c>
      <c r="G228" s="964"/>
      <c r="H228" s="964"/>
      <c r="I228" s="964"/>
      <c r="J228" s="964"/>
      <c r="K228" s="964"/>
      <c r="L228" s="964"/>
      <c r="M228" s="964"/>
      <c r="N228" s="964"/>
      <c r="O228" s="964"/>
      <c r="P228" s="964"/>
      <c r="Q228" s="962"/>
      <c r="R228" s="967"/>
      <c r="S228" s="967"/>
      <c r="T228" s="967"/>
      <c r="U228" s="968"/>
    </row>
    <row r="229" ht="8.75" customHeight="1" hidden="1">
      <c r="A229" s="960">
        <v>44568</v>
      </c>
      <c r="B229" s="961">
        <v>70.2</v>
      </c>
      <c r="C229" s="965" cm="1">
        <f t="array" ref="C229">IF(ISBLANK(B229),"",B229*2.2046226218)</f>
        <v>154.764508050360</v>
      </c>
      <c r="D229" s="962" cm="1">
        <f t="array" ref="D229">IF(ISBLANK(B229),"",AVERAGE(B223:B229))</f>
        <v>69.84</v>
      </c>
      <c r="E229" s="962" cm="1">
        <f t="array" ref="E229">IF(ISBLANK(B229),"",AVERAGE(B216:B229))</f>
        <v>69.2</v>
      </c>
      <c r="F229" s="962" cm="1">
        <f t="array" ref="F229">IF(ISBLANK(B229),"",AVERAGE(B200:B229))</f>
        <v>68.96956521739131</v>
      </c>
      <c r="G229" s="964"/>
      <c r="H229" s="964"/>
      <c r="I229" s="964"/>
      <c r="J229" s="964"/>
      <c r="K229" s="964"/>
      <c r="L229" s="964"/>
      <c r="M229" s="964"/>
      <c r="N229" s="964"/>
      <c r="O229" s="964"/>
      <c r="P229" s="964"/>
      <c r="Q229" s="962"/>
      <c r="R229" t="str" s="964" cm="1">
        <f t="array" ref="R229">IF(OR(ISBLANK($B229),NOT(ISBLANK(B229))),"",'tracking - Table 2-1-2'!C$66)</f>
      </c>
      <c r="S229" t="str" s="964" cm="1">
        <f t="array" ref="S229">IF(OR(ISBLANK($B229),NOT(ISBLANK(B229))),"",'tracking - Table 2-1-2'!D$66)</f>
      </c>
      <c r="T229" t="str" s="964" cm="1">
        <f t="array" ref="T229">IF(OR(ISBLANK($B229),NOT(ISBLANK(B229))),"",'tracking - Table 2-1-2'!E$66)</f>
      </c>
      <c r="U229" t="str" s="969" cm="1">
        <f t="array" ref="U229">IF(OR(ISBLANK($B229),NOT(ISBLANK(B229))),"",'tracking - Table 2-1-2'!F$66)</f>
      </c>
    </row>
    <row r="230" ht="8.75" customHeight="1" hidden="1">
      <c r="A230" s="960">
        <v>44569</v>
      </c>
      <c r="B230" s="961">
        <v>70.2</v>
      </c>
      <c r="C230" s="965" cm="1">
        <f t="array" ref="C230">IF(ISBLANK(B230),"",B230*2.2046226218)</f>
        <v>154.764508050360</v>
      </c>
      <c r="D230" s="962" cm="1">
        <f t="array" ref="D230">IF(ISBLANK(B230),"",AVERAGE(B224:B230))</f>
        <v>70</v>
      </c>
      <c r="E230" s="962" cm="1">
        <f t="array" ref="E230">IF(ISBLANK(B230),"",AVERAGE(B217:B230))</f>
        <v>69.2909090909091</v>
      </c>
      <c r="F230" s="962" cm="1">
        <f t="array" ref="F230">IF(ISBLANK(B230),"",AVERAGE(B201:B230))</f>
        <v>69.0217391304348</v>
      </c>
      <c r="G230" s="964"/>
      <c r="H230" s="964"/>
      <c r="I230" s="964"/>
      <c r="J230" s="964"/>
      <c r="K230" s="964"/>
      <c r="L230" s="964"/>
      <c r="M230" s="964"/>
      <c r="N230" s="964"/>
      <c r="O230" s="964"/>
      <c r="P230" s="964"/>
      <c r="Q230" s="962"/>
      <c r="R230" t="str" s="964" cm="1">
        <f t="array" ref="R230">IF(OR(ISBLANK($B230),NOT(ISBLANK(B230))),"",'tracking - Table 2-1-2'!C$66)</f>
      </c>
      <c r="S230" t="str" s="964" cm="1">
        <f t="array" ref="S230">IF(OR(ISBLANK($B230),NOT(ISBLANK(B230))),"",'tracking - Table 2-1-2'!D$66)</f>
      </c>
      <c r="T230" t="str" s="964" cm="1">
        <f t="array" ref="T230">IF(OR(ISBLANK($B230),NOT(ISBLANK(B230))),"",'tracking - Table 2-1-2'!E$66)</f>
      </c>
      <c r="U230" t="str" s="969" cm="1">
        <f t="array" ref="U230">IF(OR(ISBLANK($B230),NOT(ISBLANK(B230))),"",'tracking - Table 2-1-2'!F$66)</f>
      </c>
    </row>
    <row r="231" ht="8.75" customHeight="1" hidden="1">
      <c r="A231" s="960">
        <v>44570</v>
      </c>
      <c r="B231" s="961">
        <v>70.2</v>
      </c>
      <c r="C231" s="965" cm="1">
        <f t="array" ref="C231">IF(ISBLANK(B231),"",B231*2.2046226218)</f>
        <v>154.764508050360</v>
      </c>
      <c r="D231" s="962" cm="1">
        <f t="array" ref="D231">IF(ISBLANK(B231),"",AVERAGE(B225:B231))</f>
        <v>70.16</v>
      </c>
      <c r="E231" s="962" cm="1">
        <f t="array" ref="E231">IF(ISBLANK(B231),"",AVERAGE(B218:B231))</f>
        <v>69.5454545454545</v>
      </c>
      <c r="F231" s="962" cm="1">
        <f t="array" ref="F231">IF(ISBLANK(B231),"",AVERAGE(B202:B231))</f>
        <v>69.0739130434783</v>
      </c>
      <c r="G231" s="964"/>
      <c r="H231" s="964"/>
      <c r="I231" s="964"/>
      <c r="J231" s="964"/>
      <c r="K231" s="964"/>
      <c r="L231" s="964"/>
      <c r="M231" s="964"/>
      <c r="N231" s="964"/>
      <c r="O231" s="964"/>
      <c r="P231" s="964"/>
      <c r="Q231" s="962"/>
      <c r="R231" t="str" s="964" cm="1">
        <f t="array" ref="R231">IF(OR(ISBLANK($B231),NOT(ISBLANK(B231))),"",'tracking - Table 2-1-2'!C$66)</f>
      </c>
      <c r="S231" t="str" s="964" cm="1">
        <f t="array" ref="S231">IF(OR(ISBLANK($B231),NOT(ISBLANK(B231))),"",'tracking - Table 2-1-2'!D$66)</f>
      </c>
      <c r="T231" t="str" s="964" cm="1">
        <f t="array" ref="T231">IF(OR(ISBLANK($B231),NOT(ISBLANK(B231))),"",'tracking - Table 2-1-2'!E$66)</f>
      </c>
      <c r="U231" t="str" s="969" cm="1">
        <f t="array" ref="U231">IF(OR(ISBLANK($B231),NOT(ISBLANK(B231))),"",'tracking - Table 2-1-2'!F$66)</f>
      </c>
    </row>
    <row r="232" ht="8.75" customHeight="1" hidden="1">
      <c r="A232" s="960">
        <v>44571</v>
      </c>
      <c r="B232" s="356"/>
      <c r="C232" t="str" s="352" cm="1">
        <f t="array" ref="C232">IF(ISBLANK(B232),"",B232*2.2046226218)</f>
      </c>
      <c r="D232" t="str" s="964" cm="1">
        <f t="array" ref="D232">IF(ISBLANK(B232),"",AVERAGE(B226:B232))</f>
      </c>
      <c r="E232" t="str" s="964" cm="1">
        <f t="array" ref="E232">IF(ISBLANK(B232),"",AVERAGE(B219:B232))</f>
      </c>
      <c r="F232" t="str" s="964" cm="1">
        <f t="array" ref="F232">IF(ISBLANK(B232),"",AVERAGE(B203:B232))</f>
      </c>
      <c r="G232" s="964"/>
      <c r="H232" s="964"/>
      <c r="I232" s="964"/>
      <c r="J232" s="964"/>
      <c r="K232" s="964"/>
      <c r="L232" s="964"/>
      <c r="M232" s="964"/>
      <c r="N232" s="964"/>
      <c r="O232" s="964"/>
      <c r="P232" s="964"/>
      <c r="Q232" s="962"/>
      <c r="R232" t="str" s="964" cm="1">
        <f t="array" ref="R232">IF(OR(ISBLANK($B232),NOT(ISBLANK(B232))),"",'tracking - Table 2-1-2'!C$66)</f>
      </c>
      <c r="S232" t="str" s="964" cm="1">
        <f t="array" ref="S232">IF(OR(ISBLANK($B232),NOT(ISBLANK(B232))),"",'tracking - Table 2-1-2'!D$66)</f>
      </c>
      <c r="T232" t="str" s="964" cm="1">
        <f t="array" ref="T232">IF(OR(ISBLANK($B232),NOT(ISBLANK(B232))),"",'tracking - Table 2-1-2'!E$66)</f>
      </c>
      <c r="U232" t="str" s="969" cm="1">
        <f t="array" ref="U232">IF(OR(ISBLANK($B232),NOT(ISBLANK(B232))),"",'tracking - Table 2-1-2'!F$66)</f>
      </c>
    </row>
    <row r="233" ht="8.75" customHeight="1" hidden="1">
      <c r="A233" s="960">
        <v>44572</v>
      </c>
      <c r="B233" s="961">
        <v>69.5</v>
      </c>
      <c r="C233" s="965" cm="1">
        <f t="array" ref="C233">IF(ISBLANK(B233),"",B233*2.2046226218)</f>
        <v>153.2212722151</v>
      </c>
      <c r="D233" s="962" cm="1">
        <f t="array" ref="D233">IF(ISBLANK(B233),"",AVERAGE(B227:B233))</f>
        <v>70.05</v>
      </c>
      <c r="E233" s="962" cm="1">
        <f t="array" ref="E233">IF(ISBLANK(B233),"",AVERAGE(B220:B233))</f>
        <v>69.77</v>
      </c>
      <c r="F233" s="962" cm="1">
        <f t="array" ref="F233">IF(ISBLANK(B233),"",AVERAGE(B204:B233))</f>
        <v>69.1181818181818</v>
      </c>
      <c r="G233" s="964"/>
      <c r="H233" s="964"/>
      <c r="I233" s="964"/>
      <c r="J233" s="964"/>
      <c r="K233" s="964"/>
      <c r="L233" s="964"/>
      <c r="M233" s="964"/>
      <c r="N233" s="964"/>
      <c r="O233" s="964"/>
      <c r="P233" s="964"/>
      <c r="Q233" s="962"/>
      <c r="R233" t="str" s="964" cm="1">
        <f t="array" ref="R233">IF(OR(ISBLANK($B233),NOT(ISBLANK(B233))),"",'tracking - Table 2-1-2'!C$66)</f>
      </c>
      <c r="S233" t="str" s="964" cm="1">
        <f t="array" ref="S233">IF(OR(ISBLANK($B233),NOT(ISBLANK(B233))),"",'tracking - Table 2-1-2'!D$66)</f>
      </c>
      <c r="T233" t="str" s="964" cm="1">
        <f t="array" ref="T233">IF(OR(ISBLANK($B233),NOT(ISBLANK(B233))),"",'tracking - Table 2-1-2'!E$66)</f>
      </c>
      <c r="U233" t="str" s="969" cm="1">
        <f t="array" ref="U233">IF(OR(ISBLANK($B233),NOT(ISBLANK(B233))),"",'tracking - Table 2-1-2'!F$66)</f>
      </c>
    </row>
    <row r="234" ht="8.75" customHeight="1" hidden="1">
      <c r="A234" s="960">
        <v>44573</v>
      </c>
      <c r="B234" s="356"/>
      <c r="C234" t="str" s="352" cm="1">
        <f t="array" ref="C234">IF(ISBLANK(B234),"",B234*2.2046226218)</f>
      </c>
      <c r="D234" t="str" s="964" cm="1">
        <f t="array" ref="D234">IF(ISBLANK(B234),"",AVERAGE(B228:B234))</f>
      </c>
      <c r="E234" t="str" s="964" cm="1">
        <f t="array" ref="E234">IF(ISBLANK(B234),"",AVERAGE(B221:B234))</f>
      </c>
      <c r="F234" t="str" s="964" cm="1">
        <f t="array" ref="F234">IF(ISBLANK(B234),"",AVERAGE(B205:B234))</f>
      </c>
      <c r="G234" s="964"/>
      <c r="H234" s="964"/>
      <c r="I234" s="964"/>
      <c r="J234" s="964"/>
      <c r="K234" s="964"/>
      <c r="L234" s="964"/>
      <c r="M234" s="964"/>
      <c r="N234" s="964"/>
      <c r="O234" s="964"/>
      <c r="P234" s="964"/>
      <c r="Q234" s="962"/>
      <c r="R234" t="str" s="964" cm="1">
        <f t="array" ref="R234">IF(OR(ISBLANK($B234),NOT(ISBLANK(B234))),"",'tracking - Table 2-1-2'!C$66)</f>
      </c>
      <c r="S234" t="str" s="964" cm="1">
        <f t="array" ref="S234">IF(OR(ISBLANK($B234),NOT(ISBLANK(B234))),"",'tracking - Table 2-1-2'!D$66)</f>
      </c>
      <c r="T234" t="str" s="964" cm="1">
        <f t="array" ref="T234">IF(OR(ISBLANK($B234),NOT(ISBLANK(B234))),"",'tracking - Table 2-1-2'!E$66)</f>
      </c>
      <c r="U234" t="str" s="969" cm="1">
        <f t="array" ref="U234">IF(OR(ISBLANK($B234),NOT(ISBLANK(B234))),"",'tracking - Table 2-1-2'!F$66)</f>
      </c>
    </row>
    <row r="235" ht="8.75" customHeight="1" hidden="1">
      <c r="A235" s="960">
        <v>44574</v>
      </c>
      <c r="B235" s="961">
        <v>69.25</v>
      </c>
      <c r="C235" s="965" cm="1">
        <f t="array" ref="C235">IF(ISBLANK(B235),"",B235*2.2046226218)</f>
        <v>152.670116559650</v>
      </c>
      <c r="D235" s="962" cm="1">
        <f t="array" ref="D235">IF(ISBLANK(B235),"",AVERAGE(B229:B235))</f>
        <v>69.87</v>
      </c>
      <c r="E235" s="962" cm="1">
        <f t="array" ref="E235">IF(ISBLANK(B235),"",AVERAGE(B222:B235))</f>
        <v>69.81666666666671</v>
      </c>
      <c r="F235" s="962" cm="1">
        <f t="array" ref="F235">IF(ISBLANK(B235),"",AVERAGE(B206:B235))</f>
        <v>69.1642857142857</v>
      </c>
      <c r="G235" s="964"/>
      <c r="H235" s="964"/>
      <c r="I235" s="964"/>
      <c r="J235" s="964"/>
      <c r="K235" s="964"/>
      <c r="L235" s="964"/>
      <c r="M235" s="964"/>
      <c r="N235" s="964"/>
      <c r="O235" s="964"/>
      <c r="P235" s="964"/>
      <c r="Q235" s="962"/>
      <c r="R235" t="str" s="964" cm="1">
        <f t="array" ref="R235">IF(OR(ISBLANK($B235),NOT(ISBLANK(B235))),"",'tracking - Table 2-1-2'!C$66)</f>
      </c>
      <c r="S235" t="str" s="964" cm="1">
        <f t="array" ref="S235">IF(OR(ISBLANK($B235),NOT(ISBLANK(B235))),"",'tracking - Table 2-1-2'!D$66)</f>
      </c>
      <c r="T235" t="str" s="964" cm="1">
        <f t="array" ref="T235">IF(OR(ISBLANK($B235),NOT(ISBLANK(B235))),"",'tracking - Table 2-1-2'!E$66)</f>
      </c>
      <c r="U235" t="str" s="969" cm="1">
        <f t="array" ref="U235">IF(OR(ISBLANK($B235),NOT(ISBLANK(B235))),"",'tracking - Table 2-1-2'!F$66)</f>
      </c>
    </row>
    <row r="236" ht="8.75" customHeight="1" hidden="1">
      <c r="A236" s="960">
        <v>44575</v>
      </c>
      <c r="B236" s="961">
        <v>68.3</v>
      </c>
      <c r="C236" s="965" cm="1">
        <f t="array" ref="C236">IF(ISBLANK(B236),"",B236*2.2046226218)</f>
        <v>150.575725068940</v>
      </c>
      <c r="D236" s="962" cm="1">
        <f t="array" ref="D236">IF(ISBLANK(B236),"",AVERAGE(B230:B236))</f>
        <v>69.48999999999999</v>
      </c>
      <c r="E236" s="962" cm="1">
        <f t="array" ref="E236">IF(ISBLANK(B236),"",AVERAGE(B223:B236))</f>
        <v>69.66500000000001</v>
      </c>
      <c r="F236" s="962" cm="1">
        <f t="array" ref="F236">IF(ISBLANK(B236),"",AVERAGE(B207:B236))</f>
        <v>69.1452380952381</v>
      </c>
      <c r="G236" s="964"/>
      <c r="H236" s="964"/>
      <c r="I236" s="964"/>
      <c r="J236" s="964"/>
      <c r="K236" s="964"/>
      <c r="L236" s="964"/>
      <c r="M236" s="964"/>
      <c r="N236" s="964"/>
      <c r="O236" s="964"/>
      <c r="P236" s="964"/>
      <c r="Q236" s="962"/>
      <c r="R236" t="str" s="964" cm="1">
        <f t="array" ref="R236">IF(OR(ISBLANK($B236),NOT(ISBLANK(B236))),"",'tracking - Table 2-1-2'!C$66)</f>
      </c>
      <c r="S236" t="str" s="964" cm="1">
        <f t="array" ref="S236">IF(OR(ISBLANK($B236),NOT(ISBLANK(B236))),"",'tracking - Table 2-1-2'!D$66)</f>
      </c>
      <c r="T236" t="str" s="964" cm="1">
        <f t="array" ref="T236">IF(OR(ISBLANK($B236),NOT(ISBLANK(B236))),"",'tracking - Table 2-1-2'!E$66)</f>
      </c>
      <c r="U236" t="str" s="969" cm="1">
        <f t="array" ref="U236">IF(OR(ISBLANK($B236),NOT(ISBLANK(B236))),"",'tracking - Table 2-1-2'!F$66)</f>
      </c>
    </row>
    <row r="237" ht="8.75" customHeight="1" hidden="1">
      <c r="A237" s="960">
        <v>44576</v>
      </c>
      <c r="B237" s="961">
        <v>68.3</v>
      </c>
      <c r="C237" s="965" cm="1">
        <f t="array" ref="C237">IF(ISBLANK(B237),"",B237*2.2046226218)</f>
        <v>150.575725068940</v>
      </c>
      <c r="D237" s="962" cm="1">
        <f t="array" ref="D237">IF(ISBLANK(B237),"",AVERAGE(B231:B237))</f>
        <v>69.11</v>
      </c>
      <c r="E237" s="962" cm="1">
        <f t="array" ref="E237">IF(ISBLANK(B237),"",AVERAGE(B224:B237))</f>
        <v>69.55500000000001</v>
      </c>
      <c r="F237" s="962" cm="1">
        <f t="array" ref="F237">IF(ISBLANK(B237),"",AVERAGE(B208:B237))</f>
        <v>69.1261904761905</v>
      </c>
      <c r="G237" s="964"/>
      <c r="H237" s="964"/>
      <c r="I237" s="964"/>
      <c r="J237" s="964"/>
      <c r="K237" s="964"/>
      <c r="L237" s="964"/>
      <c r="M237" s="964"/>
      <c r="N237" s="964"/>
      <c r="O237" s="964"/>
      <c r="P237" s="964"/>
      <c r="Q237" s="962"/>
      <c r="R237" t="str" s="964" cm="1">
        <f t="array" ref="R237">IF(OR(ISBLANK($B237),NOT(ISBLANK(B237))),"",'tracking - Table 2-1-2'!C$66)</f>
      </c>
      <c r="S237" t="str" s="964" cm="1">
        <f t="array" ref="S237">IF(OR(ISBLANK($B237),NOT(ISBLANK(B237))),"",'tracking - Table 2-1-2'!D$66)</f>
      </c>
      <c r="T237" t="str" s="964" cm="1">
        <f t="array" ref="T237">IF(OR(ISBLANK($B237),NOT(ISBLANK(B237))),"",'tracking - Table 2-1-2'!E$66)</f>
      </c>
      <c r="U237" s="968">
        <v>2735.791290322580</v>
      </c>
    </row>
    <row r="238" ht="8.75" customHeight="1" hidden="1">
      <c r="A238" s="960">
        <v>44577</v>
      </c>
      <c r="B238" s="961">
        <v>68.7</v>
      </c>
      <c r="C238" s="965" cm="1">
        <f t="array" ref="C238">IF(ISBLANK(B238),"",B238*2.2046226218)</f>
        <v>151.457574117660</v>
      </c>
      <c r="D238" s="962" cm="1">
        <f t="array" ref="D238">IF(ISBLANK(B238),"",AVERAGE(B232:B238))</f>
        <v>68.81</v>
      </c>
      <c r="E238" s="962" cm="1">
        <f t="array" ref="E238">IF(ISBLANK(B238),"",AVERAGE(B225:B238))</f>
        <v>69.485</v>
      </c>
      <c r="F238" s="962" cm="1">
        <f t="array" ref="F238">IF(ISBLANK(B238),"",AVERAGE(B209:B238))</f>
        <v>69.1261904761905</v>
      </c>
      <c r="G238" s="964"/>
      <c r="H238" s="964"/>
      <c r="I238" s="964"/>
      <c r="J238" s="964"/>
      <c r="K238" s="964"/>
      <c r="L238" s="964"/>
      <c r="M238" s="964"/>
      <c r="N238" s="964"/>
      <c r="O238" s="964"/>
      <c r="P238" s="964"/>
      <c r="Q238" s="962"/>
      <c r="R238" t="str" s="964" cm="1">
        <f t="array" ref="R238">IF(OR(ISBLANK($B238),NOT(ISBLANK(B238))),"",'tracking - Table 2-1-2'!C$66)</f>
      </c>
      <c r="S238" t="str" s="964" cm="1">
        <f t="array" ref="S238">IF(OR(ISBLANK($B238),NOT(ISBLANK(B238))),"",'tracking - Table 2-1-2'!D$66)</f>
      </c>
      <c r="T238" t="str" s="964" cm="1">
        <f t="array" ref="T238">IF(OR(ISBLANK($B238),NOT(ISBLANK(B238))),"",'tracking - Table 2-1-2'!E$66)</f>
      </c>
      <c r="U238" s="968">
        <v>2937.220588235290</v>
      </c>
    </row>
    <row r="239" ht="8.75" customHeight="1" hidden="1">
      <c r="A239" s="960">
        <v>44578</v>
      </c>
      <c r="B239" s="961">
        <v>68.90000000000001</v>
      </c>
      <c r="C239" s="965" cm="1">
        <f t="array" ref="C239">IF(ISBLANK(B239),"",B239*2.2046226218)</f>
        <v>151.898498642020</v>
      </c>
      <c r="D239" s="962" cm="1">
        <f t="array" ref="D239">IF(ISBLANK(B239),"",AVERAGE(B233:B239))</f>
        <v>68.825</v>
      </c>
      <c r="E239" s="962" cm="1">
        <f t="array" ref="E239">IF(ISBLANK(B239),"",AVERAGE(B226:B239))</f>
        <v>69.4318181818182</v>
      </c>
      <c r="F239" s="962" cm="1">
        <f t="array" ref="F239">IF(ISBLANK(B239),"",AVERAGE(B210:B239))</f>
        <v>69.1357142857143</v>
      </c>
      <c r="G239" s="964"/>
      <c r="H239" s="964"/>
      <c r="I239" s="964"/>
      <c r="J239" s="964"/>
      <c r="K239" s="964"/>
      <c r="L239" s="964"/>
      <c r="M239" s="964"/>
      <c r="N239" s="964"/>
      <c r="O239" s="964"/>
      <c r="P239" s="964"/>
      <c r="Q239" s="962"/>
      <c r="R239" t="str" s="964" cm="1">
        <f t="array" ref="R239">IF(OR(ISBLANK($B239),NOT(ISBLANK(B239))),"",'tracking - Table 2-1-2'!C$66)</f>
      </c>
      <c r="S239" t="str" s="964" cm="1">
        <f t="array" ref="S239">IF(OR(ISBLANK($B239),NOT(ISBLANK(B239))),"",'tracking - Table 2-1-2'!D$66)</f>
      </c>
      <c r="T239" t="str" s="964" cm="1">
        <f t="array" ref="T239">IF(OR(ISBLANK($B239),NOT(ISBLANK(B239))),"",'tracking - Table 2-1-2'!E$66)</f>
      </c>
      <c r="U239" s="968">
        <v>2839.934074074070</v>
      </c>
    </row>
    <row r="240" ht="8.75" customHeight="1" hidden="1">
      <c r="A240" s="960">
        <v>44579</v>
      </c>
      <c r="B240" s="961">
        <v>68.90000000000001</v>
      </c>
      <c r="C240" s="965" cm="1">
        <f t="array" ref="C240">IF(ISBLANK(B240),"",B240*2.2046226218)</f>
        <v>151.898498642020</v>
      </c>
      <c r="D240" s="962" cm="1">
        <f t="array" ref="D240">IF(ISBLANK(B240),"",AVERAGE(B234:B240))</f>
        <v>68.72499999999999</v>
      </c>
      <c r="E240" s="962" cm="1">
        <f t="array" ref="E240">IF(ISBLANK(B240),"",AVERAGE(B227:B240))</f>
        <v>69.3875</v>
      </c>
      <c r="F240" s="962" cm="1">
        <f t="array" ref="F240">IF(ISBLANK(B240),"",AVERAGE(B211:B240))</f>
        <v>69.125</v>
      </c>
      <c r="G240" s="964"/>
      <c r="H240" s="964"/>
      <c r="I240" s="964"/>
      <c r="J240" s="964"/>
      <c r="K240" s="964"/>
      <c r="L240" s="964"/>
      <c r="M240" s="964"/>
      <c r="N240" s="964"/>
      <c r="O240" s="964"/>
      <c r="P240" s="964"/>
      <c r="Q240" s="962"/>
      <c r="R240" t="str" s="964" cm="1">
        <f t="array" ref="R240">IF(OR(ISBLANK($B240),NOT(ISBLANK(B240))),"",'tracking - Table 2-1-2'!C$66)</f>
      </c>
      <c r="S240" t="str" s="964" cm="1">
        <f t="array" ref="S240">IF(OR(ISBLANK($B240),NOT(ISBLANK(B240))),"",'tracking - Table 2-1-2'!D$66)</f>
      </c>
      <c r="T240" t="str" s="964" cm="1">
        <f t="array" ref="T240">IF(OR(ISBLANK($B240),NOT(ISBLANK(B240))),"",'tracking - Table 2-1-2'!E$66)</f>
      </c>
      <c r="U240" s="968">
        <v>2501.844120777670</v>
      </c>
    </row>
    <row r="241" ht="8.75" customHeight="1" hidden="1">
      <c r="A241" s="960">
        <v>44580</v>
      </c>
      <c r="B241" s="356"/>
      <c r="C241" t="str" s="352" cm="1">
        <f t="array" ref="C241">IF(ISBLANK(B241),"",B241*2.2046226218)</f>
      </c>
      <c r="D241" t="str" s="964" cm="1">
        <f t="array" ref="D241">IF(ISBLANK(B241),"",AVERAGE(B235:B241))</f>
      </c>
      <c r="E241" t="str" s="964" cm="1">
        <f t="array" ref="E241">IF(ISBLANK(B241),"",AVERAGE(B228:B241))</f>
      </c>
      <c r="F241" t="str" s="964" cm="1">
        <f t="array" ref="F241">IF(ISBLANK(B241),"",AVERAGE(B212:B241))</f>
      </c>
      <c r="G241" s="964"/>
      <c r="H241" s="964"/>
      <c r="I241" s="964"/>
      <c r="J241" s="964"/>
      <c r="K241" s="964"/>
      <c r="L241" s="964"/>
      <c r="M241" s="964"/>
      <c r="N241" s="964"/>
      <c r="O241" s="964"/>
      <c r="P241" s="964"/>
      <c r="Q241" s="962"/>
      <c r="R241" t="str" s="964" cm="1">
        <f t="array" ref="R241">IF(OR(ISBLANK($B241),NOT(ISBLANK(B241))),"",'tracking - Table 2-1-2'!C$66)</f>
      </c>
      <c r="S241" t="str" s="964" cm="1">
        <f t="array" ref="S241">IF(OR(ISBLANK($B241),NOT(ISBLANK(B241))),"",'tracking - Table 2-1-2'!D$66)</f>
      </c>
      <c r="T241" t="str" s="964" cm="1">
        <f t="array" ref="T241">IF(OR(ISBLANK($B241),NOT(ISBLANK(B241))),"",'tracking - Table 2-1-2'!E$66)</f>
      </c>
      <c r="U241" s="968"/>
    </row>
    <row r="242" ht="8.75" customHeight="1" hidden="1">
      <c r="A242" s="960">
        <v>44581</v>
      </c>
      <c r="B242" s="356"/>
      <c r="C242" t="str" s="352" cm="1">
        <f t="array" ref="C242">IF(ISBLANK(B242),"",B242*2.2046226218)</f>
      </c>
      <c r="D242" t="str" s="964" cm="1">
        <f t="array" ref="D242">IF(ISBLANK(B242),"",AVERAGE(B236:B242))</f>
      </c>
      <c r="E242" t="str" s="964" cm="1">
        <f t="array" ref="E242">IF(ISBLANK(B242),"",AVERAGE(B229:B242))</f>
      </c>
      <c r="F242" t="str" s="964" cm="1">
        <f t="array" ref="F242">IF(ISBLANK(B242),"",AVERAGE(B213:B242))</f>
      </c>
      <c r="G242" s="964"/>
      <c r="H242" s="964"/>
      <c r="I242" s="964"/>
      <c r="J242" s="964"/>
      <c r="K242" s="964"/>
      <c r="L242" s="964"/>
      <c r="M242" s="964"/>
      <c r="N242" s="964"/>
      <c r="O242" s="964"/>
      <c r="P242" s="964"/>
      <c r="Q242" s="962"/>
      <c r="R242" t="str" s="964" cm="1">
        <f t="array" ref="R242">IF(OR(ISBLANK($B242),NOT(ISBLANK(B242))),"",'tracking - Table 2-1-2'!C$66)</f>
      </c>
      <c r="S242" t="str" s="964" cm="1">
        <f t="array" ref="S242">IF(OR(ISBLANK($B242),NOT(ISBLANK(B242))),"",'tracking - Table 2-1-2'!D$66)</f>
      </c>
      <c r="T242" t="str" s="964" cm="1">
        <f t="array" ref="T242">IF(OR(ISBLANK($B242),NOT(ISBLANK(B242))),"",'tracking - Table 2-1-2'!E$66)</f>
      </c>
      <c r="U242" s="968"/>
    </row>
    <row r="243" ht="8.75" customHeight="1" hidden="1">
      <c r="A243" s="960">
        <v>44582</v>
      </c>
      <c r="B243" s="961">
        <v>68.84999999999999</v>
      </c>
      <c r="C243" s="965" cm="1">
        <f t="array" ref="C243">IF(ISBLANK(B243),"",B243*2.2046226218)</f>
        <v>151.788267510930</v>
      </c>
      <c r="D243" s="962" cm="1">
        <f t="array" ref="D243">IF(ISBLANK(B243),"",AVERAGE(B237:B243))</f>
        <v>68.73</v>
      </c>
      <c r="E243" s="962" cm="1">
        <f t="array" ref="E243">IF(ISBLANK(B243),"",AVERAGE(B230:B243))</f>
        <v>69.11</v>
      </c>
      <c r="F243" s="962" cm="1">
        <f t="array" ref="F243">IF(ISBLANK(B243),"",AVERAGE(B214:B243))</f>
        <v>69.155</v>
      </c>
      <c r="G243" s="964"/>
      <c r="H243" s="964"/>
      <c r="I243" s="964"/>
      <c r="J243" s="964"/>
      <c r="K243" s="964"/>
      <c r="L243" s="964"/>
      <c r="M243" s="964"/>
      <c r="N243" s="964"/>
      <c r="O243" s="964"/>
      <c r="P243" s="964"/>
      <c r="Q243" s="962"/>
      <c r="R243" t="str" s="964" cm="1">
        <f t="array" ref="R243">IF(OR(ISBLANK($B243),NOT(ISBLANK(B243))),"",'tracking - Table 2-1-2'!C$66)</f>
      </c>
      <c r="S243" t="str" s="964" cm="1">
        <f t="array" ref="S243">IF(OR(ISBLANK($B243),NOT(ISBLANK(B243))),"",'tracking - Table 2-1-2'!D$66)</f>
      </c>
      <c r="T243" t="str" s="964" cm="1">
        <f t="array" ref="T243">IF(OR(ISBLANK($B243),NOT(ISBLANK(B243))),"",'tracking - Table 2-1-2'!E$66)</f>
      </c>
      <c r="U243" s="968"/>
    </row>
    <row r="244" ht="8.75" customHeight="1" hidden="1">
      <c r="A244" s="960">
        <v>44583</v>
      </c>
      <c r="B244" s="961">
        <v>68.2</v>
      </c>
      <c r="C244" s="965" cm="1">
        <f t="array" ref="C244">IF(ISBLANK(B244),"",B244*2.2046226218)</f>
        <v>150.355262806760</v>
      </c>
      <c r="D244" s="962" cm="1">
        <f t="array" ref="D244">IF(ISBLANK(B244),"",AVERAGE(B238:B244))</f>
        <v>68.70999999999999</v>
      </c>
      <c r="E244" s="962" cm="1">
        <f t="array" ref="E244">IF(ISBLANK(B244),"",AVERAGE(B231:B244))</f>
        <v>68.91</v>
      </c>
      <c r="F244" s="962" cm="1">
        <f t="array" ref="F244">IF(ISBLANK(B244),"",AVERAGE(B215:B244))</f>
        <v>69.10952380952379</v>
      </c>
      <c r="G244" s="964"/>
      <c r="H244" s="964"/>
      <c r="I244" s="964"/>
      <c r="J244" s="964"/>
      <c r="K244" s="964"/>
      <c r="L244" s="964"/>
      <c r="M244" s="964"/>
      <c r="N244" s="964"/>
      <c r="O244" s="964"/>
      <c r="P244" s="964"/>
      <c r="Q244" s="962"/>
      <c r="R244" t="str" s="964" cm="1">
        <f t="array" ref="R244">IF(OR(ISBLANK($B244),NOT(ISBLANK(B244))),"",'tracking - Table 2-1-2'!C$66)</f>
      </c>
      <c r="S244" t="str" s="964" cm="1">
        <f t="array" ref="S244">IF(OR(ISBLANK($B244),NOT(ISBLANK(B244))),"",'tracking - Table 2-1-2'!D$66)</f>
      </c>
      <c r="T244" t="str" s="964" cm="1">
        <f t="array" ref="T244">IF(OR(ISBLANK($B244),NOT(ISBLANK(B244))),"",'tracking - Table 2-1-2'!E$66)</f>
      </c>
      <c r="U244" s="968"/>
    </row>
    <row r="245" ht="8.75" customHeight="1" hidden="1">
      <c r="A245" s="960">
        <v>44584</v>
      </c>
      <c r="B245" s="961">
        <v>68.2</v>
      </c>
      <c r="C245" s="965" cm="1">
        <f t="array" ref="C245">IF(ISBLANK(B245),"",B245*2.2046226218)</f>
        <v>150.355262806760</v>
      </c>
      <c r="D245" s="962" cm="1">
        <f t="array" ref="D245">IF(ISBLANK(B245),"",AVERAGE(B239:B245))</f>
        <v>68.61</v>
      </c>
      <c r="E245" s="962" cm="1">
        <f t="array" ref="E245">IF(ISBLANK(B245),"",AVERAGE(B232:B245))</f>
        <v>68.70999999999999</v>
      </c>
      <c r="F245" s="962" cm="1">
        <f t="array" ref="F245">IF(ISBLANK(B245),"",AVERAGE(B216:B245))</f>
        <v>69.0681818181818</v>
      </c>
      <c r="G245" s="964"/>
      <c r="H245" s="964"/>
      <c r="I245" s="964"/>
      <c r="J245" s="964"/>
      <c r="K245" s="964"/>
      <c r="L245" s="964"/>
      <c r="M245" s="964"/>
      <c r="N245" s="964"/>
      <c r="O245" s="964"/>
      <c r="P245" s="964"/>
      <c r="Q245" s="962"/>
      <c r="R245" t="str" s="964" cm="1">
        <f t="array" ref="R245">IF(OR(ISBLANK($B245),NOT(ISBLANK(B245))),"",'tracking - Table 2-1-2'!C$66)</f>
      </c>
      <c r="S245" t="str" s="964" cm="1">
        <f t="array" ref="S245">IF(OR(ISBLANK($B245),NOT(ISBLANK(B245))),"",'tracking - Table 2-1-2'!D$66)</f>
      </c>
      <c r="T245" t="str" s="964" cm="1">
        <f t="array" ref="T245">IF(OR(ISBLANK($B245),NOT(ISBLANK(B245))),"",'tracking - Table 2-1-2'!E$66)</f>
      </c>
      <c r="U245" s="968"/>
    </row>
    <row r="246" ht="8.75" customHeight="1" hidden="1">
      <c r="A246" s="960">
        <v>44585</v>
      </c>
      <c r="B246" s="961">
        <v>68.2</v>
      </c>
      <c r="C246" s="965" cm="1">
        <f t="array" ref="C246">IF(ISBLANK(B246),"",B246*2.2046226218)</f>
        <v>150.355262806760</v>
      </c>
      <c r="D246" s="962" cm="1">
        <f t="array" ref="D246">IF(ISBLANK(B246),"",AVERAGE(B240:B246))</f>
        <v>68.47</v>
      </c>
      <c r="E246" s="962" cm="1">
        <f t="array" ref="E246">IF(ISBLANK(B246),"",AVERAGE(B233:B246))</f>
        <v>68.6636363636364</v>
      </c>
      <c r="F246" s="962" cm="1">
        <f t="array" ref="F246">IF(ISBLANK(B246),"",AVERAGE(B217:B246))</f>
        <v>69.03043478260869</v>
      </c>
      <c r="G246" s="964"/>
      <c r="H246" s="964"/>
      <c r="I246" s="964"/>
      <c r="J246" s="964"/>
      <c r="K246" s="964"/>
      <c r="L246" s="964"/>
      <c r="M246" s="964"/>
      <c r="N246" s="964"/>
      <c r="O246" s="964"/>
      <c r="P246" s="964"/>
      <c r="Q246" s="962"/>
      <c r="R246" t="str" s="964" cm="1">
        <f t="array" ref="R246">IF(OR(ISBLANK($B246),NOT(ISBLANK(B246))),"",'tracking - Table 2-1-2'!C$66)</f>
      </c>
      <c r="S246" t="str" s="964" cm="1">
        <f t="array" ref="S246">IF(OR(ISBLANK($B246),NOT(ISBLANK(B246))),"",'tracking - Table 2-1-2'!D$66)</f>
      </c>
      <c r="T246" t="str" s="964" cm="1">
        <f t="array" ref="T246">IF(OR(ISBLANK($B246),NOT(ISBLANK(B246))),"",'tracking - Table 2-1-2'!E$66)</f>
      </c>
      <c r="U246" s="968"/>
    </row>
    <row r="247" ht="8.75" customHeight="1" hidden="1">
      <c r="A247" s="960">
        <v>44586</v>
      </c>
      <c r="B247" s="961">
        <v>68.2</v>
      </c>
      <c r="C247" s="965" cm="1">
        <f t="array" ref="C247">IF(ISBLANK(B247),"",B247*2.2046226218)</f>
        <v>150.355262806760</v>
      </c>
      <c r="D247" s="962" cm="1">
        <f t="array" ref="D247">IF(ISBLANK(B247),"",AVERAGE(B241:B247))</f>
        <v>68.33</v>
      </c>
      <c r="E247" s="962" cm="1">
        <f t="array" ref="E247">IF(ISBLANK(B247),"",AVERAGE(B234:B247))</f>
        <v>68.5454545454545</v>
      </c>
      <c r="F247" s="962" cm="1">
        <f t="array" ref="F247">IF(ISBLANK(B247),"",AVERAGE(B218:B247))</f>
        <v>69.0652173913043</v>
      </c>
      <c r="G247" s="964"/>
      <c r="H247" s="964"/>
      <c r="I247" s="964"/>
      <c r="J247" s="964"/>
      <c r="K247" s="964"/>
      <c r="L247" s="964"/>
      <c r="M247" s="964"/>
      <c r="N247" s="964"/>
      <c r="O247" s="964"/>
      <c r="P247" s="964"/>
      <c r="Q247" s="962"/>
      <c r="R247" t="str" s="964" cm="1">
        <f t="array" ref="R247">IF(OR(ISBLANK($B247),NOT(ISBLANK(B247))),"",'tracking - Table 2-1-2'!C$66)</f>
      </c>
      <c r="S247" t="str" s="964" cm="1">
        <f t="array" ref="S247">IF(OR(ISBLANK($B247),NOT(ISBLANK(B247))),"",'tracking - Table 2-1-2'!D$66)</f>
      </c>
      <c r="T247" t="str" s="964" cm="1">
        <f t="array" ref="T247">IF(OR(ISBLANK($B247),NOT(ISBLANK(B247))),"",'tracking - Table 2-1-2'!E$66)</f>
      </c>
      <c r="U247" s="968"/>
    </row>
    <row r="248" ht="8.75" customHeight="1" hidden="1">
      <c r="A248" s="960">
        <v>44587</v>
      </c>
      <c r="B248" s="961">
        <v>67.8</v>
      </c>
      <c r="C248" s="965" cm="1">
        <f t="array" ref="C248">IF(ISBLANK(B248),"",B248*2.2046226218)</f>
        <v>149.473413758040</v>
      </c>
      <c r="D248" s="962" cm="1">
        <f t="array" ref="D248">IF(ISBLANK(B248),"",AVERAGE(B242:B248))</f>
        <v>68.2416666666667</v>
      </c>
      <c r="E248" s="962" cm="1">
        <f t="array" ref="E248">IF(ISBLANK(B248),"",AVERAGE(B235:B248))</f>
        <v>68.48333333333331</v>
      </c>
      <c r="F248" s="962" cm="1">
        <f t="array" ref="F248">IF(ISBLANK(B248),"",AVERAGE(B219:B248))</f>
        <v>69.0826086956522</v>
      </c>
      <c r="G248" s="964"/>
      <c r="H248" s="964"/>
      <c r="I248" s="964"/>
      <c r="J248" s="964"/>
      <c r="K248" s="964"/>
      <c r="L248" s="964"/>
      <c r="M248" s="964"/>
      <c r="N248" s="964"/>
      <c r="O248" s="964"/>
      <c r="P248" s="964"/>
      <c r="Q248" s="962"/>
      <c r="R248" t="str" s="964" cm="1">
        <f t="array" ref="R248">IF(OR(ISBLANK($B248),NOT(ISBLANK(B248))),"",'tracking - Table 2-1-2'!C$66)</f>
      </c>
      <c r="S248" t="str" s="964" cm="1">
        <f t="array" ref="S248">IF(OR(ISBLANK($B248),NOT(ISBLANK(B248))),"",'tracking - Table 2-1-2'!D$66)</f>
      </c>
      <c r="T248" t="str" s="964" cm="1">
        <f t="array" ref="T248">IF(OR(ISBLANK($B248),NOT(ISBLANK(B248))),"",'tracking - Table 2-1-2'!E$66)</f>
      </c>
      <c r="U248" s="968"/>
    </row>
    <row r="249" ht="8.75" customHeight="1" hidden="1">
      <c r="A249" s="960">
        <v>44588</v>
      </c>
      <c r="B249" s="961">
        <v>68.5</v>
      </c>
      <c r="C249" s="965" cm="1">
        <f t="array" ref="C249">IF(ISBLANK(B249),"",B249*2.2046226218)</f>
        <v>151.0166495933</v>
      </c>
      <c r="D249" s="962" cm="1">
        <f t="array" ref="D249">IF(ISBLANK(B249),"",AVERAGE(B243:B249))</f>
        <v>68.2785714285714</v>
      </c>
      <c r="E249" s="962" cm="1">
        <f t="array" ref="E249">IF(ISBLANK(B249),"",AVERAGE(B236:B249))</f>
        <v>68.42083333333331</v>
      </c>
      <c r="F249" s="962" cm="1">
        <f t="array" ref="F249">IF(ISBLANK(B249),"",AVERAGE(B220:B249))</f>
        <v>69.04347826086961</v>
      </c>
      <c r="G249" s="964"/>
      <c r="H249" s="964"/>
      <c r="I249" s="964"/>
      <c r="J249" s="964"/>
      <c r="K249" s="964"/>
      <c r="L249" s="964"/>
      <c r="M249" s="964"/>
      <c r="N249" s="964"/>
      <c r="O249" s="964"/>
      <c r="P249" s="964"/>
      <c r="Q249" s="962"/>
      <c r="R249" t="str" s="964" cm="1">
        <f t="array" ref="R249">IF(OR(ISBLANK($B249),NOT(ISBLANK(B249))),"",'tracking - Table 2-1-2'!C$66)</f>
      </c>
      <c r="S249" t="str" s="964" cm="1">
        <f t="array" ref="S249">IF(OR(ISBLANK($B249),NOT(ISBLANK(B249))),"",'tracking - Table 2-1-2'!D$66)</f>
      </c>
      <c r="T249" t="str" s="964" cm="1">
        <f t="array" ref="T249">IF(OR(ISBLANK($B249),NOT(ISBLANK(B249))),"",'tracking - Table 2-1-2'!E$66)</f>
      </c>
      <c r="U249" s="968"/>
    </row>
    <row r="250" ht="8.75" customHeight="1" hidden="1">
      <c r="A250" s="960">
        <v>44589</v>
      </c>
      <c r="B250" s="961">
        <v>68.5</v>
      </c>
      <c r="C250" s="965" cm="1">
        <f t="array" ref="C250">IF(ISBLANK(B250),"",B250*2.2046226218)</f>
        <v>151.0166495933</v>
      </c>
      <c r="D250" s="962" cm="1">
        <f t="array" ref="D250">IF(ISBLANK(B250),"",AVERAGE(B244:B250))</f>
        <v>68.2285714285714</v>
      </c>
      <c r="E250" s="962" cm="1">
        <f t="array" ref="E250">IF(ISBLANK(B250),"",AVERAGE(B237:B250))</f>
        <v>68.4375</v>
      </c>
      <c r="F250" s="962" cm="1">
        <f t="array" ref="F250">IF(ISBLANK(B250),"",AVERAGE(B221:B250))</f>
        <v>69.004347826087</v>
      </c>
      <c r="G250" s="964"/>
      <c r="H250" s="964"/>
      <c r="I250" s="964"/>
      <c r="J250" s="964"/>
      <c r="K250" s="964"/>
      <c r="L250" s="964"/>
      <c r="M250" s="964"/>
      <c r="N250" s="964"/>
      <c r="O250" s="964"/>
      <c r="P250" s="964"/>
      <c r="Q250" s="962"/>
      <c r="R250" t="str" s="964" cm="1">
        <f t="array" ref="R250">IF(OR(ISBLANK($B250),NOT(ISBLANK(B250))),"",'tracking - Table 2-1-2'!C$66)</f>
      </c>
      <c r="S250" t="str" s="964" cm="1">
        <f t="array" ref="S250">IF(OR(ISBLANK($B250),NOT(ISBLANK(B250))),"",'tracking - Table 2-1-2'!D$66)</f>
      </c>
      <c r="T250" t="str" s="964" cm="1">
        <f t="array" ref="T250">IF(OR(ISBLANK($B250),NOT(ISBLANK(B250))),"",'tracking - Table 2-1-2'!E$66)</f>
      </c>
      <c r="U250" s="968"/>
    </row>
    <row r="251" ht="8.75" customHeight="1" hidden="1">
      <c r="A251" s="960">
        <v>44590</v>
      </c>
      <c r="B251" s="961">
        <v>69.5</v>
      </c>
      <c r="C251" s="965" cm="1">
        <f t="array" ref="C251">IF(ISBLANK(B251),"",B251*2.2046226218)</f>
        <v>153.2212722151</v>
      </c>
      <c r="D251" s="962" cm="1">
        <f t="array" ref="D251">IF(ISBLANK(B251),"",AVERAGE(B245:B251))</f>
        <v>68.4142857142857</v>
      </c>
      <c r="E251" s="962" cm="1">
        <f t="array" ref="E251">IF(ISBLANK(B251),"",AVERAGE(B238:B251))</f>
        <v>68.53749999999999</v>
      </c>
      <c r="F251" s="962" cm="1">
        <f t="array" ref="F251">IF(ISBLANK(B251),"",AVERAGE(B222:B251))</f>
        <v>69.0173913043478</v>
      </c>
      <c r="G251" s="964"/>
      <c r="H251" s="964"/>
      <c r="I251" s="964"/>
      <c r="J251" s="964"/>
      <c r="K251" s="964"/>
      <c r="L251" s="964"/>
      <c r="M251" s="964"/>
      <c r="N251" s="964"/>
      <c r="O251" s="964"/>
      <c r="P251" s="964"/>
      <c r="Q251" s="962"/>
      <c r="R251" t="str" s="964" cm="1">
        <f t="array" ref="R251">IF(OR(ISBLANK($B251),NOT(ISBLANK(B251))),"",'tracking - Table 2-1-2'!C$66)</f>
      </c>
      <c r="S251" t="str" s="964" cm="1">
        <f t="array" ref="S251">IF(OR(ISBLANK($B251),NOT(ISBLANK(B251))),"",'tracking - Table 2-1-2'!D$66)</f>
      </c>
      <c r="T251" t="str" s="964" cm="1">
        <f t="array" ref="T251">IF(OR(ISBLANK($B251),NOT(ISBLANK(B251))),"",'tracking - Table 2-1-2'!E$66)</f>
      </c>
      <c r="U251" s="968"/>
    </row>
    <row r="252" ht="8.75" customHeight="1" hidden="1">
      <c r="A252" s="960">
        <v>44591</v>
      </c>
      <c r="B252" s="961">
        <v>69.5</v>
      </c>
      <c r="C252" s="965" cm="1">
        <f t="array" ref="C252">IF(ISBLANK(B252),"",B252*2.2046226218)</f>
        <v>153.2212722151</v>
      </c>
      <c r="D252" s="962" cm="1">
        <f t="array" ref="D252">IF(ISBLANK(B252),"",AVERAGE(B246:B252))</f>
        <v>68.59999999999999</v>
      </c>
      <c r="E252" s="962" cm="1">
        <f t="array" ref="E252">IF(ISBLANK(B252),"",AVERAGE(B239:B252))</f>
        <v>68.6041666666667</v>
      </c>
      <c r="F252" s="962" cm="1">
        <f t="array" ref="F252">IF(ISBLANK(B252),"",AVERAGE(B223:B252))</f>
        <v>69.03749999999999</v>
      </c>
      <c r="G252" s="964"/>
      <c r="H252" s="964"/>
      <c r="I252" s="964"/>
      <c r="J252" s="964"/>
      <c r="K252" s="964"/>
      <c r="L252" s="964"/>
      <c r="M252" s="964"/>
      <c r="N252" s="964"/>
      <c r="O252" s="964"/>
      <c r="P252" s="964"/>
      <c r="Q252" s="962"/>
      <c r="R252" t="str" s="964" cm="1">
        <f t="array" ref="R252">IF(OR(ISBLANK($B252),NOT(ISBLANK(B252))),"",'tracking - Table 2-1-2'!C$66)</f>
      </c>
      <c r="S252" t="str" s="964" cm="1">
        <f t="array" ref="S252">IF(OR(ISBLANK($B252),NOT(ISBLANK(B252))),"",'tracking - Table 2-1-2'!D$66)</f>
      </c>
      <c r="T252" t="str" s="964" cm="1">
        <f t="array" ref="T252">IF(OR(ISBLANK($B252),NOT(ISBLANK(B252))),"",'tracking - Table 2-1-2'!E$66)</f>
      </c>
      <c r="U252" s="968"/>
    </row>
    <row r="253" ht="8.75" customHeight="1" hidden="1">
      <c r="A253" s="960">
        <v>44592</v>
      </c>
      <c r="B253" s="961">
        <v>69.5</v>
      </c>
      <c r="C253" s="965" cm="1">
        <f t="array" ref="C253">IF(ISBLANK(B253),"",B253*2.2046226218)</f>
        <v>153.2212722151</v>
      </c>
      <c r="D253" s="962" cm="1">
        <f t="array" ref="D253">IF(ISBLANK(B253),"",AVERAGE(B247:B253))</f>
        <v>68.78571428571431</v>
      </c>
      <c r="E253" s="962" cm="1">
        <f t="array" ref="E253">IF(ISBLANK(B253),"",AVERAGE(B240:B253))</f>
        <v>68.6541666666667</v>
      </c>
      <c r="F253" s="962" cm="1">
        <f t="array" ref="F253">IF(ISBLANK(B253),"",AVERAGE(B224:B253))</f>
        <v>69.0416666666667</v>
      </c>
      <c r="G253" s="964"/>
      <c r="H253" s="964"/>
      <c r="I253" s="964"/>
      <c r="J253" s="964"/>
      <c r="K253" s="964"/>
      <c r="L253" s="964"/>
      <c r="M253" s="964"/>
      <c r="N253" s="964"/>
      <c r="O253" s="964"/>
      <c r="P253" s="964"/>
      <c r="Q253" s="962"/>
      <c r="R253" t="str" s="964" cm="1">
        <f t="array" ref="R253">IF(OR(ISBLANK($B253),NOT(ISBLANK(B253))),"",'tracking - Table 2-1-2'!C$66)</f>
      </c>
      <c r="S253" t="str" s="964" cm="1">
        <f t="array" ref="S253">IF(OR(ISBLANK($B253),NOT(ISBLANK(B253))),"",'tracking - Table 2-1-2'!D$66)</f>
      </c>
      <c r="T253" t="str" s="964" cm="1">
        <f t="array" ref="T253">IF(OR(ISBLANK($B253),NOT(ISBLANK(B253))),"",'tracking - Table 2-1-2'!E$66)</f>
      </c>
      <c r="U253" s="968"/>
    </row>
    <row r="254" ht="8.75" customHeight="1" hidden="1">
      <c r="A254" s="960">
        <v>44593</v>
      </c>
      <c r="B254" s="961">
        <v>70.09999999999999</v>
      </c>
      <c r="C254" s="965" cm="1">
        <f t="array" ref="C254">IF(ISBLANK(B254),"",B254*2.2046226218)</f>
        <v>154.544045788180</v>
      </c>
      <c r="D254" s="962" cm="1">
        <f t="array" ref="D254">IF(ISBLANK(B254),"",AVERAGE(B248:B254))</f>
        <v>69.05714285714291</v>
      </c>
      <c r="E254" s="962" cm="1">
        <f t="array" ref="E254">IF(ISBLANK(B254),"",AVERAGE(B241:B254))</f>
        <v>68.75416666666671</v>
      </c>
      <c r="F254" s="962" cm="1">
        <f t="array" ref="F254">IF(ISBLANK(B254),"",AVERAGE(B225:B254))</f>
        <v>69.0708333333333</v>
      </c>
      <c r="G254" s="964"/>
      <c r="H254" s="964"/>
      <c r="I254" s="964"/>
      <c r="J254" s="964"/>
      <c r="K254" s="964"/>
      <c r="L254" s="964"/>
      <c r="M254" s="964"/>
      <c r="N254" s="964"/>
      <c r="O254" s="964"/>
      <c r="P254" s="964"/>
      <c r="Q254" s="962"/>
      <c r="R254" t="str" s="964" cm="1">
        <f t="array" ref="R254">IF(OR(ISBLANK($B254),NOT(ISBLANK(B254))),"",'tracking - Table 2-1-2'!C$66)</f>
      </c>
      <c r="S254" t="str" s="964" cm="1">
        <f t="array" ref="S254">IF(OR(ISBLANK($B254),NOT(ISBLANK(B254))),"",'tracking - Table 2-1-2'!D$66)</f>
      </c>
      <c r="T254" t="str" s="964" cm="1">
        <f t="array" ref="T254">IF(OR(ISBLANK($B254),NOT(ISBLANK(B254))),"",'tracking - Table 2-1-2'!E$66)</f>
      </c>
      <c r="U254" s="968"/>
    </row>
    <row r="255" ht="8.75" customHeight="1" hidden="1">
      <c r="A255" s="960">
        <v>44594</v>
      </c>
      <c r="B255" s="961">
        <v>69.8</v>
      </c>
      <c r="C255" s="965" cm="1">
        <f t="array" ref="C255">IF(ISBLANK(B255),"",B255*2.2046226218)</f>
        <v>153.882659001640</v>
      </c>
      <c r="D255" s="962" cm="1">
        <f t="array" ref="D255">IF(ISBLANK(B255),"",AVERAGE(B249:B255))</f>
        <v>69.3428571428571</v>
      </c>
      <c r="E255" s="962" cm="1">
        <f t="array" ref="E255">IF(ISBLANK(B255),"",AVERAGE(B242:B255))</f>
        <v>68.8346153846154</v>
      </c>
      <c r="F255" s="962" cm="1">
        <f t="array" ref="F255">IF(ISBLANK(B255),"",AVERAGE(B226:B255))</f>
        <v>69.09999999999999</v>
      </c>
      <c r="G255" s="964"/>
      <c r="H255" s="964"/>
      <c r="I255" s="964"/>
      <c r="J255" s="964"/>
      <c r="K255" s="964"/>
      <c r="L255" s="964"/>
      <c r="M255" s="964"/>
      <c r="N255" s="964"/>
      <c r="O255" s="964"/>
      <c r="P255" s="964"/>
      <c r="Q255" s="962"/>
      <c r="R255" t="str" s="964" cm="1">
        <f t="array" ref="R255">IF(OR(ISBLANK($B255),NOT(ISBLANK(B255))),"",'tracking - Table 2-1-2'!C$66)</f>
      </c>
      <c r="S255" t="str" s="964" cm="1">
        <f t="array" ref="S255">IF(OR(ISBLANK($B255),NOT(ISBLANK(B255))),"",'tracking - Table 2-1-2'!D$66)</f>
      </c>
      <c r="T255" t="str" s="964" cm="1">
        <f t="array" ref="T255">IF(OR(ISBLANK($B255),NOT(ISBLANK(B255))),"",'tracking - Table 2-1-2'!E$66)</f>
      </c>
      <c r="U255" s="968">
        <v>2897.558455139630</v>
      </c>
    </row>
    <row r="256" ht="8.75" customHeight="1" hidden="1">
      <c r="A256" s="960">
        <v>44595</v>
      </c>
      <c r="B256" s="961">
        <v>70.09999999999999</v>
      </c>
      <c r="C256" s="965" cm="1">
        <f t="array" ref="C256">IF(ISBLANK(B256),"",B256*2.2046226218)</f>
        <v>154.544045788180</v>
      </c>
      <c r="D256" s="962" cm="1">
        <f t="array" ref="D256">IF(ISBLANK(B256),"",AVERAGE(B250:B256))</f>
        <v>69.5714285714286</v>
      </c>
      <c r="E256" s="962" cm="1">
        <f t="array" ref="E256">IF(ISBLANK(B256),"",AVERAGE(B243:B256))</f>
        <v>68.925</v>
      </c>
      <c r="F256" s="962" cm="1">
        <f t="array" ref="F256">IF(ISBLANK(B256),"",AVERAGE(B227:B256))</f>
        <v>69.1384615384615</v>
      </c>
      <c r="G256" s="964"/>
      <c r="H256" s="964"/>
      <c r="I256" s="964"/>
      <c r="J256" s="964"/>
      <c r="K256" s="964"/>
      <c r="L256" s="964"/>
      <c r="M256" s="964"/>
      <c r="N256" s="964"/>
      <c r="O256" s="964"/>
      <c r="P256" s="964"/>
      <c r="Q256" s="962"/>
      <c r="R256" t="str" s="964" cm="1">
        <f t="array" ref="R256">IF(OR(ISBLANK($B256),NOT(ISBLANK(B256))),"",'tracking - Table 2-1-2'!C$66)</f>
      </c>
      <c r="S256" t="str" s="964" cm="1">
        <f t="array" ref="S256">IF(OR(ISBLANK($B256),NOT(ISBLANK(B256))),"",'tracking - Table 2-1-2'!D$66)</f>
      </c>
      <c r="T256" t="str" s="964" cm="1">
        <f t="array" ref="T256">IF(OR(ISBLANK($B256),NOT(ISBLANK(B256))),"",'tracking - Table 2-1-2'!E$66)</f>
      </c>
      <c r="U256" s="968">
        <v>2731.817497556210</v>
      </c>
    </row>
    <row r="257" ht="8.75" customHeight="1" hidden="1">
      <c r="A257" s="960">
        <v>44596</v>
      </c>
      <c r="B257" s="961">
        <v>70.7</v>
      </c>
      <c r="C257" s="965" cm="1">
        <f t="array" ref="C257">IF(ISBLANK(B257),"",B257*2.2046226218)</f>
        <v>155.866819361260</v>
      </c>
      <c r="D257" s="962" cm="1">
        <f t="array" ref="D257">IF(ISBLANK(B257),"",AVERAGE(B251:B257))</f>
        <v>69.8857142857143</v>
      </c>
      <c r="E257" s="962" cm="1">
        <f t="array" ref="E257">IF(ISBLANK(B257),"",AVERAGE(B244:B257))</f>
        <v>69.05714285714291</v>
      </c>
      <c r="F257" s="962" cm="1">
        <f t="array" ref="F257">IF(ISBLANK(B257),"",AVERAGE(B228:B257))</f>
        <v>69.1615384615385</v>
      </c>
      <c r="G257" s="964"/>
      <c r="H257" s="964"/>
      <c r="I257" s="964"/>
      <c r="J257" s="964"/>
      <c r="K257" s="964"/>
      <c r="L257" s="964"/>
      <c r="M257" s="964"/>
      <c r="N257" s="964"/>
      <c r="O257" s="964"/>
      <c r="P257" s="964"/>
      <c r="Q257" s="962"/>
      <c r="R257" t="str" s="964" cm="1">
        <f t="array" ref="R257">IF(OR(ISBLANK($B257),NOT(ISBLANK(B257))),"",'tracking - Table 2-1-2'!C$66)</f>
      </c>
      <c r="S257" t="str" s="964" cm="1">
        <f t="array" ref="S257">IF(OR(ISBLANK($B257),NOT(ISBLANK(B257))),"",'tracking - Table 2-1-2'!D$66)</f>
      </c>
      <c r="T257" t="str" s="964" cm="1">
        <f t="array" ref="T257">IF(OR(ISBLANK($B257),NOT(ISBLANK(B257))),"",'tracking - Table 2-1-2'!E$66)</f>
      </c>
      <c r="U257" s="968"/>
    </row>
    <row r="258" ht="8.75" customHeight="1" hidden="1">
      <c r="A258" s="960">
        <v>44597</v>
      </c>
      <c r="B258" s="961">
        <v>70.15000000000001</v>
      </c>
      <c r="C258" s="965" cm="1">
        <f t="array" ref="C258">IF(ISBLANK(B258),"",B258*2.2046226218)</f>
        <v>154.654276919270</v>
      </c>
      <c r="D258" s="962" cm="1">
        <f t="array" ref="D258">IF(ISBLANK(B258),"",AVERAGE(B252:B258))</f>
        <v>69.9785714285714</v>
      </c>
      <c r="E258" s="962" cm="1">
        <f t="array" ref="E258">IF(ISBLANK(B258),"",AVERAGE(B245:B258))</f>
        <v>69.1964285714286</v>
      </c>
      <c r="F258" s="962" cm="1">
        <f t="array" ref="F258">IF(ISBLANK(B258),"",AVERAGE(B229:B258))</f>
        <v>69.1634615384615</v>
      </c>
      <c r="G258" s="964"/>
      <c r="H258" s="964"/>
      <c r="I258" s="964"/>
      <c r="J258" s="964"/>
      <c r="K258" s="964"/>
      <c r="L258" s="964"/>
      <c r="M258" s="964"/>
      <c r="N258" s="964"/>
      <c r="O258" s="964"/>
      <c r="P258" s="964"/>
      <c r="Q258" s="962"/>
      <c r="R258" t="str" s="964" cm="1">
        <f t="array" ref="R258">IF(OR(ISBLANK($B258),NOT(ISBLANK(B258))),"",'tracking - Table 2-1-2'!C$66)</f>
      </c>
      <c r="S258" t="str" s="964" cm="1">
        <f t="array" ref="S258">IF(OR(ISBLANK($B258),NOT(ISBLANK(B258))),"",'tracking - Table 2-1-2'!D$66)</f>
      </c>
      <c r="T258" t="str" s="964" cm="1">
        <f t="array" ref="T258">IF(OR(ISBLANK($B258),NOT(ISBLANK(B258))),"",'tracking - Table 2-1-2'!E$66)</f>
      </c>
      <c r="U258" s="968"/>
    </row>
    <row r="259" ht="8.75" customHeight="1" hidden="1">
      <c r="A259" s="960">
        <v>44598</v>
      </c>
      <c r="B259" s="961">
        <v>69.59999999999999</v>
      </c>
      <c r="C259" s="965" cm="1">
        <f t="array" ref="C259">IF(ISBLANK(B259),"",B259*2.2046226218)</f>
        <v>153.441734477280</v>
      </c>
      <c r="D259" s="962" cm="1">
        <f t="array" ref="D259">IF(ISBLANK(B259),"",AVERAGE(B253:B259))</f>
        <v>69.9928571428571</v>
      </c>
      <c r="E259" s="962" cm="1">
        <f t="array" ref="E259">IF(ISBLANK(B259),"",AVERAGE(B246:B259))</f>
        <v>69.29642857142861</v>
      </c>
      <c r="F259" s="962" cm="1">
        <f t="array" ref="F259">IF(ISBLANK(B259),"",AVERAGE(B230:B259))</f>
        <v>69.1403846153846</v>
      </c>
      <c r="G259" s="964"/>
      <c r="H259" s="964"/>
      <c r="I259" s="964"/>
      <c r="J259" s="964"/>
      <c r="K259" s="964"/>
      <c r="L259" s="964"/>
      <c r="M259" s="964"/>
      <c r="N259" s="964"/>
      <c r="O259" s="964"/>
      <c r="P259" s="964"/>
      <c r="Q259" s="962"/>
      <c r="R259" t="str" s="964" cm="1">
        <f t="array" ref="R259">IF(OR(ISBLANK($B259),NOT(ISBLANK(B259))),"",'tracking - Table 2-1-2'!C$66)</f>
      </c>
      <c r="S259" t="str" s="964" cm="1">
        <f t="array" ref="S259">IF(OR(ISBLANK($B259),NOT(ISBLANK(B259))),"",'tracking - Table 2-1-2'!D$66)</f>
      </c>
      <c r="T259" t="str" s="964" cm="1">
        <f t="array" ref="T259">IF(OR(ISBLANK($B259),NOT(ISBLANK(B259))),"",'tracking - Table 2-1-2'!E$66)</f>
      </c>
      <c r="U259" s="968"/>
    </row>
    <row r="260" ht="8.75" customHeight="1" hidden="1">
      <c r="A260" s="960">
        <v>44599</v>
      </c>
      <c r="B260" s="961">
        <v>70.2</v>
      </c>
      <c r="C260" s="965" cm="1">
        <f t="array" ref="C260">IF(ISBLANK(B260),"",B260*2.2046226218)</f>
        <v>154.764508050360</v>
      </c>
      <c r="D260" s="962" cm="1">
        <f t="array" ref="D260">IF(ISBLANK(B260),"",AVERAGE(B254:B260))</f>
        <v>70.0928571428571</v>
      </c>
      <c r="E260" s="962" cm="1">
        <f t="array" ref="E260">IF(ISBLANK(B260),"",AVERAGE(B247:B260))</f>
        <v>69.4392857142857</v>
      </c>
      <c r="F260" s="962" cm="1">
        <f t="array" ref="F260">IF(ISBLANK(B260),"",AVERAGE(B231:B260))</f>
        <v>69.1403846153846</v>
      </c>
      <c r="G260" s="964"/>
      <c r="H260" s="964"/>
      <c r="I260" s="964"/>
      <c r="J260" s="964"/>
      <c r="K260" s="964"/>
      <c r="L260" s="964"/>
      <c r="M260" s="964"/>
      <c r="N260" s="964"/>
      <c r="O260" s="964"/>
      <c r="P260" s="964"/>
      <c r="Q260" s="962"/>
      <c r="R260" t="str" s="964" cm="1">
        <f t="array" ref="R260">IF(OR(ISBLANK($B260),NOT(ISBLANK(B260))),"",'tracking - Table 2-1-2'!C$66)</f>
      </c>
      <c r="S260" t="str" s="964" cm="1">
        <f t="array" ref="S260">IF(OR(ISBLANK($B260),NOT(ISBLANK(B260))),"",'tracking - Table 2-1-2'!D$66)</f>
      </c>
      <c r="T260" t="str" s="964" cm="1">
        <f t="array" ref="T260">IF(OR(ISBLANK($B260),NOT(ISBLANK(B260))),"",'tracking - Table 2-1-2'!E$66)</f>
      </c>
      <c r="U260" s="968"/>
    </row>
    <row r="261" ht="8.75" customHeight="1" hidden="1">
      <c r="A261" s="960">
        <v>44600</v>
      </c>
      <c r="B261" s="961">
        <v>70.2</v>
      </c>
      <c r="C261" s="965" cm="1">
        <f t="array" ref="C261">IF(ISBLANK(B261),"",B261*2.2046226218)</f>
        <v>154.764508050360</v>
      </c>
      <c r="D261" s="962" cm="1">
        <f t="array" ref="D261">IF(ISBLANK(B261),"",AVERAGE(B255:B261))</f>
        <v>70.1071428571429</v>
      </c>
      <c r="E261" s="962" cm="1">
        <f t="array" ref="E261">IF(ISBLANK(B261),"",AVERAGE(B248:B261))</f>
        <v>69.5821428571429</v>
      </c>
      <c r="F261" s="962" cm="1">
        <f t="array" ref="F261">IF(ISBLANK(B261),"",AVERAGE(B232:B261))</f>
        <v>69.1403846153846</v>
      </c>
      <c r="G261" s="964"/>
      <c r="H261" s="964"/>
      <c r="I261" s="964"/>
      <c r="J261" s="964"/>
      <c r="K261" s="964"/>
      <c r="L261" s="964"/>
      <c r="M261" s="964"/>
      <c r="N261" s="964"/>
      <c r="O261" s="964"/>
      <c r="P261" s="964"/>
      <c r="Q261" s="962"/>
      <c r="R261" t="str" s="964" cm="1">
        <f t="array" ref="R261">IF(OR(ISBLANK($B261),NOT(ISBLANK(B261))),"",'tracking - Table 2-1-2'!C$66)</f>
      </c>
      <c r="S261" t="str" s="964" cm="1">
        <f t="array" ref="S261">IF(OR(ISBLANK($B261),NOT(ISBLANK(B261))),"",'tracking - Table 2-1-2'!D$66)</f>
      </c>
      <c r="T261" t="str" s="964" cm="1">
        <f t="array" ref="T261">IF(OR(ISBLANK($B261),NOT(ISBLANK(B261))),"",'tracking - Table 2-1-2'!E$66)</f>
      </c>
      <c r="U261" s="968"/>
    </row>
    <row r="262" ht="8.75" customHeight="1" hidden="1">
      <c r="A262" s="960">
        <v>44601</v>
      </c>
      <c r="B262" s="961">
        <v>69.90000000000001</v>
      </c>
      <c r="C262" s="965" cm="1">
        <f t="array" ref="C262">IF(ISBLANK(B262),"",B262*2.2046226218)</f>
        <v>154.103121263820</v>
      </c>
      <c r="D262" s="962" cm="1">
        <f t="array" ref="D262">IF(ISBLANK(B262),"",AVERAGE(B256:B262))</f>
        <v>70.12142857142859</v>
      </c>
      <c r="E262" s="962" cm="1">
        <f t="array" ref="E262">IF(ISBLANK(B262),"",AVERAGE(B249:B262))</f>
        <v>69.7321428571429</v>
      </c>
      <c r="F262" s="962" cm="1">
        <f t="array" ref="F262">IF(ISBLANK(B262),"",AVERAGE(B233:B262))</f>
        <v>69.1685185185185</v>
      </c>
      <c r="G262" s="964"/>
      <c r="H262" s="964"/>
      <c r="I262" s="964"/>
      <c r="J262" s="964"/>
      <c r="K262" s="964"/>
      <c r="L262" s="964"/>
      <c r="M262" s="964"/>
      <c r="N262" s="964"/>
      <c r="O262" s="964"/>
      <c r="P262" s="964"/>
      <c r="Q262" s="962"/>
      <c r="R262" t="str" s="964" cm="1">
        <f t="array" ref="R262">IF(OR(ISBLANK($B262),NOT(ISBLANK(B262))),"",'tracking - Table 2-1-2'!C$66)</f>
      </c>
      <c r="S262" t="str" s="964" cm="1">
        <f t="array" ref="S262">IF(OR(ISBLANK($B262),NOT(ISBLANK(B262))),"",'tracking - Table 2-1-2'!D$66)</f>
      </c>
      <c r="T262" t="str" s="964" cm="1">
        <f t="array" ref="T262">IF(OR(ISBLANK($B262),NOT(ISBLANK(B262))),"",'tracking - Table 2-1-2'!E$66)</f>
      </c>
      <c r="U262" s="968"/>
    </row>
    <row r="263" ht="8.75" customHeight="1" hidden="1">
      <c r="A263" s="960">
        <v>44602</v>
      </c>
      <c r="B263" s="961">
        <v>70.65000000000001</v>
      </c>
      <c r="C263" s="965" cm="1">
        <f t="array" ref="C263">IF(ISBLANK(B263),"",B263*2.2046226218)</f>
        <v>155.756588230170</v>
      </c>
      <c r="D263" s="962" cm="1">
        <f t="array" ref="D263">IF(ISBLANK(B263),"",AVERAGE(B257:B263))</f>
        <v>70.2</v>
      </c>
      <c r="E263" s="962" cm="1">
        <f t="array" ref="E263">IF(ISBLANK(B263),"",AVERAGE(B250:B263))</f>
        <v>69.8857142857143</v>
      </c>
      <c r="F263" s="962" cm="1">
        <f t="array" ref="F263">IF(ISBLANK(B263),"",AVERAGE(B234:B263))</f>
        <v>69.21111111111109</v>
      </c>
      <c r="G263" s="964"/>
      <c r="H263" s="964"/>
      <c r="I263" s="964"/>
      <c r="J263" s="964"/>
      <c r="K263" s="964"/>
      <c r="L263" s="964"/>
      <c r="M263" s="964"/>
      <c r="N263" s="964"/>
      <c r="O263" s="964"/>
      <c r="P263" s="964"/>
      <c r="Q263" s="962"/>
      <c r="R263" t="str" s="964" cm="1">
        <f t="array" ref="R263">IF(OR(ISBLANK($B263),NOT(ISBLANK(B263))),"",'tracking - Table 2-1-2'!C$66)</f>
      </c>
      <c r="S263" t="str" s="964" cm="1">
        <f t="array" ref="S263">IF(OR(ISBLANK($B263),NOT(ISBLANK(B263))),"",'tracking - Table 2-1-2'!D$66)</f>
      </c>
      <c r="T263" t="str" s="964" cm="1">
        <f t="array" ref="T263">IF(OR(ISBLANK($B263),NOT(ISBLANK(B263))),"",'tracking - Table 2-1-2'!E$66)</f>
      </c>
      <c r="U263" s="968"/>
    </row>
    <row r="264" ht="8.75" customHeight="1" hidden="1">
      <c r="A264" s="960">
        <v>44603</v>
      </c>
      <c r="B264" s="961">
        <v>71.2</v>
      </c>
      <c r="C264" s="965" cm="1">
        <f t="array" ref="C264">IF(ISBLANK(B264),"",B264*2.2046226218)</f>
        <v>156.969130672160</v>
      </c>
      <c r="D264" s="962" cm="1">
        <f t="array" ref="D264">IF(ISBLANK(B264),"",AVERAGE(B258:B264))</f>
        <v>70.2714285714286</v>
      </c>
      <c r="E264" s="962" cm="1">
        <f t="array" ref="E264">IF(ISBLANK(B264),"",AVERAGE(B251:B264))</f>
        <v>70.07857142857139</v>
      </c>
      <c r="F264" s="962" cm="1">
        <f t="array" ref="F264">IF(ISBLANK(B264),"",AVERAGE(B235:B264))</f>
        <v>69.2821428571429</v>
      </c>
      <c r="G264" s="964"/>
      <c r="H264" s="964"/>
      <c r="I264" s="964"/>
      <c r="J264" s="964"/>
      <c r="K264" s="964"/>
      <c r="L264" s="964"/>
      <c r="M264" s="964"/>
      <c r="N264" s="964"/>
      <c r="O264" s="964"/>
      <c r="P264" s="964"/>
      <c r="Q264" s="962"/>
      <c r="R264" t="str" s="964" cm="1">
        <f t="array" ref="R264">IF(OR(ISBLANK($B264),NOT(ISBLANK(B264))),"",'tracking - Table 2-1-2'!C$66)</f>
      </c>
      <c r="S264" t="str" s="964" cm="1">
        <f t="array" ref="S264">IF(OR(ISBLANK($B264),NOT(ISBLANK(B264))),"",'tracking - Table 2-1-2'!D$66)</f>
      </c>
      <c r="T264" t="str" s="964" cm="1">
        <f t="array" ref="T264">IF(OR(ISBLANK($B264),NOT(ISBLANK(B264))),"",'tracking - Table 2-1-2'!E$66)</f>
      </c>
      <c r="U264" t="str" s="969" cm="1">
        <f t="array" ref="U264">IF(OR(ISBLANK($B264),ISBLANK('tracking - Table 2-1-2'!A$1)),"",'tracking - Table 2-1-2'!F$66)</f>
      </c>
    </row>
    <row r="265" ht="8.75" customHeight="1" hidden="1">
      <c r="A265" s="960">
        <v>44604</v>
      </c>
      <c r="B265" s="961">
        <v>71</v>
      </c>
      <c r="C265" s="965" cm="1">
        <f t="array" ref="C265">IF(ISBLANK(B265),"",B265*2.2046226218)</f>
        <v>156.5282061478</v>
      </c>
      <c r="D265" s="962" cm="1">
        <f t="array" ref="D265">IF(ISBLANK(B265),"",AVERAGE(B259:B265))</f>
        <v>70.3928571428571</v>
      </c>
      <c r="E265" s="962" cm="1">
        <f t="array" ref="E265">IF(ISBLANK(B265),"",AVERAGE(B252:B265))</f>
        <v>70.1857142857143</v>
      </c>
      <c r="F265" s="962" cm="1">
        <f t="array" ref="F265">IF(ISBLANK(B265),"",AVERAGE(B236:B265))</f>
        <v>69.3446428571429</v>
      </c>
      <c r="G265" s="964"/>
      <c r="H265" s="964"/>
      <c r="I265" s="964"/>
      <c r="J265" s="964"/>
      <c r="K265" s="964"/>
      <c r="L265" s="964"/>
      <c r="M265" s="964"/>
      <c r="N265" s="964"/>
      <c r="O265" s="964"/>
      <c r="P265" s="964"/>
      <c r="Q265" s="962"/>
      <c r="R265" t="str" s="964" cm="1">
        <f t="array" ref="R265">IF(OR(ISBLANK($B265),NOT(ISBLANK(B265))),"",'tracking - Table 2-1-2'!C$66)</f>
      </c>
      <c r="S265" t="str" s="964" cm="1">
        <f t="array" ref="S265">IF(OR(ISBLANK($B265),NOT(ISBLANK(B265))),"",'tracking - Table 2-1-2'!D$66)</f>
      </c>
      <c r="T265" t="str" s="964" cm="1">
        <f t="array" ref="T265">IF(OR(ISBLANK($B265),NOT(ISBLANK(B265))),"",'tracking - Table 2-1-2'!E$66)</f>
      </c>
      <c r="U265" t="str" s="969" cm="1">
        <f t="array" ref="U265">IF(OR(ISBLANK($B265),ISBLANK('tracking - Table 2-1-2'!A$1)),"",'tracking - Table 2-1-2'!F$66)</f>
      </c>
    </row>
    <row r="266" ht="8.75" customHeight="1" hidden="1">
      <c r="A266" s="960">
        <v>44605</v>
      </c>
      <c r="B266" s="961">
        <v>71</v>
      </c>
      <c r="C266" s="965" cm="1">
        <f t="array" ref="C266">IF(ISBLANK(B266),"",B266*2.2046226218)</f>
        <v>156.5282061478</v>
      </c>
      <c r="D266" s="962" cm="1">
        <f t="array" ref="D266">IF(ISBLANK(B266),"",AVERAGE(B260:B266))</f>
        <v>70.5928571428571</v>
      </c>
      <c r="E266" s="962" cm="1">
        <f t="array" ref="E266">IF(ISBLANK(B266),"",AVERAGE(B253:B266))</f>
        <v>70.2928571428571</v>
      </c>
      <c r="F266" s="962" cm="1">
        <f t="array" ref="F266">IF(ISBLANK(B266),"",AVERAGE(B237:B266))</f>
        <v>69.44107142857141</v>
      </c>
      <c r="G266" s="964"/>
      <c r="H266" s="964"/>
      <c r="I266" s="964"/>
      <c r="J266" s="964"/>
      <c r="K266" s="964"/>
      <c r="L266" s="964"/>
      <c r="M266" s="964"/>
      <c r="N266" s="964"/>
      <c r="O266" s="964"/>
      <c r="P266" s="964"/>
      <c r="Q266" s="962"/>
      <c r="R266" t="str" s="964" cm="1">
        <f t="array" ref="R266">IF(OR(ISBLANK($B266),NOT(ISBLANK(B266))),"",'tracking - Table 2-1-2'!C$66)</f>
      </c>
      <c r="S266" t="str" s="964" cm="1">
        <f t="array" ref="S266">IF(OR(ISBLANK($B266),NOT(ISBLANK(B266))),"",'tracking - Table 2-1-2'!D$66)</f>
      </c>
      <c r="T266" t="str" s="964" cm="1">
        <f t="array" ref="T266">IF(OR(ISBLANK($B266),NOT(ISBLANK(B266))),"",'tracking - Table 2-1-2'!E$66)</f>
      </c>
      <c r="U266" t="str" s="969" cm="1">
        <f t="array" ref="U266">IF(OR(ISBLANK($B266),ISBLANK('tracking - Table 2-1-2'!A$1)),"",'tracking - Table 2-1-2'!F$66)</f>
      </c>
    </row>
    <row r="267" ht="8.75" customHeight="1" hidden="1">
      <c r="A267" s="960">
        <v>44606</v>
      </c>
      <c r="B267" s="961">
        <v>71</v>
      </c>
      <c r="C267" s="965" cm="1">
        <f t="array" ref="C267">IF(ISBLANK(B267),"",B267*2.2046226218)</f>
        <v>156.5282061478</v>
      </c>
      <c r="D267" s="962" cm="1">
        <f t="array" ref="D267">IF(ISBLANK(B267),"",AVERAGE(B261:B267))</f>
        <v>70.7071428571429</v>
      </c>
      <c r="E267" s="962" cm="1">
        <f t="array" ref="E267">IF(ISBLANK(B267),"",AVERAGE(B254:B267))</f>
        <v>70.40000000000001</v>
      </c>
      <c r="F267" s="962" cm="1">
        <f t="array" ref="F267">IF(ISBLANK(B267),"",AVERAGE(B238:B267))</f>
        <v>69.53749999999999</v>
      </c>
      <c r="G267" s="964"/>
      <c r="H267" s="964"/>
      <c r="I267" s="964"/>
      <c r="J267" s="964"/>
      <c r="K267" s="964"/>
      <c r="L267" s="964"/>
      <c r="M267" s="964"/>
      <c r="N267" s="964"/>
      <c r="O267" s="964"/>
      <c r="P267" s="964"/>
      <c r="Q267" s="962"/>
      <c r="R267" t="str" s="964" cm="1">
        <f t="array" ref="R267">IF(OR(ISBLANK($B267),NOT(ISBLANK(B267))),"",'tracking - Table 2-1-2'!C$66)</f>
      </c>
      <c r="S267" t="str" s="964" cm="1">
        <f t="array" ref="S267">IF(OR(ISBLANK($B267),NOT(ISBLANK(B267))),"",'tracking - Table 2-1-2'!D$66)</f>
      </c>
      <c r="T267" t="str" s="964" cm="1">
        <f t="array" ref="T267">IF(OR(ISBLANK($B267),NOT(ISBLANK(B267))),"",'tracking - Table 2-1-2'!E$66)</f>
      </c>
      <c r="U267" t="str" s="969" cm="1">
        <f t="array" ref="U267">IF(OR(ISBLANK($B267),ISBLANK('tracking - Table 2-1-2'!A$1)),"",'tracking - Table 2-1-2'!F$66)</f>
      </c>
    </row>
    <row r="268" ht="8.75" customHeight="1" hidden="1">
      <c r="A268" s="960">
        <v>44607</v>
      </c>
      <c r="B268" s="961">
        <v>71.09999999999999</v>
      </c>
      <c r="C268" s="965" cm="1">
        <f t="array" ref="C268">IF(ISBLANK(B268),"",B268*2.2046226218)</f>
        <v>156.748668409980</v>
      </c>
      <c r="D268" s="962" cm="1">
        <f t="array" ref="D268">IF(ISBLANK(B268),"",AVERAGE(B262:B268))</f>
        <v>70.8357142857143</v>
      </c>
      <c r="E268" s="962" cm="1">
        <f t="array" ref="E268">IF(ISBLANK(B268),"",AVERAGE(B255:B268))</f>
        <v>70.4714285714286</v>
      </c>
      <c r="F268" s="962" cm="1">
        <f t="array" ref="F268">IF(ISBLANK(B268),"",AVERAGE(B239:B268))</f>
        <v>69.6232142857143</v>
      </c>
      <c r="G268" s="964"/>
      <c r="H268" s="964"/>
      <c r="I268" s="964"/>
      <c r="J268" s="964"/>
      <c r="K268" s="964"/>
      <c r="L268" s="964"/>
      <c r="M268" s="964"/>
      <c r="N268" s="964"/>
      <c r="O268" s="964"/>
      <c r="P268" s="964"/>
      <c r="Q268" s="962"/>
      <c r="R268" t="str" s="964" cm="1">
        <f t="array" ref="R268">IF(OR(ISBLANK($B268),NOT(ISBLANK(B268))),"",'tracking - Table 2-1-2'!C$66)</f>
      </c>
      <c r="S268" t="str" s="964" cm="1">
        <f t="array" ref="S268">IF(OR(ISBLANK($B268),NOT(ISBLANK(B268))),"",'tracking - Table 2-1-2'!D$66)</f>
      </c>
      <c r="T268" t="str" s="964" cm="1">
        <f t="array" ref="T268">IF(OR(ISBLANK($B268),NOT(ISBLANK(B268))),"",'tracking - Table 2-1-2'!E$66)</f>
      </c>
      <c r="U268" t="str" s="969" cm="1">
        <f t="array" ref="U268">IF(OR(ISBLANK($B268),ISBLANK('tracking - Table 2-1-2'!A$1)),"",'tracking - Table 2-1-2'!F$66)</f>
      </c>
    </row>
    <row r="269" ht="8.75" customHeight="1" hidden="1">
      <c r="A269" s="960">
        <v>44608</v>
      </c>
      <c r="B269" s="961">
        <v>71.55</v>
      </c>
      <c r="C269" s="965" cm="1">
        <f t="array" ref="C269">IF(ISBLANK(B269),"",B269*2.2046226218)</f>
        <v>157.740748589790</v>
      </c>
      <c r="D269" s="962" cm="1">
        <f t="array" ref="D269">IF(ISBLANK(B269),"",AVERAGE(B263:B269))</f>
        <v>71.0714285714286</v>
      </c>
      <c r="E269" s="962" cm="1">
        <f t="array" ref="E269">IF(ISBLANK(B269),"",AVERAGE(B256:B269))</f>
        <v>70.5964285714286</v>
      </c>
      <c r="F269" s="962" cm="1">
        <f t="array" ref="F269">IF(ISBLANK(B269),"",AVERAGE(B240:B269))</f>
        <v>69.7178571428571</v>
      </c>
      <c r="G269" s="964"/>
      <c r="H269" s="964"/>
      <c r="I269" s="964"/>
      <c r="J269" s="964"/>
      <c r="K269" s="964"/>
      <c r="L269" s="964"/>
      <c r="M269" s="964"/>
      <c r="N269" s="964"/>
      <c r="O269" s="964"/>
      <c r="P269" s="964"/>
      <c r="Q269" s="962"/>
      <c r="R269" t="str" s="964" cm="1">
        <f t="array" ref="R269">IF(OR(ISBLANK($B269),NOT(ISBLANK(B269))),"",'tracking - Table 2-1-2'!C$66)</f>
      </c>
      <c r="S269" t="str" s="964" cm="1">
        <f t="array" ref="S269">IF(OR(ISBLANK($B269),NOT(ISBLANK(B269))),"",'tracking - Table 2-1-2'!D$66)</f>
      </c>
      <c r="T269" t="str" s="964" cm="1">
        <f t="array" ref="T269">IF(OR(ISBLANK($B269),NOT(ISBLANK(B269))),"",'tracking - Table 2-1-2'!E$66)</f>
      </c>
      <c r="U269" t="str" s="969" cm="1">
        <f t="array" ref="U269">IF(OR(ISBLANK($B269),ISBLANK('tracking - Table 2-1-2'!A$1)),"",'tracking - Table 2-1-2'!F$66)</f>
      </c>
    </row>
    <row r="270" ht="8.75" customHeight="1" hidden="1">
      <c r="A270" s="960">
        <v>44609</v>
      </c>
      <c r="B270" s="961">
        <v>72.05</v>
      </c>
      <c r="C270" s="965" cm="1">
        <f t="array" ref="C270">IF(ISBLANK(B270),"",B270*2.2046226218)</f>
        <v>158.843059900690</v>
      </c>
      <c r="D270" s="962" cm="1">
        <f t="array" ref="D270">IF(ISBLANK(B270),"",AVERAGE(B264:B270))</f>
        <v>71.2714285714286</v>
      </c>
      <c r="E270" s="962" cm="1">
        <f t="array" ref="E270">IF(ISBLANK(B270),"",AVERAGE(B257:B270))</f>
        <v>70.73571428571429</v>
      </c>
      <c r="F270" s="962" cm="1">
        <f t="array" ref="F270">IF(ISBLANK(B270),"",AVERAGE(B241:B270))</f>
        <v>69.8303571428571</v>
      </c>
      <c r="G270" s="964"/>
      <c r="H270" s="964"/>
      <c r="I270" s="964"/>
      <c r="J270" s="964"/>
      <c r="K270" s="964"/>
      <c r="L270" s="964"/>
      <c r="M270" s="964"/>
      <c r="N270" s="964"/>
      <c r="O270" s="964"/>
      <c r="P270" s="964"/>
      <c r="Q270" s="962"/>
      <c r="R270" t="str" s="964" cm="1">
        <f t="array" ref="R270">IF(OR(ISBLANK($B270),NOT(ISBLANK(B270))),"",'tracking - Table 2-1-2'!C$66)</f>
      </c>
      <c r="S270" t="str" s="964" cm="1">
        <f t="array" ref="S270">IF(OR(ISBLANK($B270),NOT(ISBLANK(B270))),"",'tracking - Table 2-1-2'!D$66)</f>
      </c>
      <c r="T270" t="str" s="964" cm="1">
        <f t="array" ref="T270">IF(OR(ISBLANK($B270),NOT(ISBLANK(B270))),"",'tracking - Table 2-1-2'!E$66)</f>
      </c>
      <c r="U270" t="str" s="969" cm="1">
        <f t="array" ref="U270">IF(OR(ISBLANK($B270),ISBLANK('tracking - Table 2-1-2'!A$1)),"",'tracking - Table 2-1-2'!F$66)</f>
      </c>
    </row>
    <row r="271" ht="8.75" customHeight="1" hidden="1">
      <c r="A271" s="960">
        <v>44610</v>
      </c>
      <c r="B271" s="961">
        <v>72.59999999999999</v>
      </c>
      <c r="C271" s="965" cm="1">
        <f t="array" ref="C271">IF(ISBLANK(B271),"",B271*2.2046226218)</f>
        <v>160.055602342680</v>
      </c>
      <c r="D271" s="962" cm="1">
        <f t="array" ref="D271">IF(ISBLANK(B271),"",AVERAGE(B265:B271))</f>
        <v>71.4714285714286</v>
      </c>
      <c r="E271" s="962" cm="1">
        <f t="array" ref="E271">IF(ISBLANK(B271),"",AVERAGE(B258:B271))</f>
        <v>70.87142857142859</v>
      </c>
      <c r="F271" s="962" cm="1">
        <f t="array" ref="F271">IF(ISBLANK(B271),"",AVERAGE(B242:B271))</f>
        <v>69.9258620689655</v>
      </c>
      <c r="G271" s="964"/>
      <c r="H271" s="964"/>
      <c r="I271" s="964"/>
      <c r="J271" s="964"/>
      <c r="K271" s="964"/>
      <c r="L271" s="964"/>
      <c r="M271" s="964"/>
      <c r="N271" s="964"/>
      <c r="O271" s="964"/>
      <c r="P271" s="964"/>
      <c r="Q271" s="962"/>
      <c r="R271" t="str" s="964" cm="1">
        <f t="array" ref="R271">IF(OR(ISBLANK($B271),NOT(ISBLANK(B271))),"",'tracking - Table 2-1-2'!C$66)</f>
      </c>
      <c r="S271" t="str" s="964" cm="1">
        <f t="array" ref="S271">IF(OR(ISBLANK($B271),NOT(ISBLANK(B271))),"",'tracking - Table 2-1-2'!D$66)</f>
      </c>
      <c r="T271" t="str" s="964" cm="1">
        <f t="array" ref="T271">IF(OR(ISBLANK($B271),NOT(ISBLANK(B271))),"",'tracking - Table 2-1-2'!E$66)</f>
      </c>
      <c r="U271" t="str" s="969" cm="1">
        <f t="array" ref="U271">IF(OR(ISBLANK($B271),ISBLANK('tracking - Table 2-1-2'!A$1)),"",'tracking - Table 2-1-2'!F$66)</f>
      </c>
    </row>
    <row r="272" ht="8.75" customHeight="1" hidden="1">
      <c r="A272" s="960">
        <v>44611</v>
      </c>
      <c r="B272" s="961">
        <v>72.75</v>
      </c>
      <c r="C272" s="965" cm="1">
        <f t="array" ref="C272">IF(ISBLANK(B272),"",B272*2.2046226218)</f>
        <v>160.386295735950</v>
      </c>
      <c r="D272" s="962" cm="1">
        <f t="array" ref="D272">IF(ISBLANK(B272),"",AVERAGE(B266:B272))</f>
        <v>71.7214285714286</v>
      </c>
      <c r="E272" s="962" cm="1">
        <f t="array" ref="E272">IF(ISBLANK(B272),"",AVERAGE(B259:B272))</f>
        <v>71.05714285714291</v>
      </c>
      <c r="F272" s="962" cm="1">
        <f t="array" ref="F272">IF(ISBLANK(B272),"",AVERAGE(B243:B272))</f>
        <v>70.02</v>
      </c>
      <c r="G272" s="964"/>
      <c r="H272" s="964"/>
      <c r="I272" s="964"/>
      <c r="J272" s="964"/>
      <c r="K272" s="964"/>
      <c r="L272" s="964"/>
      <c r="M272" s="964"/>
      <c r="N272" s="964"/>
      <c r="O272" s="964"/>
      <c r="P272" s="964"/>
      <c r="Q272" s="962"/>
      <c r="R272" t="str" s="964" cm="1">
        <f t="array" ref="R272">IF(OR(ISBLANK($B272),NOT(ISBLANK(B272))),"",'tracking - Table 2-1-2'!C$66)</f>
      </c>
      <c r="S272" t="str" s="964" cm="1">
        <f t="array" ref="S272">IF(OR(ISBLANK($B272),NOT(ISBLANK(B272))),"",'tracking - Table 2-1-2'!D$66)</f>
      </c>
      <c r="T272" t="str" s="964" cm="1">
        <f t="array" ref="T272">IF(OR(ISBLANK($B272),NOT(ISBLANK(B272))),"",'tracking - Table 2-1-2'!E$66)</f>
      </c>
      <c r="U272" t="str" s="969" cm="1">
        <f t="array" ref="U272">IF(OR(ISBLANK($B272),ISBLANK('tracking - Table 2-1-2'!A$1)),"",'tracking - Table 2-1-2'!F$66)</f>
      </c>
    </row>
    <row r="273" ht="8.75" customHeight="1" hidden="1">
      <c r="A273" s="960">
        <v>44612</v>
      </c>
      <c r="B273" s="961">
        <v>71.59999999999999</v>
      </c>
      <c r="C273" s="965" cm="1">
        <f t="array" ref="C273">IF(ISBLANK(B273),"",B273*2.2046226218)</f>
        <v>157.850979720880</v>
      </c>
      <c r="D273" s="962" cm="1">
        <f t="array" ref="D273">IF(ISBLANK(B273),"",AVERAGE(B267:B273))</f>
        <v>71.80714285714291</v>
      </c>
      <c r="E273" s="962" cm="1">
        <f t="array" ref="E273">IF(ISBLANK(B273),"",AVERAGE(B260:B273))</f>
        <v>71.2</v>
      </c>
      <c r="F273" s="962" cm="1">
        <f t="array" ref="F273">IF(ISBLANK(B273),"",AVERAGE(B244:B273))</f>
        <v>70.11166666666669</v>
      </c>
      <c r="G273" s="964"/>
      <c r="H273" s="964"/>
      <c r="I273" s="964"/>
      <c r="J273" s="964"/>
      <c r="K273" s="964"/>
      <c r="L273" s="964"/>
      <c r="M273" s="964"/>
      <c r="N273" s="964"/>
      <c r="O273" s="964"/>
      <c r="P273" s="964"/>
      <c r="Q273" s="962"/>
      <c r="R273" t="str" s="964" cm="1">
        <f t="array" ref="R273">IF(OR(ISBLANK($B273),NOT(ISBLANK(B273))),"",'tracking - Table 2-1-2'!C$66)</f>
      </c>
      <c r="S273" t="str" s="964" cm="1">
        <f t="array" ref="S273">IF(OR(ISBLANK($B273),NOT(ISBLANK(B273))),"",'tracking - Table 2-1-2'!D$66)</f>
      </c>
      <c r="T273" t="str" s="964" cm="1">
        <f t="array" ref="T273">IF(OR(ISBLANK($B273),NOT(ISBLANK(B273))),"",'tracking - Table 2-1-2'!E$66)</f>
      </c>
      <c r="U273" t="str" s="969" cm="1">
        <f t="array" ref="U273">IF(OR(ISBLANK($B273),ISBLANK('tracking - Table 2-1-2'!A$1)),"",'tracking - Table 2-1-2'!F$66)</f>
      </c>
    </row>
    <row r="274" ht="8.75" customHeight="1" hidden="1">
      <c r="A274" s="960">
        <v>44613</v>
      </c>
      <c r="B274" s="961">
        <v>71.59999999999999</v>
      </c>
      <c r="C274" s="965" cm="1">
        <f t="array" ref="C274">IF(ISBLANK(B274),"",B274*2.2046226218)</f>
        <v>157.850979720880</v>
      </c>
      <c r="D274" s="962" cm="1">
        <f t="array" ref="D274">IF(ISBLANK(B274),"",AVERAGE(B268:B274))</f>
        <v>71.8928571428571</v>
      </c>
      <c r="E274" s="962" cm="1">
        <f t="array" ref="E274">IF(ISBLANK(B274),"",AVERAGE(B261:B274))</f>
        <v>71.3</v>
      </c>
      <c r="F274" s="962" cm="1">
        <f t="array" ref="F274">IF(ISBLANK(B274),"",AVERAGE(B245:B274))</f>
        <v>70.22499999999999</v>
      </c>
      <c r="G274" s="964"/>
      <c r="H274" s="964"/>
      <c r="I274" s="964"/>
      <c r="J274" s="964"/>
      <c r="K274" s="964"/>
      <c r="L274" s="964"/>
      <c r="M274" s="964"/>
      <c r="N274" s="964"/>
      <c r="O274" s="964"/>
      <c r="P274" s="964"/>
      <c r="Q274" s="962"/>
      <c r="R274" t="str" s="964" cm="1">
        <f t="array" ref="R274">IF(OR(ISBLANK($B274),NOT(ISBLANK(B274))),"",'tracking - Table 2-1-2'!C$66)</f>
      </c>
      <c r="S274" t="str" s="964" cm="1">
        <f t="array" ref="S274">IF(OR(ISBLANK($B274),NOT(ISBLANK(B274))),"",'tracking - Table 2-1-2'!D$66)</f>
      </c>
      <c r="T274" t="str" s="964" cm="1">
        <f t="array" ref="T274">IF(OR(ISBLANK($B274),NOT(ISBLANK(B274))),"",'tracking - Table 2-1-2'!E$66)</f>
      </c>
      <c r="U274" t="str" s="969" cm="1">
        <f t="array" ref="U274">IF(OR(ISBLANK($B274),ISBLANK('tracking - Table 2-1-2'!A$1)),"",'tracking - Table 2-1-2'!F$66)</f>
      </c>
    </row>
    <row r="275" ht="8.75" customHeight="1" hidden="1">
      <c r="A275" s="960">
        <v>44614</v>
      </c>
      <c r="B275" s="961">
        <v>71.90000000000001</v>
      </c>
      <c r="C275" s="965" cm="1">
        <f t="array" ref="C275">IF(ISBLANK(B275),"",B275*2.2046226218)</f>
        <v>158.512366507420</v>
      </c>
      <c r="D275" s="962" cm="1">
        <f t="array" ref="D275">IF(ISBLANK(B275),"",AVERAGE(B269:B275))</f>
        <v>72.0071428571429</v>
      </c>
      <c r="E275" s="962" cm="1">
        <f t="array" ref="E275">IF(ISBLANK(B275),"",AVERAGE(B262:B275))</f>
        <v>71.42142857142861</v>
      </c>
      <c r="F275" s="962" cm="1">
        <f t="array" ref="F275">IF(ISBLANK(B275),"",AVERAGE(B246:B275))</f>
        <v>70.3483333333333</v>
      </c>
      <c r="G275" s="964"/>
      <c r="H275" s="964"/>
      <c r="I275" s="964"/>
      <c r="J275" s="964"/>
      <c r="K275" s="964"/>
      <c r="L275" s="964"/>
      <c r="M275" s="964"/>
      <c r="N275" s="964"/>
      <c r="O275" s="964"/>
      <c r="P275" s="964"/>
      <c r="Q275" s="962"/>
      <c r="R275" t="str" s="964" cm="1">
        <f t="array" ref="R275">IF(OR(ISBLANK($B275),NOT(ISBLANK(B275))),"",'tracking - Table 2-1-2'!C$66)</f>
      </c>
      <c r="S275" t="str" s="964" cm="1">
        <f t="array" ref="S275">IF(OR(ISBLANK($B275),NOT(ISBLANK(B275))),"",'tracking - Table 2-1-2'!D$66)</f>
      </c>
      <c r="T275" t="str" s="964" cm="1">
        <f t="array" ref="T275">IF(OR(ISBLANK($B275),NOT(ISBLANK(B275))),"",'tracking - Table 2-1-2'!E$66)</f>
      </c>
      <c r="U275" t="str" s="969" cm="1">
        <f t="array" ref="U275">IF(OR(ISBLANK($B275),ISBLANK('tracking - Table 2-1-2'!A$1)),"",'tracking - Table 2-1-2'!F$66)</f>
      </c>
    </row>
    <row r="276" ht="8.75" customHeight="1" hidden="1">
      <c r="A276" s="960">
        <v>44615</v>
      </c>
      <c r="B276" s="961">
        <v>70.8</v>
      </c>
      <c r="C276" s="965" cm="1">
        <f t="array" ref="C276">IF(ISBLANK(B276),"",B276*2.2046226218)</f>
        <v>156.087281623440</v>
      </c>
      <c r="D276" s="962" cm="1">
        <f t="array" ref="D276">IF(ISBLANK(B276),"",AVERAGE(B270:B276))</f>
        <v>71.90000000000001</v>
      </c>
      <c r="E276" s="962" cm="1">
        <f t="array" ref="E276">IF(ISBLANK(B276),"",AVERAGE(B263:B276))</f>
        <v>71.48571428571429</v>
      </c>
      <c r="F276" s="962" cm="1">
        <f t="array" ref="F276">IF(ISBLANK(B276),"",AVERAGE(B247:B276))</f>
        <v>70.435</v>
      </c>
      <c r="G276" s="964"/>
      <c r="H276" s="964"/>
      <c r="I276" s="964"/>
      <c r="J276" s="964"/>
      <c r="K276" s="964"/>
      <c r="L276" s="964"/>
      <c r="M276" s="964"/>
      <c r="N276" s="964"/>
      <c r="O276" s="964"/>
      <c r="P276" s="964"/>
      <c r="Q276" s="962"/>
      <c r="R276" t="str" s="964" cm="1">
        <f t="array" ref="R276">IF(OR(ISBLANK($B276),NOT(ISBLANK(B276))),"",'tracking - Table 2-1-2'!C$66)</f>
      </c>
      <c r="S276" t="str" s="964" cm="1">
        <f t="array" ref="S276">IF(OR(ISBLANK($B276),NOT(ISBLANK(B276))),"",'tracking - Table 2-1-2'!D$66)</f>
      </c>
      <c r="T276" t="str" s="964" cm="1">
        <f t="array" ref="T276">IF(OR(ISBLANK($B276),NOT(ISBLANK(B276))),"",'tracking - Table 2-1-2'!E$66)</f>
      </c>
      <c r="U276" t="str" s="969" cm="1">
        <f t="array" ref="U276">IF(OR(ISBLANK($B276),ISBLANK('tracking - Table 2-1-2'!A$1)),"",'tracking - Table 2-1-2'!F$66)</f>
      </c>
    </row>
    <row r="277" ht="8.75" customHeight="1" hidden="1">
      <c r="A277" s="960">
        <v>44616</v>
      </c>
      <c r="B277" s="961">
        <v>71.09999999999999</v>
      </c>
      <c r="C277" s="965" cm="1">
        <f t="array" ref="C277">IF(ISBLANK(B277),"",B277*2.2046226218)</f>
        <v>156.748668409980</v>
      </c>
      <c r="D277" s="962" cm="1">
        <f t="array" ref="D277">IF(ISBLANK(B277),"",AVERAGE(B271:B277))</f>
        <v>71.76428571428571</v>
      </c>
      <c r="E277" s="962" cm="1">
        <f t="array" ref="E277">IF(ISBLANK(B277),"",AVERAGE(B264:B277))</f>
        <v>71.5178571428571</v>
      </c>
      <c r="F277" s="962" cm="1">
        <f t="array" ref="F277">IF(ISBLANK(B277),"",AVERAGE(B248:B277))</f>
        <v>70.53166666666669</v>
      </c>
      <c r="G277" s="964"/>
      <c r="H277" s="964"/>
      <c r="I277" s="964"/>
      <c r="J277" s="964"/>
      <c r="K277" s="964"/>
      <c r="L277" s="964"/>
      <c r="M277" s="964"/>
      <c r="N277" s="964"/>
      <c r="O277" s="964"/>
      <c r="P277" s="964"/>
      <c r="Q277" s="962"/>
      <c r="R277" t="str" s="964" cm="1">
        <f t="array" ref="R277">IF(OR(ISBLANK($B277),NOT(ISBLANK(B277))),"",'tracking - Table 2-1-2'!C$66)</f>
      </c>
      <c r="S277" t="str" s="964" cm="1">
        <f t="array" ref="S277">IF(OR(ISBLANK($B277),NOT(ISBLANK(B277))),"",'tracking - Table 2-1-2'!D$66)</f>
      </c>
      <c r="T277" t="str" s="964" cm="1">
        <f t="array" ref="T277">IF(OR(ISBLANK($B277),NOT(ISBLANK(B277))),"",'tracking - Table 2-1-2'!E$66)</f>
      </c>
      <c r="U277" t="str" s="969" cm="1">
        <f t="array" ref="U277">IF(OR(ISBLANK($B277),ISBLANK('tracking - Table 2-1-2'!A$1)),"",'tracking - Table 2-1-2'!F$66)</f>
      </c>
    </row>
    <row r="278" ht="8.75" customHeight="1" hidden="1">
      <c r="A278" s="960">
        <v>44617</v>
      </c>
      <c r="B278" s="961">
        <v>71.40000000000001</v>
      </c>
      <c r="C278" s="965" cm="1">
        <f t="array" ref="C278">IF(ISBLANK(B278),"",B278*2.2046226218)</f>
        <v>157.410055196520</v>
      </c>
      <c r="D278" s="962" cm="1">
        <f t="array" ref="D278">IF(ISBLANK(B278),"",AVERAGE(B272:B278))</f>
        <v>71.5928571428571</v>
      </c>
      <c r="E278" s="962" cm="1">
        <f t="array" ref="E278">IF(ISBLANK(B278),"",AVERAGE(B265:B278))</f>
        <v>71.5321428571429</v>
      </c>
      <c r="F278" s="962" cm="1">
        <f t="array" ref="F278">IF(ISBLANK(B278),"",AVERAGE(B249:B278))</f>
        <v>70.6516666666667</v>
      </c>
      <c r="G278" s="964"/>
      <c r="H278" s="964"/>
      <c r="I278" s="964"/>
      <c r="J278" s="964"/>
      <c r="K278" s="964"/>
      <c r="L278" s="964"/>
      <c r="M278" s="964"/>
      <c r="N278" s="964"/>
      <c r="O278" s="964"/>
      <c r="P278" s="964"/>
      <c r="Q278" s="962"/>
      <c r="R278" t="str" s="964" cm="1">
        <f t="array" ref="R278">IF(OR(ISBLANK($B278),NOT(ISBLANK(B278))),"",'tracking - Table 2-1-2'!C$66)</f>
      </c>
      <c r="S278" t="str" s="964" cm="1">
        <f t="array" ref="S278">IF(OR(ISBLANK($B278),NOT(ISBLANK(B278))),"",'tracking - Table 2-1-2'!D$66)</f>
      </c>
      <c r="T278" t="str" s="964" cm="1">
        <f t="array" ref="T278">IF(OR(ISBLANK($B278),NOT(ISBLANK(B278))),"",'tracking - Table 2-1-2'!E$66)</f>
      </c>
      <c r="U278" t="str" s="969" cm="1">
        <f t="array" ref="U278">IF(OR(ISBLANK($B278),ISBLANK('tracking - Table 2-1-2'!A$1)),"",'tracking - Table 2-1-2'!F$66)</f>
      </c>
    </row>
    <row r="279" ht="8.75" customHeight="1" hidden="1">
      <c r="A279" s="960">
        <v>44618</v>
      </c>
      <c r="B279" s="961">
        <v>71.09999999999999</v>
      </c>
      <c r="C279" s="965" cm="1">
        <f t="array" ref="C279">IF(ISBLANK(B279),"",B279*2.2046226218)</f>
        <v>156.748668409980</v>
      </c>
      <c r="D279" s="962" cm="1">
        <f t="array" ref="D279">IF(ISBLANK(B279),"",AVERAGE(B273:B279))</f>
        <v>71.3571428571429</v>
      </c>
      <c r="E279" s="962" cm="1">
        <f t="array" ref="E279">IF(ISBLANK(B279),"",AVERAGE(B266:B279))</f>
        <v>71.5392857142857</v>
      </c>
      <c r="F279" s="962" cm="1">
        <f t="array" ref="F279">IF(ISBLANK(B279),"",AVERAGE(B250:B279))</f>
        <v>70.7383333333333</v>
      </c>
      <c r="G279" s="964"/>
      <c r="H279" s="964"/>
      <c r="I279" s="964"/>
      <c r="J279" s="964"/>
      <c r="K279" s="964"/>
      <c r="L279" s="964"/>
      <c r="M279" s="964"/>
      <c r="N279" s="964"/>
      <c r="O279" s="964"/>
      <c r="P279" s="964"/>
      <c r="Q279" s="962"/>
      <c r="R279" t="str" s="964" cm="1">
        <f t="array" ref="R279">IF(OR(ISBLANK($B279),NOT(ISBLANK(B279))),"",'tracking - Table 2-1-2'!C$66)</f>
      </c>
      <c r="S279" t="str" s="964" cm="1">
        <f t="array" ref="S279">IF(OR(ISBLANK($B279),NOT(ISBLANK(B279))),"",'tracking - Table 2-1-2'!D$66)</f>
      </c>
      <c r="T279" t="str" s="964" cm="1">
        <f t="array" ref="T279">IF(OR(ISBLANK($B279),NOT(ISBLANK(B279))),"",'tracking - Table 2-1-2'!E$66)</f>
      </c>
      <c r="U279" t="str" s="969" cm="1">
        <f t="array" ref="U279">IF(OR(ISBLANK($B279),ISBLANK('tracking - Table 2-1-2'!A$1)),"",'tracking - Table 2-1-2'!F$66)</f>
      </c>
    </row>
    <row r="280" ht="8.75" customHeight="1" hidden="1">
      <c r="A280" s="960">
        <v>44619</v>
      </c>
      <c r="B280" s="961">
        <v>71.09999999999999</v>
      </c>
      <c r="C280" s="965" cm="1">
        <f t="array" ref="C280">IF(ISBLANK(B280),"",B280*2.2046226218)</f>
        <v>156.748668409980</v>
      </c>
      <c r="D280" s="962" cm="1">
        <f t="array" ref="D280">IF(ISBLANK(B280),"",AVERAGE(B274:B280))</f>
        <v>71.28571428571431</v>
      </c>
      <c r="E280" s="962" cm="1">
        <f t="array" ref="E280">IF(ISBLANK(B280),"",AVERAGE(B267:B280))</f>
        <v>71.54642857142861</v>
      </c>
      <c r="F280" s="962" cm="1">
        <f t="array" ref="F280">IF(ISBLANK(B280),"",AVERAGE(B251:B280))</f>
        <v>70.825</v>
      </c>
      <c r="G280" s="964"/>
      <c r="H280" s="964"/>
      <c r="I280" s="964"/>
      <c r="J280" s="964"/>
      <c r="K280" s="964"/>
      <c r="L280" s="964"/>
      <c r="M280" s="964"/>
      <c r="N280" s="964"/>
      <c r="O280" s="964"/>
      <c r="P280" s="964"/>
      <c r="Q280" s="962"/>
      <c r="R280" t="str" s="964" cm="1">
        <f t="array" ref="R280">IF(OR(ISBLANK($B280),NOT(ISBLANK(B280))),"",'tracking - Table 2-1-2'!C$66)</f>
      </c>
      <c r="S280" t="str" s="964" cm="1">
        <f t="array" ref="S280">IF(OR(ISBLANK($B280),NOT(ISBLANK(B280))),"",'tracking - Table 2-1-2'!D$66)</f>
      </c>
      <c r="T280" t="str" s="964" cm="1">
        <f t="array" ref="T280">IF(OR(ISBLANK($B280),NOT(ISBLANK(B280))),"",'tracking - Table 2-1-2'!E$66)</f>
      </c>
      <c r="U280" t="str" s="969" cm="1">
        <f t="array" ref="U280">IF(OR(ISBLANK($B280),ISBLANK('tracking - Table 2-1-2'!A$1)),"",'tracking - Table 2-1-2'!F$66)</f>
      </c>
    </row>
    <row r="281" ht="8.75" customHeight="1" hidden="1">
      <c r="A281" s="960">
        <v>44620</v>
      </c>
      <c r="B281" s="961">
        <v>70.8</v>
      </c>
      <c r="C281" s="965" cm="1">
        <f t="array" ref="C281">IF(ISBLANK(B281),"",B281*2.2046226218)</f>
        <v>156.087281623440</v>
      </c>
      <c r="D281" s="962" cm="1">
        <f t="array" ref="D281">IF(ISBLANK(B281),"",AVERAGE(B275:B281))</f>
        <v>71.17142857142861</v>
      </c>
      <c r="E281" s="962" cm="1">
        <f t="array" ref="E281">IF(ISBLANK(B281),"",AVERAGE(B268:B281))</f>
        <v>71.5321428571429</v>
      </c>
      <c r="F281" s="962" cm="1">
        <f t="array" ref="F281">IF(ISBLANK(B281),"",AVERAGE(B252:B281))</f>
        <v>70.8683333333333</v>
      </c>
      <c r="G281" s="964"/>
      <c r="H281" s="964"/>
      <c r="I281" s="964"/>
      <c r="J281" s="964"/>
      <c r="K281" s="964"/>
      <c r="L281" s="964"/>
      <c r="M281" s="964"/>
      <c r="N281" s="964"/>
      <c r="O281" s="964"/>
      <c r="P281" s="964"/>
      <c r="Q281" s="962"/>
      <c r="R281" t="str" s="964" cm="1">
        <f t="array" ref="R281">IF(OR(ISBLANK($B281),NOT(ISBLANK(B281))),"",'tracking - Table 2-1-2'!C$66)</f>
      </c>
      <c r="S281" t="str" s="964" cm="1">
        <f t="array" ref="S281">IF(OR(ISBLANK($B281),NOT(ISBLANK(B281))),"",'tracking - Table 2-1-2'!D$66)</f>
      </c>
      <c r="T281" t="str" s="964" cm="1">
        <f t="array" ref="T281">IF(OR(ISBLANK($B281),NOT(ISBLANK(B281))),"",'tracking - Table 2-1-2'!E$66)</f>
      </c>
      <c r="U281" t="str" s="969" cm="1">
        <f t="array" ref="U281">IF(OR(ISBLANK($B281),ISBLANK('tracking - Table 2-1-2'!A$1)),"",'tracking - Table 2-1-2'!F$66)</f>
      </c>
    </row>
    <row r="282" ht="8.75" customHeight="1" hidden="1">
      <c r="A282" s="960">
        <v>44621</v>
      </c>
      <c r="B282" s="961">
        <v>70.40000000000001</v>
      </c>
      <c r="C282" s="965" cm="1">
        <f t="array" ref="C282">IF(ISBLANK(B282),"",B282*2.2046226218)</f>
        <v>155.205432574720</v>
      </c>
      <c r="D282" s="962" cm="1">
        <f t="array" ref="D282">IF(ISBLANK(B282),"",AVERAGE(B276:B282))</f>
        <v>70.9571428571429</v>
      </c>
      <c r="E282" s="962" cm="1">
        <f t="array" ref="E282">IF(ISBLANK(B282),"",AVERAGE(B269:B282))</f>
        <v>71.4821428571429</v>
      </c>
      <c r="F282" s="962" cm="1">
        <f t="array" ref="F282">IF(ISBLANK(B282),"",AVERAGE(B253:B282))</f>
        <v>70.8983333333333</v>
      </c>
      <c r="G282" s="964"/>
      <c r="H282" s="964"/>
      <c r="I282" s="964"/>
      <c r="J282" s="964"/>
      <c r="K282" s="964"/>
      <c r="L282" s="964"/>
      <c r="M282" s="964"/>
      <c r="N282" s="964"/>
      <c r="O282" s="964"/>
      <c r="P282" s="964"/>
      <c r="Q282" s="962"/>
      <c r="R282" t="str" s="964" cm="1">
        <f t="array" ref="R282">IF(OR(ISBLANK($B282),NOT(ISBLANK(B282))),"",'tracking - Table 2-1-2'!C$66)</f>
      </c>
      <c r="S282" t="str" s="964" cm="1">
        <f t="array" ref="S282">IF(OR(ISBLANK($B282),NOT(ISBLANK(B282))),"",'tracking - Table 2-1-2'!D$66)</f>
      </c>
      <c r="T282" t="str" s="964" cm="1">
        <f t="array" ref="T282">IF(OR(ISBLANK($B282),NOT(ISBLANK(B282))),"",'tracking - Table 2-1-2'!E$66)</f>
      </c>
      <c r="U282" t="str" s="969" cm="1">
        <f t="array" ref="U282">IF(OR(ISBLANK($B282),ISBLANK('tracking - Table 2-1-2'!A$1)),"",'tracking - Table 2-1-2'!F$66)</f>
      </c>
    </row>
    <row r="283" ht="8.75" customHeight="1" hidden="1">
      <c r="A283" s="960">
        <v>44622</v>
      </c>
      <c r="B283" s="961">
        <v>71.40000000000001</v>
      </c>
      <c r="C283" s="965" cm="1">
        <f t="array" ref="C283">IF(ISBLANK(B283),"",B283*2.2046226218)</f>
        <v>157.410055196520</v>
      </c>
      <c r="D283" s="962" cm="1">
        <f t="array" ref="D283">IF(ISBLANK(B283),"",AVERAGE(B277:B283))</f>
        <v>71.0428571428571</v>
      </c>
      <c r="E283" s="962" cm="1">
        <f t="array" ref="E283">IF(ISBLANK(B283),"",AVERAGE(B270:B283))</f>
        <v>71.4714285714286</v>
      </c>
      <c r="F283" s="962" cm="1">
        <f t="array" ref="F283">IF(ISBLANK(B283),"",AVERAGE(B254:B283))</f>
        <v>70.9616666666667</v>
      </c>
      <c r="G283" s="964"/>
      <c r="H283" s="964"/>
      <c r="I283" s="964"/>
      <c r="J283" s="964"/>
      <c r="K283" s="964"/>
      <c r="L283" s="964"/>
      <c r="M283" s="964"/>
      <c r="N283" s="964"/>
      <c r="O283" s="964"/>
      <c r="P283" s="964"/>
      <c r="Q283" s="962"/>
      <c r="R283" t="str" s="964" cm="1">
        <f t="array" ref="R283">IF(OR(ISBLANK($B283),NOT(ISBLANK(B283))),"",'tracking - Table 2-1-2'!C$66)</f>
      </c>
      <c r="S283" t="str" s="964" cm="1">
        <f t="array" ref="S283">IF(OR(ISBLANK($B283),NOT(ISBLANK(B283))),"",'tracking - Table 2-1-2'!D$66)</f>
      </c>
      <c r="T283" t="str" s="964" cm="1">
        <f t="array" ref="T283">IF(OR(ISBLANK($B283),NOT(ISBLANK(B283))),"",'tracking - Table 2-1-2'!E$66)</f>
      </c>
      <c r="U283" t="str" s="969" cm="1">
        <f t="array" ref="U283">IF(OR(ISBLANK($B283),ISBLANK('tracking - Table 2-1-2'!A$1)),"",'tracking - Table 2-1-2'!F$66)</f>
      </c>
    </row>
    <row r="284" ht="8.75" customHeight="1" hidden="1">
      <c r="A284" s="960">
        <v>44623</v>
      </c>
      <c r="B284" s="961">
        <v>71.84999999999999</v>
      </c>
      <c r="C284" s="965" cm="1">
        <f t="array" ref="C284">IF(ISBLANK(B284),"",B284*2.2046226218)</f>
        <v>158.402135376330</v>
      </c>
      <c r="D284" s="962" cm="1">
        <f t="array" ref="D284">IF(ISBLANK(B284),"",AVERAGE(B278:B284))</f>
        <v>71.15000000000001</v>
      </c>
      <c r="E284" s="962" cm="1">
        <f t="array" ref="E284">IF(ISBLANK(B284),"",AVERAGE(B271:B284))</f>
        <v>71.4571428571429</v>
      </c>
      <c r="F284" s="962" cm="1">
        <f t="array" ref="F284">IF(ISBLANK(B284),"",AVERAGE(B255:B284))</f>
        <v>71.02</v>
      </c>
      <c r="G284" s="964"/>
      <c r="H284" s="964"/>
      <c r="I284" s="964"/>
      <c r="J284" s="964"/>
      <c r="K284" s="964"/>
      <c r="L284" s="964"/>
      <c r="M284" s="964"/>
      <c r="N284" s="964"/>
      <c r="O284" s="964"/>
      <c r="P284" s="964"/>
      <c r="Q284" s="962"/>
      <c r="R284" t="str" s="964" cm="1">
        <f t="array" ref="R284">IF(OR(ISBLANK($B284),NOT(ISBLANK(B284))),"",'tracking - Table 2-1-2'!C$66)</f>
      </c>
      <c r="S284" t="str" s="964" cm="1">
        <f t="array" ref="S284">IF(OR(ISBLANK($B284),NOT(ISBLANK(B284))),"",'tracking - Table 2-1-2'!D$66)</f>
      </c>
      <c r="T284" t="str" s="964" cm="1">
        <f t="array" ref="T284">IF(OR(ISBLANK($B284),NOT(ISBLANK(B284))),"",'tracking - Table 2-1-2'!E$66)</f>
      </c>
      <c r="U284" t="str" s="969" cm="1">
        <f t="array" ref="U284">IF(OR(ISBLANK($B284),ISBLANK('tracking - Table 2-1-2'!A$1)),"",'tracking - Table 2-1-2'!F$66)</f>
      </c>
    </row>
    <row r="285" ht="8.75" customHeight="1" hidden="1">
      <c r="A285" s="960">
        <v>44624</v>
      </c>
      <c r="B285" s="961">
        <v>71.55</v>
      </c>
      <c r="C285" s="965" cm="1">
        <f t="array" ref="C285">IF(ISBLANK(B285),"",B285*2.2046226218)</f>
        <v>157.740748589790</v>
      </c>
      <c r="D285" s="962" cm="1">
        <f t="array" ref="D285">IF(ISBLANK(B285),"",AVERAGE(B279:B285))</f>
        <v>71.17142857142861</v>
      </c>
      <c r="E285" s="962" cm="1">
        <f t="array" ref="E285">IF(ISBLANK(B285),"",AVERAGE(B272:B285))</f>
        <v>71.3821428571429</v>
      </c>
      <c r="F285" s="962" cm="1">
        <f t="array" ref="F285">IF(ISBLANK(B285),"",AVERAGE(B256:B285))</f>
        <v>71.0783333333333</v>
      </c>
      <c r="G285" s="964"/>
      <c r="H285" s="964"/>
      <c r="I285" s="964"/>
      <c r="J285" s="964"/>
      <c r="K285" s="964"/>
      <c r="L285" s="964"/>
      <c r="M285" s="964"/>
      <c r="N285" s="964"/>
      <c r="O285" s="964"/>
      <c r="P285" s="964"/>
      <c r="Q285" s="962"/>
      <c r="R285" t="str" s="964" cm="1">
        <f t="array" ref="R285">IF(OR(ISBLANK($B285),NOT(ISBLANK(B285))),"",'tracking - Table 2-1-2'!C$66)</f>
      </c>
      <c r="S285" t="str" s="964" cm="1">
        <f t="array" ref="S285">IF(OR(ISBLANK($B285),NOT(ISBLANK(B285))),"",'tracking - Table 2-1-2'!D$66)</f>
      </c>
      <c r="T285" t="str" s="964" cm="1">
        <f t="array" ref="T285">IF(OR(ISBLANK($B285),NOT(ISBLANK(B285))),"",'tracking - Table 2-1-2'!E$66)</f>
      </c>
      <c r="U285" t="str" s="969" cm="1">
        <f t="array" ref="U285">IF(OR(ISBLANK($B285),ISBLANK('tracking - Table 2-1-2'!A$1)),"",'tracking - Table 2-1-2'!F$66)</f>
      </c>
    </row>
    <row r="286" ht="8.75" customHeight="1" hidden="1">
      <c r="A286" s="960">
        <v>44625</v>
      </c>
      <c r="B286" s="961">
        <v>72.05</v>
      </c>
      <c r="C286" s="965" cm="1">
        <f t="array" ref="C286">IF(ISBLANK(B286),"",B286*2.2046226218)</f>
        <v>158.843059900690</v>
      </c>
      <c r="D286" s="962" cm="1">
        <f t="array" ref="D286">IF(ISBLANK(B286),"",AVERAGE(B280:B286))</f>
        <v>71.30714285714291</v>
      </c>
      <c r="E286" s="962" cm="1">
        <f t="array" ref="E286">IF(ISBLANK(B286),"",AVERAGE(B273:B286))</f>
        <v>71.3321428571429</v>
      </c>
      <c r="F286" s="962" cm="1">
        <f t="array" ref="F286">IF(ISBLANK(B286),"",AVERAGE(B257:B286))</f>
        <v>71.1433333333333</v>
      </c>
      <c r="G286" s="964"/>
      <c r="H286" s="964"/>
      <c r="I286" s="964"/>
      <c r="J286" s="964"/>
      <c r="K286" s="964"/>
      <c r="L286" s="964"/>
      <c r="M286" s="964"/>
      <c r="N286" s="964"/>
      <c r="O286" s="964"/>
      <c r="P286" s="964"/>
      <c r="Q286" s="962"/>
      <c r="R286" t="str" s="964" cm="1">
        <f t="array" ref="R286">IF(OR(ISBLANK($B286),NOT(ISBLANK(B286))),"",'tracking - Table 2-1-2'!C$66)</f>
      </c>
      <c r="S286" t="str" s="964" cm="1">
        <f t="array" ref="S286">IF(OR(ISBLANK($B286),NOT(ISBLANK(B286))),"",'tracking - Table 2-1-2'!D$66)</f>
      </c>
      <c r="T286" t="str" s="964" cm="1">
        <f t="array" ref="T286">IF(OR(ISBLANK($B286),NOT(ISBLANK(B286))),"",'tracking - Table 2-1-2'!E$66)</f>
      </c>
      <c r="U286" t="str" s="969" cm="1">
        <f t="array" ref="U286">IF(OR(ISBLANK($B286),ISBLANK('tracking - Table 2-1-2'!A$1)),"",'tracking - Table 2-1-2'!F$66)</f>
      </c>
    </row>
    <row r="287" ht="8.75" customHeight="1" hidden="1">
      <c r="A287" s="960">
        <v>44626</v>
      </c>
      <c r="B287" s="961">
        <v>71.15000000000001</v>
      </c>
      <c r="C287" s="965" cm="1">
        <f t="array" ref="C287">IF(ISBLANK(B287),"",B287*2.2046226218)</f>
        <v>156.858899541070</v>
      </c>
      <c r="D287" s="962" cm="1">
        <f t="array" ref="D287">IF(ISBLANK(B287),"",AVERAGE(B281:B287))</f>
        <v>71.3142857142857</v>
      </c>
      <c r="E287" s="962" cm="1">
        <f t="array" ref="E287">IF(ISBLANK(B287),"",AVERAGE(B274:B287))</f>
        <v>71.3</v>
      </c>
      <c r="F287" s="962" cm="1">
        <f t="array" ref="F287">IF(ISBLANK(B287),"",AVERAGE(B258:B287))</f>
        <v>71.1583333333333</v>
      </c>
      <c r="G287" s="964"/>
      <c r="H287" s="964"/>
      <c r="I287" s="964"/>
      <c r="J287" s="964"/>
      <c r="K287" s="964"/>
      <c r="L287" s="964"/>
      <c r="M287" s="964"/>
      <c r="N287" s="964"/>
      <c r="O287" s="964"/>
      <c r="P287" s="964"/>
      <c r="Q287" s="962"/>
      <c r="R287" t="str" s="964" cm="1">
        <f t="array" ref="R287">IF(OR(ISBLANK($B287),NOT(ISBLANK(B287))),"",'tracking - Table 2-1-2'!C$66)</f>
      </c>
      <c r="S287" t="str" s="964" cm="1">
        <f t="array" ref="S287">IF(OR(ISBLANK($B287),NOT(ISBLANK(B287))),"",'tracking - Table 2-1-2'!D$66)</f>
      </c>
      <c r="T287" t="str" s="964" cm="1">
        <f t="array" ref="T287">IF(OR(ISBLANK($B287),NOT(ISBLANK(B287))),"",'tracking - Table 2-1-2'!E$66)</f>
      </c>
      <c r="U287" t="str" s="969" cm="1">
        <f t="array" ref="U287">IF(OR(ISBLANK($B287),ISBLANK('tracking - Table 2-1-2'!A$1)),"",'tracking - Table 2-1-2'!F$66)</f>
      </c>
    </row>
    <row r="288" ht="8.75" customHeight="1" hidden="1">
      <c r="A288" s="960">
        <v>44627</v>
      </c>
      <c r="B288" s="961">
        <v>70.75</v>
      </c>
      <c r="C288" s="965" cm="1">
        <f t="array" ref="C288">IF(ISBLANK(B288),"",B288*2.2046226218)</f>
        <v>155.977050492350</v>
      </c>
      <c r="D288" s="962" cm="1">
        <f t="array" ref="D288">IF(ISBLANK(B288),"",AVERAGE(B282:B288))</f>
        <v>71.30714285714291</v>
      </c>
      <c r="E288" s="962" cm="1">
        <f t="array" ref="E288">IF(ISBLANK(B288),"",AVERAGE(B275:B288))</f>
        <v>71.2392857142857</v>
      </c>
      <c r="F288" s="962" cm="1">
        <f t="array" ref="F288">IF(ISBLANK(B288),"",AVERAGE(B259:B288))</f>
        <v>71.1783333333333</v>
      </c>
      <c r="G288" s="964"/>
      <c r="H288" s="964"/>
      <c r="I288" s="964"/>
      <c r="J288" s="964"/>
      <c r="K288" s="964"/>
      <c r="L288" s="964"/>
      <c r="M288" s="964"/>
      <c r="N288" s="964"/>
      <c r="O288" s="964"/>
      <c r="P288" s="964"/>
      <c r="Q288" s="962"/>
      <c r="R288" t="str" s="964" cm="1">
        <f t="array" ref="R288">IF(OR(ISBLANK($B288),NOT(ISBLANK(B288))),"",'tracking - Table 2-1-2'!C$66)</f>
      </c>
      <c r="S288" t="str" s="964" cm="1">
        <f t="array" ref="S288">IF(OR(ISBLANK($B288),NOT(ISBLANK(B288))),"",'tracking - Table 2-1-2'!D$66)</f>
      </c>
      <c r="T288" t="str" s="964" cm="1">
        <f t="array" ref="T288">IF(OR(ISBLANK($B288),NOT(ISBLANK(B288))),"",'tracking - Table 2-1-2'!E$66)</f>
      </c>
      <c r="U288" t="str" s="969" cm="1">
        <f t="array" ref="U288">IF(OR(ISBLANK($B288),ISBLANK('tracking - Table 2-1-2'!A$1)),"",'tracking - Table 2-1-2'!F$66)</f>
      </c>
    </row>
    <row r="289" ht="8.75" customHeight="1" hidden="1">
      <c r="A289" s="960">
        <v>44628</v>
      </c>
      <c r="B289" s="961">
        <v>71.84999999999999</v>
      </c>
      <c r="C289" s="965" cm="1">
        <f t="array" ref="C289">IF(ISBLANK(B289),"",B289*2.2046226218)</f>
        <v>158.402135376330</v>
      </c>
      <c r="D289" s="962" cm="1">
        <f t="array" ref="D289">IF(ISBLANK(B289),"",AVERAGE(B283:B289))</f>
        <v>71.51428571428571</v>
      </c>
      <c r="E289" s="962" cm="1">
        <f t="array" ref="E289">IF(ISBLANK(B289),"",AVERAGE(B276:B289))</f>
        <v>71.23571428571429</v>
      </c>
      <c r="F289" s="962" cm="1">
        <f t="array" ref="F289">IF(ISBLANK(B289),"",AVERAGE(B260:B289))</f>
        <v>71.2533333333333</v>
      </c>
      <c r="G289" s="964"/>
      <c r="H289" s="964"/>
      <c r="I289" s="964"/>
      <c r="J289" s="964"/>
      <c r="K289" s="964"/>
      <c r="L289" s="964"/>
      <c r="M289" s="964"/>
      <c r="N289" s="964"/>
      <c r="O289" s="964"/>
      <c r="P289" s="964"/>
      <c r="Q289" s="962"/>
      <c r="R289" t="str" s="964" cm="1">
        <f t="array" ref="R289">IF(OR(ISBLANK($B289),NOT(ISBLANK(B289))),"",'tracking - Table 2-1-2'!C$66)</f>
      </c>
      <c r="S289" t="str" s="964" cm="1">
        <f t="array" ref="S289">IF(OR(ISBLANK($B289),NOT(ISBLANK(B289))),"",'tracking - Table 2-1-2'!D$66)</f>
      </c>
      <c r="T289" t="str" s="964" cm="1">
        <f t="array" ref="T289">IF(OR(ISBLANK($B289),NOT(ISBLANK(B289))),"",'tracking - Table 2-1-2'!E$66)</f>
      </c>
      <c r="U289" t="str" s="969" cm="1">
        <f t="array" ref="U289">IF(OR(ISBLANK($B289),ISBLANK('tracking - Table 2-1-2'!A$1)),"",'tracking - Table 2-1-2'!F$66)</f>
      </c>
    </row>
    <row r="290" ht="8.75" customHeight="1" hidden="1">
      <c r="A290" s="960">
        <v>44629</v>
      </c>
      <c r="B290" s="961">
        <v>71.84999999999999</v>
      </c>
      <c r="C290" s="965" cm="1">
        <f t="array" ref="C290">IF(ISBLANK(B290),"",B290*2.2046226218)</f>
        <v>158.402135376330</v>
      </c>
      <c r="D290" s="962" cm="1">
        <f t="array" ref="D290">IF(ISBLANK(B290),"",AVERAGE(B284:B290))</f>
        <v>71.57857142857139</v>
      </c>
      <c r="E290" s="962" cm="1">
        <f t="array" ref="E290">IF(ISBLANK(B290),"",AVERAGE(B277:B290))</f>
        <v>71.3107142857143</v>
      </c>
      <c r="F290" s="962" cm="1">
        <f t="array" ref="F290">IF(ISBLANK(B290),"",AVERAGE(B261:B290))</f>
        <v>71.30833333333329</v>
      </c>
      <c r="G290" s="964"/>
      <c r="H290" s="964"/>
      <c r="I290" s="964"/>
      <c r="J290" s="964"/>
      <c r="K290" s="964"/>
      <c r="L290" s="964"/>
      <c r="M290" s="964"/>
      <c r="N290" s="964"/>
      <c r="O290" s="964"/>
      <c r="P290" s="964"/>
      <c r="Q290" s="962"/>
      <c r="R290" t="str" s="964" cm="1">
        <f t="array" ref="R290">IF(OR(ISBLANK($B290),NOT(ISBLANK(B290))),"",'tracking - Table 2-1-2'!C$66)</f>
      </c>
      <c r="S290" t="str" s="964" cm="1">
        <f t="array" ref="S290">IF(OR(ISBLANK($B290),NOT(ISBLANK(B290))),"",'tracking - Table 2-1-2'!D$66)</f>
      </c>
      <c r="T290" t="str" s="964" cm="1">
        <f t="array" ref="T290">IF(OR(ISBLANK($B290),NOT(ISBLANK(B290))),"",'tracking - Table 2-1-2'!E$66)</f>
      </c>
      <c r="U290" t="str" s="969" cm="1">
        <f t="array" ref="U290">IF(OR(ISBLANK($B290),ISBLANK('tracking - Table 2-1-2'!A$1)),"",'tracking - Table 2-1-2'!F$66)</f>
      </c>
    </row>
    <row r="291" ht="8.75" customHeight="1" hidden="1">
      <c r="A291" s="960">
        <v>44630</v>
      </c>
      <c r="B291" s="961">
        <v>72.65000000000001</v>
      </c>
      <c r="C291" s="965" cm="1">
        <f t="array" ref="C291">IF(ISBLANK(B291),"",B291*2.2046226218)</f>
        <v>160.165833473770</v>
      </c>
      <c r="D291" s="962" cm="1">
        <f t="array" ref="D291">IF(ISBLANK(B291),"",AVERAGE(B285:B291))</f>
        <v>71.69285714285709</v>
      </c>
      <c r="E291" s="962" cm="1">
        <f t="array" ref="E291">IF(ISBLANK(B291),"",AVERAGE(B278:B291))</f>
        <v>71.42142857142861</v>
      </c>
      <c r="F291" s="962" cm="1">
        <f t="array" ref="F291">IF(ISBLANK(B291),"",AVERAGE(B262:B291))</f>
        <v>71.39</v>
      </c>
      <c r="G291" s="964"/>
      <c r="H291" s="964"/>
      <c r="I291" s="964"/>
      <c r="J291" s="964"/>
      <c r="K291" s="964"/>
      <c r="L291" s="964"/>
      <c r="M291" s="964"/>
      <c r="N291" s="964"/>
      <c r="O291" s="964"/>
      <c r="P291" s="964"/>
      <c r="Q291" s="962"/>
      <c r="R291" t="str" s="964" cm="1">
        <f t="array" ref="R291">IF(OR(ISBLANK($B291),NOT(ISBLANK(B291))),"",'tracking - Table 2-1-2'!C$66)</f>
      </c>
      <c r="S291" t="str" s="964" cm="1">
        <f t="array" ref="S291">IF(OR(ISBLANK($B291),NOT(ISBLANK(B291))),"",'tracking - Table 2-1-2'!D$66)</f>
      </c>
      <c r="T291" t="str" s="964" cm="1">
        <f t="array" ref="T291">IF(OR(ISBLANK($B291),NOT(ISBLANK(B291))),"",'tracking - Table 2-1-2'!E$66)</f>
      </c>
      <c r="U291" t="str" s="969" cm="1">
        <f t="array" ref="U291">IF(OR(ISBLANK($B291),ISBLANK('tracking - Table 2-1-2'!A$1)),"",'tracking - Table 2-1-2'!F$66)</f>
      </c>
    </row>
    <row r="292" ht="8.75" customHeight="1" hidden="1">
      <c r="A292" s="960">
        <v>44631</v>
      </c>
      <c r="B292" s="961">
        <v>71.09999999999999</v>
      </c>
      <c r="C292" s="965" cm="1">
        <f t="array" ref="C292">IF(ISBLANK(B292),"",B292*2.2046226218)</f>
        <v>156.748668409980</v>
      </c>
      <c r="D292" s="962" cm="1">
        <f t="array" ref="D292">IF(ISBLANK(B292),"",AVERAGE(B286:B292))</f>
        <v>71.62857142857141</v>
      </c>
      <c r="E292" s="962" cm="1">
        <f t="array" ref="E292">IF(ISBLANK(B292),"",AVERAGE(B279:B292))</f>
        <v>71.40000000000001</v>
      </c>
      <c r="F292" s="962" cm="1">
        <f t="array" ref="F292">IF(ISBLANK(B292),"",AVERAGE(B263:B292))</f>
        <v>71.43000000000001</v>
      </c>
      <c r="G292" s="964"/>
      <c r="H292" s="964"/>
      <c r="I292" s="964"/>
      <c r="J292" s="964"/>
      <c r="K292" s="964"/>
      <c r="L292" s="964"/>
      <c r="M292" s="964"/>
      <c r="N292" s="964"/>
      <c r="O292" s="964"/>
      <c r="P292" s="964"/>
      <c r="Q292" s="962"/>
      <c r="R292" t="str" s="964" cm="1">
        <f t="array" ref="R292">IF(OR(ISBLANK($B292),NOT(ISBLANK(B292))),"",'tracking - Table 2-1-2'!C$66)</f>
      </c>
      <c r="S292" t="str" s="964" cm="1">
        <f t="array" ref="S292">IF(OR(ISBLANK($B292),NOT(ISBLANK(B292))),"",'tracking - Table 2-1-2'!D$66)</f>
      </c>
      <c r="T292" t="str" s="964" cm="1">
        <f t="array" ref="T292">IF(OR(ISBLANK($B292),NOT(ISBLANK(B292))),"",'tracking - Table 2-1-2'!E$66)</f>
      </c>
      <c r="U292" t="str" s="969" cm="1">
        <f t="array" ref="U292">IF(OR(ISBLANK($B292),ISBLANK('tracking - Table 2-1-2'!A$1)),"",'tracking - Table 2-1-2'!F$66)</f>
      </c>
    </row>
    <row r="293" ht="8.75" customHeight="1" hidden="1">
      <c r="A293" s="960">
        <v>44632</v>
      </c>
      <c r="B293" s="961">
        <v>71</v>
      </c>
      <c r="C293" s="965" cm="1">
        <f t="array" ref="C293">IF(ISBLANK(B293),"",B293*2.2046226218)</f>
        <v>156.5282061478</v>
      </c>
      <c r="D293" s="962" cm="1">
        <f t="array" ref="D293">IF(ISBLANK(B293),"",AVERAGE(B287:B293))</f>
        <v>71.4785714285714</v>
      </c>
      <c r="E293" s="962" cm="1">
        <f t="array" ref="E293">IF(ISBLANK(B293),"",AVERAGE(B280:B293))</f>
        <v>71.3928571428571</v>
      </c>
      <c r="F293" s="962" cm="1">
        <f t="array" ref="F293">IF(ISBLANK(B293),"",AVERAGE(B264:B293))</f>
        <v>71.44166666666671</v>
      </c>
      <c r="G293" s="964"/>
      <c r="H293" s="964"/>
      <c r="I293" s="964"/>
      <c r="J293" s="964"/>
      <c r="K293" s="964"/>
      <c r="L293" s="964"/>
      <c r="M293" s="964"/>
      <c r="N293" s="964"/>
      <c r="O293" s="964"/>
      <c r="P293" s="964"/>
      <c r="Q293" s="962"/>
      <c r="R293" t="str" s="964" cm="1">
        <f t="array" ref="R293">IF(OR(ISBLANK($B293),NOT(ISBLANK(B293))),"",'tracking - Table 2-1-2'!C$66)</f>
      </c>
      <c r="S293" t="str" s="964" cm="1">
        <f t="array" ref="S293">IF(OR(ISBLANK($B293),NOT(ISBLANK(B293))),"",'tracking - Table 2-1-2'!D$66)</f>
      </c>
      <c r="T293" t="str" s="964" cm="1">
        <f t="array" ref="T293">IF(OR(ISBLANK($B293),NOT(ISBLANK(B293))),"",'tracking - Table 2-1-2'!E$66)</f>
      </c>
      <c r="U293" t="str" s="969" cm="1">
        <f t="array" ref="U293">IF(OR(ISBLANK($B293),ISBLANK('tracking - Table 2-1-2'!A$1)),"",'tracking - Table 2-1-2'!F$66)</f>
      </c>
    </row>
    <row r="294" ht="8.75" customHeight="1" hidden="1">
      <c r="A294" s="960">
        <v>44633</v>
      </c>
      <c r="B294" s="961">
        <v>70.2</v>
      </c>
      <c r="C294" s="965" cm="1">
        <f t="array" ref="C294">IF(ISBLANK(B294),"",B294*2.2046226218)</f>
        <v>154.764508050360</v>
      </c>
      <c r="D294" s="962" cm="1">
        <f t="array" ref="D294">IF(ISBLANK(B294),"",AVERAGE(B288:B294))</f>
        <v>71.3428571428571</v>
      </c>
      <c r="E294" s="962" cm="1">
        <f t="array" ref="E294">IF(ISBLANK(B294),"",AVERAGE(B281:B294))</f>
        <v>71.32857142857139</v>
      </c>
      <c r="F294" s="962" cm="1">
        <f t="array" ref="F294">IF(ISBLANK(B294),"",AVERAGE(B265:B294))</f>
        <v>71.4083333333333</v>
      </c>
      <c r="G294" s="964"/>
      <c r="H294" s="964"/>
      <c r="I294" s="964"/>
      <c r="J294" s="964"/>
      <c r="K294" s="964"/>
      <c r="L294" s="964"/>
      <c r="M294" s="964"/>
      <c r="N294" s="964"/>
      <c r="O294" s="964"/>
      <c r="P294" s="964"/>
      <c r="Q294" s="962"/>
      <c r="R294" t="str" s="964" cm="1">
        <f t="array" ref="R294">IF(OR(ISBLANK($B294),NOT(ISBLANK(B294))),"",'tracking - Table 2-1-2'!C$66)</f>
      </c>
      <c r="S294" t="str" s="964" cm="1">
        <f t="array" ref="S294">IF(OR(ISBLANK($B294),NOT(ISBLANK(B294))),"",'tracking - Table 2-1-2'!D$66)</f>
      </c>
      <c r="T294" t="str" s="964" cm="1">
        <f t="array" ref="T294">IF(OR(ISBLANK($B294),NOT(ISBLANK(B294))),"",'tracking - Table 2-1-2'!E$66)</f>
      </c>
      <c r="U294" t="str" s="969" cm="1">
        <f t="array" ref="U294">IF(OR(ISBLANK($B294),ISBLANK('tracking - Table 2-1-2'!A$1)),"",'tracking - Table 2-1-2'!F$66)</f>
      </c>
    </row>
    <row r="295" ht="8.75" customHeight="1" hidden="1">
      <c r="A295" s="960">
        <v>44634</v>
      </c>
      <c r="B295" s="961">
        <v>72.40000000000001</v>
      </c>
      <c r="C295" s="965" cm="1">
        <f t="array" ref="C295">IF(ISBLANK(B295),"",B295*2.2046226218)</f>
        <v>159.614677818320</v>
      </c>
      <c r="D295" s="962" cm="1">
        <f t="array" ref="D295">IF(ISBLANK(B295),"",AVERAGE(B289:B295))</f>
        <v>71.57857142857139</v>
      </c>
      <c r="E295" s="962" cm="1">
        <f t="array" ref="E295">IF(ISBLANK(B295),"",AVERAGE(B282:B295))</f>
        <v>71.44285714285709</v>
      </c>
      <c r="F295" s="962" cm="1">
        <f t="array" ref="F295">IF(ISBLANK(B295),"",AVERAGE(B266:B295))</f>
        <v>71.455</v>
      </c>
      <c r="G295" s="964"/>
      <c r="H295" s="964"/>
      <c r="I295" s="964"/>
      <c r="J295" s="964"/>
      <c r="K295" s="964"/>
      <c r="L295" s="964"/>
      <c r="M295" s="964"/>
      <c r="N295" s="964"/>
      <c r="O295" s="964"/>
      <c r="P295" s="964"/>
      <c r="Q295" s="962"/>
      <c r="R295" t="str" s="964" cm="1">
        <f t="array" ref="R295">IF(OR(ISBLANK($B295),NOT(ISBLANK(B295))),"",'tracking - Table 2-1-2'!C$66)</f>
      </c>
      <c r="S295" t="str" s="964" cm="1">
        <f t="array" ref="S295">IF(OR(ISBLANK($B295),NOT(ISBLANK(B295))),"",'tracking - Table 2-1-2'!D$66)</f>
      </c>
      <c r="T295" t="str" s="964" cm="1">
        <f t="array" ref="T295">IF(OR(ISBLANK($B295),NOT(ISBLANK(B295))),"",'tracking - Table 2-1-2'!E$66)</f>
      </c>
      <c r="U295" t="str" s="969" cm="1">
        <f t="array" ref="U295">IF(OR(ISBLANK($B295),ISBLANK('tracking - Table 2-1-2'!A$1)),"",'tracking - Table 2-1-2'!F$66)</f>
      </c>
    </row>
    <row r="296" ht="8.75" customHeight="1" hidden="1">
      <c r="A296" s="960">
        <v>44635</v>
      </c>
      <c r="B296" s="961">
        <v>72.90000000000001</v>
      </c>
      <c r="C296" s="965" cm="1">
        <f t="array" ref="C296">IF(ISBLANK(B296),"",B296*2.2046226218)</f>
        <v>160.716989129220</v>
      </c>
      <c r="D296" s="962" cm="1">
        <f t="array" ref="D296">IF(ISBLANK(B296),"",AVERAGE(B290:B296))</f>
        <v>71.7285714285714</v>
      </c>
      <c r="E296" s="962" cm="1">
        <f t="array" ref="E296">IF(ISBLANK(B296),"",AVERAGE(B283:B296))</f>
        <v>71.62142857142859</v>
      </c>
      <c r="F296" s="962" cm="1">
        <f t="array" ref="F296">IF(ISBLANK(B296),"",AVERAGE(B267:B296))</f>
        <v>71.5183333333333</v>
      </c>
      <c r="G296" s="964"/>
      <c r="H296" s="964"/>
      <c r="I296" s="964"/>
      <c r="J296" s="964"/>
      <c r="K296" s="964"/>
      <c r="L296" s="964"/>
      <c r="M296" s="964"/>
      <c r="N296" s="964"/>
      <c r="O296" s="964"/>
      <c r="P296" s="964"/>
      <c r="Q296" s="962"/>
      <c r="R296" t="str" s="964" cm="1">
        <f t="array" ref="R296">IF(OR(ISBLANK($B296),NOT(ISBLANK(B296))),"",'tracking - Table 2-1-2'!C$66)</f>
      </c>
      <c r="S296" t="str" s="964" cm="1">
        <f t="array" ref="S296">IF(OR(ISBLANK($B296),NOT(ISBLANK(B296))),"",'tracking - Table 2-1-2'!D$66)</f>
      </c>
      <c r="T296" t="str" s="964" cm="1">
        <f t="array" ref="T296">IF(OR(ISBLANK($B296),NOT(ISBLANK(B296))),"",'tracking - Table 2-1-2'!E$66)</f>
      </c>
      <c r="U296" t="str" s="969" cm="1">
        <f t="array" ref="U296">IF(OR(ISBLANK($B296),ISBLANK('tracking - Table 2-1-2'!A$1)),"",'tracking - Table 2-1-2'!F$66)</f>
      </c>
    </row>
    <row r="297" ht="8.75" customHeight="1" hidden="1">
      <c r="A297" s="960">
        <v>44636</v>
      </c>
      <c r="B297" s="961">
        <v>72.90000000000001</v>
      </c>
      <c r="C297" s="965" cm="1">
        <f t="array" ref="C297">IF(ISBLANK(B297),"",B297*2.2046226218)</f>
        <v>160.716989129220</v>
      </c>
      <c r="D297" s="962" cm="1">
        <f t="array" ref="D297">IF(ISBLANK(B297),"",AVERAGE(B291:B297))</f>
        <v>71.87857142857141</v>
      </c>
      <c r="E297" s="962" cm="1">
        <f t="array" ref="E297">IF(ISBLANK(B297),"",AVERAGE(B284:B297))</f>
        <v>71.7285714285714</v>
      </c>
      <c r="F297" s="962" cm="1">
        <f t="array" ref="F297">IF(ISBLANK(B297),"",AVERAGE(B268:B297))</f>
        <v>71.58166666666671</v>
      </c>
      <c r="G297" s="964"/>
      <c r="H297" s="964"/>
      <c r="I297" s="964"/>
      <c r="J297" s="964"/>
      <c r="K297" s="964"/>
      <c r="L297" s="964"/>
      <c r="M297" s="964"/>
      <c r="N297" s="964"/>
      <c r="O297" s="964"/>
      <c r="P297" s="964"/>
      <c r="Q297" s="962"/>
      <c r="R297" t="str" s="964" cm="1">
        <f t="array" ref="R297">IF(OR(ISBLANK($B297),NOT(ISBLANK(B297))),"",'tracking - Table 2-1-2'!C$66)</f>
      </c>
      <c r="S297" t="str" s="964" cm="1">
        <f t="array" ref="S297">IF(OR(ISBLANK($B297),NOT(ISBLANK(B297))),"",'tracking - Table 2-1-2'!D$66)</f>
      </c>
      <c r="T297" t="str" s="964" cm="1">
        <f t="array" ref="T297">IF(OR(ISBLANK($B297),NOT(ISBLANK(B297))),"",'tracking - Table 2-1-2'!E$66)</f>
      </c>
      <c r="U297" t="str" s="969" cm="1">
        <f t="array" ref="U297">IF(OR(ISBLANK($B297),ISBLANK('tracking - Table 2-1-2'!A$1)),"",'tracking - Table 2-1-2'!F$66)</f>
      </c>
    </row>
    <row r="298" ht="8.75" customHeight="1" hidden="1">
      <c r="A298" s="960">
        <v>44637</v>
      </c>
      <c r="B298" s="961">
        <v>73.15000000000001</v>
      </c>
      <c r="C298" s="965" cm="1">
        <f t="array" ref="C298">IF(ISBLANK(B298),"",B298*2.2046226218)</f>
        <v>161.268144784670</v>
      </c>
      <c r="D298" s="962" cm="1">
        <f t="array" ref="D298">IF(ISBLANK(B298),"",AVERAGE(B292:B298))</f>
        <v>71.95</v>
      </c>
      <c r="E298" s="962" cm="1">
        <f t="array" ref="E298">IF(ISBLANK(B298),"",AVERAGE(B285:B298))</f>
        <v>71.8214285714286</v>
      </c>
      <c r="F298" s="962" cm="1">
        <f t="array" ref="F298">IF(ISBLANK(B298),"",AVERAGE(B269:B298))</f>
        <v>71.65000000000001</v>
      </c>
      <c r="G298" s="964"/>
      <c r="H298" s="964"/>
      <c r="I298" s="964"/>
      <c r="J298" s="964"/>
      <c r="K298" s="964"/>
      <c r="L298" s="964"/>
      <c r="M298" s="964"/>
      <c r="N298" s="964"/>
      <c r="O298" s="964"/>
      <c r="P298" s="964"/>
      <c r="Q298" s="962"/>
      <c r="R298" t="str" s="964" cm="1">
        <f t="array" ref="R298">IF(OR(ISBLANK($B298),NOT(ISBLANK(B298))),"",'tracking - Table 2-1-2'!C$66)</f>
      </c>
      <c r="S298" t="str" s="964" cm="1">
        <f t="array" ref="S298">IF(OR(ISBLANK($B298),NOT(ISBLANK(B298))),"",'tracking - Table 2-1-2'!D$66)</f>
      </c>
      <c r="T298" t="str" s="964" cm="1">
        <f t="array" ref="T298">IF(OR(ISBLANK($B298),NOT(ISBLANK(B298))),"",'tracking - Table 2-1-2'!E$66)</f>
      </c>
      <c r="U298" t="str" s="969" cm="1">
        <f t="array" ref="U298">IF(OR(ISBLANK($B298),ISBLANK('tracking - Table 2-1-2'!A$1)),"",'tracking - Table 2-1-2'!F$66)</f>
      </c>
    </row>
    <row r="299" ht="8.75" customHeight="1" hidden="1">
      <c r="A299" s="960">
        <v>44638</v>
      </c>
      <c r="B299" s="961">
        <v>72.84999999999999</v>
      </c>
      <c r="C299" s="965" cm="1">
        <f t="array" ref="C299">IF(ISBLANK(B299),"",B299*2.2046226218)</f>
        <v>160.606757998130</v>
      </c>
      <c r="D299" s="962" cm="1">
        <f t="array" ref="D299">IF(ISBLANK(B299),"",AVERAGE(B293:B299))</f>
        <v>72.2</v>
      </c>
      <c r="E299" s="962" cm="1">
        <f t="array" ref="E299">IF(ISBLANK(B299),"",AVERAGE(B286:B299))</f>
        <v>71.9142857142857</v>
      </c>
      <c r="F299" s="962" cm="1">
        <f t="array" ref="F299">IF(ISBLANK(B299),"",AVERAGE(B270:B299))</f>
        <v>71.6933333333333</v>
      </c>
      <c r="G299" s="964"/>
      <c r="H299" s="964"/>
      <c r="I299" s="964"/>
      <c r="J299" s="964"/>
      <c r="K299" s="964"/>
      <c r="L299" s="964"/>
      <c r="M299" s="964"/>
      <c r="N299" s="964"/>
      <c r="O299" s="964"/>
      <c r="P299" s="964"/>
      <c r="Q299" s="962"/>
      <c r="R299" t="str" s="964" cm="1">
        <f t="array" ref="R299">IF(OR(ISBLANK($B299),NOT(ISBLANK(B299))),"",'tracking - Table 2-1-2'!C$66)</f>
      </c>
      <c r="S299" t="str" s="964" cm="1">
        <f t="array" ref="S299">IF(OR(ISBLANK($B299),NOT(ISBLANK(B299))),"",'tracking - Table 2-1-2'!D$66)</f>
      </c>
      <c r="T299" t="str" s="964" cm="1">
        <f t="array" ref="T299">IF(OR(ISBLANK($B299),NOT(ISBLANK(B299))),"",'tracking - Table 2-1-2'!E$66)</f>
      </c>
      <c r="U299" t="str" s="969" cm="1">
        <f t="array" ref="U299">IF(OR(ISBLANK($B299),ISBLANK('tracking - Table 2-1-2'!A$1)),"",'tracking - Table 2-1-2'!F$66)</f>
      </c>
    </row>
    <row r="300" ht="8.75" customHeight="1" hidden="1">
      <c r="A300" s="960">
        <v>44639</v>
      </c>
      <c r="B300" s="961">
        <v>73.2</v>
      </c>
      <c r="C300" s="965" cm="1">
        <f t="array" ref="C300">IF(ISBLANK(B300),"",B300*2.2046226218)</f>
        <v>161.378375915760</v>
      </c>
      <c r="D300" s="962" cm="1">
        <f t="array" ref="D300">IF(ISBLANK(B300),"",AVERAGE(B294:B300))</f>
        <v>72.51428571428571</v>
      </c>
      <c r="E300" s="962" cm="1">
        <f t="array" ref="E300">IF(ISBLANK(B300),"",AVERAGE(B287:B300))</f>
        <v>71.99642857142859</v>
      </c>
      <c r="F300" s="962" cm="1">
        <f t="array" ref="F300">IF(ISBLANK(B300),"",AVERAGE(B271:B300))</f>
        <v>71.7316666666667</v>
      </c>
      <c r="G300" s="964"/>
      <c r="H300" s="964"/>
      <c r="I300" s="964"/>
      <c r="J300" s="964"/>
      <c r="K300" s="964"/>
      <c r="L300" s="964"/>
      <c r="M300" s="964"/>
      <c r="N300" s="964"/>
      <c r="O300" s="964"/>
      <c r="P300" s="964"/>
      <c r="Q300" s="962"/>
      <c r="R300" t="str" s="964" cm="1">
        <f t="array" ref="R300">IF(OR(ISBLANK($B300),NOT(ISBLANK(B300))),"",'tracking - Table 2-1-2'!C$66)</f>
      </c>
      <c r="S300" t="str" s="964" cm="1">
        <f t="array" ref="S300">IF(OR(ISBLANK($B300),NOT(ISBLANK(B300))),"",'tracking - Table 2-1-2'!D$66)</f>
      </c>
      <c r="T300" t="str" s="964" cm="1">
        <f t="array" ref="T300">IF(OR(ISBLANK($B300),NOT(ISBLANK(B300))),"",'tracking - Table 2-1-2'!E$66)</f>
      </c>
      <c r="U300" t="str" s="969" cm="1">
        <f t="array" ref="U300">IF(OR(ISBLANK($B300),ISBLANK('tracking - Table 2-1-2'!A$1)),"",'tracking - Table 2-1-2'!F$66)</f>
      </c>
    </row>
    <row r="301" ht="8.75" customHeight="1" hidden="1">
      <c r="A301" s="960">
        <v>44640</v>
      </c>
      <c r="B301" s="961">
        <v>73.15000000000001</v>
      </c>
      <c r="C301" s="965" cm="1">
        <f t="array" ref="C301">IF(ISBLANK(B301),"",B301*2.2046226218)</f>
        <v>161.268144784670</v>
      </c>
      <c r="D301" s="962" cm="1">
        <f t="array" ref="D301">IF(ISBLANK(B301),"",AVERAGE(B295:B301))</f>
        <v>72.9357142857143</v>
      </c>
      <c r="E301" s="962" cm="1">
        <f t="array" ref="E301">IF(ISBLANK(B301),"",AVERAGE(B288:B301))</f>
        <v>72.13928571428571</v>
      </c>
      <c r="F301" s="962" cm="1">
        <f t="array" ref="F301">IF(ISBLANK(B301),"",AVERAGE(B272:B301))</f>
        <v>71.75</v>
      </c>
      <c r="G301" s="964"/>
      <c r="H301" s="964"/>
      <c r="I301" s="964"/>
      <c r="J301" s="964"/>
      <c r="K301" s="964"/>
      <c r="L301" s="964"/>
      <c r="M301" s="964"/>
      <c r="N301" s="964"/>
      <c r="O301" s="964"/>
      <c r="P301" s="964"/>
      <c r="Q301" s="962"/>
      <c r="R301" t="str" s="964" cm="1">
        <f t="array" ref="R301">IF(OR(ISBLANK($B301),NOT(ISBLANK(B301))),"",'tracking - Table 2-1-2'!C$66)</f>
      </c>
      <c r="S301" t="str" s="964" cm="1">
        <f t="array" ref="S301">IF(OR(ISBLANK($B301),NOT(ISBLANK(B301))),"",'tracking - Table 2-1-2'!D$66)</f>
      </c>
      <c r="T301" t="str" s="964" cm="1">
        <f t="array" ref="T301">IF(OR(ISBLANK($B301),NOT(ISBLANK(B301))),"",'tracking - Table 2-1-2'!E$66)</f>
      </c>
      <c r="U301" t="str" s="969" cm="1">
        <f t="array" ref="U301">IF(OR(ISBLANK($B301),ISBLANK('tracking - Table 2-1-2'!A$1)),"",'tracking - Table 2-1-2'!F$66)</f>
      </c>
    </row>
    <row r="302" ht="8.75" customHeight="1" hidden="1">
      <c r="A302" s="960">
        <v>44641</v>
      </c>
      <c r="B302" s="961">
        <v>72.84999999999999</v>
      </c>
      <c r="C302" s="965" cm="1">
        <f t="array" ref="C302">IF(ISBLANK(B302),"",B302*2.2046226218)</f>
        <v>160.606757998130</v>
      </c>
      <c r="D302" s="962" cm="1">
        <f t="array" ref="D302">IF(ISBLANK(B302),"",AVERAGE(B296:B302))</f>
        <v>73</v>
      </c>
      <c r="E302" s="962" cm="1">
        <f t="array" ref="E302">IF(ISBLANK(B302),"",AVERAGE(B289:B302))</f>
        <v>72.2892857142857</v>
      </c>
      <c r="F302" s="962" cm="1">
        <f t="array" ref="F302">IF(ISBLANK(B302),"",AVERAGE(B273:B302))</f>
        <v>71.7533333333333</v>
      </c>
      <c r="G302" s="964"/>
      <c r="H302" s="964"/>
      <c r="I302" s="964"/>
      <c r="J302" s="964"/>
      <c r="K302" s="964"/>
      <c r="L302" s="964"/>
      <c r="M302" s="964"/>
      <c r="N302" s="964"/>
      <c r="O302" s="964"/>
      <c r="P302" s="964"/>
      <c r="Q302" s="962"/>
      <c r="R302" t="str" s="964" cm="1">
        <f t="array" ref="R302">IF(OR(ISBLANK($B302),NOT(ISBLANK(B302))),"",'tracking - Table 2-1-2'!C$66)</f>
      </c>
      <c r="S302" t="str" s="964" cm="1">
        <f t="array" ref="S302">IF(OR(ISBLANK($B302),NOT(ISBLANK(B302))),"",'tracking - Table 2-1-2'!D$66)</f>
      </c>
      <c r="T302" t="str" s="964" cm="1">
        <f t="array" ref="T302">IF(OR(ISBLANK($B302),NOT(ISBLANK(B302))),"",'tracking - Table 2-1-2'!E$66)</f>
      </c>
      <c r="U302" t="str" s="969" cm="1">
        <f t="array" ref="U302">IF(OR(ISBLANK($B302),ISBLANK('tracking - Table 2-1-2'!A$1)),"",'tracking - Table 2-1-2'!F$66)</f>
      </c>
    </row>
    <row r="303" ht="8.75" customHeight="1" hidden="1">
      <c r="A303" s="960">
        <v>44642</v>
      </c>
      <c r="B303" s="961">
        <v>73.59999999999999</v>
      </c>
      <c r="C303" s="965" cm="1">
        <f t="array" ref="C303">IF(ISBLANK(B303),"",B303*2.2046226218)</f>
        <v>162.260224964480</v>
      </c>
      <c r="D303" s="962" cm="1">
        <f t="array" ref="D303">IF(ISBLANK(B303),"",AVERAGE(B297:B303))</f>
        <v>73.09999999999999</v>
      </c>
      <c r="E303" s="962" cm="1">
        <f t="array" ref="E303">IF(ISBLANK(B303),"",AVERAGE(B290:B303))</f>
        <v>72.4142857142857</v>
      </c>
      <c r="F303" s="962" cm="1">
        <f t="array" ref="F303">IF(ISBLANK(B303),"",AVERAGE(B274:B303))</f>
        <v>71.81999999999999</v>
      </c>
      <c r="G303" s="964"/>
      <c r="H303" s="964"/>
      <c r="I303" s="964"/>
      <c r="J303" s="964"/>
      <c r="K303" s="964"/>
      <c r="L303" s="964"/>
      <c r="M303" s="964"/>
      <c r="N303" s="964"/>
      <c r="O303" s="964"/>
      <c r="P303" s="964"/>
      <c r="Q303" s="962"/>
      <c r="R303" t="str" s="964" cm="1">
        <f t="array" ref="R303">IF(OR(ISBLANK($B303),NOT(ISBLANK(B303))),"",'tracking - Table 2-1-2'!C$66)</f>
      </c>
      <c r="S303" t="str" s="964" cm="1">
        <f t="array" ref="S303">IF(OR(ISBLANK($B303),NOT(ISBLANK(B303))),"",'tracking - Table 2-1-2'!D$66)</f>
      </c>
      <c r="T303" t="str" s="964" cm="1">
        <f t="array" ref="T303">IF(OR(ISBLANK($B303),NOT(ISBLANK(B303))),"",'tracking - Table 2-1-2'!E$66)</f>
      </c>
      <c r="U303" t="str" s="969" cm="1">
        <f t="array" ref="U303">IF(OR(ISBLANK($B303),ISBLANK('tracking - Table 2-1-2'!A$1)),"",'tracking - Table 2-1-2'!F$66)</f>
      </c>
    </row>
    <row r="304" ht="8.75" customHeight="1" hidden="1">
      <c r="A304" s="960">
        <v>44643</v>
      </c>
      <c r="B304" s="961">
        <v>74</v>
      </c>
      <c r="C304" s="965" cm="1">
        <f t="array" ref="C304">IF(ISBLANK(B304),"",B304*2.2046226218)</f>
        <v>163.1420740132</v>
      </c>
      <c r="D304" s="962" cm="1">
        <f t="array" ref="D304">IF(ISBLANK(B304),"",AVERAGE(B298:B304))</f>
        <v>73.2571428571429</v>
      </c>
      <c r="E304" s="962" cm="1">
        <f t="array" ref="E304">IF(ISBLANK(B304),"",AVERAGE(B291:B304))</f>
        <v>72.56785714285709</v>
      </c>
      <c r="F304" s="962" cm="1">
        <f t="array" ref="F304">IF(ISBLANK(B304),"",AVERAGE(B275:B304))</f>
        <v>71.90000000000001</v>
      </c>
      <c r="G304" s="964"/>
      <c r="H304" s="964"/>
      <c r="I304" s="964"/>
      <c r="J304" s="964"/>
      <c r="K304" s="964"/>
      <c r="L304" s="964"/>
      <c r="M304" s="964"/>
      <c r="N304" s="964"/>
      <c r="O304" s="964"/>
      <c r="P304" s="964"/>
      <c r="Q304" s="962"/>
      <c r="R304" t="str" s="964" cm="1">
        <f t="array" ref="R304">IF(OR(ISBLANK($B304),NOT(ISBLANK(B304))),"",'tracking - Table 2-1-2'!C$66)</f>
      </c>
      <c r="S304" t="str" s="964" cm="1">
        <f t="array" ref="S304">IF(OR(ISBLANK($B304),NOT(ISBLANK(B304))),"",'tracking - Table 2-1-2'!D$66)</f>
      </c>
      <c r="T304" t="str" s="964" cm="1">
        <f t="array" ref="T304">IF(OR(ISBLANK($B304),NOT(ISBLANK(B304))),"",'tracking - Table 2-1-2'!E$66)</f>
      </c>
      <c r="U304" t="str" s="969" cm="1">
        <f t="array" ref="U304">IF(OR(ISBLANK($B304),ISBLANK('tracking - Table 2-1-2'!A$1)),"",'tracking - Table 2-1-2'!F$66)</f>
      </c>
    </row>
    <row r="305" ht="8.75" customHeight="1" hidden="1">
      <c r="A305" s="960">
        <v>44644</v>
      </c>
      <c r="B305" s="961">
        <v>73.40000000000001</v>
      </c>
      <c r="C305" s="965" cm="1">
        <f t="array" ref="C305">IF(ISBLANK(B305),"",B305*2.2046226218)</f>
        <v>161.819300440120</v>
      </c>
      <c r="D305" s="962" cm="1">
        <f t="array" ref="D305">IF(ISBLANK(B305),"",AVERAGE(B299:B305))</f>
        <v>73.2928571428571</v>
      </c>
      <c r="E305" s="962" cm="1">
        <f t="array" ref="E305">IF(ISBLANK(B305),"",AVERAGE(B292:B305))</f>
        <v>72.62142857142859</v>
      </c>
      <c r="F305" s="962" cm="1">
        <f t="array" ref="F305">IF(ISBLANK(B305),"",AVERAGE(B276:B305))</f>
        <v>71.95</v>
      </c>
      <c r="G305" s="964"/>
      <c r="H305" s="964"/>
      <c r="I305" s="964"/>
      <c r="J305" s="964"/>
      <c r="K305" s="964"/>
      <c r="L305" s="964"/>
      <c r="M305" s="964"/>
      <c r="N305" s="964"/>
      <c r="O305" s="964"/>
      <c r="P305" s="964"/>
      <c r="Q305" s="962"/>
      <c r="R305" t="str" s="964" cm="1">
        <f t="array" ref="R305">IF(OR(ISBLANK($B305),NOT(ISBLANK(B305))),"",'tracking - Table 2-1-2'!C$66)</f>
      </c>
      <c r="S305" t="str" s="964" cm="1">
        <f t="array" ref="S305">IF(OR(ISBLANK($B305),NOT(ISBLANK(B305))),"",'tracking - Table 2-1-2'!D$66)</f>
      </c>
      <c r="T305" t="str" s="964" cm="1">
        <f t="array" ref="T305">IF(OR(ISBLANK($B305),NOT(ISBLANK(B305))),"",'tracking - Table 2-1-2'!E$66)</f>
      </c>
      <c r="U305" t="str" s="969" cm="1">
        <f t="array" ref="U305">IF(OR(ISBLANK($B305),ISBLANK('tracking - Table 2-1-2'!A$1)),"",'tracking - Table 2-1-2'!F$66)</f>
      </c>
    </row>
    <row r="306" ht="8.75" customHeight="1" hidden="1">
      <c r="A306" s="960">
        <v>44645</v>
      </c>
      <c r="B306" s="961">
        <v>72.09999999999999</v>
      </c>
      <c r="C306" s="965" cm="1">
        <f t="array" ref="C306">IF(ISBLANK(B306),"",B306*2.2046226218)</f>
        <v>158.953291031780</v>
      </c>
      <c r="D306" s="962" cm="1">
        <f t="array" ref="D306">IF(ISBLANK(B306),"",AVERAGE(B300:B306))</f>
        <v>73.1857142857143</v>
      </c>
      <c r="E306" s="962" cm="1">
        <f t="array" ref="E306">IF(ISBLANK(B306),"",AVERAGE(B293:B306))</f>
        <v>72.69285714285709</v>
      </c>
      <c r="F306" s="962" cm="1">
        <f t="array" ref="F306">IF(ISBLANK(B306),"",AVERAGE(B277:B306))</f>
        <v>71.9933333333333</v>
      </c>
      <c r="G306" s="964"/>
      <c r="H306" s="964"/>
      <c r="I306" s="964"/>
      <c r="J306" s="964"/>
      <c r="K306" s="964"/>
      <c r="L306" s="964"/>
      <c r="M306" s="964"/>
      <c r="N306" s="964"/>
      <c r="O306" s="964"/>
      <c r="P306" s="964"/>
      <c r="Q306" s="962"/>
      <c r="R306" t="str" s="964" cm="1">
        <f t="array" ref="R306">IF(OR(ISBLANK($B306),NOT(ISBLANK(B306))),"",'tracking - Table 2-1-2'!C$66)</f>
      </c>
      <c r="S306" t="str" s="964" cm="1">
        <f t="array" ref="S306">IF(OR(ISBLANK($B306),NOT(ISBLANK(B306))),"",'tracking - Table 2-1-2'!D$66)</f>
      </c>
      <c r="T306" t="str" s="964" cm="1">
        <f t="array" ref="T306">IF(OR(ISBLANK($B306),NOT(ISBLANK(B306))),"",'tracking - Table 2-1-2'!E$66)</f>
      </c>
      <c r="U306" t="str" s="969" cm="1">
        <f t="array" ref="U306">IF(OR(ISBLANK($B306),ISBLANK('tracking - Table 2-1-2'!A$1)),"",'tracking - Table 2-1-2'!F$66)</f>
      </c>
    </row>
    <row r="307" ht="8.75" customHeight="1" hidden="1">
      <c r="A307" s="960">
        <v>44646</v>
      </c>
      <c r="B307" s="961">
        <v>73.15000000000001</v>
      </c>
      <c r="C307" s="965" cm="1">
        <f t="array" ref="C307">IF(ISBLANK(B307),"",B307*2.2046226218)</f>
        <v>161.268144784670</v>
      </c>
      <c r="D307" s="962" cm="1">
        <f t="array" ref="D307">IF(ISBLANK(B307),"",AVERAGE(B301:B307))</f>
        <v>73.1785714285714</v>
      </c>
      <c r="E307" s="962" cm="1">
        <f t="array" ref="E307">IF(ISBLANK(B307),"",AVERAGE(B294:B307))</f>
        <v>72.8464285714286</v>
      </c>
      <c r="F307" s="962" cm="1">
        <f t="array" ref="F307">IF(ISBLANK(B307),"",AVERAGE(B278:B307))</f>
        <v>72.0616666666667</v>
      </c>
      <c r="G307" s="964"/>
      <c r="H307" s="964"/>
      <c r="I307" s="964"/>
      <c r="J307" s="964"/>
      <c r="K307" s="964"/>
      <c r="L307" s="964"/>
      <c r="M307" s="964"/>
      <c r="N307" s="964"/>
      <c r="O307" s="964"/>
      <c r="P307" s="964"/>
      <c r="Q307" s="962"/>
      <c r="R307" t="str" s="964" cm="1">
        <f t="array" ref="R307">IF(OR(ISBLANK($B307),NOT(ISBLANK(B307))),"",'tracking - Table 2-1-2'!C$66)</f>
      </c>
      <c r="S307" t="str" s="964" cm="1">
        <f t="array" ref="S307">IF(OR(ISBLANK($B307),NOT(ISBLANK(B307))),"",'tracking - Table 2-1-2'!D$66)</f>
      </c>
      <c r="T307" t="str" s="964" cm="1">
        <f t="array" ref="T307">IF(OR(ISBLANK($B307),NOT(ISBLANK(B307))),"",'tracking - Table 2-1-2'!E$66)</f>
      </c>
      <c r="U307" t="str" s="969" cm="1">
        <f t="array" ref="U307">IF(OR(ISBLANK($B307),ISBLANK('tracking - Table 2-1-2'!A$1)),"",'tracking - Table 2-1-2'!F$66)</f>
      </c>
    </row>
    <row r="308" ht="8.75" customHeight="1" hidden="1">
      <c r="A308" s="960">
        <v>44647</v>
      </c>
      <c r="B308" s="961">
        <v>73.55</v>
      </c>
      <c r="C308" s="965" cm="1">
        <f t="array" ref="C308">IF(ISBLANK(B308),"",B308*2.2046226218)</f>
        <v>162.149993833390</v>
      </c>
      <c r="D308" s="962" cm="1">
        <f t="array" ref="D308">IF(ISBLANK(B308),"",AVERAGE(B302:B308))</f>
        <v>73.23571428571429</v>
      </c>
      <c r="E308" s="962" cm="1">
        <f t="array" ref="E308">IF(ISBLANK(B308),"",AVERAGE(B295:B308))</f>
        <v>73.0857142857143</v>
      </c>
      <c r="F308" s="962" cm="1">
        <f t="array" ref="F308">IF(ISBLANK(B308),"",AVERAGE(B279:B308))</f>
        <v>72.1333333333333</v>
      </c>
      <c r="G308" s="964"/>
      <c r="H308" s="964"/>
      <c r="I308" s="964"/>
      <c r="J308" s="964"/>
      <c r="K308" s="964"/>
      <c r="L308" s="964"/>
      <c r="M308" s="964"/>
      <c r="N308" s="964"/>
      <c r="O308" s="964"/>
      <c r="P308" s="964"/>
      <c r="Q308" s="962"/>
      <c r="R308" t="str" s="964" cm="1">
        <f t="array" ref="R308">IF(OR(ISBLANK($B308),NOT(ISBLANK(B308))),"",'tracking - Table 2-1-2'!C$66)</f>
      </c>
      <c r="S308" t="str" s="964" cm="1">
        <f t="array" ref="S308">IF(OR(ISBLANK($B308),NOT(ISBLANK(B308))),"",'tracking - Table 2-1-2'!D$66)</f>
      </c>
      <c r="T308" t="str" s="964" cm="1">
        <f t="array" ref="T308">IF(OR(ISBLANK($B308),NOT(ISBLANK(B308))),"",'tracking - Table 2-1-2'!E$66)</f>
      </c>
      <c r="U308" t="str" s="969" cm="1">
        <f t="array" ref="U308">IF(OR(ISBLANK($B308),ISBLANK('tracking - Table 2-1-2'!A$1)),"",'tracking - Table 2-1-2'!F$66)</f>
      </c>
    </row>
    <row r="309" ht="8.75" customHeight="1" hidden="1">
      <c r="A309" s="960">
        <v>44648</v>
      </c>
      <c r="B309" s="961">
        <v>73.90000000000001</v>
      </c>
      <c r="C309" s="965" cm="1">
        <f t="array" ref="C309">IF(ISBLANK(B309),"",B309*2.2046226218)</f>
        <v>162.921611751020</v>
      </c>
      <c r="D309" s="962" cm="1">
        <f t="array" ref="D309">IF(ISBLANK(B309),"",AVERAGE(B303:B309))</f>
        <v>73.3857142857143</v>
      </c>
      <c r="E309" s="962" cm="1">
        <f t="array" ref="E309">IF(ISBLANK(B309),"",AVERAGE(B296:B309))</f>
        <v>73.19285714285709</v>
      </c>
      <c r="F309" s="962" cm="1">
        <f t="array" ref="F309">IF(ISBLANK(B309),"",AVERAGE(B280:B309))</f>
        <v>72.2266666666667</v>
      </c>
      <c r="G309" s="964"/>
      <c r="H309" s="964"/>
      <c r="I309" s="964"/>
      <c r="J309" s="964"/>
      <c r="K309" s="964"/>
      <c r="L309" s="964"/>
      <c r="M309" s="964"/>
      <c r="N309" s="964"/>
      <c r="O309" s="964"/>
      <c r="P309" s="964"/>
      <c r="Q309" s="962"/>
      <c r="R309" t="str" s="964" cm="1">
        <f t="array" ref="R309">IF(OR(ISBLANK($B309),NOT(ISBLANK(B309))),"",'tracking - Table 2-1-2'!C$66)</f>
      </c>
      <c r="S309" t="str" s="964" cm="1">
        <f t="array" ref="S309">IF(OR(ISBLANK($B309),NOT(ISBLANK(B309))),"",'tracking - Table 2-1-2'!D$66)</f>
      </c>
      <c r="T309" t="str" s="964" cm="1">
        <f t="array" ref="T309">IF(OR(ISBLANK($B309),NOT(ISBLANK(B309))),"",'tracking - Table 2-1-2'!E$66)</f>
      </c>
      <c r="U309" t="str" s="969" cm="1">
        <f t="array" ref="U309">IF(OR(ISBLANK($B309),ISBLANK('tracking - Table 2-1-2'!A$1)),"",'tracking - Table 2-1-2'!F$66)</f>
      </c>
    </row>
    <row r="310" ht="8.75" customHeight="1" hidden="1">
      <c r="A310" s="960">
        <v>44649</v>
      </c>
      <c r="B310" s="961">
        <v>74.34999999999999</v>
      </c>
      <c r="C310" s="965" cm="1">
        <f t="array" ref="C310">IF(ISBLANK(B310),"",B310*2.2046226218)</f>
        <v>163.913691930830</v>
      </c>
      <c r="D310" s="962" cm="1">
        <f t="array" ref="D310">IF(ISBLANK(B310),"",AVERAGE(B304:B310))</f>
        <v>73.4928571428571</v>
      </c>
      <c r="E310" s="962" cm="1">
        <f t="array" ref="E310">IF(ISBLANK(B310),"",AVERAGE(B297:B310))</f>
        <v>73.29642857142861</v>
      </c>
      <c r="F310" s="962" cm="1">
        <f t="array" ref="F310">IF(ISBLANK(B310),"",AVERAGE(B281:B310))</f>
        <v>72.33499999999999</v>
      </c>
      <c r="G310" s="964"/>
      <c r="H310" s="964"/>
      <c r="I310" s="964"/>
      <c r="J310" s="964"/>
      <c r="K310" s="964"/>
      <c r="L310" s="964"/>
      <c r="M310" s="964"/>
      <c r="N310" s="964"/>
      <c r="O310" s="964"/>
      <c r="P310" s="964"/>
      <c r="Q310" s="962"/>
      <c r="R310" t="str" s="964" cm="1">
        <f t="array" ref="R310">IF(OR(ISBLANK($B310),NOT(ISBLANK(B310))),"",'tracking - Table 2-1-2'!C$66)</f>
      </c>
      <c r="S310" t="str" s="964" cm="1">
        <f t="array" ref="S310">IF(OR(ISBLANK($B310),NOT(ISBLANK(B310))),"",'tracking - Table 2-1-2'!D$66)</f>
      </c>
      <c r="T310" t="str" s="964" cm="1">
        <f t="array" ref="T310">IF(OR(ISBLANK($B310),NOT(ISBLANK(B310))),"",'tracking - Table 2-1-2'!E$66)</f>
      </c>
      <c r="U310" t="str" s="969" cm="1">
        <f t="array" ref="U310">IF(OR(ISBLANK($B310),ISBLANK('tracking - Table 2-1-2'!A$1)),"",'tracking - Table 2-1-2'!F$66)</f>
      </c>
    </row>
    <row r="311" ht="8.75" customHeight="1" hidden="1">
      <c r="A311" s="960">
        <v>44650</v>
      </c>
      <c r="B311" s="961">
        <v>74.40000000000001</v>
      </c>
      <c r="C311" s="965" cm="1">
        <f t="array" ref="C311">IF(ISBLANK(B311),"",B311*2.2046226218)</f>
        <v>164.023923061920</v>
      </c>
      <c r="D311" s="962" cm="1">
        <f t="array" ref="D311">IF(ISBLANK(B311),"",AVERAGE(B305:B311))</f>
        <v>73.55</v>
      </c>
      <c r="E311" s="962" cm="1">
        <f t="array" ref="E311">IF(ISBLANK(B311),"",AVERAGE(B298:B311))</f>
        <v>73.4035714285714</v>
      </c>
      <c r="F311" s="962" cm="1">
        <f t="array" ref="F311">IF(ISBLANK(B311),"",AVERAGE(B282:B311))</f>
        <v>72.455</v>
      </c>
      <c r="G311" s="964"/>
      <c r="H311" s="964"/>
      <c r="I311" s="964"/>
      <c r="J311" s="964"/>
      <c r="K311" s="964"/>
      <c r="L311" s="964"/>
      <c r="M311" s="964"/>
      <c r="N311" s="964"/>
      <c r="O311" s="964"/>
      <c r="P311" s="964"/>
      <c r="Q311" s="962"/>
      <c r="R311" t="str" s="964" cm="1">
        <f t="array" ref="R311">IF(OR(ISBLANK($B311),NOT(ISBLANK(B311))),"",'tracking - Table 2-1-2'!C$66)</f>
      </c>
      <c r="S311" t="str" s="964" cm="1">
        <f t="array" ref="S311">IF(OR(ISBLANK($B311),NOT(ISBLANK(B311))),"",'tracking - Table 2-1-2'!D$66)</f>
      </c>
      <c r="T311" t="str" s="964" cm="1">
        <f t="array" ref="T311">IF(OR(ISBLANK($B311),NOT(ISBLANK(B311))),"",'tracking - Table 2-1-2'!E$66)</f>
      </c>
      <c r="U311" t="str" s="969" cm="1">
        <f t="array" ref="U311">IF(OR(ISBLANK($B311),ISBLANK('tracking - Table 2-1-2'!A$1)),"",'tracking - Table 2-1-2'!F$66)</f>
      </c>
    </row>
    <row r="312" ht="8.75" customHeight="1" hidden="1">
      <c r="A312" s="960">
        <v>44651</v>
      </c>
      <c r="B312" s="961">
        <v>74.90000000000001</v>
      </c>
      <c r="C312" s="965" cm="1">
        <f t="array" ref="C312">IF(ISBLANK(B312),"",B312*2.2046226218)</f>
        <v>165.126234372820</v>
      </c>
      <c r="D312" s="962" cm="1">
        <f t="array" ref="D312">IF(ISBLANK(B312),"",AVERAGE(B306:B312))</f>
        <v>73.76428571428571</v>
      </c>
      <c r="E312" s="962" cm="1">
        <f t="array" ref="E312">IF(ISBLANK(B312),"",AVERAGE(B299:B312))</f>
        <v>73.5285714285714</v>
      </c>
      <c r="F312" s="962" cm="1">
        <f t="array" ref="F312">IF(ISBLANK(B312),"",AVERAGE(B283:B312))</f>
        <v>72.605</v>
      </c>
      <c r="G312" s="964"/>
      <c r="H312" s="964"/>
      <c r="I312" s="964"/>
      <c r="J312" s="964"/>
      <c r="K312" s="964"/>
      <c r="L312" s="964"/>
      <c r="M312" s="964"/>
      <c r="N312" s="964"/>
      <c r="O312" s="964"/>
      <c r="P312" s="964"/>
      <c r="Q312" s="962"/>
      <c r="R312" t="str" s="964" cm="1">
        <f t="array" ref="R312">IF(OR(ISBLANK($B312),NOT(ISBLANK(B312))),"",'tracking - Table 2-1-2'!C$66)</f>
      </c>
      <c r="S312" t="str" s="964" cm="1">
        <f t="array" ref="S312">IF(OR(ISBLANK($B312),NOT(ISBLANK(B312))),"",'tracking - Table 2-1-2'!D$66)</f>
      </c>
      <c r="T312" t="str" s="964" cm="1">
        <f t="array" ref="T312">IF(OR(ISBLANK($B312),NOT(ISBLANK(B312))),"",'tracking - Table 2-1-2'!E$66)</f>
      </c>
      <c r="U312" t="str" s="969" cm="1">
        <f t="array" ref="U312">IF(OR(ISBLANK($B312),ISBLANK('tracking - Table 2-1-2'!A$1)),"",'tracking - Table 2-1-2'!F$66)</f>
      </c>
    </row>
    <row r="313" ht="8.75" customHeight="1" hidden="1">
      <c r="A313" s="960">
        <v>44652</v>
      </c>
      <c r="B313" s="961">
        <v>74.59999999999999</v>
      </c>
      <c r="C313" s="965" cm="1">
        <f t="array" ref="C313">IF(ISBLANK(B313),"",B313*2.2046226218)</f>
        <v>164.464847586280</v>
      </c>
      <c r="D313" s="962" cm="1">
        <f t="array" ref="D313">IF(ISBLANK(B313),"",AVERAGE(B307:B313))</f>
        <v>74.12142857142859</v>
      </c>
      <c r="E313" s="962" cm="1">
        <f t="array" ref="E313">IF(ISBLANK(B313),"",AVERAGE(B300:B313))</f>
        <v>73.6535714285714</v>
      </c>
      <c r="F313" s="962" cm="1">
        <f t="array" ref="F313">IF(ISBLANK(B313),"",AVERAGE(B284:B313))</f>
        <v>72.7116666666667</v>
      </c>
      <c r="G313" s="964"/>
      <c r="H313" s="964"/>
      <c r="I313" s="964"/>
      <c r="J313" s="964"/>
      <c r="K313" s="964"/>
      <c r="L313" s="964"/>
      <c r="M313" s="964"/>
      <c r="N313" s="964"/>
      <c r="O313" s="964"/>
      <c r="P313" s="964"/>
      <c r="Q313" s="962"/>
      <c r="R313" t="str" s="964" cm="1">
        <f t="array" ref="R313">IF(OR(ISBLANK($B313),NOT(ISBLANK(B313))),"",'tracking - Table 2-1-2'!C$66)</f>
      </c>
      <c r="S313" t="str" s="964" cm="1">
        <f t="array" ref="S313">IF(OR(ISBLANK($B313),NOT(ISBLANK(B313))),"",'tracking - Table 2-1-2'!D$66)</f>
      </c>
      <c r="T313" t="str" s="964" cm="1">
        <f t="array" ref="T313">IF(OR(ISBLANK($B313),NOT(ISBLANK(B313))),"",'tracking - Table 2-1-2'!E$66)</f>
      </c>
      <c r="U313" t="str" s="969" cm="1">
        <f t="array" ref="U313">IF(OR(ISBLANK($B313),ISBLANK('tracking - Table 2-1-2'!A$1)),"",'tracking - Table 2-1-2'!F$66)</f>
      </c>
    </row>
    <row r="314" ht="8.75" customHeight="1" hidden="1">
      <c r="A314" s="960">
        <v>44653</v>
      </c>
      <c r="B314" s="961">
        <v>74.95</v>
      </c>
      <c r="C314" s="965" cm="1">
        <f t="array" ref="C314">IF(ISBLANK(B314),"",B314*2.2046226218)</f>
        <v>165.236465503910</v>
      </c>
      <c r="D314" s="962" cm="1">
        <f t="array" ref="D314">IF(ISBLANK(B314),"",AVERAGE(B308:B314))</f>
        <v>74.37857142857141</v>
      </c>
      <c r="E314" s="962" cm="1">
        <f t="array" ref="E314">IF(ISBLANK(B314),"",AVERAGE(B301:B314))</f>
        <v>73.7785714285714</v>
      </c>
      <c r="F314" s="962" cm="1">
        <f t="array" ref="F314">IF(ISBLANK(B314),"",AVERAGE(B285:B314))</f>
        <v>72.815</v>
      </c>
      <c r="G314" s="964"/>
      <c r="H314" s="964"/>
      <c r="I314" s="964"/>
      <c r="J314" s="964"/>
      <c r="K314" s="964"/>
      <c r="L314" s="964"/>
      <c r="M314" s="964"/>
      <c r="N314" s="964"/>
      <c r="O314" s="964"/>
      <c r="P314" s="964"/>
      <c r="Q314" s="962"/>
      <c r="R314" t="str" s="964" cm="1">
        <f t="array" ref="R314">IF(OR(ISBLANK($B314),NOT(ISBLANK(B314))),"",'tracking - Table 2-1-2'!C$66)</f>
      </c>
      <c r="S314" t="str" s="964" cm="1">
        <f t="array" ref="S314">IF(OR(ISBLANK($B314),NOT(ISBLANK(B314))),"",'tracking - Table 2-1-2'!D$66)</f>
      </c>
      <c r="T314" t="str" s="964" cm="1">
        <f t="array" ref="T314">IF(OR(ISBLANK($B314),NOT(ISBLANK(B314))),"",'tracking - Table 2-1-2'!E$66)</f>
      </c>
      <c r="U314" t="str" s="969" cm="1">
        <f t="array" ref="U314">IF(OR(ISBLANK($B314),ISBLANK('tracking - Table 2-1-2'!A$1)),"",'tracking - Table 2-1-2'!F$66)</f>
      </c>
    </row>
    <row r="315" ht="8.75" customHeight="1" hidden="1">
      <c r="A315" s="960">
        <v>44654</v>
      </c>
      <c r="B315" s="961">
        <v>74.40000000000001</v>
      </c>
      <c r="C315" s="965" cm="1">
        <f t="array" ref="C315">IF(ISBLANK(B315),"",B315*2.2046226218)</f>
        <v>164.023923061920</v>
      </c>
      <c r="D315" s="962" cm="1">
        <f t="array" ref="D315">IF(ISBLANK(B315),"",AVERAGE(B309:B315))</f>
        <v>74.5</v>
      </c>
      <c r="E315" s="962" cm="1">
        <f t="array" ref="E315">IF(ISBLANK(B315),"",AVERAGE(B302:B315))</f>
        <v>73.8678571428571</v>
      </c>
      <c r="F315" s="962" cm="1">
        <f t="array" ref="F315">IF(ISBLANK(B315),"",AVERAGE(B286:B315))</f>
        <v>72.91</v>
      </c>
      <c r="G315" s="964"/>
      <c r="H315" s="964"/>
      <c r="I315" s="964"/>
      <c r="J315" s="964"/>
      <c r="K315" s="964"/>
      <c r="L315" s="964"/>
      <c r="M315" s="964"/>
      <c r="N315" s="964"/>
      <c r="O315" s="964"/>
      <c r="P315" s="964"/>
      <c r="Q315" s="962"/>
      <c r="R315" t="str" s="964" cm="1">
        <f t="array" ref="R315">IF(OR(ISBLANK($B315),NOT(ISBLANK(B315))),"",'tracking - Table 2-1-2'!C$66)</f>
      </c>
      <c r="S315" t="str" s="964" cm="1">
        <f t="array" ref="S315">IF(OR(ISBLANK($B315),NOT(ISBLANK(B315))),"",'tracking - Table 2-1-2'!D$66)</f>
      </c>
      <c r="T315" t="str" s="964" cm="1">
        <f t="array" ref="T315">IF(OR(ISBLANK($B315),NOT(ISBLANK(B315))),"",'tracking - Table 2-1-2'!E$66)</f>
      </c>
      <c r="U315" t="str" s="969" cm="1">
        <f t="array" ref="U315">IF(OR(ISBLANK($B315),ISBLANK('tracking - Table 2-1-2'!A$1)),"",'tracking - Table 2-1-2'!F$66)</f>
      </c>
    </row>
    <row r="316" ht="8.75" customHeight="1" hidden="1">
      <c r="A316" s="960">
        <v>44655</v>
      </c>
      <c r="B316" s="961">
        <v>74.75</v>
      </c>
      <c r="C316" s="965" cm="1">
        <f t="array" ref="C316">IF(ISBLANK(B316),"",B316*2.2046226218)</f>
        <v>164.795540979550</v>
      </c>
      <c r="D316" s="962" cm="1">
        <f t="array" ref="D316">IF(ISBLANK(B316),"",AVERAGE(B310:B316))</f>
        <v>74.62142857142859</v>
      </c>
      <c r="E316" s="962" cm="1">
        <f t="array" ref="E316">IF(ISBLANK(B316),"",AVERAGE(B303:B316))</f>
        <v>74.00357142857141</v>
      </c>
      <c r="F316" s="962" cm="1">
        <f t="array" ref="F316">IF(ISBLANK(B316),"",AVERAGE(B287:B316))</f>
        <v>73</v>
      </c>
      <c r="G316" s="964"/>
      <c r="H316" s="964"/>
      <c r="I316" s="964"/>
      <c r="J316" s="964"/>
      <c r="K316" s="964"/>
      <c r="L316" s="964"/>
      <c r="M316" s="964"/>
      <c r="N316" s="964"/>
      <c r="O316" s="964"/>
      <c r="P316" s="964"/>
      <c r="Q316" s="962"/>
      <c r="R316" t="str" s="964" cm="1">
        <f t="array" ref="R316">IF(OR(ISBLANK($B316),NOT(ISBLANK(B316))),"",'tracking - Table 2-1-2'!C$66)</f>
      </c>
      <c r="S316" t="str" s="964" cm="1">
        <f t="array" ref="S316">IF(OR(ISBLANK($B316),NOT(ISBLANK(B316))),"",'tracking - Table 2-1-2'!D$66)</f>
      </c>
      <c r="T316" t="str" s="964" cm="1">
        <f t="array" ref="T316">IF(OR(ISBLANK($B316),NOT(ISBLANK(B316))),"",'tracking - Table 2-1-2'!E$66)</f>
      </c>
      <c r="U316" t="str" s="969" cm="1">
        <f t="array" ref="U316">IF(OR(ISBLANK($B316),ISBLANK('tracking - Table 2-1-2'!A$1)),"",'tracking - Table 2-1-2'!F$66)</f>
      </c>
    </row>
    <row r="317" ht="8.75" customHeight="1" hidden="1">
      <c r="A317" s="960">
        <v>44656</v>
      </c>
      <c r="B317" s="961">
        <v>75</v>
      </c>
      <c r="C317" s="965" cm="1">
        <f t="array" ref="C317">IF(ISBLANK(B317),"",B317*2.2046226218)</f>
        <v>165.346696635</v>
      </c>
      <c r="D317" s="962" cm="1">
        <f t="array" ref="D317">IF(ISBLANK(B317),"",AVERAGE(B311:B317))</f>
        <v>74.71428571428569</v>
      </c>
      <c r="E317" s="962" cm="1">
        <f t="array" ref="E317">IF(ISBLANK(B317),"",AVERAGE(B304:B317))</f>
        <v>74.1035714285714</v>
      </c>
      <c r="F317" s="962" cm="1">
        <f t="array" ref="F317">IF(ISBLANK(B317),"",AVERAGE(B288:B317))</f>
        <v>73.1283333333333</v>
      </c>
      <c r="G317" s="964"/>
      <c r="H317" s="964"/>
      <c r="I317" s="964"/>
      <c r="J317" s="964"/>
      <c r="K317" s="964"/>
      <c r="L317" s="964"/>
      <c r="M317" s="964"/>
      <c r="N317" s="964"/>
      <c r="O317" s="964"/>
      <c r="P317" s="964"/>
      <c r="Q317" s="962"/>
      <c r="R317" t="str" s="964" cm="1">
        <f t="array" ref="R317">IF(OR(ISBLANK($B317),NOT(ISBLANK(B317))),"",'tracking - Table 2-1-2'!C$66)</f>
      </c>
      <c r="S317" t="str" s="964" cm="1">
        <f t="array" ref="S317">IF(OR(ISBLANK($B317),NOT(ISBLANK(B317))),"",'tracking - Table 2-1-2'!D$66)</f>
      </c>
      <c r="T317" t="str" s="964" cm="1">
        <f t="array" ref="T317">IF(OR(ISBLANK($B317),NOT(ISBLANK(B317))),"",'tracking - Table 2-1-2'!E$66)</f>
      </c>
      <c r="U317" t="str" s="969" cm="1">
        <f t="array" ref="U317">IF(OR(ISBLANK($B317),ISBLANK('tracking - Table 2-1-2'!A$1)),"",'tracking - Table 2-1-2'!F$66)</f>
      </c>
    </row>
    <row r="318" ht="8.75" customHeight="1" hidden="1">
      <c r="A318" s="960">
        <v>44657</v>
      </c>
      <c r="B318" s="961">
        <v>74.8</v>
      </c>
      <c r="C318" s="965" cm="1">
        <f t="array" ref="C318">IF(ISBLANK(B318),"",B318*2.2046226218)</f>
        <v>164.905772110640</v>
      </c>
      <c r="D318" s="962" cm="1">
        <f t="array" ref="D318">IF(ISBLANK(B318),"",AVERAGE(B312:B318))</f>
        <v>74.7714285714286</v>
      </c>
      <c r="E318" s="962" cm="1">
        <f t="array" ref="E318">IF(ISBLANK(B318),"",AVERAGE(B305:B318))</f>
        <v>74.16071428571431</v>
      </c>
      <c r="F318" s="962" cm="1">
        <f t="array" ref="F318">IF(ISBLANK(B318),"",AVERAGE(B289:B318))</f>
        <v>73.26333333333331</v>
      </c>
      <c r="G318" s="964"/>
      <c r="H318" s="964"/>
      <c r="I318" s="964"/>
      <c r="J318" s="964"/>
      <c r="K318" s="964"/>
      <c r="L318" s="964"/>
      <c r="M318" s="964"/>
      <c r="N318" s="964"/>
      <c r="O318" s="964"/>
      <c r="P318" s="964"/>
      <c r="Q318" s="962"/>
      <c r="R318" t="str" s="964" cm="1">
        <f t="array" ref="R318">IF(OR(ISBLANK($B318),NOT(ISBLANK(B318))),"",'tracking - Table 2-1-2'!C$66)</f>
      </c>
      <c r="S318" t="str" s="964" cm="1">
        <f t="array" ref="S318">IF(OR(ISBLANK($B318),NOT(ISBLANK(B318))),"",'tracking - Table 2-1-2'!D$66)</f>
      </c>
      <c r="T318" t="str" s="964" cm="1">
        <f t="array" ref="T318">IF(OR(ISBLANK($B318),NOT(ISBLANK(B318))),"",'tracking - Table 2-1-2'!E$66)</f>
      </c>
      <c r="U318" t="str" s="969" cm="1">
        <f t="array" ref="U318">IF(OR(ISBLANK($B318),ISBLANK('tracking - Table 2-1-2'!A$1)),"",'tracking - Table 2-1-2'!F$66)</f>
      </c>
    </row>
    <row r="319" ht="8.75" customHeight="1" hidden="1">
      <c r="A319" s="960">
        <v>44658</v>
      </c>
      <c r="B319" s="961">
        <v>74.8</v>
      </c>
      <c r="C319" s="965" cm="1">
        <f t="array" ref="C319">IF(ISBLANK(B319),"",B319*2.2046226218)</f>
        <v>164.905772110640</v>
      </c>
      <c r="D319" s="962" cm="1">
        <f t="array" ref="D319">IF(ISBLANK(B319),"",AVERAGE(B313:B319))</f>
        <v>74.7571428571429</v>
      </c>
      <c r="E319" s="962" cm="1">
        <f t="array" ref="E319">IF(ISBLANK(B319),"",AVERAGE(B306:B319))</f>
        <v>74.2607142857143</v>
      </c>
      <c r="F319" s="962" cm="1">
        <f t="array" ref="F319">IF(ISBLANK(B319),"",AVERAGE(B290:B319))</f>
        <v>73.36166666666669</v>
      </c>
      <c r="G319" s="964"/>
      <c r="H319" s="964"/>
      <c r="I319" s="964"/>
      <c r="J319" s="964"/>
      <c r="K319" s="964"/>
      <c r="L319" s="964"/>
      <c r="M319" s="964"/>
      <c r="N319" s="964"/>
      <c r="O319" s="964"/>
      <c r="P319" s="964"/>
      <c r="Q319" s="962"/>
      <c r="R319" t="str" s="964" cm="1">
        <f t="array" ref="R319">IF(OR(ISBLANK($B319),NOT(ISBLANK(B319))),"",'tracking - Table 2-1-2'!C$66)</f>
      </c>
      <c r="S319" t="str" s="964" cm="1">
        <f t="array" ref="S319">IF(OR(ISBLANK($B319),NOT(ISBLANK(B319))),"",'tracking - Table 2-1-2'!D$66)</f>
      </c>
      <c r="T319" t="str" s="964" cm="1">
        <f t="array" ref="T319">IF(OR(ISBLANK($B319),NOT(ISBLANK(B319))),"",'tracking - Table 2-1-2'!E$66)</f>
      </c>
      <c r="U319" t="str" s="969" cm="1">
        <f t="array" ref="U319">IF(OR(ISBLANK($B319),ISBLANK('tracking - Table 2-1-2'!A$1)),"",'tracking - Table 2-1-2'!F$66)</f>
      </c>
    </row>
    <row r="320" ht="8.75" customHeight="1" hidden="1">
      <c r="A320" s="960">
        <v>44659</v>
      </c>
      <c r="B320" s="961">
        <v>75.5</v>
      </c>
      <c r="C320" s="965" cm="1">
        <f t="array" ref="C320">IF(ISBLANK(B320),"",B320*2.2046226218)</f>
        <v>166.4490079459</v>
      </c>
      <c r="D320" s="962" cm="1">
        <f t="array" ref="D320">IF(ISBLANK(B320),"",AVERAGE(B314:B320))</f>
        <v>74.8857142857143</v>
      </c>
      <c r="E320" s="962" cm="1">
        <f t="array" ref="E320">IF(ISBLANK(B320),"",AVERAGE(B307:B320))</f>
        <v>74.50357142857141</v>
      </c>
      <c r="F320" s="962" cm="1">
        <f t="array" ref="F320">IF(ISBLANK(B320),"",AVERAGE(B291:B320))</f>
        <v>73.48333333333331</v>
      </c>
      <c r="G320" s="964"/>
      <c r="H320" s="964"/>
      <c r="I320" s="964"/>
      <c r="J320" s="964"/>
      <c r="K320" s="964"/>
      <c r="L320" s="964"/>
      <c r="M320" s="964"/>
      <c r="N320" s="964"/>
      <c r="O320" s="964"/>
      <c r="P320" s="964"/>
      <c r="Q320" s="962"/>
      <c r="R320" t="str" s="964" cm="1">
        <f t="array" ref="R320">IF(OR(ISBLANK($B320),NOT(ISBLANK(B320))),"",'tracking - Table 2-1-2'!C$66)</f>
      </c>
      <c r="S320" t="str" s="964" cm="1">
        <f t="array" ref="S320">IF(OR(ISBLANK($B320),NOT(ISBLANK(B320))),"",'tracking - Table 2-1-2'!D$66)</f>
      </c>
      <c r="T320" t="str" s="964" cm="1">
        <f t="array" ref="T320">IF(OR(ISBLANK($B320),NOT(ISBLANK(B320))),"",'tracking - Table 2-1-2'!E$66)</f>
      </c>
      <c r="U320" t="str" s="969" cm="1">
        <f t="array" ref="U320">IF(OR(ISBLANK($B320),ISBLANK('tracking - Table 2-1-2'!A$1)),"",'tracking - Table 2-1-2'!F$66)</f>
      </c>
    </row>
    <row r="321" ht="8.75" customHeight="1" hidden="1">
      <c r="A321" s="960">
        <v>44660</v>
      </c>
      <c r="B321" s="961">
        <v>75.7</v>
      </c>
      <c r="C321" s="965" cm="1">
        <f t="array" ref="C321">IF(ISBLANK(B321),"",B321*2.2046226218)</f>
        <v>166.889932470260</v>
      </c>
      <c r="D321" s="962" cm="1">
        <f t="array" ref="D321">IF(ISBLANK(B321),"",AVERAGE(B315:B321))</f>
        <v>74.9928571428571</v>
      </c>
      <c r="E321" s="962" cm="1">
        <f t="array" ref="E321">IF(ISBLANK(B321),"",AVERAGE(B308:B321))</f>
        <v>74.6857142857143</v>
      </c>
      <c r="F321" s="962" cm="1">
        <f t="array" ref="F321">IF(ISBLANK(B321),"",AVERAGE(B292:B321))</f>
        <v>73.58499999999999</v>
      </c>
      <c r="G321" s="964"/>
      <c r="H321" s="964"/>
      <c r="I321" s="964"/>
      <c r="J321" s="964"/>
      <c r="K321" s="964"/>
      <c r="L321" s="964"/>
      <c r="M321" s="964"/>
      <c r="N321" s="964"/>
      <c r="O321" s="964"/>
      <c r="P321" s="964"/>
      <c r="Q321" s="962"/>
      <c r="R321" t="str" s="964" cm="1">
        <f t="array" ref="R321">IF(OR(ISBLANK($B321),NOT(ISBLANK(B321))),"",'tracking - Table 2-1-2'!C$66)</f>
      </c>
      <c r="S321" t="str" s="964" cm="1">
        <f t="array" ref="S321">IF(OR(ISBLANK($B321),NOT(ISBLANK(B321))),"",'tracking - Table 2-1-2'!D$66)</f>
      </c>
      <c r="T321" t="str" s="964" cm="1">
        <f t="array" ref="T321">IF(OR(ISBLANK($B321),NOT(ISBLANK(B321))),"",'tracking - Table 2-1-2'!E$66)</f>
      </c>
      <c r="U321" t="str" s="969" cm="1">
        <f t="array" ref="U321">IF(OR(ISBLANK($B321),ISBLANK('tracking - Table 2-1-2'!A$1)),"",'tracking - Table 2-1-2'!F$66)</f>
      </c>
    </row>
    <row r="322" ht="8.75" customHeight="1" hidden="1">
      <c r="A322" s="960">
        <v>44661</v>
      </c>
      <c r="B322" s="961">
        <v>74.7</v>
      </c>
      <c r="C322" s="965" cm="1">
        <f t="array" ref="C322">IF(ISBLANK(B322),"",B322*2.2046226218)</f>
        <v>164.685309848460</v>
      </c>
      <c r="D322" s="962" cm="1">
        <f t="array" ref="D322">IF(ISBLANK(B322),"",AVERAGE(B316:B322))</f>
        <v>75.03571428571431</v>
      </c>
      <c r="E322" s="962" cm="1">
        <f t="array" ref="E322">IF(ISBLANK(B322),"",AVERAGE(B309:B322))</f>
        <v>74.7678571428571</v>
      </c>
      <c r="F322" s="962" cm="1">
        <f t="array" ref="F322">IF(ISBLANK(B322),"",AVERAGE(B293:B322))</f>
        <v>73.705</v>
      </c>
      <c r="G322" s="964"/>
      <c r="H322" s="964"/>
      <c r="I322" s="964"/>
      <c r="J322" s="964"/>
      <c r="K322" s="964"/>
      <c r="L322" s="964"/>
      <c r="M322" s="964"/>
      <c r="N322" s="964"/>
      <c r="O322" s="964"/>
      <c r="P322" s="964"/>
      <c r="Q322" s="962"/>
      <c r="R322" t="str" s="964" cm="1">
        <f t="array" ref="R322">IF(OR(ISBLANK($B322),NOT(ISBLANK(B322))),"",'tracking - Table 2-1-2'!C$66)</f>
      </c>
      <c r="S322" t="str" s="964" cm="1">
        <f t="array" ref="S322">IF(OR(ISBLANK($B322),NOT(ISBLANK(B322))),"",'tracking - Table 2-1-2'!D$66)</f>
      </c>
      <c r="T322" t="str" s="964" cm="1">
        <f t="array" ref="T322">IF(OR(ISBLANK($B322),NOT(ISBLANK(B322))),"",'tracking - Table 2-1-2'!E$66)</f>
      </c>
      <c r="U322" t="str" s="969" cm="1">
        <f t="array" ref="U322">IF(OR(ISBLANK($B322),ISBLANK('tracking - Table 2-1-2'!A$1)),"",'tracking - Table 2-1-2'!F$66)</f>
      </c>
    </row>
    <row r="323" ht="8.75" customHeight="1" hidden="1">
      <c r="A323" s="960">
        <v>44662</v>
      </c>
      <c r="B323" s="961">
        <v>75.3</v>
      </c>
      <c r="C323" s="965" cm="1">
        <f t="array" ref="C323">IF(ISBLANK(B323),"",B323*2.2046226218)</f>
        <v>166.008083421540</v>
      </c>
      <c r="D323" s="962" cm="1">
        <f t="array" ref="D323">IF(ISBLANK(B323),"",AVERAGE(B317:B323))</f>
        <v>75.1142857142857</v>
      </c>
      <c r="E323" s="962" cm="1">
        <f t="array" ref="E323">IF(ISBLANK(B323),"",AVERAGE(B310:B323))</f>
        <v>74.8678571428571</v>
      </c>
      <c r="F323" s="962" cm="1">
        <f t="array" ref="F323">IF(ISBLANK(B323),"",AVERAGE(B294:B323))</f>
        <v>73.8483333333333</v>
      </c>
      <c r="G323" s="964"/>
      <c r="H323" s="964"/>
      <c r="I323" s="964"/>
      <c r="J323" s="964"/>
      <c r="K323" s="964"/>
      <c r="L323" s="964"/>
      <c r="M323" s="964"/>
      <c r="N323" s="964"/>
      <c r="O323" s="964"/>
      <c r="P323" s="964"/>
      <c r="Q323" s="962"/>
      <c r="R323" t="str" s="964" cm="1">
        <f t="array" ref="R323">IF(OR(ISBLANK($B323),NOT(ISBLANK(B323))),"",'tracking - Table 2-1-2'!C$66)</f>
      </c>
      <c r="S323" t="str" s="964" cm="1">
        <f t="array" ref="S323">IF(OR(ISBLANK($B323),NOT(ISBLANK(B323))),"",'tracking - Table 2-1-2'!D$66)</f>
      </c>
      <c r="T323" t="str" s="964" cm="1">
        <f t="array" ref="T323">IF(OR(ISBLANK($B323),NOT(ISBLANK(B323))),"",'tracking - Table 2-1-2'!E$66)</f>
      </c>
      <c r="U323" t="str" s="969" cm="1">
        <f t="array" ref="U323">IF(OR(ISBLANK($B323),ISBLANK('tracking - Table 2-1-2'!A$1)),"",'tracking - Table 2-1-2'!F$66)</f>
      </c>
    </row>
    <row r="324" ht="8.75" customHeight="1" hidden="1">
      <c r="A324" s="960">
        <v>44663</v>
      </c>
      <c r="B324" s="961">
        <v>75.5</v>
      </c>
      <c r="C324" s="965" cm="1">
        <f t="array" ref="C324">IF(ISBLANK(B324),"",B324*2.2046226218)</f>
        <v>166.4490079459</v>
      </c>
      <c r="D324" s="962" cm="1">
        <f t="array" ref="D324">IF(ISBLANK(B324),"",AVERAGE(B318:B324))</f>
        <v>75.1857142857143</v>
      </c>
      <c r="E324" s="962" cm="1">
        <f t="array" ref="E324">IF(ISBLANK(B324),"",AVERAGE(B311:B324))</f>
        <v>74.95</v>
      </c>
      <c r="F324" s="962" cm="1">
        <f t="array" ref="F324">IF(ISBLANK(B324),"",AVERAGE(B295:B324))</f>
        <v>74.02500000000001</v>
      </c>
      <c r="G324" s="964"/>
      <c r="H324" s="964"/>
      <c r="I324" s="964"/>
      <c r="J324" s="964"/>
      <c r="K324" s="964"/>
      <c r="L324" s="964"/>
      <c r="M324" s="964"/>
      <c r="N324" s="964"/>
      <c r="O324" s="964"/>
      <c r="P324" s="964"/>
      <c r="Q324" s="962"/>
      <c r="R324" t="str" s="964" cm="1">
        <f t="array" ref="R324">IF(OR(ISBLANK($B324),NOT(ISBLANK(B324))),"",'tracking - Table 2-1-2'!C$66)</f>
      </c>
      <c r="S324" t="str" s="964" cm="1">
        <f t="array" ref="S324">IF(OR(ISBLANK($B324),NOT(ISBLANK(B324))),"",'tracking - Table 2-1-2'!D$66)</f>
      </c>
      <c r="T324" t="str" s="964" cm="1">
        <f t="array" ref="T324">IF(OR(ISBLANK($B324),NOT(ISBLANK(B324))),"",'tracking - Table 2-1-2'!E$66)</f>
      </c>
      <c r="U324" t="str" s="969" cm="1">
        <f t="array" ref="U324">IF(OR(ISBLANK($B324),ISBLANK('tracking - Table 2-1-2'!A$1)),"",'tracking - Table 2-1-2'!F$66)</f>
      </c>
    </row>
    <row r="325" ht="8.75" customHeight="1" hidden="1">
      <c r="A325" s="960">
        <v>44664</v>
      </c>
      <c r="B325" s="961">
        <v>75.40000000000001</v>
      </c>
      <c r="C325" s="965" cm="1">
        <f t="array" ref="C325">IF(ISBLANK(B325),"",B325*2.2046226218)</f>
        <v>166.228545683720</v>
      </c>
      <c r="D325" s="962" cm="1">
        <f t="array" ref="D325">IF(ISBLANK(B325),"",AVERAGE(B319:B325))</f>
        <v>75.2714285714286</v>
      </c>
      <c r="E325" s="962" cm="1">
        <f t="array" ref="E325">IF(ISBLANK(B325),"",AVERAGE(B312:B325))</f>
        <v>75.0214285714286</v>
      </c>
      <c r="F325" s="962" cm="1">
        <f t="array" ref="F325">IF(ISBLANK(B325),"",AVERAGE(B296:B325))</f>
        <v>74.125</v>
      </c>
      <c r="G325" s="964"/>
      <c r="H325" s="964"/>
      <c r="I325" s="964"/>
      <c r="J325" s="964"/>
      <c r="K325" s="964"/>
      <c r="L325" s="964"/>
      <c r="M325" s="964"/>
      <c r="N325" s="964"/>
      <c r="O325" s="964"/>
      <c r="P325" s="964"/>
      <c r="Q325" s="962"/>
      <c r="R325" t="str" s="964" cm="1">
        <f t="array" ref="R325">IF(OR(ISBLANK($B325),NOT(ISBLANK(B325))),"",'tracking - Table 2-1-2'!C$66)</f>
      </c>
      <c r="S325" t="str" s="964" cm="1">
        <f t="array" ref="S325">IF(OR(ISBLANK($B325),NOT(ISBLANK(B325))),"",'tracking - Table 2-1-2'!D$66)</f>
      </c>
      <c r="T325" t="str" s="964" cm="1">
        <f t="array" ref="T325">IF(OR(ISBLANK($B325),NOT(ISBLANK(B325))),"",'tracking - Table 2-1-2'!E$66)</f>
      </c>
      <c r="U325" t="str" s="969" cm="1">
        <f t="array" ref="U325">IF(OR(ISBLANK($B325),ISBLANK('tracking - Table 2-1-2'!A$1)),"",'tracking - Table 2-1-2'!F$66)</f>
      </c>
    </row>
    <row r="326" ht="8.75" customHeight="1" hidden="1">
      <c r="A326" s="960">
        <v>44665</v>
      </c>
      <c r="B326" s="961">
        <v>74.34999999999999</v>
      </c>
      <c r="C326" s="965" cm="1">
        <f t="array" ref="C326">IF(ISBLANK(B326),"",B326*2.2046226218)</f>
        <v>163.913691930830</v>
      </c>
      <c r="D326" s="962" cm="1">
        <f t="array" ref="D326">IF(ISBLANK(B326),"",AVERAGE(B320:B326))</f>
        <v>75.2071428571429</v>
      </c>
      <c r="E326" s="962" cm="1">
        <f t="array" ref="E326">IF(ISBLANK(B326),"",AVERAGE(B313:B326))</f>
        <v>74.9821428571429</v>
      </c>
      <c r="F326" s="962" cm="1">
        <f t="array" ref="F326">IF(ISBLANK(B326),"",AVERAGE(B297:B326))</f>
        <v>74.1733333333333</v>
      </c>
      <c r="G326" s="964"/>
      <c r="H326" s="964"/>
      <c r="I326" s="964"/>
      <c r="J326" s="964"/>
      <c r="K326" s="964"/>
      <c r="L326" s="964"/>
      <c r="M326" s="964"/>
      <c r="N326" s="964"/>
      <c r="O326" s="964"/>
      <c r="P326" s="964"/>
      <c r="Q326" s="962"/>
      <c r="R326" t="str" s="964" cm="1">
        <f t="array" ref="R326">IF(OR(ISBLANK($B326),NOT(ISBLANK(B326))),"",'tracking - Table 2-1-2'!C$66)</f>
      </c>
      <c r="S326" t="str" s="964" cm="1">
        <f t="array" ref="S326">IF(OR(ISBLANK($B326),NOT(ISBLANK(B326))),"",'tracking - Table 2-1-2'!D$66)</f>
      </c>
      <c r="T326" t="str" s="964" cm="1">
        <f t="array" ref="T326">IF(OR(ISBLANK($B326),NOT(ISBLANK(B326))),"",'tracking - Table 2-1-2'!E$66)</f>
      </c>
      <c r="U326" t="str" s="969" cm="1">
        <f t="array" ref="U326">IF(OR(ISBLANK($B326),ISBLANK('tracking - Table 2-1-2'!A$1)),"",'tracking - Table 2-1-2'!F$66)</f>
      </c>
    </row>
    <row r="327" ht="8.75" customHeight="1" hidden="1">
      <c r="A327" s="960">
        <v>44666</v>
      </c>
      <c r="B327" s="961">
        <v>75.2</v>
      </c>
      <c r="C327" s="965" cm="1">
        <f t="array" ref="C327">IF(ISBLANK(B327),"",B327*2.2046226218)</f>
        <v>165.787621159360</v>
      </c>
      <c r="D327" s="962" cm="1">
        <f t="array" ref="D327">IF(ISBLANK(B327),"",AVERAGE(B321:B327))</f>
        <v>75.1642857142857</v>
      </c>
      <c r="E327" s="962" cm="1">
        <f t="array" ref="E327">IF(ISBLANK(B327),"",AVERAGE(B314:B327))</f>
        <v>75.02500000000001</v>
      </c>
      <c r="F327" s="962" cm="1">
        <f t="array" ref="F327">IF(ISBLANK(B327),"",AVERAGE(B298:B327))</f>
        <v>74.25</v>
      </c>
      <c r="G327" s="964"/>
      <c r="H327" s="964"/>
      <c r="I327" s="964"/>
      <c r="J327" s="964"/>
      <c r="K327" s="964"/>
      <c r="L327" s="964"/>
      <c r="M327" s="964"/>
      <c r="N327" s="964"/>
      <c r="O327" s="964"/>
      <c r="P327" s="964"/>
      <c r="Q327" s="962"/>
      <c r="R327" t="str" s="964" cm="1">
        <f t="array" ref="R327">IF(OR(ISBLANK($B327),NOT(ISBLANK(B327))),"",'tracking - Table 2-1-2'!C$66)</f>
      </c>
      <c r="S327" t="str" s="964" cm="1">
        <f t="array" ref="S327">IF(OR(ISBLANK($B327),NOT(ISBLANK(B327))),"",'tracking - Table 2-1-2'!D$66)</f>
      </c>
      <c r="T327" t="str" s="964" cm="1">
        <f t="array" ref="T327">IF(OR(ISBLANK($B327),NOT(ISBLANK(B327))),"",'tracking - Table 2-1-2'!E$66)</f>
      </c>
      <c r="U327" t="str" s="969" cm="1">
        <f t="array" ref="U327">IF(OR(ISBLANK($B327),ISBLANK('tracking - Table 2-1-2'!A$1)),"",'tracking - Table 2-1-2'!F$66)</f>
      </c>
    </row>
    <row r="328" ht="8.75" customHeight="1" hidden="1">
      <c r="A328" s="960">
        <v>44667</v>
      </c>
      <c r="B328" s="961">
        <v>76.09999999999999</v>
      </c>
      <c r="C328" s="965" cm="1">
        <f t="array" ref="C328">IF(ISBLANK(B328),"",B328*2.2046226218)</f>
        <v>167.771781518980</v>
      </c>
      <c r="D328" s="962" cm="1">
        <f t="array" ref="D328">IF(ISBLANK(B328),"",AVERAGE(B322:B328))</f>
        <v>75.2214285714286</v>
      </c>
      <c r="E328" s="962" cm="1">
        <f t="array" ref="E328">IF(ISBLANK(B328),"",AVERAGE(B315:B328))</f>
        <v>75.1071428571429</v>
      </c>
      <c r="F328" s="962" cm="1">
        <f t="array" ref="F328">IF(ISBLANK(B328),"",AVERAGE(B299:B328))</f>
        <v>74.3483333333333</v>
      </c>
      <c r="G328" s="964"/>
      <c r="H328" s="964"/>
      <c r="I328" s="964"/>
      <c r="J328" s="964"/>
      <c r="K328" s="964"/>
      <c r="L328" s="964"/>
      <c r="M328" s="964"/>
      <c r="N328" s="964"/>
      <c r="O328" s="964"/>
      <c r="P328" s="964"/>
      <c r="Q328" s="962"/>
      <c r="R328" t="str" s="964" cm="1">
        <f t="array" ref="R328">IF(OR(ISBLANK($B328),NOT(ISBLANK(B328))),"",'tracking - Table 2-1-2'!C$66)</f>
      </c>
      <c r="S328" t="str" s="964" cm="1">
        <f t="array" ref="S328">IF(OR(ISBLANK($B328),NOT(ISBLANK(B328))),"",'tracking - Table 2-1-2'!D$66)</f>
      </c>
      <c r="T328" t="str" s="964" cm="1">
        <f t="array" ref="T328">IF(OR(ISBLANK($B328),NOT(ISBLANK(B328))),"",'tracking - Table 2-1-2'!E$66)</f>
      </c>
      <c r="U328" t="str" s="969" cm="1">
        <f t="array" ref="U328">IF(OR(ISBLANK($B328),ISBLANK('tracking - Table 2-1-2'!A$1)),"",'tracking - Table 2-1-2'!F$66)</f>
      </c>
    </row>
    <row r="329" ht="8.75" customHeight="1" hidden="1">
      <c r="A329" s="960">
        <v>44668</v>
      </c>
      <c r="B329" s="961">
        <v>75.95</v>
      </c>
      <c r="C329" s="965" cm="1">
        <f t="array" ref="C329">IF(ISBLANK(B329),"",B329*2.2046226218)</f>
        <v>167.441088125710</v>
      </c>
      <c r="D329" s="962" cm="1">
        <f t="array" ref="D329">IF(ISBLANK(B329),"",AVERAGE(B323:B329))</f>
        <v>75.40000000000001</v>
      </c>
      <c r="E329" s="962" cm="1">
        <f t="array" ref="E329">IF(ISBLANK(B329),"",AVERAGE(B316:B329))</f>
        <v>75.2178571428571</v>
      </c>
      <c r="F329" s="962" cm="1">
        <f t="array" ref="F329">IF(ISBLANK(B329),"",AVERAGE(B300:B329))</f>
        <v>74.4516666666667</v>
      </c>
      <c r="G329" s="964"/>
      <c r="H329" s="964"/>
      <c r="I329" s="964"/>
      <c r="J329" s="964"/>
      <c r="K329" s="964"/>
      <c r="L329" s="964"/>
      <c r="M329" s="964"/>
      <c r="N329" s="964"/>
      <c r="O329" s="964"/>
      <c r="P329" s="964"/>
      <c r="Q329" s="962"/>
      <c r="R329" t="str" s="964" cm="1">
        <f t="array" ref="R329">IF(OR(ISBLANK($B329),NOT(ISBLANK(B329))),"",'tracking - Table 2-1-2'!C$66)</f>
      </c>
      <c r="S329" t="str" s="964" cm="1">
        <f t="array" ref="S329">IF(OR(ISBLANK($B329),NOT(ISBLANK(B329))),"",'tracking - Table 2-1-2'!D$66)</f>
      </c>
      <c r="T329" t="str" s="964" cm="1">
        <f t="array" ref="T329">IF(OR(ISBLANK($B329),NOT(ISBLANK(B329))),"",'tracking - Table 2-1-2'!E$66)</f>
      </c>
      <c r="U329" t="str" s="969" cm="1">
        <f t="array" ref="U329">IF(OR(ISBLANK($B329),ISBLANK('tracking - Table 2-1-2'!A$1)),"",'tracking - Table 2-1-2'!F$66)</f>
      </c>
    </row>
    <row r="330" ht="8.75" customHeight="1" hidden="1">
      <c r="A330" s="960">
        <v>44669</v>
      </c>
      <c r="B330" s="961">
        <v>76.3</v>
      </c>
      <c r="C330" s="965" cm="1">
        <f t="array" ref="C330">IF(ISBLANK(B330),"",B330*2.2046226218)</f>
        <v>168.212706043340</v>
      </c>
      <c r="D330" s="962" cm="1">
        <f t="array" ref="D330">IF(ISBLANK(B330),"",AVERAGE(B324:B330))</f>
        <v>75.5428571428571</v>
      </c>
      <c r="E330" s="962" cm="1">
        <f t="array" ref="E330">IF(ISBLANK(B330),"",AVERAGE(B317:B330))</f>
        <v>75.32857142857139</v>
      </c>
      <c r="F330" s="962" cm="1">
        <f t="array" ref="F330">IF(ISBLANK(B330),"",AVERAGE(B301:B330))</f>
        <v>74.55500000000001</v>
      </c>
      <c r="G330" s="964"/>
      <c r="H330" s="964"/>
      <c r="I330" s="964"/>
      <c r="J330" s="964"/>
      <c r="K330" s="964"/>
      <c r="L330" s="964"/>
      <c r="M330" s="964"/>
      <c r="N330" s="964"/>
      <c r="O330" s="964"/>
      <c r="P330" s="964"/>
      <c r="Q330" s="962"/>
      <c r="R330" t="str" s="964" cm="1">
        <f t="array" ref="R330">IF(OR(ISBLANK($B330),NOT(ISBLANK(B330))),"",'tracking - Table 2-1-2'!C$66)</f>
      </c>
      <c r="S330" t="str" s="964" cm="1">
        <f t="array" ref="S330">IF(OR(ISBLANK($B330),NOT(ISBLANK(B330))),"",'tracking - Table 2-1-2'!D$66)</f>
      </c>
      <c r="T330" t="str" s="964" cm="1">
        <f t="array" ref="T330">IF(OR(ISBLANK($B330),NOT(ISBLANK(B330))),"",'tracking - Table 2-1-2'!E$66)</f>
      </c>
      <c r="U330" t="str" s="969" cm="1">
        <f t="array" ref="U330">IF(OR(ISBLANK($B330),ISBLANK('tracking - Table 2-1-2'!A$1)),"",'tracking - Table 2-1-2'!F$66)</f>
      </c>
    </row>
    <row r="331" ht="8.75" customHeight="1" hidden="1">
      <c r="A331" s="960">
        <v>44670</v>
      </c>
      <c r="B331" s="961">
        <v>76.3</v>
      </c>
      <c r="C331" s="965" cm="1">
        <f t="array" ref="C331">IF(ISBLANK(B331),"",B331*2.2046226218)</f>
        <v>168.212706043340</v>
      </c>
      <c r="D331" s="962" cm="1">
        <f t="array" ref="D331">IF(ISBLANK(B331),"",AVERAGE(B325:B331))</f>
        <v>75.6571428571429</v>
      </c>
      <c r="E331" s="962" cm="1">
        <f t="array" ref="E331">IF(ISBLANK(B331),"",AVERAGE(B318:B331))</f>
        <v>75.42142857142861</v>
      </c>
      <c r="F331" s="962" cm="1">
        <f t="array" ref="F331">IF(ISBLANK(B331),"",AVERAGE(B302:B331))</f>
        <v>74.66</v>
      </c>
      <c r="G331" s="964"/>
      <c r="H331" s="964"/>
      <c r="I331" s="964"/>
      <c r="J331" s="964"/>
      <c r="K331" s="964"/>
      <c r="L331" s="964"/>
      <c r="M331" s="964"/>
      <c r="N331" s="964"/>
      <c r="O331" s="964"/>
      <c r="P331" s="964"/>
      <c r="Q331" s="962"/>
      <c r="R331" t="str" s="964" cm="1">
        <f t="array" ref="R331">IF(OR(ISBLANK($B331),NOT(ISBLANK(B331))),"",'tracking - Table 2-1-2'!C$66)</f>
      </c>
      <c r="S331" t="str" s="964" cm="1">
        <f t="array" ref="S331">IF(OR(ISBLANK($B331),NOT(ISBLANK(B331))),"",'tracking - Table 2-1-2'!D$66)</f>
      </c>
      <c r="T331" t="str" s="964" cm="1">
        <f t="array" ref="T331">IF(OR(ISBLANK($B331),NOT(ISBLANK(B331))),"",'tracking - Table 2-1-2'!E$66)</f>
      </c>
      <c r="U331" t="str" s="969" cm="1">
        <f t="array" ref="U331">IF(OR(ISBLANK($B331),ISBLANK('tracking - Table 2-1-2'!A$1)),"",'tracking - Table 2-1-2'!F$66)</f>
      </c>
    </row>
    <row r="332" ht="8.75" customHeight="1" hidden="1">
      <c r="A332" s="960">
        <v>44671</v>
      </c>
      <c r="B332" s="961">
        <v>76.40000000000001</v>
      </c>
      <c r="C332" s="965" cm="1">
        <f t="array" ref="C332">IF(ISBLANK(B332),"",B332*2.2046226218)</f>
        <v>168.433168305520</v>
      </c>
      <c r="D332" s="962" cm="1">
        <f t="array" ref="D332">IF(ISBLANK(B332),"",AVERAGE(B326:B332))</f>
        <v>75.8</v>
      </c>
      <c r="E332" s="962" cm="1">
        <f t="array" ref="E332">IF(ISBLANK(B332),"",AVERAGE(B319:B332))</f>
        <v>75.53571428571431</v>
      </c>
      <c r="F332" s="962" cm="1">
        <f t="array" ref="F332">IF(ISBLANK(B332),"",AVERAGE(B303:B332))</f>
        <v>74.77833333333329</v>
      </c>
      <c r="G332" s="964"/>
      <c r="H332" s="964"/>
      <c r="I332" s="964"/>
      <c r="J332" s="964"/>
      <c r="K332" s="964"/>
      <c r="L332" s="964"/>
      <c r="M332" s="964"/>
      <c r="N332" s="964"/>
      <c r="O332" s="964"/>
      <c r="P332" s="964"/>
      <c r="Q332" s="962"/>
      <c r="R332" t="str" s="964" cm="1">
        <f t="array" ref="R332">IF(OR(ISBLANK($B332),NOT(ISBLANK(B332))),"",'tracking - Table 2-1-2'!C$66)</f>
      </c>
      <c r="S332" t="str" s="964" cm="1">
        <f t="array" ref="S332">IF(OR(ISBLANK($B332),NOT(ISBLANK(B332))),"",'tracking - Table 2-1-2'!D$66)</f>
      </c>
      <c r="T332" t="str" s="964" cm="1">
        <f t="array" ref="T332">IF(OR(ISBLANK($B332),NOT(ISBLANK(B332))),"",'tracking - Table 2-1-2'!E$66)</f>
      </c>
      <c r="U332" t="str" s="969" cm="1">
        <f t="array" ref="U332">IF(OR(ISBLANK($B332),ISBLANK('tracking - Table 2-1-2'!A$1)),"",'tracking - Table 2-1-2'!F$66)</f>
      </c>
    </row>
    <row r="333" ht="8.75" customHeight="1" hidden="1">
      <c r="A333" s="960">
        <v>44672</v>
      </c>
      <c r="B333" s="961">
        <v>76</v>
      </c>
      <c r="C333" s="965" cm="1">
        <f t="array" ref="C333">IF(ISBLANK(B333),"",B333*2.2046226218)</f>
        <v>167.5513192568</v>
      </c>
      <c r="D333" s="962" cm="1">
        <f t="array" ref="D333">IF(ISBLANK(B333),"",AVERAGE(B327:B333))</f>
        <v>76.03571428571431</v>
      </c>
      <c r="E333" s="962" cm="1">
        <f t="array" ref="E333">IF(ISBLANK(B333),"",AVERAGE(B320:B333))</f>
        <v>75.62142857142859</v>
      </c>
      <c r="F333" s="962" cm="1">
        <f t="array" ref="F333">IF(ISBLANK(B333),"",AVERAGE(B304:B333))</f>
        <v>74.85833333333331</v>
      </c>
      <c r="G333" s="964"/>
      <c r="H333" s="964"/>
      <c r="I333" s="964"/>
      <c r="J333" s="964"/>
      <c r="K333" s="964"/>
      <c r="L333" s="964"/>
      <c r="M333" s="964"/>
      <c r="N333" s="964"/>
      <c r="O333" s="964"/>
      <c r="P333" s="964"/>
      <c r="Q333" s="962"/>
      <c r="R333" t="str" s="964" cm="1">
        <f t="array" ref="R333">IF(OR(ISBLANK($B333),NOT(ISBLANK(B333))),"",'tracking - Table 2-1-2'!C$66)</f>
      </c>
      <c r="S333" t="str" s="964" cm="1">
        <f t="array" ref="S333">IF(OR(ISBLANK($B333),NOT(ISBLANK(B333))),"",'tracking - Table 2-1-2'!D$66)</f>
      </c>
      <c r="T333" t="str" s="964" cm="1">
        <f t="array" ref="T333">IF(OR(ISBLANK($B333),NOT(ISBLANK(B333))),"",'tracking - Table 2-1-2'!E$66)</f>
      </c>
      <c r="U333" t="str" s="969" cm="1">
        <f t="array" ref="U333">IF(OR(ISBLANK($B333),ISBLANK('tracking - Table 2-1-2'!A$1)),"",'tracking - Table 2-1-2'!F$66)</f>
      </c>
    </row>
    <row r="334" ht="8.75" customHeight="1" hidden="1">
      <c r="A334" s="960">
        <v>44673</v>
      </c>
      <c r="B334" s="961">
        <v>75.95</v>
      </c>
      <c r="C334" s="965" cm="1">
        <f t="array" ref="C334">IF(ISBLANK(B334),"",B334*2.2046226218)</f>
        <v>167.441088125710</v>
      </c>
      <c r="D334" s="962" cm="1">
        <f t="array" ref="D334">IF(ISBLANK(B334),"",AVERAGE(B328:B334))</f>
        <v>76.1428571428571</v>
      </c>
      <c r="E334" s="962" cm="1">
        <f t="array" ref="E334">IF(ISBLANK(B334),"",AVERAGE(B321:B334))</f>
        <v>75.6535714285714</v>
      </c>
      <c r="F334" s="962" cm="1">
        <f t="array" ref="F334">IF(ISBLANK(B334),"",AVERAGE(B305:B334))</f>
        <v>74.9233333333333</v>
      </c>
      <c r="G334" s="964"/>
      <c r="H334" s="964"/>
      <c r="I334" s="964"/>
      <c r="J334" s="964"/>
      <c r="K334" s="964"/>
      <c r="L334" s="964"/>
      <c r="M334" s="964"/>
      <c r="N334" s="964"/>
      <c r="O334" s="964"/>
      <c r="P334" s="964"/>
      <c r="Q334" s="962"/>
      <c r="R334" t="str" s="964" cm="1">
        <f t="array" ref="R334">IF(OR(ISBLANK($B334),NOT(ISBLANK(B334))),"",'tracking - Table 2-1-2'!C$66)</f>
      </c>
      <c r="S334" t="str" s="964" cm="1">
        <f t="array" ref="S334">IF(OR(ISBLANK($B334),NOT(ISBLANK(B334))),"",'tracking - Table 2-1-2'!D$66)</f>
      </c>
      <c r="T334" t="str" s="964" cm="1">
        <f t="array" ref="T334">IF(OR(ISBLANK($B334),NOT(ISBLANK(B334))),"",'tracking - Table 2-1-2'!E$66)</f>
      </c>
      <c r="U334" t="str" s="969" cm="1">
        <f t="array" ref="U334">IF(OR(ISBLANK($B334),ISBLANK('tracking - Table 2-1-2'!A$1)),"",'tracking - Table 2-1-2'!F$66)</f>
      </c>
    </row>
    <row r="335" ht="8.75" customHeight="1" hidden="1">
      <c r="A335" s="960">
        <v>44674</v>
      </c>
      <c r="B335" s="961">
        <v>76.5</v>
      </c>
      <c r="C335" s="965" cm="1">
        <f t="array" ref="C335">IF(ISBLANK(B335),"",B335*2.2046226218)</f>
        <v>168.6536305677</v>
      </c>
      <c r="D335" s="962" cm="1">
        <f t="array" ref="D335">IF(ISBLANK(B335),"",AVERAGE(B329:B335))</f>
        <v>76.2</v>
      </c>
      <c r="E335" s="962" cm="1">
        <f t="array" ref="E335">IF(ISBLANK(B335),"",AVERAGE(B322:B335))</f>
        <v>75.7107142857143</v>
      </c>
      <c r="F335" s="962" cm="1">
        <f t="array" ref="F335">IF(ISBLANK(B335),"",AVERAGE(B306:B335))</f>
        <v>75.0266666666667</v>
      </c>
      <c r="G335" s="964"/>
      <c r="H335" s="964"/>
      <c r="I335" s="964"/>
      <c r="J335" s="964"/>
      <c r="K335" s="964"/>
      <c r="L335" s="964"/>
      <c r="M335" s="964"/>
      <c r="N335" s="964"/>
      <c r="O335" s="964"/>
      <c r="P335" s="964"/>
      <c r="Q335" s="962"/>
      <c r="R335" t="str" s="964" cm="1">
        <f t="array" ref="R335">IF(OR(ISBLANK($B335),NOT(ISBLANK(B335))),"",'tracking - Table 2-1-2'!C$66)</f>
      </c>
      <c r="S335" t="str" s="964" cm="1">
        <f t="array" ref="S335">IF(OR(ISBLANK($B335),NOT(ISBLANK(B335))),"",'tracking - Table 2-1-2'!D$66)</f>
      </c>
      <c r="T335" t="str" s="964" cm="1">
        <f t="array" ref="T335">IF(OR(ISBLANK($B335),NOT(ISBLANK(B335))),"",'tracking - Table 2-1-2'!E$66)</f>
      </c>
      <c r="U335" t="str" s="969" cm="1">
        <f t="array" ref="U335">IF(OR(ISBLANK($B335),ISBLANK('tracking - Table 2-1-2'!A$1)),"",'tracking - Table 2-1-2'!F$66)</f>
      </c>
    </row>
    <row r="336" ht="8.75" customHeight="1" hidden="1">
      <c r="A336" s="960">
        <v>44675</v>
      </c>
      <c r="B336" s="961">
        <v>77.15000000000001</v>
      </c>
      <c r="C336" s="965" cm="1">
        <f t="array" ref="C336">IF(ISBLANK(B336),"",B336*2.2046226218)</f>
        <v>170.086635271870</v>
      </c>
      <c r="D336" s="962" cm="1">
        <f t="array" ref="D336">IF(ISBLANK(B336),"",AVERAGE(B330:B336))</f>
        <v>76.37142857142859</v>
      </c>
      <c r="E336" s="962" cm="1">
        <f t="array" ref="E336">IF(ISBLANK(B336),"",AVERAGE(B323:B336))</f>
        <v>75.8857142857143</v>
      </c>
      <c r="F336" s="962" cm="1">
        <f t="array" ref="F336">IF(ISBLANK(B336),"",AVERAGE(B307:B336))</f>
        <v>75.19499999999999</v>
      </c>
      <c r="G336" s="964"/>
      <c r="H336" s="964"/>
      <c r="I336" s="964"/>
      <c r="J336" s="964"/>
      <c r="K336" s="964"/>
      <c r="L336" s="964"/>
      <c r="M336" s="964"/>
      <c r="N336" s="964"/>
      <c r="O336" s="964"/>
      <c r="P336" s="964"/>
      <c r="Q336" s="962"/>
      <c r="R336" t="str" s="964" cm="1">
        <f t="array" ref="R336">IF(OR(ISBLANK($B336),NOT(ISBLANK(B336))),"",'tracking - Table 2-1-2'!C$66)</f>
      </c>
      <c r="S336" t="str" s="964" cm="1">
        <f t="array" ref="S336">IF(OR(ISBLANK($B336),NOT(ISBLANK(B336))),"",'tracking - Table 2-1-2'!D$66)</f>
      </c>
      <c r="T336" t="str" s="964" cm="1">
        <f t="array" ref="T336">IF(OR(ISBLANK($B336),NOT(ISBLANK(B336))),"",'tracking - Table 2-1-2'!E$66)</f>
      </c>
      <c r="U336" t="str" s="969" cm="1">
        <f t="array" ref="U336">IF(OR(ISBLANK($B336),ISBLANK('tracking - Table 2-1-2'!A$1)),"",'tracking - Table 2-1-2'!F$66)</f>
      </c>
    </row>
    <row r="337" ht="8.75" customHeight="1" hidden="1">
      <c r="A337" s="960">
        <v>44676</v>
      </c>
      <c r="B337" s="961">
        <v>77.2</v>
      </c>
      <c r="C337" s="965" cm="1">
        <f t="array" ref="C337">IF(ISBLANK(B337),"",B337*2.2046226218)</f>
        <v>170.196866402960</v>
      </c>
      <c r="D337" s="962" cm="1">
        <f t="array" ref="D337">IF(ISBLANK(B337),"",AVERAGE(B331:B337))</f>
        <v>76.5</v>
      </c>
      <c r="E337" s="962" cm="1">
        <f t="array" ref="E337">IF(ISBLANK(B337),"",AVERAGE(B324:B337))</f>
        <v>76.0214285714286</v>
      </c>
      <c r="F337" s="962" cm="1">
        <f t="array" ref="F337">IF(ISBLANK(B337),"",AVERAGE(B308:B337))</f>
        <v>75.33</v>
      </c>
      <c r="G337" s="964"/>
      <c r="H337" s="964"/>
      <c r="I337" s="964"/>
      <c r="J337" s="964"/>
      <c r="K337" s="964"/>
      <c r="L337" s="964"/>
      <c r="M337" s="964"/>
      <c r="N337" s="964"/>
      <c r="O337" s="964"/>
      <c r="P337" s="964"/>
      <c r="Q337" s="962"/>
      <c r="R337" t="str" s="964" cm="1">
        <f t="array" ref="R337">IF(OR(ISBLANK($B337),NOT(ISBLANK(B337))),"",'tracking - Table 2-1-2'!C$66)</f>
      </c>
      <c r="S337" t="str" s="964" cm="1">
        <f t="array" ref="S337">IF(OR(ISBLANK($B337),NOT(ISBLANK(B337))),"",'tracking - Table 2-1-2'!D$66)</f>
      </c>
      <c r="T337" t="str" s="964" cm="1">
        <f t="array" ref="T337">IF(OR(ISBLANK($B337),NOT(ISBLANK(B337))),"",'tracking - Table 2-1-2'!E$66)</f>
      </c>
      <c r="U337" t="str" s="969" cm="1">
        <f t="array" ref="U337">IF(OR(ISBLANK($B337),ISBLANK('tracking - Table 2-1-2'!A$1)),"",'tracking - Table 2-1-2'!F$66)</f>
      </c>
    </row>
    <row r="338" ht="8.75" customHeight="1" hidden="1">
      <c r="A338" s="960">
        <v>44677</v>
      </c>
      <c r="B338" s="961">
        <v>77.3</v>
      </c>
      <c r="C338" s="965" cm="1">
        <f t="array" ref="C338">IF(ISBLANK(B338),"",B338*2.2046226218)</f>
        <v>170.417328665140</v>
      </c>
      <c r="D338" s="962" cm="1">
        <f t="array" ref="D338">IF(ISBLANK(B338),"",AVERAGE(B332:B338))</f>
        <v>76.6428571428571</v>
      </c>
      <c r="E338" s="962" cm="1">
        <f t="array" ref="E338">IF(ISBLANK(B338),"",AVERAGE(B325:B338))</f>
        <v>76.15000000000001</v>
      </c>
      <c r="F338" s="962" cm="1">
        <f t="array" ref="F338">IF(ISBLANK(B338),"",AVERAGE(B309:B338))</f>
        <v>75.455</v>
      </c>
      <c r="G338" s="964"/>
      <c r="H338" s="964"/>
      <c r="I338" s="964"/>
      <c r="J338" s="964"/>
      <c r="K338" s="964"/>
      <c r="L338" s="964"/>
      <c r="M338" s="964"/>
      <c r="N338" s="964"/>
      <c r="O338" s="964"/>
      <c r="P338" s="964"/>
      <c r="Q338" s="962"/>
      <c r="R338" t="str" s="964" cm="1">
        <f t="array" ref="R338">IF(OR(ISBLANK($B338),NOT(ISBLANK(B338))),"",'tracking - Table 2-1-2'!C$66)</f>
      </c>
      <c r="S338" t="str" s="964" cm="1">
        <f t="array" ref="S338">IF(OR(ISBLANK($B338),NOT(ISBLANK(B338))),"",'tracking - Table 2-1-2'!D$66)</f>
      </c>
      <c r="T338" t="str" s="964" cm="1">
        <f t="array" ref="T338">IF(OR(ISBLANK($B338),NOT(ISBLANK(B338))),"",'tracking - Table 2-1-2'!E$66)</f>
      </c>
      <c r="U338" t="str" s="969" cm="1">
        <f t="array" ref="U338">IF(OR(ISBLANK($B338),ISBLANK('tracking - Table 2-1-2'!A$1)),"",'tracking - Table 2-1-2'!F$66)</f>
      </c>
    </row>
    <row r="339" ht="8.75" customHeight="1" hidden="1">
      <c r="A339" s="960">
        <v>44678</v>
      </c>
      <c r="B339" s="961">
        <v>77.3</v>
      </c>
      <c r="C339" s="965" cm="1">
        <f t="array" ref="C339">IF(ISBLANK(B339),"",B339*2.2046226218)</f>
        <v>170.417328665140</v>
      </c>
      <c r="D339" s="962" cm="1">
        <f t="array" ref="D339">IF(ISBLANK(B339),"",AVERAGE(B333:B339))</f>
        <v>76.7714285714286</v>
      </c>
      <c r="E339" s="962" cm="1">
        <f t="array" ref="E339">IF(ISBLANK(B339),"",AVERAGE(B326:B339))</f>
        <v>76.28571428571431</v>
      </c>
      <c r="F339" s="962" cm="1">
        <f t="array" ref="F339">IF(ISBLANK(B339),"",AVERAGE(B310:B339))</f>
        <v>75.5683333333333</v>
      </c>
      <c r="G339" s="964"/>
      <c r="H339" s="964"/>
      <c r="I339" s="964"/>
      <c r="J339" s="964"/>
      <c r="K339" s="964"/>
      <c r="L339" s="964"/>
      <c r="M339" s="964"/>
      <c r="N339" s="964"/>
      <c r="O339" s="964"/>
      <c r="P339" s="964"/>
      <c r="Q339" s="962"/>
      <c r="R339" t="str" s="964" cm="1">
        <f t="array" ref="R339">IF(OR(ISBLANK($B339),NOT(ISBLANK(B339))),"",'tracking - Table 2-1-2'!C$66)</f>
      </c>
      <c r="S339" t="str" s="964" cm="1">
        <f t="array" ref="S339">IF(OR(ISBLANK($B339),NOT(ISBLANK(B339))),"",'tracking - Table 2-1-2'!D$66)</f>
      </c>
      <c r="T339" t="str" s="964" cm="1">
        <f t="array" ref="T339">IF(OR(ISBLANK($B339),NOT(ISBLANK(B339))),"",'tracking - Table 2-1-2'!E$66)</f>
      </c>
      <c r="U339" t="str" s="969" cm="1">
        <f t="array" ref="U339">IF(OR(ISBLANK($B339),ISBLANK('tracking - Table 2-1-2'!A$1)),"",'tracking - Table 2-1-2'!F$66)</f>
      </c>
    </row>
    <row r="340" ht="8.75" customHeight="1" hidden="1">
      <c r="A340" s="960">
        <v>44679</v>
      </c>
      <c r="B340" s="961">
        <v>77.45</v>
      </c>
      <c r="C340" s="965" cm="1">
        <f t="array" ref="C340">IF(ISBLANK(B340),"",B340*2.2046226218)</f>
        <v>170.748022058410</v>
      </c>
      <c r="D340" s="962" cm="1">
        <f t="array" ref="D340">IF(ISBLANK(B340),"",AVERAGE(B334:B340))</f>
        <v>76.9785714285714</v>
      </c>
      <c r="E340" s="962" cm="1">
        <f t="array" ref="E340">IF(ISBLANK(B340),"",AVERAGE(B327:B340))</f>
        <v>76.5071428571429</v>
      </c>
      <c r="F340" s="962" cm="1">
        <f t="array" ref="F340">IF(ISBLANK(B340),"",AVERAGE(B311:B340))</f>
        <v>75.6716666666667</v>
      </c>
      <c r="G340" s="964"/>
      <c r="H340" s="964"/>
      <c r="I340" s="964"/>
      <c r="J340" s="964"/>
      <c r="K340" s="964"/>
      <c r="L340" s="964"/>
      <c r="M340" s="964"/>
      <c r="N340" s="964"/>
      <c r="O340" s="964"/>
      <c r="P340" s="964"/>
      <c r="Q340" s="962"/>
      <c r="R340" t="str" s="964" cm="1">
        <f t="array" ref="R340">IF(OR(ISBLANK($B340),NOT(ISBLANK(B340))),"",'tracking - Table 2-1-2'!C$66)</f>
      </c>
      <c r="S340" t="str" s="964" cm="1">
        <f t="array" ref="S340">IF(OR(ISBLANK($B340),NOT(ISBLANK(B340))),"",'tracking - Table 2-1-2'!D$66)</f>
      </c>
      <c r="T340" t="str" s="964" cm="1">
        <f t="array" ref="T340">IF(OR(ISBLANK($B340),NOT(ISBLANK(B340))),"",'tracking - Table 2-1-2'!E$66)</f>
      </c>
      <c r="U340" t="str" s="969" cm="1">
        <f t="array" ref="U340">IF(OR(ISBLANK($B340),ISBLANK('tracking - Table 2-1-2'!A$1)),"",'tracking - Table 2-1-2'!F$66)</f>
      </c>
    </row>
    <row r="341" ht="8.75" customHeight="1" hidden="1">
      <c r="A341" s="960">
        <v>44680</v>
      </c>
      <c r="B341" s="961">
        <v>77.45</v>
      </c>
      <c r="C341" s="965" cm="1">
        <f t="array" ref="C341">IF(ISBLANK(B341),"",B341*2.2046226218)</f>
        <v>170.748022058410</v>
      </c>
      <c r="D341" s="962" cm="1">
        <f t="array" ref="D341">IF(ISBLANK(B341),"",AVERAGE(B335:B341))</f>
        <v>77.19285714285709</v>
      </c>
      <c r="E341" s="962" cm="1">
        <f t="array" ref="E341">IF(ISBLANK(B341),"",AVERAGE(B328:B341))</f>
        <v>76.6678571428571</v>
      </c>
      <c r="F341" s="962" cm="1">
        <f t="array" ref="F341">IF(ISBLANK(B341),"",AVERAGE(B312:B341))</f>
        <v>75.7733333333333</v>
      </c>
      <c r="G341" s="964"/>
      <c r="H341" s="964"/>
      <c r="I341" s="964"/>
      <c r="J341" s="964"/>
      <c r="K341" s="964"/>
      <c r="L341" s="964"/>
      <c r="M341" s="964"/>
      <c r="N341" s="964"/>
      <c r="O341" s="964"/>
      <c r="P341" s="964"/>
      <c r="Q341" s="962"/>
      <c r="R341" t="str" s="964" cm="1">
        <f t="array" ref="R341">IF(OR(ISBLANK($B341),NOT(ISBLANK(B341))),"",'tracking - Table 2-1-2'!C$66)</f>
      </c>
      <c r="S341" t="str" s="964" cm="1">
        <f t="array" ref="S341">IF(OR(ISBLANK($B341),NOT(ISBLANK(B341))),"",'tracking - Table 2-1-2'!D$66)</f>
      </c>
      <c r="T341" t="str" s="964" cm="1">
        <f t="array" ref="T341">IF(OR(ISBLANK($B341),NOT(ISBLANK(B341))),"",'tracking - Table 2-1-2'!E$66)</f>
      </c>
      <c r="U341" t="str" s="969" cm="1">
        <f t="array" ref="U341">IF(OR(ISBLANK($B341),ISBLANK('tracking - Table 2-1-2'!A$1)),"",'tracking - Table 2-1-2'!F$66)</f>
      </c>
    </row>
    <row r="342" ht="8.75" customHeight="1" hidden="1">
      <c r="A342" s="960">
        <v>44681</v>
      </c>
      <c r="B342" s="961">
        <v>77.65000000000001</v>
      </c>
      <c r="C342" s="965" cm="1">
        <f t="array" ref="C342">IF(ISBLANK(B342),"",B342*2.2046226218)</f>
        <v>171.188946582770</v>
      </c>
      <c r="D342" s="962" cm="1">
        <f t="array" ref="D342">IF(ISBLANK(B342),"",AVERAGE(B336:B342))</f>
        <v>77.3571428571429</v>
      </c>
      <c r="E342" s="962" cm="1">
        <f t="array" ref="E342">IF(ISBLANK(B342),"",AVERAGE(B329:B342))</f>
        <v>76.7785714285714</v>
      </c>
      <c r="F342" s="962" cm="1">
        <f t="array" ref="F342">IF(ISBLANK(B342),"",AVERAGE(B313:B342))</f>
        <v>75.86499999999999</v>
      </c>
      <c r="G342" s="964"/>
      <c r="H342" s="964"/>
      <c r="I342" s="964"/>
      <c r="J342" s="964"/>
      <c r="K342" s="964"/>
      <c r="L342" s="964"/>
      <c r="M342" s="964"/>
      <c r="N342" s="964"/>
      <c r="O342" s="964"/>
      <c r="P342" s="964"/>
      <c r="Q342" s="962"/>
      <c r="R342" t="str" s="964" cm="1">
        <f t="array" ref="R342">IF(OR(ISBLANK($B342),NOT(ISBLANK(B342))),"",'tracking - Table 2-1-2'!C$66)</f>
      </c>
      <c r="S342" t="str" s="964" cm="1">
        <f t="array" ref="S342">IF(OR(ISBLANK($B342),NOT(ISBLANK(B342))),"",'tracking - Table 2-1-2'!D$66)</f>
      </c>
      <c r="T342" t="str" s="964" cm="1">
        <f t="array" ref="T342">IF(OR(ISBLANK($B342),NOT(ISBLANK(B342))),"",'tracking - Table 2-1-2'!E$66)</f>
      </c>
      <c r="U342" t="str" s="969" cm="1">
        <f t="array" ref="U342">IF(OR(ISBLANK($B342),ISBLANK('tracking - Table 2-1-2'!A$1)),"",'tracking - Table 2-1-2'!F$66)</f>
      </c>
    </row>
    <row r="343" ht="8.75" customHeight="1" hidden="1">
      <c r="A343" s="960">
        <v>44682</v>
      </c>
      <c r="B343" s="961">
        <v>77.65000000000001</v>
      </c>
      <c r="C343" s="965" cm="1">
        <f t="array" ref="C343">IF(ISBLANK(B343),"",B343*2.2046226218)</f>
        <v>171.188946582770</v>
      </c>
      <c r="D343" s="962" cm="1">
        <f t="array" ref="D343">IF(ISBLANK(B343),"",AVERAGE(B337:B343))</f>
        <v>77.4285714285714</v>
      </c>
      <c r="E343" s="962" cm="1">
        <f t="array" ref="E343">IF(ISBLANK(B343),"",AVERAGE(B330:B343))</f>
        <v>76.90000000000001</v>
      </c>
      <c r="F343" s="962" cm="1">
        <f t="array" ref="F343">IF(ISBLANK(B343),"",AVERAGE(B314:B343))</f>
        <v>75.9666666666667</v>
      </c>
      <c r="G343" s="964"/>
      <c r="H343" s="964"/>
      <c r="I343" s="964"/>
      <c r="J343" s="964"/>
      <c r="K343" s="964"/>
      <c r="L343" s="964"/>
      <c r="M343" s="964"/>
      <c r="N343" s="964"/>
      <c r="O343" s="964"/>
      <c r="P343" s="964"/>
      <c r="Q343" s="962"/>
      <c r="R343" t="str" s="964" cm="1">
        <f t="array" ref="R343">IF(OR(ISBLANK($B343),NOT(ISBLANK(B343))),"",'tracking - Table 2-1-2'!C$66)</f>
      </c>
      <c r="S343" t="str" s="964" cm="1">
        <f t="array" ref="S343">IF(OR(ISBLANK($B343),NOT(ISBLANK(B343))),"",'tracking - Table 2-1-2'!D$66)</f>
      </c>
      <c r="T343" t="str" s="964" cm="1">
        <f t="array" ref="T343">IF(OR(ISBLANK($B343),NOT(ISBLANK(B343))),"",'tracking - Table 2-1-2'!E$66)</f>
      </c>
      <c r="U343" t="str" s="969" cm="1">
        <f t="array" ref="U343">IF(OR(ISBLANK($B343),ISBLANK('tracking - Table 2-1-2'!A$1)),"",'tracking - Table 2-1-2'!F$66)</f>
      </c>
    </row>
    <row r="344" ht="8.75" customHeight="1" hidden="1">
      <c r="A344" s="960">
        <v>44683</v>
      </c>
      <c r="B344" s="961">
        <v>77.3</v>
      </c>
      <c r="C344" s="965" cm="1">
        <f t="array" ref="C344">IF(ISBLANK(B344),"",B344*2.2046226218)</f>
        <v>170.417328665140</v>
      </c>
      <c r="D344" s="962" cm="1">
        <f t="array" ref="D344">IF(ISBLANK(B344),"",AVERAGE(B338:B344))</f>
        <v>77.44285714285709</v>
      </c>
      <c r="E344" s="962" cm="1">
        <f t="array" ref="E344">IF(ISBLANK(B344),"",AVERAGE(B331:B344))</f>
        <v>76.9714285714286</v>
      </c>
      <c r="F344" s="962" cm="1">
        <f t="array" ref="F344">IF(ISBLANK(B344),"",AVERAGE(B315:B344))</f>
        <v>76.045</v>
      </c>
      <c r="G344" s="964"/>
      <c r="H344" s="964"/>
      <c r="I344" s="964"/>
      <c r="J344" s="964"/>
      <c r="K344" s="964"/>
      <c r="L344" s="964"/>
      <c r="M344" s="964"/>
      <c r="N344" s="964"/>
      <c r="O344" s="964"/>
      <c r="P344" s="964"/>
      <c r="Q344" s="962"/>
      <c r="R344" t="str" s="964" cm="1">
        <f t="array" ref="R344">IF(OR(ISBLANK($B344),NOT(ISBLANK(B344))),"",'tracking - Table 2-1-2'!C$66)</f>
      </c>
      <c r="S344" t="str" s="964" cm="1">
        <f t="array" ref="S344">IF(OR(ISBLANK($B344),NOT(ISBLANK(B344))),"",'tracking - Table 2-1-2'!D$66)</f>
      </c>
      <c r="T344" t="str" s="964" cm="1">
        <f t="array" ref="T344">IF(OR(ISBLANK($B344),NOT(ISBLANK(B344))),"",'tracking - Table 2-1-2'!E$66)</f>
      </c>
      <c r="U344" t="str" s="969" cm="1">
        <f t="array" ref="U344">IF(OR(ISBLANK($B344),ISBLANK('tracking - Table 2-1-2'!A$1)),"",'tracking - Table 2-1-2'!F$66)</f>
      </c>
    </row>
    <row r="345" ht="8.75" customHeight="1" hidden="1">
      <c r="A345" s="960">
        <v>44684</v>
      </c>
      <c r="B345" s="961">
        <v>77.34999999999999</v>
      </c>
      <c r="C345" s="965" cm="1">
        <f t="array" ref="C345">IF(ISBLANK(B345),"",B345*2.2046226218)</f>
        <v>170.527559796230</v>
      </c>
      <c r="D345" s="962" cm="1">
        <f t="array" ref="D345">IF(ISBLANK(B345),"",AVERAGE(B339:B345))</f>
        <v>77.45</v>
      </c>
      <c r="E345" s="962" cm="1">
        <f t="array" ref="E345">IF(ISBLANK(B345),"",AVERAGE(B332:B345))</f>
        <v>77.04642857142861</v>
      </c>
      <c r="F345" s="962" cm="1">
        <f t="array" ref="F345">IF(ISBLANK(B345),"",AVERAGE(B316:B345))</f>
        <v>76.1433333333333</v>
      </c>
      <c r="G345" s="964"/>
      <c r="H345" s="964"/>
      <c r="I345" s="964"/>
      <c r="J345" s="964"/>
      <c r="K345" s="964"/>
      <c r="L345" s="964"/>
      <c r="M345" s="964"/>
      <c r="N345" s="964"/>
      <c r="O345" s="964"/>
      <c r="P345" s="964"/>
      <c r="Q345" s="962"/>
      <c r="R345" t="str" s="964" cm="1">
        <f t="array" ref="R345">IF(OR(ISBLANK($B345),NOT(ISBLANK(B345))),"",'tracking - Table 2-1-2'!C$66)</f>
      </c>
      <c r="S345" t="str" s="964" cm="1">
        <f t="array" ref="S345">IF(OR(ISBLANK($B345),NOT(ISBLANK(B345))),"",'tracking - Table 2-1-2'!D$66)</f>
      </c>
      <c r="T345" t="str" s="964" cm="1">
        <f t="array" ref="T345">IF(OR(ISBLANK($B345),NOT(ISBLANK(B345))),"",'tracking - Table 2-1-2'!E$66)</f>
      </c>
      <c r="U345" t="str" s="969" cm="1">
        <f t="array" ref="U345">IF(OR(ISBLANK($B345),ISBLANK('tracking - Table 2-1-2'!A$1)),"",'tracking - Table 2-1-2'!F$66)</f>
      </c>
    </row>
    <row r="346" ht="8.75" customHeight="1" hidden="1">
      <c r="A346" s="960">
        <v>44685</v>
      </c>
      <c r="B346" s="961">
        <v>77.8</v>
      </c>
      <c r="C346" s="965" cm="1">
        <f t="array" ref="C346">IF(ISBLANK(B346),"",B346*2.2046226218)</f>
        <v>171.519639976040</v>
      </c>
      <c r="D346" s="962" cm="1">
        <f t="array" ref="D346">IF(ISBLANK(B346),"",AVERAGE(B340:B346))</f>
        <v>77.5214285714286</v>
      </c>
      <c r="E346" s="962" cm="1">
        <f t="array" ref="E346">IF(ISBLANK(B346),"",AVERAGE(B333:B346))</f>
        <v>77.1464285714286</v>
      </c>
      <c r="F346" s="962" cm="1">
        <f t="array" ref="F346">IF(ISBLANK(B346),"",AVERAGE(B317:B346))</f>
        <v>76.245</v>
      </c>
      <c r="G346" s="964"/>
      <c r="H346" s="964"/>
      <c r="I346" s="964"/>
      <c r="J346" s="964"/>
      <c r="K346" s="964"/>
      <c r="L346" s="964"/>
      <c r="M346" s="964"/>
      <c r="N346" s="964"/>
      <c r="O346" s="964"/>
      <c r="P346" s="964"/>
      <c r="Q346" s="962"/>
      <c r="R346" t="str" s="964" cm="1">
        <f t="array" ref="R346">IF(OR(ISBLANK($B346),NOT(ISBLANK(B346))),"",'tracking - Table 2-1-2'!C$66)</f>
      </c>
      <c r="S346" t="str" s="964" cm="1">
        <f t="array" ref="S346">IF(OR(ISBLANK($B346),NOT(ISBLANK(B346))),"",'tracking - Table 2-1-2'!D$66)</f>
      </c>
      <c r="T346" t="str" s="964" cm="1">
        <f t="array" ref="T346">IF(OR(ISBLANK($B346),NOT(ISBLANK(B346))),"",'tracking - Table 2-1-2'!E$66)</f>
      </c>
      <c r="U346" t="str" s="969" cm="1">
        <f t="array" ref="U346">IF(OR(ISBLANK($B346),ISBLANK('tracking - Table 2-1-2'!A$1)),"",'tracking - Table 2-1-2'!F$66)</f>
      </c>
    </row>
    <row r="347" ht="8.75" customHeight="1" hidden="1">
      <c r="A347" s="960">
        <v>44686</v>
      </c>
      <c r="B347" s="961">
        <v>77.3</v>
      </c>
      <c r="C347" s="965" cm="1">
        <f t="array" ref="C347">IF(ISBLANK(B347),"",B347*2.2046226218)</f>
        <v>170.417328665140</v>
      </c>
      <c r="D347" s="962" cm="1">
        <f t="array" ref="D347">IF(ISBLANK(B347),"",AVERAGE(B341:B347))</f>
        <v>77.5</v>
      </c>
      <c r="E347" s="962" cm="1">
        <f t="array" ref="E347">IF(ISBLANK(B347),"",AVERAGE(B334:B347))</f>
        <v>77.2392857142857</v>
      </c>
      <c r="F347" s="962" cm="1">
        <f t="array" ref="F347">IF(ISBLANK(B347),"",AVERAGE(B318:B347))</f>
        <v>76.3216666666667</v>
      </c>
      <c r="G347" s="964"/>
      <c r="H347" s="964"/>
      <c r="I347" s="964"/>
      <c r="J347" s="964"/>
      <c r="K347" s="964"/>
      <c r="L347" s="964"/>
      <c r="M347" s="964"/>
      <c r="N347" s="964"/>
      <c r="O347" s="964"/>
      <c r="P347" s="964"/>
      <c r="Q347" s="962"/>
      <c r="R347" t="str" s="964" cm="1">
        <f t="array" ref="R347">IF(OR(ISBLANK($B347),NOT(ISBLANK(B347))),"",'tracking - Table 2-1-2'!C$66)</f>
      </c>
      <c r="S347" t="str" s="964" cm="1">
        <f t="array" ref="S347">IF(OR(ISBLANK($B347),NOT(ISBLANK(B347))),"",'tracking - Table 2-1-2'!D$66)</f>
      </c>
      <c r="T347" t="str" s="964" cm="1">
        <f t="array" ref="T347">IF(OR(ISBLANK($B347),NOT(ISBLANK(B347))),"",'tracking - Table 2-1-2'!E$66)</f>
      </c>
      <c r="U347" t="str" s="969" cm="1">
        <f t="array" ref="U347">IF(OR(ISBLANK($B347),ISBLANK('tracking - Table 2-1-2'!A$1)),"",'tracking - Table 2-1-2'!F$66)</f>
      </c>
    </row>
    <row r="348" ht="8.75" customHeight="1" hidden="1">
      <c r="A348" s="960">
        <v>44687</v>
      </c>
      <c r="B348" s="961">
        <v>76.7</v>
      </c>
      <c r="C348" s="965" cm="1">
        <f t="array" ref="C348">IF(ISBLANK(B348),"",B348*2.2046226218)</f>
        <v>169.094555092060</v>
      </c>
      <c r="D348" s="962" cm="1">
        <f t="array" ref="D348">IF(ISBLANK(B348),"",AVERAGE(B342:B348))</f>
        <v>77.3928571428571</v>
      </c>
      <c r="E348" s="962" cm="1">
        <f t="array" ref="E348">IF(ISBLANK(B348),"",AVERAGE(B335:B348))</f>
        <v>77.2928571428571</v>
      </c>
      <c r="F348" s="962" cm="1">
        <f t="array" ref="F348">IF(ISBLANK(B348),"",AVERAGE(B319:B348))</f>
        <v>76.38500000000001</v>
      </c>
      <c r="G348" s="964"/>
      <c r="H348" s="964"/>
      <c r="I348" s="964"/>
      <c r="J348" s="964"/>
      <c r="K348" s="964"/>
      <c r="L348" s="964"/>
      <c r="M348" s="964"/>
      <c r="N348" s="964"/>
      <c r="O348" s="964"/>
      <c r="P348" s="964"/>
      <c r="Q348" s="962"/>
      <c r="R348" t="str" s="964" cm="1">
        <f t="array" ref="R348">IF(OR(ISBLANK($B348),NOT(ISBLANK(B348))),"",'tracking - Table 2-1-2'!C$66)</f>
      </c>
      <c r="S348" t="str" s="964" cm="1">
        <f t="array" ref="S348">IF(OR(ISBLANK($B348),NOT(ISBLANK(B348))),"",'tracking - Table 2-1-2'!D$66)</f>
      </c>
      <c r="T348" t="str" s="964" cm="1">
        <f t="array" ref="T348">IF(OR(ISBLANK($B348),NOT(ISBLANK(B348))),"",'tracking - Table 2-1-2'!E$66)</f>
      </c>
      <c r="U348" t="str" s="969" cm="1">
        <f t="array" ref="U348">IF(OR(ISBLANK($B348),ISBLANK('tracking - Table 2-1-2'!A$1)),"",'tracking - Table 2-1-2'!F$66)</f>
      </c>
    </row>
    <row r="349" ht="8.75" customHeight="1" hidden="1">
      <c r="A349" s="960">
        <v>44688</v>
      </c>
      <c r="B349" s="961">
        <v>77.25</v>
      </c>
      <c r="C349" s="965" cm="1">
        <f t="array" ref="C349">IF(ISBLANK(B349),"",B349*2.2046226218)</f>
        <v>170.307097534050</v>
      </c>
      <c r="D349" s="962" cm="1">
        <f t="array" ref="D349">IF(ISBLANK(B349),"",AVERAGE(B343:B349))</f>
        <v>77.3357142857143</v>
      </c>
      <c r="E349" s="962" cm="1">
        <f t="array" ref="E349">IF(ISBLANK(B349),"",AVERAGE(B336:B349))</f>
        <v>77.3464285714286</v>
      </c>
      <c r="F349" s="962" cm="1">
        <f t="array" ref="F349">IF(ISBLANK(B349),"",AVERAGE(B320:B349))</f>
        <v>76.4666666666667</v>
      </c>
      <c r="G349" s="964"/>
      <c r="H349" s="964"/>
      <c r="I349" s="964"/>
      <c r="J349" s="964"/>
      <c r="K349" s="964"/>
      <c r="L349" s="964"/>
      <c r="M349" s="964"/>
      <c r="N349" s="964"/>
      <c r="O349" s="964"/>
      <c r="P349" s="964"/>
      <c r="Q349" s="962"/>
      <c r="R349" t="str" s="964" cm="1">
        <f t="array" ref="R349">IF(OR(ISBLANK($B349),NOT(ISBLANK(B349))),"",'tracking - Table 2-1-2'!C$66)</f>
      </c>
      <c r="S349" t="str" s="964" cm="1">
        <f t="array" ref="S349">IF(OR(ISBLANK($B349),NOT(ISBLANK(B349))),"",'tracking - Table 2-1-2'!D$66)</f>
      </c>
      <c r="T349" t="str" s="964" cm="1">
        <f t="array" ref="T349">IF(OR(ISBLANK($B349),NOT(ISBLANK(B349))),"",'tracking - Table 2-1-2'!E$66)</f>
      </c>
      <c r="U349" t="str" s="969" cm="1">
        <f t="array" ref="U349">IF(OR(ISBLANK($B349),ISBLANK('tracking - Table 2-1-2'!A$1)),"",'tracking - Table 2-1-2'!F$66)</f>
      </c>
    </row>
    <row r="350" ht="8.75" customHeight="1" hidden="1">
      <c r="A350" s="960">
        <v>44689</v>
      </c>
      <c r="B350" s="961">
        <v>77.25</v>
      </c>
      <c r="C350" s="965" cm="1">
        <f t="array" ref="C350">IF(ISBLANK(B350),"",B350*2.2046226218)</f>
        <v>170.307097534050</v>
      </c>
      <c r="D350" s="962" cm="1">
        <f t="array" ref="D350">IF(ISBLANK(B350),"",AVERAGE(B344:B350))</f>
        <v>77.2785714285714</v>
      </c>
      <c r="E350" s="962" cm="1">
        <f t="array" ref="E350">IF(ISBLANK(B350),"",AVERAGE(B337:B350))</f>
        <v>77.3535714285714</v>
      </c>
      <c r="F350" s="962" cm="1">
        <f t="array" ref="F350">IF(ISBLANK(B350),"",AVERAGE(B321:B350))</f>
        <v>76.52500000000001</v>
      </c>
      <c r="G350" s="964"/>
      <c r="H350" s="964"/>
      <c r="I350" s="964"/>
      <c r="J350" s="964"/>
      <c r="K350" s="964"/>
      <c r="L350" s="964"/>
      <c r="M350" s="964"/>
      <c r="N350" s="964"/>
      <c r="O350" s="964"/>
      <c r="P350" s="964"/>
      <c r="Q350" s="962"/>
      <c r="R350" t="str" s="964" cm="1">
        <f t="array" ref="R350">IF(OR(ISBLANK($B350),NOT(ISBLANK(B350))),"",'tracking - Table 2-1-2'!C$66)</f>
      </c>
      <c r="S350" t="str" s="964" cm="1">
        <f t="array" ref="S350">IF(OR(ISBLANK($B350),NOT(ISBLANK(B350))),"",'tracking - Table 2-1-2'!D$66)</f>
      </c>
      <c r="T350" t="str" s="964" cm="1">
        <f t="array" ref="T350">IF(OR(ISBLANK($B350),NOT(ISBLANK(B350))),"",'tracking - Table 2-1-2'!E$66)</f>
      </c>
      <c r="U350" t="str" s="969" cm="1">
        <f t="array" ref="U350">IF(OR(ISBLANK($B350),ISBLANK('tracking - Table 2-1-2'!A$1)),"",'tracking - Table 2-1-2'!F$66)</f>
      </c>
    </row>
    <row r="351" ht="8.75" customHeight="1" hidden="1">
      <c r="A351" s="960">
        <v>44690</v>
      </c>
      <c r="B351" s="961">
        <v>75.25</v>
      </c>
      <c r="C351" s="965" cm="1">
        <f t="array" ref="C351">IF(ISBLANK(B351),"",B351*2.2046226218)</f>
        <v>165.897852290450</v>
      </c>
      <c r="D351" s="962" cm="1">
        <f t="array" ref="D351">IF(ISBLANK(B351),"",AVERAGE(B345:B351))</f>
        <v>76.98571428571429</v>
      </c>
      <c r="E351" s="962" cm="1">
        <f t="array" ref="E351">IF(ISBLANK(B351),"",AVERAGE(B338:B351))</f>
        <v>77.21428571428569</v>
      </c>
      <c r="F351" s="962" cm="1">
        <f t="array" ref="F351">IF(ISBLANK(B351),"",AVERAGE(B322:B351))</f>
        <v>76.51000000000001</v>
      </c>
      <c r="G351" s="964"/>
      <c r="H351" s="964"/>
      <c r="I351" s="964"/>
      <c r="J351" s="964"/>
      <c r="K351" s="964"/>
      <c r="L351" s="964"/>
      <c r="M351" s="964"/>
      <c r="N351" s="964"/>
      <c r="O351" s="964"/>
      <c r="P351" s="964"/>
      <c r="Q351" s="962"/>
      <c r="R351" t="str" s="964" cm="1">
        <f t="array" ref="R351">IF(OR(ISBLANK($B351),NOT(ISBLANK(B351))),"",'tracking - Table 2-1-2'!C$66)</f>
      </c>
      <c r="S351" t="str" s="964" cm="1">
        <f t="array" ref="S351">IF(OR(ISBLANK($B351),NOT(ISBLANK(B351))),"",'tracking - Table 2-1-2'!D$66)</f>
      </c>
      <c r="T351" t="str" s="964" cm="1">
        <f t="array" ref="T351">IF(OR(ISBLANK($B351),NOT(ISBLANK(B351))),"",'tracking - Table 2-1-2'!E$66)</f>
      </c>
      <c r="U351" t="str" s="969" cm="1">
        <f t="array" ref="U351">IF(OR(ISBLANK($B351),ISBLANK('tracking - Table 2-1-2'!A$1)),"",'tracking - Table 2-1-2'!F$66)</f>
      </c>
    </row>
    <row r="352" ht="8.75" customHeight="1" hidden="1">
      <c r="A352" s="960">
        <v>44691</v>
      </c>
      <c r="B352" s="961">
        <v>74.25</v>
      </c>
      <c r="C352" s="965" cm="1">
        <f t="array" ref="C352">IF(ISBLANK(B352),"",B352*2.2046226218)</f>
        <v>163.693229668650</v>
      </c>
      <c r="D352" s="962" cm="1">
        <f t="array" ref="D352">IF(ISBLANK(B352),"",AVERAGE(B346:B352))</f>
        <v>76.5428571428571</v>
      </c>
      <c r="E352" s="962" cm="1">
        <f t="array" ref="E352">IF(ISBLANK(B352),"",AVERAGE(B339:B352))</f>
        <v>76.99642857142859</v>
      </c>
      <c r="F352" s="962" cm="1">
        <f t="array" ref="F352">IF(ISBLANK(B352),"",AVERAGE(B323:B352))</f>
        <v>76.495</v>
      </c>
      <c r="G352" s="964"/>
      <c r="H352" s="964"/>
      <c r="I352" s="964"/>
      <c r="J352" s="964"/>
      <c r="K352" s="964"/>
      <c r="L352" s="964"/>
      <c r="M352" s="964"/>
      <c r="N352" s="964"/>
      <c r="O352" s="964"/>
      <c r="P352" s="964"/>
      <c r="Q352" s="962"/>
      <c r="R352" t="str" s="964" cm="1">
        <f t="array" ref="R352">IF(OR(ISBLANK($B352),NOT(ISBLANK(B352))),"",'tracking - Table 2-1-2'!C$66)</f>
      </c>
      <c r="S352" t="str" s="964" cm="1">
        <f t="array" ref="S352">IF(OR(ISBLANK($B352),NOT(ISBLANK(B352))),"",'tracking - Table 2-1-2'!D$66)</f>
      </c>
      <c r="T352" t="str" s="964" cm="1">
        <f t="array" ref="T352">IF(OR(ISBLANK($B352),NOT(ISBLANK(B352))),"",'tracking - Table 2-1-2'!E$66)</f>
      </c>
      <c r="U352" t="str" s="969" cm="1">
        <f t="array" ref="U352">IF(OR(ISBLANK($B352),ISBLANK('tracking - Table 2-1-2'!A$1)),"",'tracking - Table 2-1-2'!F$66)</f>
      </c>
    </row>
    <row r="353" ht="8.75" customHeight="1" hidden="1">
      <c r="A353" s="960">
        <v>44692</v>
      </c>
      <c r="B353" s="961">
        <v>73.7</v>
      </c>
      <c r="C353" s="965" cm="1">
        <f t="array" ref="C353">IF(ISBLANK(B353),"",B353*2.2046226218)</f>
        <v>162.480687226660</v>
      </c>
      <c r="D353" s="962" cm="1">
        <f t="array" ref="D353">IF(ISBLANK(B353),"",AVERAGE(B347:B353))</f>
        <v>75.9571428571429</v>
      </c>
      <c r="E353" s="962" cm="1">
        <f t="array" ref="E353">IF(ISBLANK(B353),"",AVERAGE(B340:B353))</f>
        <v>76.7392857142857</v>
      </c>
      <c r="F353" s="962" cm="1">
        <f t="array" ref="F353">IF(ISBLANK(B353),"",AVERAGE(B324:B353))</f>
        <v>76.44166666666671</v>
      </c>
      <c r="G353" s="964"/>
      <c r="H353" s="964"/>
      <c r="I353" s="964"/>
      <c r="J353" s="964"/>
      <c r="K353" s="964"/>
      <c r="L353" s="964"/>
      <c r="M353" s="964"/>
      <c r="N353" s="964"/>
      <c r="O353" s="964"/>
      <c r="P353" s="964"/>
      <c r="Q353" s="962"/>
      <c r="R353" t="str" s="964" cm="1">
        <f t="array" ref="R353">IF(OR(ISBLANK($B353),NOT(ISBLANK(B353))),"",'tracking - Table 2-1-2'!C$66)</f>
      </c>
      <c r="S353" t="str" s="964" cm="1">
        <f t="array" ref="S353">IF(OR(ISBLANK($B353),NOT(ISBLANK(B353))),"",'tracking - Table 2-1-2'!D$66)</f>
      </c>
      <c r="T353" t="str" s="964" cm="1">
        <f t="array" ref="T353">IF(OR(ISBLANK($B353),NOT(ISBLANK(B353))),"",'tracking - Table 2-1-2'!E$66)</f>
      </c>
      <c r="U353" t="str" s="969" cm="1">
        <f t="array" ref="U353">IF(OR(ISBLANK($B353),ISBLANK('tracking - Table 2-1-2'!A$1)),"",'tracking - Table 2-1-2'!F$66)</f>
      </c>
    </row>
    <row r="354" ht="8.75" customHeight="1" hidden="1">
      <c r="A354" s="960">
        <v>44693</v>
      </c>
      <c r="B354" s="961">
        <v>73.2</v>
      </c>
      <c r="C354" s="965" cm="1">
        <f t="array" ref="C354">IF(ISBLANK(B354),"",B354*2.2046226218)</f>
        <v>161.378375915760</v>
      </c>
      <c r="D354" s="962" cm="1">
        <f t="array" ref="D354">IF(ISBLANK(B354),"",AVERAGE(B348:B354))</f>
        <v>75.37142857142859</v>
      </c>
      <c r="E354" s="962" cm="1">
        <f t="array" ref="E354">IF(ISBLANK(B354),"",AVERAGE(B341:B354))</f>
        <v>76.4357142857143</v>
      </c>
      <c r="F354" s="962" cm="1">
        <f t="array" ref="F354">IF(ISBLANK(B354),"",AVERAGE(B325:B354))</f>
        <v>76.36499999999999</v>
      </c>
      <c r="G354" s="964"/>
      <c r="H354" s="964"/>
      <c r="I354" s="964"/>
      <c r="J354" s="964"/>
      <c r="K354" s="964"/>
      <c r="L354" s="964"/>
      <c r="M354" s="964"/>
      <c r="N354" s="964"/>
      <c r="O354" s="964"/>
      <c r="P354" s="964"/>
      <c r="Q354" s="962"/>
      <c r="R354" t="str" s="964" cm="1">
        <f t="array" ref="R354">IF(OR(ISBLANK($B354),NOT(ISBLANK(B354))),"",'tracking - Table 2-1-2'!C$66)</f>
      </c>
      <c r="S354" t="str" s="964" cm="1">
        <f t="array" ref="S354">IF(OR(ISBLANK($B354),NOT(ISBLANK(B354))),"",'tracking - Table 2-1-2'!D$66)</f>
      </c>
      <c r="T354" t="str" s="964" cm="1">
        <f t="array" ref="T354">IF(OR(ISBLANK($B354),NOT(ISBLANK(B354))),"",'tracking - Table 2-1-2'!E$66)</f>
      </c>
      <c r="U354" t="str" s="969" cm="1">
        <f t="array" ref="U354">IF(OR(ISBLANK($B354),ISBLANK('tracking - Table 2-1-2'!A$1)),"",'tracking - Table 2-1-2'!F$66)</f>
      </c>
    </row>
    <row r="355" ht="8.75" customHeight="1" hidden="1">
      <c r="A355" s="960">
        <v>44694</v>
      </c>
      <c r="B355" s="961">
        <v>73</v>
      </c>
      <c r="C355" s="965" cm="1">
        <f t="array" ref="C355">IF(ISBLANK(B355),"",B355*2.2046226218)</f>
        <v>160.9374513914</v>
      </c>
      <c r="D355" s="962" cm="1">
        <f t="array" ref="D355">IF(ISBLANK(B355),"",AVERAGE(B349:B355))</f>
        <v>74.8428571428571</v>
      </c>
      <c r="E355" s="962" cm="1">
        <f t="array" ref="E355">IF(ISBLANK(B355),"",AVERAGE(B342:B355))</f>
        <v>76.1178571428571</v>
      </c>
      <c r="F355" s="962" cm="1">
        <f t="array" ref="F355">IF(ISBLANK(B355),"",AVERAGE(B326:B355))</f>
        <v>76.285</v>
      </c>
      <c r="G355" s="964"/>
      <c r="H355" s="964"/>
      <c r="I355" s="964"/>
      <c r="J355" s="964"/>
      <c r="K355" s="964"/>
      <c r="L355" s="964"/>
      <c r="M355" s="964"/>
      <c r="N355" s="964"/>
      <c r="O355" s="964"/>
      <c r="P355" s="964"/>
      <c r="Q355" s="962"/>
      <c r="R355" t="str" s="964" cm="1">
        <f t="array" ref="R355">IF(OR(ISBLANK($B355),NOT(ISBLANK(B355))),"",'tracking - Table 2-1-2'!C$66)</f>
      </c>
      <c r="S355" t="str" s="964" cm="1">
        <f t="array" ref="S355">IF(OR(ISBLANK($B355),NOT(ISBLANK(B355))),"",'tracking - Table 2-1-2'!D$66)</f>
      </c>
      <c r="T355" t="str" s="964" cm="1">
        <f t="array" ref="T355">IF(OR(ISBLANK($B355),NOT(ISBLANK(B355))),"",'tracking - Table 2-1-2'!E$66)</f>
      </c>
      <c r="U355" t="str" s="969" cm="1">
        <f t="array" ref="U355">IF(OR(ISBLANK($B355),ISBLANK('tracking - Table 2-1-2'!A$1)),"",'tracking - Table 2-1-2'!F$66)</f>
      </c>
    </row>
    <row r="356" ht="8.75" customHeight="1" hidden="1">
      <c r="A356" s="960">
        <v>44695</v>
      </c>
      <c r="B356" s="961">
        <v>73</v>
      </c>
      <c r="C356" s="965" cm="1">
        <f t="array" ref="C356">IF(ISBLANK(B356),"",B356*2.2046226218)</f>
        <v>160.9374513914</v>
      </c>
      <c r="D356" s="962" cm="1">
        <f t="array" ref="D356">IF(ISBLANK(B356),"",AVERAGE(B350:B356))</f>
        <v>74.23571428571429</v>
      </c>
      <c r="E356" s="962" cm="1">
        <f t="array" ref="E356">IF(ISBLANK(B356),"",AVERAGE(B343:B356))</f>
        <v>75.78571428571431</v>
      </c>
      <c r="F356" s="962" cm="1">
        <f t="array" ref="F356">IF(ISBLANK(B356),"",AVERAGE(B327:B356))</f>
        <v>76.23999999999999</v>
      </c>
      <c r="G356" s="964"/>
      <c r="H356" s="964"/>
      <c r="I356" s="964"/>
      <c r="J356" s="964"/>
      <c r="K356" s="964"/>
      <c r="L356" s="964"/>
      <c r="M356" s="964"/>
      <c r="N356" s="964"/>
      <c r="O356" s="964"/>
      <c r="P356" s="964"/>
      <c r="Q356" s="962"/>
      <c r="R356" t="str" s="964" cm="1">
        <f t="array" ref="R356">IF(OR(ISBLANK($B356),NOT(ISBLANK(B356))),"",'tracking - Table 2-1-2'!C$66)</f>
      </c>
      <c r="S356" t="str" s="964" cm="1">
        <f t="array" ref="S356">IF(OR(ISBLANK($B356),NOT(ISBLANK(B356))),"",'tracking - Table 2-1-2'!D$66)</f>
      </c>
      <c r="T356" t="str" s="964" cm="1">
        <f t="array" ref="T356">IF(OR(ISBLANK($B356),NOT(ISBLANK(B356))),"",'tracking - Table 2-1-2'!E$66)</f>
      </c>
      <c r="U356" t="str" s="969" cm="1">
        <f t="array" ref="U356">IF(OR(ISBLANK($B356),ISBLANK('tracking - Table 2-1-2'!A$1)),"",'tracking - Table 2-1-2'!F$66)</f>
      </c>
    </row>
    <row r="357" ht="8.75" customHeight="1" hidden="1">
      <c r="A357" s="960">
        <v>44696</v>
      </c>
      <c r="B357" s="961">
        <v>72</v>
      </c>
      <c r="C357" s="965" cm="1">
        <f t="array" ref="C357">IF(ISBLANK(B357),"",B357*2.2046226218)</f>
        <v>158.7328287696</v>
      </c>
      <c r="D357" s="962" cm="1">
        <f t="array" ref="D357">IF(ISBLANK(B357),"",AVERAGE(B351:B357))</f>
        <v>73.48571428571429</v>
      </c>
      <c r="E357" s="962" cm="1">
        <f t="array" ref="E357">IF(ISBLANK(B357),"",AVERAGE(B344:B357))</f>
        <v>75.3821428571429</v>
      </c>
      <c r="F357" s="962" cm="1">
        <f t="array" ref="F357">IF(ISBLANK(B357),"",AVERAGE(B328:B357))</f>
        <v>76.1333333333333</v>
      </c>
      <c r="G357" s="964"/>
      <c r="H357" s="964"/>
      <c r="I357" s="964"/>
      <c r="J357" s="964"/>
      <c r="K357" s="964"/>
      <c r="L357" s="964"/>
      <c r="M357" s="964"/>
      <c r="N357" s="964"/>
      <c r="O357" s="964"/>
      <c r="P357" s="964"/>
      <c r="Q357" s="962"/>
      <c r="R357" t="str" s="964" cm="1">
        <f t="array" ref="R357">IF(OR(ISBLANK($B357),NOT(ISBLANK(B357))),"",'tracking - Table 2-1-2'!C$66)</f>
      </c>
      <c r="S357" t="str" s="964" cm="1">
        <f t="array" ref="S357">IF(OR(ISBLANK($B357),NOT(ISBLANK(B357))),"",'tracking - Table 2-1-2'!D$66)</f>
      </c>
      <c r="T357" t="str" s="964" cm="1">
        <f t="array" ref="T357">IF(OR(ISBLANK($B357),NOT(ISBLANK(B357))),"",'tracking - Table 2-1-2'!E$66)</f>
      </c>
      <c r="U357" t="str" s="969" cm="1">
        <f t="array" ref="U357">IF(OR(ISBLANK($B357),ISBLANK('tracking - Table 2-1-2'!A$1)),"",'tracking - Table 2-1-2'!F$66)</f>
      </c>
    </row>
    <row r="358" ht="8.75" customHeight="1" hidden="1">
      <c r="A358" s="960">
        <v>44697</v>
      </c>
      <c r="B358" s="961">
        <v>72</v>
      </c>
      <c r="C358" s="965" cm="1">
        <f t="array" ref="C358">IF(ISBLANK(B358),"",B358*2.2046226218)</f>
        <v>158.7328287696</v>
      </c>
      <c r="D358" s="962" cm="1">
        <f t="array" ref="D358">IF(ISBLANK(B358),"",AVERAGE(B352:B358))</f>
        <v>73.0214285714286</v>
      </c>
      <c r="E358" s="962" cm="1">
        <f t="array" ref="E358">IF(ISBLANK(B358),"",AVERAGE(B345:B358))</f>
        <v>75.00357142857141</v>
      </c>
      <c r="F358" s="962" cm="1">
        <f t="array" ref="F358">IF(ISBLANK(B358),"",AVERAGE(B329:B358))</f>
        <v>75.9966666666667</v>
      </c>
      <c r="G358" s="964"/>
      <c r="H358" s="964"/>
      <c r="I358" s="964"/>
      <c r="J358" s="964"/>
      <c r="K358" s="964"/>
      <c r="L358" s="964"/>
      <c r="M358" s="964"/>
      <c r="N358" s="964"/>
      <c r="O358" s="964"/>
      <c r="P358" s="964"/>
      <c r="Q358" s="962"/>
      <c r="R358" t="str" s="964" cm="1">
        <f t="array" ref="R358">IF(OR(ISBLANK($B358),NOT(ISBLANK(B358))),"",'tracking - Table 2-1-2'!C$66)</f>
      </c>
      <c r="S358" t="str" s="964" cm="1">
        <f t="array" ref="S358">IF(OR(ISBLANK($B358),NOT(ISBLANK(B358))),"",'tracking - Table 2-1-2'!D$66)</f>
      </c>
      <c r="T358" t="str" s="964" cm="1">
        <f t="array" ref="T358">IF(OR(ISBLANK($B358),NOT(ISBLANK(B358))),"",'tracking - Table 2-1-2'!E$66)</f>
      </c>
      <c r="U358" t="str" s="969" cm="1">
        <f t="array" ref="U358">IF(OR(ISBLANK($B358),ISBLANK('tracking - Table 2-1-2'!A$1)),"",'tracking - Table 2-1-2'!F$66)</f>
      </c>
    </row>
    <row r="359" ht="8.75" customHeight="1" hidden="1">
      <c r="A359" s="960">
        <v>44698</v>
      </c>
      <c r="B359" s="961">
        <v>71.95</v>
      </c>
      <c r="C359" s="965" cm="1">
        <f t="array" ref="C359">IF(ISBLANK(B359),"",B359*2.2046226218)</f>
        <v>158.622597638510</v>
      </c>
      <c r="D359" s="962" cm="1">
        <f t="array" ref="D359">IF(ISBLANK(B359),"",AVERAGE(B353:B359))</f>
        <v>72.69285714285709</v>
      </c>
      <c r="E359" s="962" cm="1">
        <f t="array" ref="E359">IF(ISBLANK(B359),"",AVERAGE(B346:B359))</f>
        <v>74.6178571428571</v>
      </c>
      <c r="F359" s="962" cm="1">
        <f t="array" ref="F359">IF(ISBLANK(B359),"",AVERAGE(B330:B359))</f>
        <v>75.8633333333333</v>
      </c>
      <c r="G359" s="964"/>
      <c r="H359" s="964"/>
      <c r="I359" s="964"/>
      <c r="J359" s="964"/>
      <c r="K359" s="964"/>
      <c r="L359" s="964"/>
      <c r="M359" s="964"/>
      <c r="N359" s="964"/>
      <c r="O359" s="964"/>
      <c r="P359" s="964"/>
      <c r="Q359" s="962"/>
      <c r="R359" t="str" s="964" cm="1">
        <f t="array" ref="R359">IF(OR(ISBLANK($B359),NOT(ISBLANK(B359))),"",'tracking - Table 2-1-2'!C$66)</f>
      </c>
      <c r="S359" t="str" s="964" cm="1">
        <f t="array" ref="S359">IF(OR(ISBLANK($B359),NOT(ISBLANK(B359))),"",'tracking - Table 2-1-2'!D$66)</f>
      </c>
      <c r="T359" t="str" s="964" cm="1">
        <f t="array" ref="T359">IF(OR(ISBLANK($B359),NOT(ISBLANK(B359))),"",'tracking - Table 2-1-2'!E$66)</f>
      </c>
      <c r="U359" t="str" s="969" cm="1">
        <f t="array" ref="U359">IF(OR(ISBLANK($B359),ISBLANK('tracking - Table 2-1-2'!A$1)),"",'tracking - Table 2-1-2'!F$66)</f>
      </c>
    </row>
    <row r="360" ht="8.75" customHeight="1" hidden="1">
      <c r="A360" s="960">
        <v>44699</v>
      </c>
      <c r="B360" s="961">
        <v>71.95</v>
      </c>
      <c r="C360" s="965" cm="1">
        <f t="array" ref="C360">IF(ISBLANK(B360),"",B360*2.2046226218)</f>
        <v>158.622597638510</v>
      </c>
      <c r="D360" s="962" cm="1">
        <f t="array" ref="D360">IF(ISBLANK(B360),"",AVERAGE(B354:B360))</f>
        <v>72.44285714285709</v>
      </c>
      <c r="E360" s="962" cm="1">
        <f t="array" ref="E360">IF(ISBLANK(B360),"",AVERAGE(B347:B360))</f>
        <v>74.2</v>
      </c>
      <c r="F360" s="962" cm="1">
        <f t="array" ref="F360">IF(ISBLANK(B360),"",AVERAGE(B331:B360))</f>
        <v>75.71833333333331</v>
      </c>
      <c r="G360" s="964"/>
      <c r="H360" s="964"/>
      <c r="I360" s="964"/>
      <c r="J360" s="964"/>
      <c r="K360" s="964"/>
      <c r="L360" s="964"/>
      <c r="M360" s="964"/>
      <c r="N360" s="964"/>
      <c r="O360" s="964"/>
      <c r="P360" s="964"/>
      <c r="Q360" s="962"/>
      <c r="R360" t="str" s="964" cm="1">
        <f t="array" ref="R360">IF(OR(ISBLANK($B360),NOT(ISBLANK(B360))),"",'tracking - Table 2-1-2'!C$66)</f>
      </c>
      <c r="S360" t="str" s="964" cm="1">
        <f t="array" ref="S360">IF(OR(ISBLANK($B360),NOT(ISBLANK(B360))),"",'tracking - Table 2-1-2'!D$66)</f>
      </c>
      <c r="T360" t="str" s="964" cm="1">
        <f t="array" ref="T360">IF(OR(ISBLANK($B360),NOT(ISBLANK(B360))),"",'tracking - Table 2-1-2'!E$66)</f>
      </c>
      <c r="U360" t="str" s="969" cm="1">
        <f t="array" ref="U360">IF(OR(ISBLANK($B360),ISBLANK('tracking - Table 2-1-2'!A$1)),"",'tracking - Table 2-1-2'!F$66)</f>
      </c>
    </row>
    <row r="361" ht="8.75" customHeight="1" hidden="1">
      <c r="A361" s="960">
        <v>44700</v>
      </c>
      <c r="B361" s="961">
        <v>72.75</v>
      </c>
      <c r="C361" s="965" cm="1">
        <f t="array" ref="C361">IF(ISBLANK(B361),"",B361*2.2046226218)</f>
        <v>160.386295735950</v>
      </c>
      <c r="D361" s="962" cm="1">
        <f t="array" ref="D361">IF(ISBLANK(B361),"",AVERAGE(B355:B361))</f>
        <v>72.37857142857141</v>
      </c>
      <c r="E361" s="962" cm="1">
        <f t="array" ref="E361">IF(ISBLANK(B361),"",AVERAGE(B348:B361))</f>
        <v>73.875</v>
      </c>
      <c r="F361" s="962" cm="1">
        <f t="array" ref="F361">IF(ISBLANK(B361),"",AVERAGE(B332:B361))</f>
        <v>75.59999999999999</v>
      </c>
      <c r="G361" s="964"/>
      <c r="H361" s="964"/>
      <c r="I361" s="964"/>
      <c r="J361" s="964"/>
      <c r="K361" s="964"/>
      <c r="L361" s="964"/>
      <c r="M361" s="964"/>
      <c r="N361" s="964"/>
      <c r="O361" s="964"/>
      <c r="P361" s="964"/>
      <c r="Q361" s="962"/>
      <c r="R361" t="str" s="964" cm="1">
        <f t="array" ref="R361">IF(OR(ISBLANK($B361),NOT(ISBLANK(B361))),"",'tracking - Table 2-1-2'!C$66)</f>
      </c>
      <c r="S361" t="str" s="964" cm="1">
        <f t="array" ref="S361">IF(OR(ISBLANK($B361),NOT(ISBLANK(B361))),"",'tracking - Table 2-1-2'!D$66)</f>
      </c>
      <c r="T361" t="str" s="964" cm="1">
        <f t="array" ref="T361">IF(OR(ISBLANK($B361),NOT(ISBLANK(B361))),"",'tracking - Table 2-1-2'!E$66)</f>
      </c>
      <c r="U361" t="str" s="969" cm="1">
        <f t="array" ref="U361">IF(OR(ISBLANK($B361),ISBLANK('tracking - Table 2-1-2'!A$1)),"",'tracking - Table 2-1-2'!F$66)</f>
      </c>
    </row>
    <row r="362" ht="8.75" customHeight="1" hidden="1">
      <c r="A362" s="960">
        <v>44701</v>
      </c>
      <c r="B362" s="961">
        <v>72.75</v>
      </c>
      <c r="C362" s="965" cm="1">
        <f t="array" ref="C362">IF(ISBLANK(B362),"",B362*2.2046226218)</f>
        <v>160.386295735950</v>
      </c>
      <c r="D362" s="962" cm="1">
        <f t="array" ref="D362">IF(ISBLANK(B362),"",AVERAGE(B356:B362))</f>
        <v>72.3428571428571</v>
      </c>
      <c r="E362" s="962" cm="1">
        <f t="array" ref="E362">IF(ISBLANK(B362),"",AVERAGE(B349:B362))</f>
        <v>73.5928571428571</v>
      </c>
      <c r="F362" s="962" cm="1">
        <f t="array" ref="F362">IF(ISBLANK(B362),"",AVERAGE(B333:B362))</f>
        <v>75.4783333333333</v>
      </c>
      <c r="G362" s="964"/>
      <c r="H362" s="964"/>
      <c r="I362" s="964"/>
      <c r="J362" s="964"/>
      <c r="K362" s="964"/>
      <c r="L362" s="964"/>
      <c r="M362" s="964"/>
      <c r="N362" s="964"/>
      <c r="O362" s="964"/>
      <c r="P362" s="964"/>
      <c r="Q362" s="962"/>
      <c r="R362" t="str" s="964" cm="1">
        <f t="array" ref="R362">IF(OR(ISBLANK($B362),NOT(ISBLANK(B362))),"",'tracking - Table 2-1-2'!C$66)</f>
      </c>
      <c r="S362" t="str" s="964" cm="1">
        <f t="array" ref="S362">IF(OR(ISBLANK($B362),NOT(ISBLANK(B362))),"",'tracking - Table 2-1-2'!D$66)</f>
      </c>
      <c r="T362" t="str" s="964" cm="1">
        <f t="array" ref="T362">IF(OR(ISBLANK($B362),NOT(ISBLANK(B362))),"",'tracking - Table 2-1-2'!E$66)</f>
      </c>
      <c r="U362" t="str" s="969" cm="1">
        <f t="array" ref="U362">IF(OR(ISBLANK($B362),ISBLANK('tracking - Table 2-1-2'!A$1)),"",'tracking - Table 2-1-2'!F$66)</f>
      </c>
    </row>
    <row r="363" ht="8.75" customHeight="1" hidden="1">
      <c r="A363" s="960">
        <v>44702</v>
      </c>
      <c r="B363" s="961">
        <v>72</v>
      </c>
      <c r="C363" s="965" cm="1">
        <f t="array" ref="C363">IF(ISBLANK(B363),"",B363*2.2046226218)</f>
        <v>158.7328287696</v>
      </c>
      <c r="D363" s="962" cm="1">
        <f t="array" ref="D363">IF(ISBLANK(B363),"",AVERAGE(B357:B363))</f>
        <v>72.2</v>
      </c>
      <c r="E363" s="962" cm="1">
        <f t="array" ref="E363">IF(ISBLANK(B363),"",AVERAGE(B350:B363))</f>
        <v>73.2178571428571</v>
      </c>
      <c r="F363" s="962" cm="1">
        <f t="array" ref="F363">IF(ISBLANK(B363),"",AVERAGE(B334:B363))</f>
        <v>75.345</v>
      </c>
      <c r="G363" s="964"/>
      <c r="H363" s="964"/>
      <c r="I363" s="964"/>
      <c r="J363" s="964"/>
      <c r="K363" s="964"/>
      <c r="L363" s="964"/>
      <c r="M363" s="964"/>
      <c r="N363" s="964"/>
      <c r="O363" s="964"/>
      <c r="P363" s="964"/>
      <c r="Q363" s="962"/>
      <c r="R363" t="str" s="964" cm="1">
        <f t="array" ref="R363">IF(OR(ISBLANK($B363),NOT(ISBLANK(B363))),"",'tracking - Table 2-1-2'!C$66)</f>
      </c>
      <c r="S363" t="str" s="964" cm="1">
        <f t="array" ref="S363">IF(OR(ISBLANK($B363),NOT(ISBLANK(B363))),"",'tracking - Table 2-1-2'!D$66)</f>
      </c>
      <c r="T363" t="str" s="964" cm="1">
        <f t="array" ref="T363">IF(OR(ISBLANK($B363),NOT(ISBLANK(B363))),"",'tracking - Table 2-1-2'!E$66)</f>
      </c>
      <c r="U363" t="str" s="969" cm="1">
        <f t="array" ref="U363">IF(OR(ISBLANK($B363),ISBLANK('tracking - Table 2-1-2'!A$1)),"",'tracking - Table 2-1-2'!F$66)</f>
      </c>
    </row>
    <row r="364" ht="8.75" customHeight="1" hidden="1">
      <c r="A364" s="960">
        <v>44703</v>
      </c>
      <c r="B364" s="961">
        <v>72.75</v>
      </c>
      <c r="C364" s="965" cm="1">
        <f t="array" ref="C364">IF(ISBLANK(B364),"",B364*2.2046226218)</f>
        <v>160.386295735950</v>
      </c>
      <c r="D364" s="962" cm="1">
        <f t="array" ref="D364">IF(ISBLANK(B364),"",AVERAGE(B358:B364))</f>
        <v>72.30714285714291</v>
      </c>
      <c r="E364" s="962" cm="1">
        <f t="array" ref="E364">IF(ISBLANK(B364),"",AVERAGE(B351:B364))</f>
        <v>72.8964285714286</v>
      </c>
      <c r="F364" s="962" cm="1">
        <f t="array" ref="F364">IF(ISBLANK(B364),"",AVERAGE(B335:B364))</f>
        <v>75.2383333333333</v>
      </c>
      <c r="G364" s="964"/>
      <c r="H364" s="964"/>
      <c r="I364" s="964"/>
      <c r="J364" s="964"/>
      <c r="K364" s="964"/>
      <c r="L364" s="964"/>
      <c r="M364" s="964"/>
      <c r="N364" s="964"/>
      <c r="O364" s="964"/>
      <c r="P364" s="964"/>
      <c r="Q364" s="962"/>
      <c r="R364" t="str" s="964" cm="1">
        <f t="array" ref="R364">IF(OR(ISBLANK($B364),NOT(ISBLANK(B364))),"",'tracking - Table 2-1-2'!C$66)</f>
      </c>
      <c r="S364" t="str" s="964" cm="1">
        <f t="array" ref="S364">IF(OR(ISBLANK($B364),NOT(ISBLANK(B364))),"",'tracking - Table 2-1-2'!D$66)</f>
      </c>
      <c r="T364" t="str" s="964" cm="1">
        <f t="array" ref="T364">IF(OR(ISBLANK($B364),NOT(ISBLANK(B364))),"",'tracking - Table 2-1-2'!E$66)</f>
      </c>
      <c r="U364" t="str" s="969" cm="1">
        <f t="array" ref="U364">IF(OR(ISBLANK($B364),ISBLANK('tracking - Table 2-1-2'!A$1)),"",'tracking - Table 2-1-2'!F$66)</f>
      </c>
    </row>
    <row r="365" ht="8.75" customHeight="1" hidden="1">
      <c r="A365" s="960">
        <v>44704</v>
      </c>
      <c r="B365" s="961">
        <v>72.45</v>
      </c>
      <c r="C365" s="965" cm="1">
        <f t="array" ref="C365">IF(ISBLANK(B365),"",B365*2.2046226218)</f>
        <v>159.724908949410</v>
      </c>
      <c r="D365" s="962" cm="1">
        <f t="array" ref="D365">IF(ISBLANK(B365),"",AVERAGE(B359:B365))</f>
        <v>72.37142857142859</v>
      </c>
      <c r="E365" s="962" cm="1">
        <f t="array" ref="E365">IF(ISBLANK(B365),"",AVERAGE(B352:B365))</f>
        <v>72.6964285714286</v>
      </c>
      <c r="F365" s="962" cm="1">
        <f t="array" ref="F365">IF(ISBLANK(B365),"",AVERAGE(B336:B365))</f>
        <v>75.1033333333333</v>
      </c>
      <c r="G365" s="964"/>
      <c r="H365" s="964"/>
      <c r="I365" s="964"/>
      <c r="J365" s="964"/>
      <c r="K365" s="964"/>
      <c r="L365" s="964"/>
      <c r="M365" s="964"/>
      <c r="N365" s="964"/>
      <c r="O365" s="964"/>
      <c r="P365" s="964"/>
      <c r="Q365" s="962"/>
      <c r="R365" t="str" s="964" cm="1">
        <f t="array" ref="R365">IF(OR(ISBLANK($B365),NOT(ISBLANK(B365))),"",'tracking - Table 2-1-2'!C$66)</f>
      </c>
      <c r="S365" t="str" s="964" cm="1">
        <f t="array" ref="S365">IF(OR(ISBLANK($B365),NOT(ISBLANK(B365))),"",'tracking - Table 2-1-2'!D$66)</f>
      </c>
      <c r="T365" t="str" s="964" cm="1">
        <f t="array" ref="T365">IF(OR(ISBLANK($B365),NOT(ISBLANK(B365))),"",'tracking - Table 2-1-2'!E$66)</f>
      </c>
      <c r="U365" t="str" s="969" cm="1">
        <f t="array" ref="U365">IF(OR(ISBLANK($B365),ISBLANK('tracking - Table 2-1-2'!A$1)),"",'tracking - Table 2-1-2'!F$66)</f>
      </c>
    </row>
    <row r="366" ht="8.75" customHeight="1" hidden="1">
      <c r="A366" s="960">
        <v>44705</v>
      </c>
      <c r="B366" s="961">
        <v>72.75</v>
      </c>
      <c r="C366" s="965" cm="1">
        <f t="array" ref="C366">IF(ISBLANK(B366),"",B366*2.2046226218)</f>
        <v>160.386295735950</v>
      </c>
      <c r="D366" s="962" cm="1">
        <f t="array" ref="D366">IF(ISBLANK(B366),"",AVERAGE(B360:B366))</f>
        <v>72.48571428571429</v>
      </c>
      <c r="E366" s="962" cm="1">
        <f t="array" ref="E366">IF(ISBLANK(B366),"",AVERAGE(B353:B366))</f>
        <v>72.58928571428569</v>
      </c>
      <c r="F366" s="962" cm="1">
        <f t="array" ref="F366">IF(ISBLANK(B366),"",AVERAGE(B337:B366))</f>
        <v>74.95666666666671</v>
      </c>
      <c r="G366" s="964"/>
      <c r="H366" s="964"/>
      <c r="I366" s="964"/>
      <c r="J366" s="964"/>
      <c r="K366" s="964"/>
      <c r="L366" s="964"/>
      <c r="M366" s="964"/>
      <c r="N366" s="964"/>
      <c r="O366" s="964"/>
      <c r="P366" s="964"/>
      <c r="Q366" s="962"/>
      <c r="R366" t="str" s="964" cm="1">
        <f t="array" ref="R366">IF(OR(ISBLANK($B366),NOT(ISBLANK(B366))),"",'tracking - Table 2-1-2'!C$66)</f>
      </c>
      <c r="S366" t="str" s="964" cm="1">
        <f t="array" ref="S366">IF(OR(ISBLANK($B366),NOT(ISBLANK(B366))),"",'tracking - Table 2-1-2'!D$66)</f>
      </c>
      <c r="T366" t="str" s="964" cm="1">
        <f t="array" ref="T366">IF(OR(ISBLANK($B366),NOT(ISBLANK(B366))),"",'tracking - Table 2-1-2'!E$66)</f>
      </c>
      <c r="U366" t="str" s="969" cm="1">
        <f t="array" ref="U366">IF(OR(ISBLANK($B366),ISBLANK('tracking - Table 2-1-2'!A$1)),"",'tracking - Table 2-1-2'!F$66)</f>
      </c>
    </row>
    <row r="367" ht="8.75" customHeight="1" hidden="1">
      <c r="A367" s="960">
        <v>44706</v>
      </c>
      <c r="B367" s="961">
        <v>72.45</v>
      </c>
      <c r="C367" s="965" cm="1">
        <f t="array" ref="C367">IF(ISBLANK(B367),"",B367*2.2046226218)</f>
        <v>159.724908949410</v>
      </c>
      <c r="D367" s="962" cm="1">
        <f t="array" ref="D367">IF(ISBLANK(B367),"",AVERAGE(B361:B367))</f>
        <v>72.55714285714291</v>
      </c>
      <c r="E367" s="962" cm="1">
        <f t="array" ref="E367">IF(ISBLANK(B367),"",AVERAGE(B354:B367))</f>
        <v>72.5</v>
      </c>
      <c r="F367" s="962" cm="1">
        <f t="array" ref="F367">IF(ISBLANK(B367),"",AVERAGE(B338:B367))</f>
        <v>74.7983333333333</v>
      </c>
      <c r="G367" s="964"/>
      <c r="H367" s="964"/>
      <c r="I367" s="964"/>
      <c r="J367" s="964"/>
      <c r="K367" s="964"/>
      <c r="L367" s="964"/>
      <c r="M367" s="964"/>
      <c r="N367" s="964"/>
      <c r="O367" s="964"/>
      <c r="P367" s="964"/>
      <c r="Q367" s="962"/>
      <c r="R367" t="str" s="964" cm="1">
        <f t="array" ref="R367">IF(OR(ISBLANK($B367),NOT(ISBLANK(B367))),"",'tracking - Table 2-1-2'!C$66)</f>
      </c>
      <c r="S367" t="str" s="964" cm="1">
        <f t="array" ref="S367">IF(OR(ISBLANK($B367),NOT(ISBLANK(B367))),"",'tracking - Table 2-1-2'!D$66)</f>
      </c>
      <c r="T367" t="str" s="964" cm="1">
        <f t="array" ref="T367">IF(OR(ISBLANK($B367),NOT(ISBLANK(B367))),"",'tracking - Table 2-1-2'!E$66)</f>
      </c>
      <c r="U367" t="str" s="969" cm="1">
        <f t="array" ref="U367">IF(OR(ISBLANK($B367),ISBLANK('tracking - Table 2-1-2'!A$1)),"",'tracking - Table 2-1-2'!F$66)</f>
      </c>
    </row>
    <row r="368" ht="8.75" customHeight="1" hidden="1">
      <c r="A368" s="960">
        <v>44707</v>
      </c>
      <c r="B368" s="961">
        <v>72.75</v>
      </c>
      <c r="C368" s="965" cm="1">
        <f t="array" ref="C368">IF(ISBLANK(B368),"",B368*2.2046226218)</f>
        <v>160.386295735950</v>
      </c>
      <c r="D368" s="962" cm="1">
        <f t="array" ref="D368">IF(ISBLANK(B368),"",AVERAGE(B362:B368))</f>
        <v>72.55714285714291</v>
      </c>
      <c r="E368" s="962" cm="1">
        <f t="array" ref="E368">IF(ISBLANK(B368),"",AVERAGE(B355:B368))</f>
        <v>72.4678571428571</v>
      </c>
      <c r="F368" s="962" cm="1">
        <f t="array" ref="F368">IF(ISBLANK(B368),"",AVERAGE(B339:B368))</f>
        <v>74.6466666666667</v>
      </c>
      <c r="G368" s="964"/>
      <c r="H368" s="964"/>
      <c r="I368" s="964"/>
      <c r="J368" s="964"/>
      <c r="K368" s="964"/>
      <c r="L368" s="964"/>
      <c r="M368" s="964"/>
      <c r="N368" s="964"/>
      <c r="O368" s="964"/>
      <c r="P368" s="964"/>
      <c r="Q368" s="962"/>
      <c r="R368" t="str" s="964" cm="1">
        <f t="array" ref="R368">IF(OR(ISBLANK($B368),NOT(ISBLANK(B368))),"",'tracking - Table 2-1-2'!C$66)</f>
      </c>
      <c r="S368" t="str" s="964" cm="1">
        <f t="array" ref="S368">IF(OR(ISBLANK($B368),NOT(ISBLANK(B368))),"",'tracking - Table 2-1-2'!D$66)</f>
      </c>
      <c r="T368" t="str" s="964" cm="1">
        <f t="array" ref="T368">IF(OR(ISBLANK($B368),NOT(ISBLANK(B368))),"",'tracking - Table 2-1-2'!E$66)</f>
      </c>
      <c r="U368" t="str" s="969" cm="1">
        <f t="array" ref="U368">IF(OR(ISBLANK($B368),ISBLANK('tracking - Table 2-1-2'!A$1)),"",'tracking - Table 2-1-2'!F$66)</f>
      </c>
    </row>
    <row r="369" ht="8.75" customHeight="1" hidden="1">
      <c r="A369" s="960">
        <v>44708</v>
      </c>
      <c r="B369" s="961">
        <v>72.75</v>
      </c>
      <c r="C369" s="965" cm="1">
        <f t="array" ref="C369">IF(ISBLANK(B369),"",B369*2.2046226218)</f>
        <v>160.386295735950</v>
      </c>
      <c r="D369" s="962" cm="1">
        <f t="array" ref="D369">IF(ISBLANK(B369),"",AVERAGE(B363:B369))</f>
        <v>72.55714285714291</v>
      </c>
      <c r="E369" s="962" cm="1">
        <f t="array" ref="E369">IF(ISBLANK(B369),"",AVERAGE(B356:B369))</f>
        <v>72.45</v>
      </c>
      <c r="F369" s="962" cm="1">
        <f t="array" ref="F369">IF(ISBLANK(B369),"",AVERAGE(B340:B369))</f>
        <v>74.495</v>
      </c>
      <c r="G369" s="964"/>
      <c r="H369" s="964"/>
      <c r="I369" s="964"/>
      <c r="J369" s="964"/>
      <c r="K369" s="964"/>
      <c r="L369" s="964"/>
      <c r="M369" s="964"/>
      <c r="N369" s="964"/>
      <c r="O369" s="964"/>
      <c r="P369" s="964"/>
      <c r="Q369" s="962"/>
      <c r="R369" t="str" s="964" cm="1">
        <f t="array" ref="R369">IF(OR(ISBLANK($B369),NOT(ISBLANK(B369))),"",'tracking - Table 2-1-2'!C$66)</f>
      </c>
      <c r="S369" t="str" s="964" cm="1">
        <f t="array" ref="S369">IF(OR(ISBLANK($B369),NOT(ISBLANK(B369))),"",'tracking - Table 2-1-2'!D$66)</f>
      </c>
      <c r="T369" t="str" s="964" cm="1">
        <f t="array" ref="T369">IF(OR(ISBLANK($B369),NOT(ISBLANK(B369))),"",'tracking - Table 2-1-2'!E$66)</f>
      </c>
      <c r="U369" t="str" s="969" cm="1">
        <f t="array" ref="U369">IF(OR(ISBLANK($B369),ISBLANK('tracking - Table 2-1-2'!A$1)),"",'tracking - Table 2-1-2'!F$66)</f>
      </c>
    </row>
    <row r="370" ht="8.75" customHeight="1" hidden="1">
      <c r="A370" s="960">
        <v>44709</v>
      </c>
      <c r="B370" s="961">
        <v>74.05</v>
      </c>
      <c r="C370" s="965" cm="1">
        <f t="array" ref="C370">IF(ISBLANK(B370),"",B370*2.2046226218)</f>
        <v>163.252305144290</v>
      </c>
      <c r="D370" s="962" cm="1">
        <f t="array" ref="D370">IF(ISBLANK(B370),"",AVERAGE(B364:B370))</f>
        <v>72.84999999999999</v>
      </c>
      <c r="E370" s="962" cm="1">
        <f t="array" ref="E370">IF(ISBLANK(B370),"",AVERAGE(B357:B370))</f>
        <v>72.52500000000001</v>
      </c>
      <c r="F370" s="962" cm="1">
        <f t="array" ref="F370">IF(ISBLANK(B370),"",AVERAGE(B341:B370))</f>
        <v>74.3816666666667</v>
      </c>
      <c r="G370" s="964"/>
      <c r="H370" s="964"/>
      <c r="I370" s="964"/>
      <c r="J370" s="964"/>
      <c r="K370" s="964"/>
      <c r="L370" s="964"/>
      <c r="M370" s="964"/>
      <c r="N370" s="964"/>
      <c r="O370" s="964"/>
      <c r="P370" s="964"/>
      <c r="Q370" s="962"/>
      <c r="R370" t="str" s="964" cm="1">
        <f t="array" ref="R370">IF(OR(ISBLANK($B370),NOT(ISBLANK(B370))),"",'tracking - Table 2-1-2'!C$66)</f>
      </c>
      <c r="S370" t="str" s="964" cm="1">
        <f t="array" ref="S370">IF(OR(ISBLANK($B370),NOT(ISBLANK(B370))),"",'tracking - Table 2-1-2'!D$66)</f>
      </c>
      <c r="T370" t="str" s="964" cm="1">
        <f t="array" ref="T370">IF(OR(ISBLANK($B370),NOT(ISBLANK(B370))),"",'tracking - Table 2-1-2'!E$66)</f>
      </c>
      <c r="U370" t="str" s="969" cm="1">
        <f t="array" ref="U370">IF(OR(ISBLANK($B370),ISBLANK('tracking - Table 2-1-2'!A$1)),"",'tracking - Table 2-1-2'!F$66)</f>
      </c>
    </row>
    <row r="371" ht="8.75" customHeight="1" hidden="1">
      <c r="A371" s="960">
        <v>44710</v>
      </c>
      <c r="B371" s="961">
        <v>72.55</v>
      </c>
      <c r="C371" s="965" cm="1">
        <f t="array" ref="C371">IF(ISBLANK(B371),"",B371*2.2046226218)</f>
        <v>159.945371211590</v>
      </c>
      <c r="D371" s="962" cm="1">
        <f t="array" ref="D371">IF(ISBLANK(B371),"",AVERAGE(B365:B371))</f>
        <v>72.8214285714286</v>
      </c>
      <c r="E371" s="962" cm="1">
        <f t="array" ref="E371">IF(ISBLANK(B371),"",AVERAGE(B358:B371))</f>
        <v>72.5642857142857</v>
      </c>
      <c r="F371" s="962" cm="1">
        <f t="array" ref="F371">IF(ISBLANK(B371),"",AVERAGE(B342:B371))</f>
        <v>74.21833333333331</v>
      </c>
      <c r="G371" s="964"/>
      <c r="H371" s="964"/>
      <c r="I371" s="964"/>
      <c r="J371" s="964"/>
      <c r="K371" s="964"/>
      <c r="L371" s="964"/>
      <c r="M371" s="964"/>
      <c r="N371" s="964"/>
      <c r="O371" s="964"/>
      <c r="P371" s="964"/>
      <c r="Q371" s="962"/>
      <c r="R371" t="str" s="964" cm="1">
        <f t="array" ref="R371">IF(OR(ISBLANK($B371),NOT(ISBLANK(B371))),"",'tracking - Table 2-1-2'!C$66)</f>
      </c>
      <c r="S371" t="str" s="964" cm="1">
        <f t="array" ref="S371">IF(OR(ISBLANK($B371),NOT(ISBLANK(B371))),"",'tracking - Table 2-1-2'!D$66)</f>
      </c>
      <c r="T371" t="str" s="964" cm="1">
        <f t="array" ref="T371">IF(OR(ISBLANK($B371),NOT(ISBLANK(B371))),"",'tracking - Table 2-1-2'!E$66)</f>
      </c>
      <c r="U371" t="str" s="969" cm="1">
        <f t="array" ref="U371">IF(OR(ISBLANK($B371),ISBLANK('tracking - Table 2-1-2'!A$1)),"",'tracking - Table 2-1-2'!F$66)</f>
      </c>
    </row>
    <row r="372" ht="8.75" customHeight="1" hidden="1">
      <c r="A372" s="960">
        <v>44711</v>
      </c>
      <c r="B372" s="961">
        <v>74.59999999999999</v>
      </c>
      <c r="C372" s="965" cm="1">
        <f t="array" ref="C372">IF(ISBLANK(B372),"",B372*2.2046226218)</f>
        <v>164.464847586280</v>
      </c>
      <c r="D372" s="962" cm="1">
        <f t="array" ref="D372">IF(ISBLANK(B372),"",AVERAGE(B366:B372))</f>
        <v>73.12857142857141</v>
      </c>
      <c r="E372" s="962" cm="1">
        <f t="array" ref="E372">IF(ISBLANK(B372),"",AVERAGE(B359:B372))</f>
        <v>72.75</v>
      </c>
      <c r="F372" s="962" cm="1">
        <f t="array" ref="F372">IF(ISBLANK(B372),"",AVERAGE(B343:B372))</f>
        <v>74.1166666666667</v>
      </c>
      <c r="G372" s="964"/>
      <c r="H372" s="964"/>
      <c r="I372" s="964"/>
      <c r="J372" s="964"/>
      <c r="K372" s="964"/>
      <c r="L372" s="964"/>
      <c r="M372" s="964"/>
      <c r="N372" s="964"/>
      <c r="O372" s="964"/>
      <c r="P372" s="964"/>
      <c r="Q372" s="962"/>
      <c r="R372" t="str" s="964" cm="1">
        <f t="array" ref="R372">IF(OR(ISBLANK($B372),NOT(ISBLANK(B372))),"",'tracking - Table 2-1-2'!C$66)</f>
      </c>
      <c r="S372" t="str" s="964" cm="1">
        <f t="array" ref="S372">IF(OR(ISBLANK($B372),NOT(ISBLANK(B372))),"",'tracking - Table 2-1-2'!D$66)</f>
      </c>
      <c r="T372" t="str" s="964" cm="1">
        <f t="array" ref="T372">IF(OR(ISBLANK($B372),NOT(ISBLANK(B372))),"",'tracking - Table 2-1-2'!E$66)</f>
      </c>
      <c r="U372" t="str" s="969" cm="1">
        <f t="array" ref="U372">IF(OR(ISBLANK($B372),ISBLANK('tracking - Table 2-1-2'!A$1)),"",'tracking - Table 2-1-2'!F$66)</f>
      </c>
    </row>
    <row r="373" ht="8.75" customHeight="1" hidden="1">
      <c r="A373" s="960">
        <v>44712</v>
      </c>
      <c r="B373" s="961">
        <v>75.09999999999999</v>
      </c>
      <c r="C373" s="965" cm="1">
        <f t="array" ref="C373">IF(ISBLANK(B373),"",B373*2.2046226218)</f>
        <v>165.567158897180</v>
      </c>
      <c r="D373" s="962" cm="1">
        <f t="array" ref="D373">IF(ISBLANK(B373),"",AVERAGE(B367:B373))</f>
        <v>73.46428571428569</v>
      </c>
      <c r="E373" s="962" cm="1">
        <f t="array" ref="E373">IF(ISBLANK(B373),"",AVERAGE(B360:B373))</f>
        <v>72.97499999999999</v>
      </c>
      <c r="F373" s="962" cm="1">
        <f t="array" ref="F373">IF(ISBLANK(B373),"",AVERAGE(B344:B373))</f>
        <v>74.03166666666669</v>
      </c>
      <c r="G373" s="964"/>
      <c r="H373" s="964"/>
      <c r="I373" s="964"/>
      <c r="J373" s="964"/>
      <c r="K373" s="964"/>
      <c r="L373" s="964"/>
      <c r="M373" s="964"/>
      <c r="N373" s="964"/>
      <c r="O373" s="964"/>
      <c r="P373" s="964"/>
      <c r="Q373" s="962"/>
      <c r="R373" t="str" s="964" cm="1">
        <f t="array" ref="R373">IF(OR(ISBLANK($B373),NOT(ISBLANK(B373))),"",'tracking - Table 2-1-2'!C$66)</f>
      </c>
      <c r="S373" t="str" s="964" cm="1">
        <f t="array" ref="S373">IF(OR(ISBLANK($B373),NOT(ISBLANK(B373))),"",'tracking - Table 2-1-2'!D$66)</f>
      </c>
      <c r="T373" t="str" s="964" cm="1">
        <f t="array" ref="T373">IF(OR(ISBLANK($B373),NOT(ISBLANK(B373))),"",'tracking - Table 2-1-2'!E$66)</f>
      </c>
      <c r="U373" t="str" s="969" cm="1">
        <f t="array" ref="U373">IF(OR(ISBLANK($B373),ISBLANK('tracking - Table 2-1-2'!A$1)),"",'tracking - Table 2-1-2'!F$66)</f>
      </c>
    </row>
    <row r="374" ht="8.75" customHeight="1" hidden="1">
      <c r="A374" s="960">
        <v>44713</v>
      </c>
      <c r="B374" s="356"/>
      <c r="C374" t="str" s="352" cm="1">
        <f t="array" ref="C374">IF(ISBLANK(B374),"",B374*2.2046226218)</f>
      </c>
      <c r="D374" t="str" s="964" cm="1">
        <f t="array" ref="D374">IF(ISBLANK(B374),"",AVERAGE(B368:B374))</f>
      </c>
      <c r="E374" t="str" s="964" cm="1">
        <f t="array" ref="E374">IF(ISBLANK(B374),"",AVERAGE(B361:B374))</f>
      </c>
      <c r="F374" t="str" s="964" cm="1">
        <f t="array" ref="F374">IF(ISBLANK(B374),"",AVERAGE(B345:B374))</f>
      </c>
      <c r="G374" s="964"/>
      <c r="H374" s="964"/>
      <c r="I374" s="964"/>
      <c r="J374" s="964"/>
      <c r="K374" s="964"/>
      <c r="L374" s="964"/>
      <c r="M374" s="964"/>
      <c r="N374" s="964"/>
      <c r="O374" s="964"/>
      <c r="P374" s="964"/>
      <c r="Q374" s="962"/>
      <c r="R374" t="str" s="964" cm="1">
        <f t="array" ref="R374">IF(OR(ISBLANK($B374),NOT(ISBLANK(B374))),"",'tracking - Table 2-1-2'!C$66)</f>
      </c>
      <c r="S374" t="str" s="964" cm="1">
        <f t="array" ref="S374">IF(OR(ISBLANK($B374),NOT(ISBLANK(B374))),"",'tracking - Table 2-1-2'!D$66)</f>
      </c>
      <c r="T374" t="str" s="964" cm="1">
        <f t="array" ref="T374">IF(OR(ISBLANK($B374),NOT(ISBLANK(B374))),"",'tracking - Table 2-1-2'!E$66)</f>
      </c>
      <c r="U374" t="str" s="969" cm="1">
        <f t="array" ref="U374">IF(OR(ISBLANK($B374),ISBLANK('tracking - Table 2-1-2'!A$1)),"",'tracking - Table 2-1-2'!F$66)</f>
      </c>
    </row>
    <row r="375" ht="8.75" customHeight="1" hidden="1">
      <c r="A375" s="960">
        <v>44714</v>
      </c>
      <c r="B375" s="961">
        <v>74.59999999999999</v>
      </c>
      <c r="C375" s="965" cm="1">
        <f t="array" ref="C375">IF(ISBLANK(B375),"",B375*2.2046226218)</f>
        <v>164.464847586280</v>
      </c>
      <c r="D375" s="962" cm="1">
        <f t="array" ref="D375">IF(ISBLANK(B375),"",AVERAGE(B369:B375))</f>
        <v>73.94166666666671</v>
      </c>
      <c r="E375" s="962" cm="1">
        <f t="array" ref="E375">IF(ISBLANK(B375),"",AVERAGE(B362:B375))</f>
        <v>73.19615384615381</v>
      </c>
      <c r="F375" s="962" cm="1">
        <f t="array" ref="F375">IF(ISBLANK(B375),"",AVERAGE(B346:B375))</f>
        <v>73.8241379310345</v>
      </c>
      <c r="G375" s="964"/>
      <c r="H375" s="964"/>
      <c r="I375" s="964"/>
      <c r="J375" s="964"/>
      <c r="K375" s="964"/>
      <c r="L375" s="964"/>
      <c r="M375" s="964"/>
      <c r="N375" s="964"/>
      <c r="O375" s="964"/>
      <c r="P375" s="964"/>
      <c r="Q375" s="962"/>
      <c r="R375" t="str" s="964" cm="1">
        <f t="array" ref="R375">IF(OR(ISBLANK($B375),NOT(ISBLANK(B375))),"",'tracking - Table 2-1-2'!C$66)</f>
      </c>
      <c r="S375" t="str" s="964" cm="1">
        <f t="array" ref="S375">IF(OR(ISBLANK($B375),NOT(ISBLANK(B375))),"",'tracking - Table 2-1-2'!D$66)</f>
      </c>
      <c r="T375" t="str" s="964" cm="1">
        <f t="array" ref="T375">IF(OR(ISBLANK($B375),NOT(ISBLANK(B375))),"",'tracking - Table 2-1-2'!E$66)</f>
      </c>
      <c r="U375" t="str" s="969" cm="1">
        <f t="array" ref="U375">IF(OR(ISBLANK($B375),ISBLANK('tracking - Table 2-1-2'!A$1)),"",'tracking - Table 2-1-2'!F$66)</f>
      </c>
    </row>
    <row r="376" ht="8.75" customHeight="1" hidden="1">
      <c r="A376" s="960">
        <v>44715</v>
      </c>
      <c r="B376" s="961">
        <v>74.65000000000001</v>
      </c>
      <c r="C376" s="965" cm="1">
        <f t="array" ref="C376">IF(ISBLANK(B376),"",B376*2.2046226218)</f>
        <v>164.575078717370</v>
      </c>
      <c r="D376" s="962" cm="1">
        <f t="array" ref="D376">IF(ISBLANK(B376),"",AVERAGE(B370:B376))</f>
        <v>74.2583333333333</v>
      </c>
      <c r="E376" s="962" cm="1">
        <f t="array" ref="E376">IF(ISBLANK(B376),"",AVERAGE(B363:B376))</f>
        <v>73.3423076923077</v>
      </c>
      <c r="F376" s="962" cm="1">
        <f t="array" ref="F376">IF(ISBLANK(B376),"",AVERAGE(B347:B376))</f>
        <v>73.7155172413793</v>
      </c>
      <c r="G376" s="964"/>
      <c r="H376" s="964"/>
      <c r="I376" s="964"/>
      <c r="J376" s="964"/>
      <c r="K376" s="964"/>
      <c r="L376" s="964"/>
      <c r="M376" s="964"/>
      <c r="N376" s="964"/>
      <c r="O376" s="964"/>
      <c r="P376" s="964"/>
      <c r="Q376" s="962"/>
      <c r="R376" t="str" s="964" cm="1">
        <f t="array" ref="R376">IF(OR(ISBLANK($B376),NOT(ISBLANK(B376))),"",'tracking - Table 2-1-2'!C$66)</f>
      </c>
      <c r="S376" t="str" s="964" cm="1">
        <f t="array" ref="S376">IF(OR(ISBLANK($B376),NOT(ISBLANK(B376))),"",'tracking - Table 2-1-2'!D$66)</f>
      </c>
      <c r="T376" t="str" s="964" cm="1">
        <f t="array" ref="T376">IF(OR(ISBLANK($B376),NOT(ISBLANK(B376))),"",'tracking - Table 2-1-2'!E$66)</f>
      </c>
      <c r="U376" t="str" s="969" cm="1">
        <f t="array" ref="U376">IF(OR(ISBLANK($B376),ISBLANK('tracking - Table 2-1-2'!A$1)),"",'tracking - Table 2-1-2'!F$66)</f>
      </c>
    </row>
    <row r="377" ht="8.75" customHeight="1" hidden="1">
      <c r="A377" s="960">
        <v>44716</v>
      </c>
      <c r="B377" s="961">
        <v>74.65000000000001</v>
      </c>
      <c r="C377" s="965" cm="1">
        <f t="array" ref="C377">IF(ISBLANK(B377),"",B377*2.2046226218)</f>
        <v>164.575078717370</v>
      </c>
      <c r="D377" s="962" cm="1">
        <f t="array" ref="D377">IF(ISBLANK(B377),"",AVERAGE(B371:B377))</f>
        <v>74.35833333333331</v>
      </c>
      <c r="E377" s="962" cm="1">
        <f t="array" ref="E377">IF(ISBLANK(B377),"",AVERAGE(B364:B377))</f>
        <v>73.5461538461538</v>
      </c>
      <c r="F377" s="962" cm="1">
        <f t="array" ref="F377">IF(ISBLANK(B377),"",AVERAGE(B348:B377))</f>
        <v>73.6241379310345</v>
      </c>
      <c r="G377" s="964"/>
      <c r="H377" s="964"/>
      <c r="I377" s="964"/>
      <c r="J377" s="964"/>
      <c r="K377" s="964"/>
      <c r="L377" s="964"/>
      <c r="M377" s="964"/>
      <c r="N377" s="964"/>
      <c r="O377" s="964"/>
      <c r="P377" s="964"/>
      <c r="Q377" s="962"/>
      <c r="R377" t="str" s="964" cm="1">
        <f t="array" ref="R377">IF(OR(ISBLANK($B377),NOT(ISBLANK(B377))),"",'tracking - Table 2-1-2'!C$66)</f>
      </c>
      <c r="S377" t="str" s="964" cm="1">
        <f t="array" ref="S377">IF(OR(ISBLANK($B377),NOT(ISBLANK(B377))),"",'tracking - Table 2-1-2'!D$66)</f>
      </c>
      <c r="T377" t="str" s="964" cm="1">
        <f t="array" ref="T377">IF(OR(ISBLANK($B377),NOT(ISBLANK(B377))),"",'tracking - Table 2-1-2'!E$66)</f>
      </c>
      <c r="U377" t="str" s="969" cm="1">
        <f t="array" ref="U377">IF(OR(ISBLANK($B377),ISBLANK('tracking - Table 2-1-2'!A$1)),"",'tracking - Table 2-1-2'!F$66)</f>
      </c>
    </row>
    <row r="378" ht="8.75" customHeight="1" hidden="1">
      <c r="A378" s="960">
        <v>44717</v>
      </c>
      <c r="B378" s="356"/>
      <c r="C378" t="str" s="352" cm="1">
        <f t="array" ref="C378">IF(ISBLANK(B378),"",B378*2.2046226218)</f>
      </c>
      <c r="D378" t="str" s="964" cm="1">
        <f t="array" ref="D378">IF(ISBLANK(B378),"",AVERAGE(B372:B378))</f>
      </c>
      <c r="E378" t="str" s="964" cm="1">
        <f t="array" ref="E378">IF(ISBLANK(B378),"",AVERAGE(B365:B378))</f>
      </c>
      <c r="F378" t="str" s="964" cm="1">
        <f t="array" ref="F378">IF(ISBLANK(B378),"",AVERAGE(B349:B378))</f>
      </c>
      <c r="G378" s="964"/>
      <c r="H378" s="964"/>
      <c r="I378" s="964"/>
      <c r="J378" s="964"/>
      <c r="K378" s="964"/>
      <c r="L378" s="964"/>
      <c r="M378" s="964"/>
      <c r="N378" s="964"/>
      <c r="O378" s="964"/>
      <c r="P378" s="964"/>
      <c r="Q378" s="962"/>
      <c r="R378" t="str" s="964" cm="1">
        <f t="array" ref="R378">IF(OR(ISBLANK($B378),NOT(ISBLANK(B378))),"",'tracking - Table 2-1-2'!C$66)</f>
      </c>
      <c r="S378" t="str" s="964" cm="1">
        <f t="array" ref="S378">IF(OR(ISBLANK($B378),NOT(ISBLANK(B378))),"",'tracking - Table 2-1-2'!D$66)</f>
      </c>
      <c r="T378" t="str" s="964" cm="1">
        <f t="array" ref="T378">IF(OR(ISBLANK($B378),NOT(ISBLANK(B378))),"",'tracking - Table 2-1-2'!E$66)</f>
      </c>
      <c r="U378" t="str" s="969" cm="1">
        <f t="array" ref="U378">IF(OR(ISBLANK($B378),ISBLANK('tracking - Table 2-1-2'!A$1)),"",'tracking - Table 2-1-2'!F$66)</f>
      </c>
    </row>
    <row r="379" ht="8.75" customHeight="1" hidden="1">
      <c r="A379" s="960">
        <v>44718</v>
      </c>
      <c r="B379" s="961">
        <v>74.59999999999999</v>
      </c>
      <c r="C379" s="965" cm="1">
        <f t="array" ref="C379">IF(ISBLANK(B379),"",B379*2.2046226218)</f>
        <v>164.464847586280</v>
      </c>
      <c r="D379" s="962" cm="1">
        <f t="array" ref="D379">IF(ISBLANK(B379),"",AVERAGE(B373:B379))</f>
        <v>74.72</v>
      </c>
      <c r="E379" s="962" cm="1">
        <f t="array" ref="E379">IF(ISBLANK(B379),"",AVERAGE(B366:B379))</f>
        <v>73.7916666666667</v>
      </c>
      <c r="F379" s="962" cm="1">
        <f t="array" ref="F379">IF(ISBLANK(B379),"",AVERAGE(B350:B379))</f>
        <v>73.4196428571429</v>
      </c>
      <c r="G379" s="964"/>
      <c r="H379" s="964"/>
      <c r="I379" s="964"/>
      <c r="J379" s="964"/>
      <c r="K379" s="964"/>
      <c r="L379" s="964"/>
      <c r="M379" s="964"/>
      <c r="N379" s="964"/>
      <c r="O379" s="964"/>
      <c r="P379" s="964"/>
      <c r="Q379" s="962"/>
      <c r="R379" t="str" s="964" cm="1">
        <f t="array" ref="R379">IF(OR(ISBLANK($B379),NOT(ISBLANK(B379))),"",'tracking - Table 2-1-2'!C$66)</f>
      </c>
      <c r="S379" t="str" s="964" cm="1">
        <f t="array" ref="S379">IF(OR(ISBLANK($B379),NOT(ISBLANK(B379))),"",'tracking - Table 2-1-2'!D$66)</f>
      </c>
      <c r="T379" t="str" s="964" cm="1">
        <f t="array" ref="T379">IF(OR(ISBLANK($B379),NOT(ISBLANK(B379))),"",'tracking - Table 2-1-2'!E$66)</f>
      </c>
      <c r="U379" t="str" s="969" cm="1">
        <f t="array" ref="U379">IF(OR(ISBLANK($B379),ISBLANK('tracking - Table 2-1-2'!A$1)),"",'tracking - Table 2-1-2'!F$66)</f>
      </c>
    </row>
    <row r="380" ht="8.75" customHeight="1" hidden="1">
      <c r="A380" s="960">
        <v>44719</v>
      </c>
      <c r="B380" s="961">
        <v>74.59999999999999</v>
      </c>
      <c r="C380" s="965" cm="1">
        <f t="array" ref="C380">IF(ISBLANK(B380),"",B380*2.2046226218)</f>
        <v>164.464847586280</v>
      </c>
      <c r="D380" s="962" cm="1">
        <f t="array" ref="D380">IF(ISBLANK(B380),"",AVERAGE(B374:B380))</f>
        <v>74.62</v>
      </c>
      <c r="E380" s="962" cm="1">
        <f t="array" ref="E380">IF(ISBLANK(B380),"",AVERAGE(B367:B380))</f>
        <v>73.9458333333333</v>
      </c>
      <c r="F380" s="962" cm="1">
        <f t="array" ref="F380">IF(ISBLANK(B380),"",AVERAGE(B351:B380))</f>
        <v>73.325</v>
      </c>
      <c r="G380" s="964"/>
      <c r="H380" s="964"/>
      <c r="I380" s="964"/>
      <c r="J380" s="964"/>
      <c r="K380" s="964"/>
      <c r="L380" s="964"/>
      <c r="M380" s="964"/>
      <c r="N380" s="964"/>
      <c r="O380" s="964"/>
      <c r="P380" s="964"/>
      <c r="Q380" s="962"/>
      <c r="R380" t="str" s="964" cm="1">
        <f t="array" ref="R380">IF(OR(ISBLANK($B380),NOT(ISBLANK(B380))),"",'tracking - Table 2-1-2'!C$66)</f>
      </c>
      <c r="S380" t="str" s="964" cm="1">
        <f t="array" ref="S380">IF(OR(ISBLANK($B380),NOT(ISBLANK(B380))),"",'tracking - Table 2-1-2'!D$66)</f>
      </c>
      <c r="T380" t="str" s="964" cm="1">
        <f t="array" ref="T380">IF(OR(ISBLANK($B380),NOT(ISBLANK(B380))),"",'tracking - Table 2-1-2'!E$66)</f>
      </c>
      <c r="U380" t="str" s="969" cm="1">
        <f t="array" ref="U380">IF(OR(ISBLANK($B380),ISBLANK('tracking - Table 2-1-2'!A$1)),"",'tracking - Table 2-1-2'!F$66)</f>
      </c>
    </row>
    <row r="381" ht="8.75" customHeight="1" hidden="1">
      <c r="A381" s="960">
        <v>44720</v>
      </c>
      <c r="B381" s="961">
        <v>75.25</v>
      </c>
      <c r="C381" s="965" cm="1">
        <f t="array" ref="C381">IF(ISBLANK(B381),"",B381*2.2046226218)</f>
        <v>165.897852290450</v>
      </c>
      <c r="D381" s="962" cm="1">
        <f t="array" ref="D381">IF(ISBLANK(B381),"",AVERAGE(B375:B381))</f>
        <v>74.72499999999999</v>
      </c>
      <c r="E381" s="962" cm="1">
        <f t="array" ref="E381">IF(ISBLANK(B381),"",AVERAGE(B368:B381))</f>
        <v>74.1791666666667</v>
      </c>
      <c r="F381" s="962" cm="1">
        <f t="array" ref="F381">IF(ISBLANK(B381),"",AVERAGE(B352:B381))</f>
        <v>73.325</v>
      </c>
      <c r="G381" s="964"/>
      <c r="H381" s="964"/>
      <c r="I381" s="964"/>
      <c r="J381" s="964"/>
      <c r="K381" s="964"/>
      <c r="L381" s="964"/>
      <c r="M381" s="964"/>
      <c r="N381" s="964"/>
      <c r="O381" s="964"/>
      <c r="P381" s="964"/>
      <c r="Q381" s="962"/>
      <c r="R381" t="str" s="964" cm="1">
        <f t="array" ref="R381">IF(OR(ISBLANK($B381),NOT(ISBLANK(B381))),"",'tracking - Table 2-1-2'!C$66)</f>
      </c>
      <c r="S381" t="str" s="964" cm="1">
        <f t="array" ref="S381">IF(OR(ISBLANK($B381),NOT(ISBLANK(B381))),"",'tracking - Table 2-1-2'!D$66)</f>
      </c>
      <c r="T381" t="str" s="964" cm="1">
        <f t="array" ref="T381">IF(OR(ISBLANK($B381),NOT(ISBLANK(B381))),"",'tracking - Table 2-1-2'!E$66)</f>
      </c>
      <c r="U381" t="str" s="969" cm="1">
        <f t="array" ref="U381">IF(OR(ISBLANK($B381),ISBLANK('tracking - Table 2-1-2'!A$1)),"",'tracking - Table 2-1-2'!F$66)</f>
      </c>
    </row>
    <row r="382" ht="8.75" customHeight="1" hidden="1">
      <c r="A382" s="960">
        <v>44721</v>
      </c>
      <c r="B382" s="961">
        <v>74.95</v>
      </c>
      <c r="C382" s="965" cm="1">
        <f t="array" ref="C382">IF(ISBLANK(B382),"",B382*2.2046226218)</f>
        <v>165.236465503910</v>
      </c>
      <c r="D382" s="962" cm="1">
        <f t="array" ref="D382">IF(ISBLANK(B382),"",AVERAGE(B376:B382))</f>
        <v>74.7833333333333</v>
      </c>
      <c r="E382" s="962" cm="1">
        <f t="array" ref="E382">IF(ISBLANK(B382),"",AVERAGE(B369:B382))</f>
        <v>74.3625</v>
      </c>
      <c r="F382" s="962" cm="1">
        <f t="array" ref="F382">IF(ISBLANK(B382),"",AVERAGE(B353:B382))</f>
        <v>73.34999999999999</v>
      </c>
      <c r="G382" s="964"/>
      <c r="H382" s="964"/>
      <c r="I382" s="964"/>
      <c r="J382" s="964"/>
      <c r="K382" s="964"/>
      <c r="L382" s="964"/>
      <c r="M382" s="964"/>
      <c r="N382" s="964"/>
      <c r="O382" s="964"/>
      <c r="P382" s="964"/>
      <c r="Q382" s="962"/>
      <c r="R382" t="str" s="964" cm="1">
        <f t="array" ref="R382">IF(OR(ISBLANK($B382),NOT(ISBLANK(B382))),"",'tracking - Table 2-1-2'!C$66)</f>
      </c>
      <c r="S382" t="str" s="964" cm="1">
        <f t="array" ref="S382">IF(OR(ISBLANK($B382),NOT(ISBLANK(B382))),"",'tracking - Table 2-1-2'!D$66)</f>
      </c>
      <c r="T382" t="str" s="964" cm="1">
        <f t="array" ref="T382">IF(OR(ISBLANK($B382),NOT(ISBLANK(B382))),"",'tracking - Table 2-1-2'!E$66)</f>
      </c>
      <c r="U382" t="str" s="969" cm="1">
        <f t="array" ref="U382">IF(OR(ISBLANK($B382),ISBLANK('tracking - Table 2-1-2'!A$1)),"",'tracking - Table 2-1-2'!F$66)</f>
      </c>
    </row>
    <row r="383" ht="8.75" customHeight="1" hidden="1">
      <c r="A383" s="960">
        <v>44722</v>
      </c>
      <c r="B383" s="961">
        <v>76</v>
      </c>
      <c r="C383" s="965" cm="1">
        <f t="array" ref="C383">IF(ISBLANK(B383),"",B383*2.2046226218)</f>
        <v>167.5513192568</v>
      </c>
      <c r="D383" s="962" cm="1">
        <f t="array" ref="D383">IF(ISBLANK(B383),"",AVERAGE(B377:B383))</f>
        <v>75.0083333333333</v>
      </c>
      <c r="E383" s="962" cm="1">
        <f t="array" ref="E383">IF(ISBLANK(B383),"",AVERAGE(B370:B383))</f>
        <v>74.6333333333333</v>
      </c>
      <c r="F383" s="962" cm="1">
        <f t="array" ref="F383">IF(ISBLANK(B383),"",AVERAGE(B354:B383))</f>
        <v>73.43214285714291</v>
      </c>
      <c r="G383" s="964"/>
      <c r="H383" s="964"/>
      <c r="I383" s="964"/>
      <c r="J383" s="964"/>
      <c r="K383" s="964"/>
      <c r="L383" s="964"/>
      <c r="M383" s="964"/>
      <c r="N383" s="964"/>
      <c r="O383" s="964"/>
      <c r="P383" s="964"/>
      <c r="Q383" s="962"/>
      <c r="R383" t="str" s="964" cm="1">
        <f t="array" ref="R383">IF(OR(ISBLANK($B383),NOT(ISBLANK(B383))),"",'tracking - Table 2-1-2'!C$66)</f>
      </c>
      <c r="S383" t="str" s="964" cm="1">
        <f t="array" ref="S383">IF(OR(ISBLANK($B383),NOT(ISBLANK(B383))),"",'tracking - Table 2-1-2'!D$66)</f>
      </c>
      <c r="T383" t="str" s="964" cm="1">
        <f t="array" ref="T383">IF(OR(ISBLANK($B383),NOT(ISBLANK(B383))),"",'tracking - Table 2-1-2'!E$66)</f>
      </c>
      <c r="U383" t="str" s="969" cm="1">
        <f t="array" ref="U383">IF(OR(ISBLANK($B383),ISBLANK('tracking - Table 2-1-2'!A$1)),"",'tracking - Table 2-1-2'!F$66)</f>
      </c>
    </row>
    <row r="384" ht="8.75" customHeight="1" hidden="1">
      <c r="A384" s="960">
        <v>44723</v>
      </c>
      <c r="B384" s="961">
        <v>74.90000000000001</v>
      </c>
      <c r="C384" s="965" cm="1">
        <f t="array" ref="C384">IF(ISBLANK(B384),"",B384*2.2046226218)</f>
        <v>165.126234372820</v>
      </c>
      <c r="D384" s="962" cm="1">
        <f t="array" ref="D384">IF(ISBLANK(B384),"",AVERAGE(B378:B384))</f>
        <v>75.05</v>
      </c>
      <c r="E384" s="962" cm="1">
        <f t="array" ref="E384">IF(ISBLANK(B384),"",AVERAGE(B371:B384))</f>
        <v>74.70416666666669</v>
      </c>
      <c r="F384" s="962" cm="1">
        <f t="array" ref="F384">IF(ISBLANK(B384),"",AVERAGE(B355:B384))</f>
        <v>73.4928571428571</v>
      </c>
      <c r="G384" s="964"/>
      <c r="H384" s="964"/>
      <c r="I384" s="964"/>
      <c r="J384" s="964"/>
      <c r="K384" s="964"/>
      <c r="L384" s="964"/>
      <c r="M384" s="964"/>
      <c r="N384" s="964"/>
      <c r="O384" s="964"/>
      <c r="P384" s="964"/>
      <c r="Q384" s="962"/>
      <c r="R384" t="str" s="964" cm="1">
        <f t="array" ref="R384">IF(OR(ISBLANK($B384),NOT(ISBLANK(B384))),"",'tracking - Table 2-1-2'!C$66)</f>
      </c>
      <c r="S384" t="str" s="964" cm="1">
        <f t="array" ref="S384">IF(OR(ISBLANK($B384),NOT(ISBLANK(B384))),"",'tracking - Table 2-1-2'!D$66)</f>
      </c>
      <c r="T384" t="str" s="964" cm="1">
        <f t="array" ref="T384">IF(OR(ISBLANK($B384),NOT(ISBLANK(B384))),"",'tracking - Table 2-1-2'!E$66)</f>
      </c>
      <c r="U384" t="str" s="969" cm="1">
        <f t="array" ref="U384">IF(OR(ISBLANK($B384),ISBLANK('tracking - Table 2-1-2'!A$1)),"",'tracking - Table 2-1-2'!F$66)</f>
      </c>
    </row>
    <row r="385" ht="8.75" customHeight="1" hidden="1">
      <c r="A385" s="960">
        <v>44724</v>
      </c>
      <c r="B385" s="961">
        <v>74.90000000000001</v>
      </c>
      <c r="C385" s="965" cm="1">
        <f t="array" ref="C385">IF(ISBLANK(B385),"",B385*2.2046226218)</f>
        <v>165.126234372820</v>
      </c>
      <c r="D385" s="962" cm="1">
        <f t="array" ref="D385">IF(ISBLANK(B385),"",AVERAGE(B379:B385))</f>
        <v>75.0285714285714</v>
      </c>
      <c r="E385" s="962" cm="1">
        <f t="array" ref="E385">IF(ISBLANK(B385),"",AVERAGE(B372:B385))</f>
        <v>74.90000000000001</v>
      </c>
      <c r="F385" s="962" cm="1">
        <f t="array" ref="F385">IF(ISBLANK(B385),"",AVERAGE(B356:B385))</f>
        <v>73.5607142857143</v>
      </c>
      <c r="G385" s="964"/>
      <c r="H385" s="964"/>
      <c r="I385" s="964"/>
      <c r="J385" s="964"/>
      <c r="K385" s="964"/>
      <c r="L385" s="964"/>
      <c r="M385" s="964"/>
      <c r="N385" s="964"/>
      <c r="O385" s="964"/>
      <c r="P385" s="964"/>
      <c r="Q385" s="962"/>
      <c r="R385" t="str" s="964" cm="1">
        <f t="array" ref="R385">IF(OR(ISBLANK($B385),NOT(ISBLANK(B385))),"",'tracking - Table 2-1-2'!C$66)</f>
      </c>
      <c r="S385" t="str" s="964" cm="1">
        <f t="array" ref="S385">IF(OR(ISBLANK($B385),NOT(ISBLANK(B385))),"",'tracking - Table 2-1-2'!D$66)</f>
      </c>
      <c r="T385" t="str" s="964" cm="1">
        <f t="array" ref="T385">IF(OR(ISBLANK($B385),NOT(ISBLANK(B385))),"",'tracking - Table 2-1-2'!E$66)</f>
      </c>
      <c r="U385" t="str" s="969" cm="1">
        <f t="array" ref="U385">IF(OR(ISBLANK($B385),ISBLANK('tracking - Table 2-1-2'!A$1)),"",'tracking - Table 2-1-2'!F$66)</f>
      </c>
    </row>
    <row r="386" ht="8.75" customHeight="1" hidden="1">
      <c r="A386" s="960">
        <v>44725</v>
      </c>
      <c r="B386" s="961">
        <v>74.90000000000001</v>
      </c>
      <c r="C386" s="965" cm="1">
        <f t="array" ref="C386">IF(ISBLANK(B386),"",B386*2.2046226218)</f>
        <v>165.126234372820</v>
      </c>
      <c r="D386" s="962" cm="1">
        <f t="array" ref="D386">IF(ISBLANK(B386),"",AVERAGE(B380:B386))</f>
        <v>75.0714285714286</v>
      </c>
      <c r="E386" s="962" cm="1">
        <f t="array" ref="E386">IF(ISBLANK(B386),"",AVERAGE(B373:B386))</f>
        <v>74.925</v>
      </c>
      <c r="F386" s="962" cm="1">
        <f t="array" ref="F386">IF(ISBLANK(B386),"",AVERAGE(B357:B386))</f>
        <v>73.62857142857141</v>
      </c>
      <c r="G386" s="964"/>
      <c r="H386" s="964"/>
      <c r="I386" s="964"/>
      <c r="J386" s="964"/>
      <c r="K386" s="964"/>
      <c r="L386" s="964"/>
      <c r="M386" s="964"/>
      <c r="N386" s="964"/>
      <c r="O386" s="964"/>
      <c r="P386" s="964"/>
      <c r="Q386" s="962"/>
      <c r="R386" t="str" s="964" cm="1">
        <f t="array" ref="R386">IF(OR(ISBLANK($B386),NOT(ISBLANK(B386))),"",'tracking - Table 2-1-2'!C$66)</f>
      </c>
      <c r="S386" t="str" s="964" cm="1">
        <f t="array" ref="S386">IF(OR(ISBLANK($B386),NOT(ISBLANK(B386))),"",'tracking - Table 2-1-2'!D$66)</f>
      </c>
      <c r="T386" t="str" s="964" cm="1">
        <f t="array" ref="T386">IF(OR(ISBLANK($B386),NOT(ISBLANK(B386))),"",'tracking - Table 2-1-2'!E$66)</f>
      </c>
      <c r="U386" t="str" s="969" cm="1">
        <f t="array" ref="U386">IF(OR(ISBLANK($B386),ISBLANK('tracking - Table 2-1-2'!A$1)),"",'tracking - Table 2-1-2'!F$66)</f>
      </c>
    </row>
    <row r="387" ht="8.75" customHeight="1" hidden="1">
      <c r="A387" s="960">
        <v>44726</v>
      </c>
      <c r="B387" s="961">
        <v>74.90000000000001</v>
      </c>
      <c r="C387" s="965" cm="1">
        <f t="array" ref="C387">IF(ISBLANK(B387),"",B387*2.2046226218)</f>
        <v>165.126234372820</v>
      </c>
      <c r="D387" s="962" cm="1">
        <f t="array" ref="D387">IF(ISBLANK(B387),"",AVERAGE(B381:B387))</f>
        <v>75.1142857142857</v>
      </c>
      <c r="E387" s="962" cm="1">
        <f t="array" ref="E387">IF(ISBLANK(B387),"",AVERAGE(B374:B387))</f>
        <v>74.9083333333333</v>
      </c>
      <c r="F387" s="962" cm="1">
        <f t="array" ref="F387">IF(ISBLANK(B387),"",AVERAGE(B358:B387))</f>
        <v>73.7321428571429</v>
      </c>
      <c r="G387" s="964"/>
      <c r="H387" s="964"/>
      <c r="I387" s="964"/>
      <c r="J387" s="964"/>
      <c r="K387" s="964"/>
      <c r="L387" s="964"/>
      <c r="M387" s="964"/>
      <c r="N387" s="964"/>
      <c r="O387" s="964"/>
      <c r="P387" s="964"/>
      <c r="Q387" s="962"/>
      <c r="R387" t="str" s="964" cm="1">
        <f t="array" ref="R387">IF(OR(ISBLANK($B387),NOT(ISBLANK(B387))),"",'tracking - Table 2-1-2'!C$66)</f>
      </c>
      <c r="S387" t="str" s="964" cm="1">
        <f t="array" ref="S387">IF(OR(ISBLANK($B387),NOT(ISBLANK(B387))),"",'tracking - Table 2-1-2'!D$66)</f>
      </c>
      <c r="T387" t="str" s="964" cm="1">
        <f t="array" ref="T387">IF(OR(ISBLANK($B387),NOT(ISBLANK(B387))),"",'tracking - Table 2-1-2'!E$66)</f>
      </c>
      <c r="U387" t="str" s="969" cm="1">
        <f t="array" ref="U387">IF(OR(ISBLANK($B387),ISBLANK('tracking - Table 2-1-2'!A$1)),"",'tracking - Table 2-1-2'!F$66)</f>
      </c>
    </row>
    <row r="388" ht="8.75" customHeight="1" hidden="1">
      <c r="A388" s="960">
        <v>44727</v>
      </c>
      <c r="B388" s="961">
        <v>74.90000000000001</v>
      </c>
      <c r="C388" s="965" cm="1">
        <f t="array" ref="C388">IF(ISBLANK(B388),"",B388*2.2046226218)</f>
        <v>165.126234372820</v>
      </c>
      <c r="D388" s="962" cm="1">
        <f t="array" ref="D388">IF(ISBLANK(B388),"",AVERAGE(B382:B388))</f>
        <v>75.0642857142857</v>
      </c>
      <c r="E388" s="962" cm="1">
        <f t="array" ref="E388">IF(ISBLANK(B388),"",AVERAGE(B375:B388))</f>
        <v>74.9076923076923</v>
      </c>
      <c r="F388" s="962" cm="1">
        <f t="array" ref="F388">IF(ISBLANK(B388),"",AVERAGE(B359:B388))</f>
        <v>73.8357142857143</v>
      </c>
      <c r="G388" s="964"/>
      <c r="H388" s="964"/>
      <c r="I388" s="964"/>
      <c r="J388" s="964"/>
      <c r="K388" s="964"/>
      <c r="L388" s="964"/>
      <c r="M388" s="964"/>
      <c r="N388" s="964"/>
      <c r="O388" s="964"/>
      <c r="P388" s="964"/>
      <c r="Q388" s="962"/>
      <c r="R388" t="str" s="964" cm="1">
        <f t="array" ref="R388">IF(OR(ISBLANK($B388),NOT(ISBLANK(B388))),"",'tracking - Table 2-1-2'!C$66)</f>
      </c>
      <c r="S388" t="str" s="964" cm="1">
        <f t="array" ref="S388">IF(OR(ISBLANK($B388),NOT(ISBLANK(B388))),"",'tracking - Table 2-1-2'!D$66)</f>
      </c>
      <c r="T388" t="str" s="964" cm="1">
        <f t="array" ref="T388">IF(OR(ISBLANK($B388),NOT(ISBLANK(B388))),"",'tracking - Table 2-1-2'!E$66)</f>
      </c>
      <c r="U388" t="str" s="969" cm="1">
        <f t="array" ref="U388">IF(OR(ISBLANK($B388),ISBLANK('tracking - Table 2-1-2'!A$1)),"",'tracking - Table 2-1-2'!F$66)</f>
      </c>
    </row>
    <row r="389" ht="8.75" customHeight="1" hidden="1">
      <c r="A389" s="960">
        <v>44728</v>
      </c>
      <c r="B389" s="961">
        <v>74.25</v>
      </c>
      <c r="C389" s="965" cm="1">
        <f t="array" ref="C389">IF(ISBLANK(B389),"",B389*2.2046226218)</f>
        <v>163.693229668650</v>
      </c>
      <c r="D389" s="962" cm="1">
        <f t="array" ref="D389">IF(ISBLANK(B389),"",AVERAGE(B383:B389))</f>
        <v>74.96428571428569</v>
      </c>
      <c r="E389" s="962" cm="1">
        <f t="array" ref="E389">IF(ISBLANK(B389),"",AVERAGE(B376:B389))</f>
        <v>74.8807692307692</v>
      </c>
      <c r="F389" s="962" cm="1">
        <f t="array" ref="F389">IF(ISBLANK(B389),"",AVERAGE(B360:B389))</f>
        <v>73.9178571428571</v>
      </c>
      <c r="G389" s="964"/>
      <c r="H389" s="964"/>
      <c r="I389" s="964"/>
      <c r="J389" s="964"/>
      <c r="K389" s="964"/>
      <c r="L389" s="964"/>
      <c r="M389" s="964"/>
      <c r="N389" s="964"/>
      <c r="O389" s="964"/>
      <c r="P389" s="964"/>
      <c r="Q389" s="962"/>
      <c r="R389" t="str" s="964" cm="1">
        <f t="array" ref="R389">IF(OR(ISBLANK($B389),NOT(ISBLANK(B389))),"",'tracking - Table 2-1-2'!C$66)</f>
      </c>
      <c r="S389" t="str" s="964" cm="1">
        <f t="array" ref="S389">IF(OR(ISBLANK($B389),NOT(ISBLANK(B389))),"",'tracking - Table 2-1-2'!D$66)</f>
      </c>
      <c r="T389" t="str" s="964" cm="1">
        <f t="array" ref="T389">IF(OR(ISBLANK($B389),NOT(ISBLANK(B389))),"",'tracking - Table 2-1-2'!E$66)</f>
      </c>
      <c r="U389" t="str" s="969" cm="1">
        <f t="array" ref="U389">IF(OR(ISBLANK($B389),ISBLANK('tracking - Table 2-1-2'!A$1)),"",'tracking - Table 2-1-2'!F$66)</f>
      </c>
    </row>
    <row r="390" ht="8.75" customHeight="1" hidden="1">
      <c r="A390" s="960">
        <v>44729</v>
      </c>
      <c r="B390" s="961">
        <v>74.15000000000001</v>
      </c>
      <c r="C390" s="965" cm="1">
        <f t="array" ref="C390">IF(ISBLANK(B390),"",B390*2.2046226218)</f>
        <v>163.472767406470</v>
      </c>
      <c r="D390" s="962" cm="1">
        <f t="array" ref="D390">IF(ISBLANK(B390),"",AVERAGE(B384:B390))</f>
        <v>74.7</v>
      </c>
      <c r="E390" s="962" cm="1">
        <f t="array" ref="E390">IF(ISBLANK(B390),"",AVERAGE(B377:B390))</f>
        <v>74.8423076923077</v>
      </c>
      <c r="F390" s="962" cm="1">
        <f t="array" ref="F390">IF(ISBLANK(B390),"",AVERAGE(B361:B390))</f>
        <v>73.99642857142859</v>
      </c>
      <c r="G390" s="964"/>
      <c r="H390" s="964"/>
      <c r="I390" s="964"/>
      <c r="J390" s="964"/>
      <c r="K390" s="964"/>
      <c r="L390" s="964"/>
      <c r="M390" s="964"/>
      <c r="N390" s="964"/>
      <c r="O390" s="964"/>
      <c r="P390" s="964"/>
      <c r="Q390" s="962"/>
      <c r="R390" t="str" s="964" cm="1">
        <f t="array" ref="R390">IF(OR(ISBLANK($B390),NOT(ISBLANK(B390))),"",'tracking - Table 2-1-2'!C$66)</f>
      </c>
      <c r="S390" t="str" s="964" cm="1">
        <f t="array" ref="S390">IF(OR(ISBLANK($B390),NOT(ISBLANK(B390))),"",'tracking - Table 2-1-2'!D$66)</f>
      </c>
      <c r="T390" t="str" s="964" cm="1">
        <f t="array" ref="T390">IF(OR(ISBLANK($B390),NOT(ISBLANK(B390))),"",'tracking - Table 2-1-2'!E$66)</f>
      </c>
      <c r="U390" t="str" s="969" cm="1">
        <f t="array" ref="U390">IF(OR(ISBLANK($B390),ISBLANK('tracking - Table 2-1-2'!A$1)),"",'tracking - Table 2-1-2'!F$66)</f>
      </c>
    </row>
    <row r="391" ht="8.75" customHeight="1" hidden="1">
      <c r="A391" s="960">
        <v>44730</v>
      </c>
      <c r="B391" s="961">
        <v>74.59999999999999</v>
      </c>
      <c r="C391" s="965" cm="1">
        <f t="array" ref="C391">IF(ISBLANK(B391),"",B391*2.2046226218)</f>
        <v>164.464847586280</v>
      </c>
      <c r="D391" s="962" cm="1">
        <f t="array" ref="D391">IF(ISBLANK(B391),"",AVERAGE(B385:B391))</f>
        <v>74.6571428571429</v>
      </c>
      <c r="E391" s="962" cm="1">
        <f t="array" ref="E391">IF(ISBLANK(B391),"",AVERAGE(B378:B391))</f>
        <v>74.8384615384615</v>
      </c>
      <c r="F391" s="962" cm="1">
        <f t="array" ref="F391">IF(ISBLANK(B391),"",AVERAGE(B362:B391))</f>
        <v>74.0625</v>
      </c>
      <c r="G391" s="964"/>
      <c r="H391" s="964"/>
      <c r="I391" s="964"/>
      <c r="J391" s="964"/>
      <c r="K391" s="964"/>
      <c r="L391" s="964"/>
      <c r="M391" s="964"/>
      <c r="N391" s="964"/>
      <c r="O391" s="964"/>
      <c r="P391" s="964"/>
      <c r="Q391" s="962"/>
      <c r="R391" t="str" s="964" cm="1">
        <f t="array" ref="R391">IF(OR(ISBLANK($B391),NOT(ISBLANK(B391))),"",'tracking - Table 2-1-2'!C$66)</f>
      </c>
      <c r="S391" t="str" s="964" cm="1">
        <f t="array" ref="S391">IF(OR(ISBLANK($B391),NOT(ISBLANK(B391))),"",'tracking - Table 2-1-2'!D$66)</f>
      </c>
      <c r="T391" t="str" s="964" cm="1">
        <f t="array" ref="T391">IF(OR(ISBLANK($B391),NOT(ISBLANK(B391))),"",'tracking - Table 2-1-2'!E$66)</f>
      </c>
      <c r="U391" t="str" s="969" cm="1">
        <f t="array" ref="U391">IF(OR(ISBLANK($B391),ISBLANK('tracking - Table 2-1-2'!A$1)),"",'tracking - Table 2-1-2'!F$66)</f>
      </c>
    </row>
    <row r="392" ht="8.75" customHeight="1" hidden="1">
      <c r="A392" s="960">
        <v>44731</v>
      </c>
      <c r="B392" s="961">
        <v>74.95</v>
      </c>
      <c r="C392" s="965" cm="1">
        <f t="array" ref="C392">IF(ISBLANK(B392),"",B392*2.2046226218)</f>
        <v>165.236465503910</v>
      </c>
      <c r="D392" s="962" cm="1">
        <f t="array" ref="D392">IF(ISBLANK(B392),"",AVERAGE(B386:B392))</f>
        <v>74.6642857142857</v>
      </c>
      <c r="E392" s="962" cm="1">
        <f t="array" ref="E392">IF(ISBLANK(B392),"",AVERAGE(B379:B392))</f>
        <v>74.8464285714286</v>
      </c>
      <c r="F392" s="962" cm="1">
        <f t="array" ref="F392">IF(ISBLANK(B392),"",AVERAGE(B363:B392))</f>
        <v>74.14107142857139</v>
      </c>
      <c r="G392" s="964"/>
      <c r="H392" s="964"/>
      <c r="I392" s="964"/>
      <c r="J392" s="964"/>
      <c r="K392" s="964"/>
      <c r="L392" s="964"/>
      <c r="M392" s="964"/>
      <c r="N392" s="964"/>
      <c r="O392" s="964"/>
      <c r="P392" s="964"/>
      <c r="Q392" s="962"/>
      <c r="R392" t="str" s="964" cm="1">
        <f t="array" ref="R392">IF(OR(ISBLANK($B392),NOT(ISBLANK(B392))),"",'tracking - Table 2-1-2'!C$66)</f>
      </c>
      <c r="S392" t="str" s="964" cm="1">
        <f t="array" ref="S392">IF(OR(ISBLANK($B392),NOT(ISBLANK(B392))),"",'tracking - Table 2-1-2'!D$66)</f>
      </c>
      <c r="T392" t="str" s="964" cm="1">
        <f t="array" ref="T392">IF(OR(ISBLANK($B392),NOT(ISBLANK(B392))),"",'tracking - Table 2-1-2'!E$66)</f>
      </c>
      <c r="U392" t="str" s="969" cm="1">
        <f t="array" ref="U392">IF(OR(ISBLANK($B392),ISBLANK('tracking - Table 2-1-2'!A$1)),"",'tracking - Table 2-1-2'!F$66)</f>
      </c>
    </row>
    <row r="393" ht="8.75" customHeight="1" hidden="1">
      <c r="A393" s="960">
        <v>44732</v>
      </c>
      <c r="B393" s="961">
        <v>74.95</v>
      </c>
      <c r="C393" s="965" cm="1">
        <f t="array" ref="C393">IF(ISBLANK(B393),"",B393*2.2046226218)</f>
        <v>165.236465503910</v>
      </c>
      <c r="D393" s="962" cm="1">
        <f t="array" ref="D393">IF(ISBLANK(B393),"",AVERAGE(B387:B393))</f>
        <v>74.67142857142861</v>
      </c>
      <c r="E393" s="962" cm="1">
        <f t="array" ref="E393">IF(ISBLANK(B393),"",AVERAGE(B380:B393))</f>
        <v>74.87142857142859</v>
      </c>
      <c r="F393" s="962" cm="1">
        <f t="array" ref="F393">IF(ISBLANK(B393),"",AVERAGE(B364:B393))</f>
        <v>74.24642857142859</v>
      </c>
      <c r="G393" s="964"/>
      <c r="H393" s="964"/>
      <c r="I393" s="964"/>
      <c r="J393" s="964"/>
      <c r="K393" s="964"/>
      <c r="L393" s="964"/>
      <c r="M393" s="964"/>
      <c r="N393" s="964"/>
      <c r="O393" s="964"/>
      <c r="P393" s="964"/>
      <c r="Q393" s="962"/>
      <c r="R393" t="str" s="964" cm="1">
        <f t="array" ref="R393">IF(OR(ISBLANK($B393),NOT(ISBLANK(B393))),"",'tracking - Table 2-1-2'!C$66)</f>
      </c>
      <c r="S393" t="str" s="964" cm="1">
        <f t="array" ref="S393">IF(OR(ISBLANK($B393),NOT(ISBLANK(B393))),"",'tracking - Table 2-1-2'!D$66)</f>
      </c>
      <c r="T393" t="str" s="964" cm="1">
        <f t="array" ref="T393">IF(OR(ISBLANK($B393),NOT(ISBLANK(B393))),"",'tracking - Table 2-1-2'!E$66)</f>
      </c>
      <c r="U393" t="str" s="969" cm="1">
        <f t="array" ref="U393">IF(OR(ISBLANK($B393),ISBLANK('tracking - Table 2-1-2'!A$1)),"",'tracking - Table 2-1-2'!F$66)</f>
      </c>
    </row>
    <row r="394" ht="8.75" customHeight="1" hidden="1">
      <c r="A394" s="960">
        <v>44733</v>
      </c>
      <c r="B394" s="961">
        <v>74.5</v>
      </c>
      <c r="C394" s="965" cm="1">
        <f t="array" ref="C394">IF(ISBLANK(B394),"",B394*2.2046226218)</f>
        <v>164.2443853241</v>
      </c>
      <c r="D394" s="962" cm="1">
        <f t="array" ref="D394">IF(ISBLANK(B394),"",AVERAGE(B388:B394))</f>
        <v>74.6142857142857</v>
      </c>
      <c r="E394" s="962" cm="1">
        <f t="array" ref="E394">IF(ISBLANK(B394),"",AVERAGE(B381:B394))</f>
        <v>74.8642857142857</v>
      </c>
      <c r="F394" s="962" cm="1">
        <f t="array" ref="F394">IF(ISBLANK(B394),"",AVERAGE(B365:B394))</f>
        <v>74.30892857142859</v>
      </c>
      <c r="G394" s="964"/>
      <c r="H394" s="964"/>
      <c r="I394" s="964"/>
      <c r="J394" s="964"/>
      <c r="K394" s="964"/>
      <c r="L394" s="964"/>
      <c r="M394" s="964"/>
      <c r="N394" s="964"/>
      <c r="O394" s="964"/>
      <c r="P394" s="964"/>
      <c r="Q394" s="962"/>
      <c r="R394" t="str" s="964" cm="1">
        <f t="array" ref="R394">IF(OR(ISBLANK($B394),NOT(ISBLANK(B394))),"",'tracking - Table 2-1-2'!C$66)</f>
      </c>
      <c r="S394" t="str" s="964" cm="1">
        <f t="array" ref="S394">IF(OR(ISBLANK($B394),NOT(ISBLANK(B394))),"",'tracking - Table 2-1-2'!D$66)</f>
      </c>
      <c r="T394" t="str" s="964" cm="1">
        <f t="array" ref="T394">IF(OR(ISBLANK($B394),NOT(ISBLANK(B394))),"",'tracking - Table 2-1-2'!E$66)</f>
      </c>
      <c r="U394" t="str" s="969" cm="1">
        <f t="array" ref="U394">IF(OR(ISBLANK($B394),ISBLANK('tracking - Table 2-1-2'!A$1)),"",'tracking - Table 2-1-2'!F$66)</f>
      </c>
    </row>
    <row r="395" ht="8.75" customHeight="1" hidden="1">
      <c r="A395" s="960">
        <v>44734</v>
      </c>
      <c r="B395" s="961">
        <v>74.2</v>
      </c>
      <c r="C395" s="965" cm="1">
        <f t="array" ref="C395">IF(ISBLANK(B395),"",B395*2.2046226218)</f>
        <v>163.582998537560</v>
      </c>
      <c r="D395" s="962" cm="1">
        <f t="array" ref="D395">IF(ISBLANK(B395),"",AVERAGE(B389:B395))</f>
        <v>74.51428571428571</v>
      </c>
      <c r="E395" s="962" cm="1">
        <f t="array" ref="E395">IF(ISBLANK(B395),"",AVERAGE(B382:B395))</f>
        <v>74.7892857142857</v>
      </c>
      <c r="F395" s="962" cm="1">
        <f t="array" ref="F395">IF(ISBLANK(B395),"",AVERAGE(B366:B395))</f>
        <v>74.37142857142859</v>
      </c>
      <c r="G395" s="964"/>
      <c r="H395" s="964"/>
      <c r="I395" s="964"/>
      <c r="J395" s="964"/>
      <c r="K395" s="964"/>
      <c r="L395" s="964"/>
      <c r="M395" s="964"/>
      <c r="N395" s="964"/>
      <c r="O395" s="964"/>
      <c r="P395" s="964"/>
      <c r="Q395" s="962"/>
      <c r="R395" t="str" s="964" cm="1">
        <f t="array" ref="R395">IF(OR(ISBLANK($B395),NOT(ISBLANK(B395))),"",'tracking - Table 2-1-2'!C$66)</f>
      </c>
      <c r="S395" t="str" s="964" cm="1">
        <f t="array" ref="S395">IF(OR(ISBLANK($B395),NOT(ISBLANK(B395))),"",'tracking - Table 2-1-2'!D$66)</f>
      </c>
      <c r="T395" t="str" s="964" cm="1">
        <f t="array" ref="T395">IF(OR(ISBLANK($B395),NOT(ISBLANK(B395))),"",'tracking - Table 2-1-2'!E$66)</f>
      </c>
      <c r="U395" t="str" s="969" cm="1">
        <f t="array" ref="U395">IF(OR(ISBLANK($B395),ISBLANK('tracking - Table 2-1-2'!A$1)),"",'tracking - Table 2-1-2'!F$66)</f>
      </c>
    </row>
    <row r="396" ht="8.75" customHeight="1" hidden="1">
      <c r="A396" s="960">
        <v>44735</v>
      </c>
      <c r="B396" s="961">
        <v>74.90000000000001</v>
      </c>
      <c r="C396" s="965" cm="1">
        <f t="array" ref="C396">IF(ISBLANK(B396),"",B396*2.2046226218)</f>
        <v>165.126234372820</v>
      </c>
      <c r="D396" s="962" cm="1">
        <f t="array" ref="D396">IF(ISBLANK(B396),"",AVERAGE(B390:B396))</f>
        <v>74.6071428571429</v>
      </c>
      <c r="E396" s="962" cm="1">
        <f t="array" ref="E396">IF(ISBLANK(B396),"",AVERAGE(B383:B396))</f>
        <v>74.78571428571431</v>
      </c>
      <c r="F396" s="962" cm="1">
        <f t="array" ref="F396">IF(ISBLANK(B396),"",AVERAGE(B367:B396))</f>
        <v>74.4482142857143</v>
      </c>
      <c r="G396" s="964"/>
      <c r="H396" s="964"/>
      <c r="I396" s="964"/>
      <c r="J396" s="964"/>
      <c r="K396" s="964"/>
      <c r="L396" s="964"/>
      <c r="M396" s="964"/>
      <c r="N396" s="964"/>
      <c r="O396" s="964"/>
      <c r="P396" s="964"/>
      <c r="Q396" s="962"/>
      <c r="R396" t="str" s="964" cm="1">
        <f t="array" ref="R396">IF(OR(ISBLANK($B396),NOT(ISBLANK(B396))),"",'tracking - Table 2-1-2'!C$66)</f>
      </c>
      <c r="S396" t="str" s="964" cm="1">
        <f t="array" ref="S396">IF(OR(ISBLANK($B396),NOT(ISBLANK(B396))),"",'tracking - Table 2-1-2'!D$66)</f>
      </c>
      <c r="T396" t="str" s="964" cm="1">
        <f t="array" ref="T396">IF(OR(ISBLANK($B396),NOT(ISBLANK(B396))),"",'tracking - Table 2-1-2'!E$66)</f>
      </c>
      <c r="U396" t="str" s="969" cm="1">
        <f t="array" ref="U396">IF(OR(ISBLANK($B396),ISBLANK('tracking - Table 2-1-2'!A$1)),"",'tracking - Table 2-1-2'!F$66)</f>
      </c>
    </row>
    <row r="397" ht="8.75" customHeight="1" hidden="1">
      <c r="A397" s="960">
        <v>44736</v>
      </c>
      <c r="B397" s="961">
        <v>75.45</v>
      </c>
      <c r="C397" s="965" cm="1">
        <f t="array" ref="C397">IF(ISBLANK(B397),"",B397*2.2046226218)</f>
        <v>166.338776814810</v>
      </c>
      <c r="D397" s="962" cm="1">
        <f t="array" ref="D397">IF(ISBLANK(B397),"",AVERAGE(B391:B397))</f>
        <v>74.7928571428571</v>
      </c>
      <c r="E397" s="962" cm="1">
        <f t="array" ref="E397">IF(ISBLANK(B397),"",AVERAGE(B384:B397))</f>
        <v>74.74642857142859</v>
      </c>
      <c r="F397" s="962" cm="1">
        <f t="array" ref="F397">IF(ISBLANK(B397),"",AVERAGE(B368:B397))</f>
        <v>74.5553571428571</v>
      </c>
      <c r="G397" s="964"/>
      <c r="H397" s="964"/>
      <c r="I397" s="964"/>
      <c r="J397" s="964"/>
      <c r="K397" s="964"/>
      <c r="L397" s="964"/>
      <c r="M397" s="964"/>
      <c r="N397" s="964"/>
      <c r="O397" s="964"/>
      <c r="P397" s="964"/>
      <c r="Q397" s="962"/>
      <c r="R397" t="str" s="964" cm="1">
        <f t="array" ref="R397">IF(OR(ISBLANK($B397),NOT(ISBLANK(B397))),"",'tracking - Table 2-1-2'!C$66)</f>
      </c>
      <c r="S397" t="str" s="964" cm="1">
        <f t="array" ref="S397">IF(OR(ISBLANK($B397),NOT(ISBLANK(B397))),"",'tracking - Table 2-1-2'!D$66)</f>
      </c>
      <c r="T397" t="str" s="964" cm="1">
        <f t="array" ref="T397">IF(OR(ISBLANK($B397),NOT(ISBLANK(B397))),"",'tracking - Table 2-1-2'!E$66)</f>
      </c>
      <c r="U397" t="str" s="969" cm="1">
        <f t="array" ref="U397">IF(OR(ISBLANK($B397),ISBLANK('tracking - Table 2-1-2'!A$1)),"",'tracking - Table 2-1-2'!F$66)</f>
      </c>
    </row>
    <row r="398" ht="8.75" customHeight="1" hidden="1">
      <c r="A398" s="960">
        <v>44737</v>
      </c>
      <c r="B398" s="961">
        <v>75.45</v>
      </c>
      <c r="C398" s="965" cm="1">
        <f t="array" ref="C398">IF(ISBLANK(B398),"",B398*2.2046226218)</f>
        <v>166.338776814810</v>
      </c>
      <c r="D398" s="962" cm="1">
        <f t="array" ref="D398">IF(ISBLANK(B398),"",AVERAGE(B392:B398))</f>
        <v>74.9142857142857</v>
      </c>
      <c r="E398" s="962" cm="1">
        <f t="array" ref="E398">IF(ISBLANK(B398),"",AVERAGE(B385:B398))</f>
        <v>74.78571428571431</v>
      </c>
      <c r="F398" s="962" cm="1">
        <f t="array" ref="F398">IF(ISBLANK(B398),"",AVERAGE(B369:B398))</f>
        <v>74.65178571428569</v>
      </c>
      <c r="G398" s="964"/>
      <c r="H398" s="964"/>
      <c r="I398" s="964"/>
      <c r="J398" s="964"/>
      <c r="K398" s="964"/>
      <c r="L398" s="964"/>
      <c r="M398" s="964"/>
      <c r="N398" s="964"/>
      <c r="O398" s="964"/>
      <c r="P398" s="964"/>
      <c r="Q398" s="962"/>
      <c r="R398" t="str" s="964" cm="1">
        <f t="array" ref="R398">IF(OR(ISBLANK($B398),NOT(ISBLANK(B398))),"",'tracking - Table 2-1-2'!C$66)</f>
      </c>
      <c r="S398" t="str" s="964" cm="1">
        <f t="array" ref="S398">IF(OR(ISBLANK($B398),NOT(ISBLANK(B398))),"",'tracking - Table 2-1-2'!D$66)</f>
      </c>
      <c r="T398" t="str" s="964" cm="1">
        <f t="array" ref="T398">IF(OR(ISBLANK($B398),NOT(ISBLANK(B398))),"",'tracking - Table 2-1-2'!E$66)</f>
      </c>
      <c r="U398" t="str" s="969" cm="1">
        <f t="array" ref="U398">IF(OR(ISBLANK($B398),ISBLANK('tracking - Table 2-1-2'!A$1)),"",'tracking - Table 2-1-2'!F$66)</f>
      </c>
    </row>
    <row r="399" ht="8.75" customHeight="1" hidden="1">
      <c r="A399" s="960">
        <v>44738</v>
      </c>
      <c r="B399" s="961">
        <v>75.65000000000001</v>
      </c>
      <c r="C399" s="965" cm="1">
        <f t="array" ref="C399">IF(ISBLANK(B399),"",B399*2.2046226218)</f>
        <v>166.779701339170</v>
      </c>
      <c r="D399" s="962" cm="1">
        <f t="array" ref="D399">IF(ISBLANK(B399),"",AVERAGE(B393:B399))</f>
        <v>75.01428571428571</v>
      </c>
      <c r="E399" s="962" cm="1">
        <f t="array" ref="E399">IF(ISBLANK(B399),"",AVERAGE(B386:B399))</f>
        <v>74.83928571428569</v>
      </c>
      <c r="F399" s="962" cm="1">
        <f t="array" ref="F399">IF(ISBLANK(B399),"",AVERAGE(B370:B399))</f>
        <v>74.75535714285709</v>
      </c>
      <c r="G399" s="964"/>
      <c r="H399" s="964"/>
      <c r="I399" s="964"/>
      <c r="J399" s="964"/>
      <c r="K399" s="964"/>
      <c r="L399" s="964"/>
      <c r="M399" s="964"/>
      <c r="N399" s="964"/>
      <c r="O399" s="964"/>
      <c r="P399" s="964"/>
      <c r="Q399" s="962"/>
      <c r="R399" t="str" s="964" cm="1">
        <f t="array" ref="R399">IF(OR(ISBLANK($B399),NOT(ISBLANK(B399))),"",'tracking - Table 2-1-2'!C$66)</f>
      </c>
      <c r="S399" t="str" s="964" cm="1">
        <f t="array" ref="S399">IF(OR(ISBLANK($B399),NOT(ISBLANK(B399))),"",'tracking - Table 2-1-2'!D$66)</f>
      </c>
      <c r="T399" t="str" s="964" cm="1">
        <f t="array" ref="T399">IF(OR(ISBLANK($B399),NOT(ISBLANK(B399))),"",'tracking - Table 2-1-2'!E$66)</f>
      </c>
      <c r="U399" t="str" s="969" cm="1">
        <f t="array" ref="U399">IF(OR(ISBLANK($B399),ISBLANK('tracking - Table 2-1-2'!A$1)),"",'tracking - Table 2-1-2'!F$66)</f>
      </c>
    </row>
    <row r="400" ht="8.75" customHeight="1" hidden="1">
      <c r="A400" s="960">
        <v>44739</v>
      </c>
      <c r="B400" s="961">
        <v>75.65000000000001</v>
      </c>
      <c r="C400" s="965" cm="1">
        <f t="array" ref="C400">IF(ISBLANK(B400),"",B400*2.2046226218)</f>
        <v>166.779701339170</v>
      </c>
      <c r="D400" s="962" cm="1">
        <f t="array" ref="D400">IF(ISBLANK(B400),"",AVERAGE(B394:B400))</f>
        <v>75.1142857142857</v>
      </c>
      <c r="E400" s="962" cm="1">
        <f t="array" ref="E400">IF(ISBLANK(B400),"",AVERAGE(B387:B400))</f>
        <v>74.8928571428571</v>
      </c>
      <c r="F400" s="962" cm="1">
        <f t="array" ref="F400">IF(ISBLANK(B400),"",AVERAGE(B371:B400))</f>
        <v>74.8125</v>
      </c>
      <c r="G400" s="964"/>
      <c r="H400" s="964"/>
      <c r="I400" s="964"/>
      <c r="J400" s="964"/>
      <c r="K400" s="964"/>
      <c r="L400" s="964"/>
      <c r="M400" s="964"/>
      <c r="N400" s="964"/>
      <c r="O400" s="964"/>
      <c r="P400" s="964"/>
      <c r="Q400" s="962"/>
      <c r="R400" t="str" s="964" cm="1">
        <f t="array" ref="R400">IF(OR(ISBLANK($B400),NOT(ISBLANK(B400))),"",'tracking - Table 2-1-2'!C$66)</f>
      </c>
      <c r="S400" t="str" s="964" cm="1">
        <f t="array" ref="S400">IF(OR(ISBLANK($B400),NOT(ISBLANK(B400))),"",'tracking - Table 2-1-2'!D$66)</f>
      </c>
      <c r="T400" t="str" s="964" cm="1">
        <f t="array" ref="T400">IF(OR(ISBLANK($B400),NOT(ISBLANK(B400))),"",'tracking - Table 2-1-2'!E$66)</f>
      </c>
      <c r="U400" t="str" s="969" cm="1">
        <f t="array" ref="U400">IF(OR(ISBLANK($B400),ISBLANK('tracking - Table 2-1-2'!A$1)),"",'tracking - Table 2-1-2'!F$66)</f>
      </c>
    </row>
    <row r="401" ht="8.75" customHeight="1" hidden="1">
      <c r="A401" s="960">
        <v>44740</v>
      </c>
      <c r="B401" s="961">
        <v>75.95</v>
      </c>
      <c r="C401" s="965" cm="1">
        <f t="array" ref="C401">IF(ISBLANK(B401),"",B401*2.2046226218)</f>
        <v>167.441088125710</v>
      </c>
      <c r="D401" s="962" cm="1">
        <f t="array" ref="D401">IF(ISBLANK(B401),"",AVERAGE(B395:B401))</f>
        <v>75.3214285714286</v>
      </c>
      <c r="E401" s="962" cm="1">
        <f t="array" ref="E401">IF(ISBLANK(B401),"",AVERAGE(B388:B401))</f>
        <v>74.9678571428571</v>
      </c>
      <c r="F401" s="962" cm="1">
        <f t="array" ref="F401">IF(ISBLANK(B401),"",AVERAGE(B372:B401))</f>
        <v>74.93392857142859</v>
      </c>
      <c r="G401" s="964"/>
      <c r="H401" s="964"/>
      <c r="I401" s="964"/>
      <c r="J401" s="964"/>
      <c r="K401" s="964"/>
      <c r="L401" s="964"/>
      <c r="M401" s="964"/>
      <c r="N401" s="964"/>
      <c r="O401" s="964"/>
      <c r="P401" s="964"/>
      <c r="Q401" s="962"/>
      <c r="R401" t="str" s="964" cm="1">
        <f t="array" ref="R401">IF(OR(ISBLANK($B401),NOT(ISBLANK(B401))),"",'tracking - Table 2-1-2'!C$66)</f>
      </c>
      <c r="S401" t="str" s="964" cm="1">
        <f t="array" ref="S401">IF(OR(ISBLANK($B401),NOT(ISBLANK(B401))),"",'tracking - Table 2-1-2'!D$66)</f>
      </c>
      <c r="T401" t="str" s="964" cm="1">
        <f t="array" ref="T401">IF(OR(ISBLANK($B401),NOT(ISBLANK(B401))),"",'tracking - Table 2-1-2'!E$66)</f>
      </c>
      <c r="U401" t="str" s="969" cm="1">
        <f t="array" ref="U401">IF(OR(ISBLANK($B401),ISBLANK('tracking - Table 2-1-2'!A$1)),"",'tracking - Table 2-1-2'!F$66)</f>
      </c>
    </row>
    <row r="402" ht="8.75" customHeight="1" hidden="1">
      <c r="A402" s="960">
        <v>44741</v>
      </c>
      <c r="B402" s="961">
        <v>75.95</v>
      </c>
      <c r="C402" s="965" cm="1">
        <f t="array" ref="C402">IF(ISBLANK(B402),"",B402*2.2046226218)</f>
        <v>167.441088125710</v>
      </c>
      <c r="D402" s="962" cm="1">
        <f t="array" ref="D402">IF(ISBLANK(B402),"",AVERAGE(B396:B402))</f>
        <v>75.5714285714286</v>
      </c>
      <c r="E402" s="962" cm="1">
        <f t="array" ref="E402">IF(ISBLANK(B402),"",AVERAGE(B389:B402))</f>
        <v>75.0428571428571</v>
      </c>
      <c r="F402" s="962" cm="1">
        <f t="array" ref="F402">IF(ISBLANK(B402),"",AVERAGE(B373:B402))</f>
        <v>74.9821428571429</v>
      </c>
      <c r="G402" s="964"/>
      <c r="H402" s="964"/>
      <c r="I402" s="964"/>
      <c r="J402" s="964"/>
      <c r="K402" s="964"/>
      <c r="L402" s="964"/>
      <c r="M402" s="964"/>
      <c r="N402" s="964"/>
      <c r="O402" s="964"/>
      <c r="P402" s="964"/>
      <c r="Q402" s="962"/>
      <c r="R402" t="str" s="964" cm="1">
        <f t="array" ref="R402">IF(OR(ISBLANK($B402),NOT(ISBLANK(B402))),"",'tracking - Table 2-1-2'!C$66)</f>
      </c>
      <c r="S402" t="str" s="964" cm="1">
        <f t="array" ref="S402">IF(OR(ISBLANK($B402),NOT(ISBLANK(B402))),"",'tracking - Table 2-1-2'!D$66)</f>
      </c>
      <c r="T402" t="str" s="964" cm="1">
        <f t="array" ref="T402">IF(OR(ISBLANK($B402),NOT(ISBLANK(B402))),"",'tracking - Table 2-1-2'!E$66)</f>
      </c>
      <c r="U402" t="str" s="969" cm="1">
        <f t="array" ref="U402">IF(OR(ISBLANK($B402),ISBLANK('tracking - Table 2-1-2'!A$1)),"",'tracking - Table 2-1-2'!F$66)</f>
      </c>
    </row>
    <row r="403" ht="8.75" customHeight="1" hidden="1">
      <c r="A403" s="960">
        <v>44742</v>
      </c>
      <c r="B403" s="961">
        <v>75.2</v>
      </c>
      <c r="C403" s="965" cm="1">
        <f t="array" ref="C403">IF(ISBLANK(B403),"",B403*2.2046226218)</f>
        <v>165.787621159360</v>
      </c>
      <c r="D403" s="962" cm="1">
        <f t="array" ref="D403">IF(ISBLANK(B403),"",AVERAGE(B397:B403))</f>
        <v>75.6142857142857</v>
      </c>
      <c r="E403" s="962" cm="1">
        <f t="array" ref="E403">IF(ISBLANK(B403),"",AVERAGE(B390:B403))</f>
        <v>75.11071428571429</v>
      </c>
      <c r="F403" s="962" cm="1">
        <f t="array" ref="F403">IF(ISBLANK(B403),"",AVERAGE(B374:B403))</f>
        <v>74.98571428571429</v>
      </c>
      <c r="G403" s="964"/>
      <c r="H403" s="964"/>
      <c r="I403" s="964"/>
      <c r="J403" s="964"/>
      <c r="K403" s="964"/>
      <c r="L403" s="964"/>
      <c r="M403" s="964"/>
      <c r="N403" s="964"/>
      <c r="O403" s="964"/>
      <c r="P403" s="964"/>
      <c r="Q403" s="962"/>
      <c r="R403" t="str" s="964" cm="1">
        <f t="array" ref="R403">IF(OR(ISBLANK($B403),NOT(ISBLANK(B403))),"",'tracking - Table 2-1-2'!C$66)</f>
      </c>
      <c r="S403" t="str" s="964" cm="1">
        <f t="array" ref="S403">IF(OR(ISBLANK($B403),NOT(ISBLANK(B403))),"",'tracking - Table 2-1-2'!D$66)</f>
      </c>
      <c r="T403" t="str" s="964" cm="1">
        <f t="array" ref="T403">IF(OR(ISBLANK($B403),NOT(ISBLANK(B403))),"",'tracking - Table 2-1-2'!E$66)</f>
      </c>
      <c r="U403" t="str" s="969" cm="1">
        <f t="array" ref="U403">IF(OR(ISBLANK($B403),ISBLANK('tracking - Table 2-1-2'!A$1)),"",'tracking - Table 2-1-2'!F$66)</f>
      </c>
    </row>
    <row r="404" ht="8.75" customHeight="1" hidden="1">
      <c r="A404" s="960">
        <v>44743</v>
      </c>
      <c r="B404" s="961">
        <v>75.2</v>
      </c>
      <c r="C404" s="965" cm="1">
        <f t="array" ref="C404">IF(ISBLANK(B404),"",B404*2.2046226218)</f>
        <v>165.787621159360</v>
      </c>
      <c r="D404" s="962" cm="1">
        <f t="array" ref="D404">IF(ISBLANK(B404),"",AVERAGE(B398:B404))</f>
        <v>75.57857142857139</v>
      </c>
      <c r="E404" s="962" cm="1">
        <f t="array" ref="E404">IF(ISBLANK(B404),"",AVERAGE(B391:B404))</f>
        <v>75.1857142857143</v>
      </c>
      <c r="F404" s="962" cm="1">
        <f t="array" ref="F404">IF(ISBLANK(B404),"",AVERAGE(B375:B404))</f>
        <v>74.9931034482759</v>
      </c>
      <c r="G404" s="964"/>
      <c r="H404" s="964"/>
      <c r="I404" s="964"/>
      <c r="J404" s="964"/>
      <c r="K404" s="964"/>
      <c r="L404" s="964"/>
      <c r="M404" s="964"/>
      <c r="N404" s="964"/>
      <c r="O404" s="964"/>
      <c r="P404" s="964"/>
      <c r="Q404" s="962"/>
      <c r="R404" t="str" s="964" cm="1">
        <f t="array" ref="R404">IF(OR(ISBLANK($B404),NOT(ISBLANK(B404))),"",'tracking - Table 2-1-2'!C$66)</f>
      </c>
      <c r="S404" t="str" s="964" cm="1">
        <f t="array" ref="S404">IF(OR(ISBLANK($B404),NOT(ISBLANK(B404))),"",'tracking - Table 2-1-2'!D$66)</f>
      </c>
      <c r="T404" t="str" s="964" cm="1">
        <f t="array" ref="T404">IF(OR(ISBLANK($B404),NOT(ISBLANK(B404))),"",'tracking - Table 2-1-2'!E$66)</f>
      </c>
      <c r="U404" t="str" s="969" cm="1">
        <f t="array" ref="U404">IF(OR(ISBLANK($B404),ISBLANK('tracking - Table 2-1-2'!A$1)),"",'tracking - Table 2-1-2'!F$66)</f>
      </c>
    </row>
    <row r="405" ht="8.75" customHeight="1" hidden="1">
      <c r="A405" s="960">
        <v>44744</v>
      </c>
      <c r="B405" s="961">
        <v>75</v>
      </c>
      <c r="C405" s="965" cm="1">
        <f t="array" ref="C405">IF(ISBLANK(B405),"",B405*2.2046226218)</f>
        <v>165.346696635</v>
      </c>
      <c r="D405" s="962" cm="1">
        <f t="array" ref="D405">IF(ISBLANK(B405),"",AVERAGE(B399:B405))</f>
        <v>75.51428571428571</v>
      </c>
      <c r="E405" s="962" cm="1">
        <f t="array" ref="E405">IF(ISBLANK(B405),"",AVERAGE(B392:B405))</f>
        <v>75.21428571428569</v>
      </c>
      <c r="F405" s="962" cm="1">
        <f t="array" ref="F405">IF(ISBLANK(B405),"",AVERAGE(B376:B405))</f>
        <v>75.0068965517241</v>
      </c>
      <c r="G405" s="964"/>
      <c r="H405" s="964"/>
      <c r="I405" s="964"/>
      <c r="J405" s="964"/>
      <c r="K405" s="964"/>
      <c r="L405" s="964"/>
      <c r="M405" s="964"/>
      <c r="N405" s="964"/>
      <c r="O405" s="964"/>
      <c r="P405" s="964"/>
      <c r="Q405" s="962"/>
      <c r="R405" t="str" s="964" cm="1">
        <f t="array" ref="R405">IF(OR(ISBLANK($B405),NOT(ISBLANK(B405))),"",'tracking - Table 2-1-2'!C$66)</f>
      </c>
      <c r="S405" t="str" s="964" cm="1">
        <f t="array" ref="S405">IF(OR(ISBLANK($B405),NOT(ISBLANK(B405))),"",'tracking - Table 2-1-2'!D$66)</f>
      </c>
      <c r="T405" t="str" s="964" cm="1">
        <f t="array" ref="T405">IF(OR(ISBLANK($B405),NOT(ISBLANK(B405))),"",'tracking - Table 2-1-2'!E$66)</f>
      </c>
      <c r="U405" t="str" s="969" cm="1">
        <f t="array" ref="U405">IF(OR(ISBLANK($B405),ISBLANK('tracking - Table 2-1-2'!A$1)),"",'tracking - Table 2-1-2'!F$66)</f>
      </c>
    </row>
    <row r="406" ht="8.75" customHeight="1" hidden="1">
      <c r="A406" s="960">
        <v>44745</v>
      </c>
      <c r="B406" s="961">
        <v>74.3</v>
      </c>
      <c r="C406" s="965" cm="1">
        <f t="array" ref="C406">IF(ISBLANK(B406),"",B406*2.2046226218)</f>
        <v>163.803460799740</v>
      </c>
      <c r="D406" s="962" cm="1">
        <f t="array" ref="D406">IF(ISBLANK(B406),"",AVERAGE(B400:B406))</f>
        <v>75.3214285714286</v>
      </c>
      <c r="E406" s="962" cm="1">
        <f t="array" ref="E406">IF(ISBLANK(B406),"",AVERAGE(B393:B406))</f>
        <v>75.1678571428571</v>
      </c>
      <c r="F406" s="962" cm="1">
        <f t="array" ref="F406">IF(ISBLANK(B406),"",AVERAGE(B377:B406))</f>
        <v>74.9948275862069</v>
      </c>
      <c r="G406" s="964"/>
      <c r="H406" s="964"/>
      <c r="I406" s="964"/>
      <c r="J406" s="964"/>
      <c r="K406" s="964"/>
      <c r="L406" s="964"/>
      <c r="M406" s="964"/>
      <c r="N406" s="964"/>
      <c r="O406" s="964"/>
      <c r="P406" s="964"/>
      <c r="Q406" s="962"/>
      <c r="R406" t="str" s="964" cm="1">
        <f t="array" ref="R406">IF(OR(ISBLANK($B406),NOT(ISBLANK(B406))),"",'tracking - Table 2-1-2'!C$66)</f>
      </c>
      <c r="S406" t="str" s="964" cm="1">
        <f t="array" ref="S406">IF(OR(ISBLANK($B406),NOT(ISBLANK(B406))),"",'tracking - Table 2-1-2'!D$66)</f>
      </c>
      <c r="T406" t="str" s="964" cm="1">
        <f t="array" ref="T406">IF(OR(ISBLANK($B406),NOT(ISBLANK(B406))),"",'tracking - Table 2-1-2'!E$66)</f>
      </c>
      <c r="U406" t="str" s="969" cm="1">
        <f t="array" ref="U406">IF(OR(ISBLANK($B406),ISBLANK('tracking - Table 2-1-2'!A$1)),"",'tracking - Table 2-1-2'!F$66)</f>
      </c>
    </row>
    <row r="407" ht="8.75" customHeight="1" hidden="1">
      <c r="A407" s="960">
        <v>44746</v>
      </c>
      <c r="B407" s="961">
        <v>74.3</v>
      </c>
      <c r="C407" s="965" cm="1">
        <f t="array" ref="C407">IF(ISBLANK(B407),"",B407*2.2046226218)</f>
        <v>163.803460799740</v>
      </c>
      <c r="D407" s="962" cm="1">
        <f t="array" ref="D407">IF(ISBLANK(B407),"",AVERAGE(B401:B407))</f>
        <v>75.12857142857141</v>
      </c>
      <c r="E407" s="962" cm="1">
        <f t="array" ref="E407">IF(ISBLANK(B407),"",AVERAGE(B394:B407))</f>
        <v>75.12142857142859</v>
      </c>
      <c r="F407" s="962" cm="1">
        <f t="array" ref="F407">IF(ISBLANK(B407),"",AVERAGE(B378:B407))</f>
        <v>74.98275862068969</v>
      </c>
      <c r="G407" s="964"/>
      <c r="H407" s="964"/>
      <c r="I407" s="964"/>
      <c r="J407" s="964"/>
      <c r="K407" s="964"/>
      <c r="L407" s="964"/>
      <c r="M407" s="964"/>
      <c r="N407" s="964"/>
      <c r="O407" s="964"/>
      <c r="P407" s="964"/>
      <c r="Q407" s="962"/>
      <c r="R407" t="str" s="964" cm="1">
        <f t="array" ref="R407">IF(OR(ISBLANK($B407),NOT(ISBLANK(B407))),"",'tracking - Table 2-1-2'!C$66)</f>
      </c>
      <c r="S407" t="str" s="964" cm="1">
        <f t="array" ref="S407">IF(OR(ISBLANK($B407),NOT(ISBLANK(B407))),"",'tracking - Table 2-1-2'!D$66)</f>
      </c>
      <c r="T407" t="str" s="964" cm="1">
        <f t="array" ref="T407">IF(OR(ISBLANK($B407),NOT(ISBLANK(B407))),"",'tracking - Table 2-1-2'!E$66)</f>
      </c>
      <c r="U407" t="str" s="969" cm="1">
        <f t="array" ref="U407">IF(OR(ISBLANK($B407),ISBLANK('tracking - Table 2-1-2'!A$1)),"",'tracking - Table 2-1-2'!F$66)</f>
      </c>
    </row>
    <row r="408" ht="8.75" customHeight="1" hidden="1">
      <c r="A408" s="960">
        <v>44747</v>
      </c>
      <c r="B408" s="356"/>
      <c r="C408" t="str" s="352" cm="1">
        <f t="array" ref="C408">IF(ISBLANK(B408),"",B408*2.2046226218)</f>
      </c>
      <c r="D408" t="str" s="964" cm="1">
        <f t="array" ref="D408">IF(ISBLANK(B408),"",AVERAGE(B402:B408))</f>
      </c>
      <c r="E408" t="str" s="964" cm="1">
        <f t="array" ref="E408">IF(ISBLANK(B408),"",AVERAGE(B395:B408))</f>
      </c>
      <c r="F408" t="str" s="964" cm="1">
        <f t="array" ref="F408">IF(ISBLANK(B408),"",AVERAGE(B379:B408))</f>
      </c>
      <c r="G408" s="964"/>
      <c r="H408" s="964"/>
      <c r="I408" s="964"/>
      <c r="J408" s="964"/>
      <c r="K408" s="964"/>
      <c r="L408" s="964"/>
      <c r="M408" s="964"/>
      <c r="N408" s="964"/>
      <c r="O408" s="964"/>
      <c r="P408" s="964"/>
      <c r="Q408" s="962"/>
      <c r="R408" t="str" s="964" cm="1">
        <f t="array" ref="R408">IF(OR(ISBLANK($B408),NOT(ISBLANK(B408))),"",'tracking - Table 2-1-2'!C$66)</f>
      </c>
      <c r="S408" t="str" s="964" cm="1">
        <f t="array" ref="S408">IF(OR(ISBLANK($B408),NOT(ISBLANK(B408))),"",'tracking - Table 2-1-2'!D$66)</f>
      </c>
      <c r="T408" t="str" s="964" cm="1">
        <f t="array" ref="T408">IF(OR(ISBLANK($B408),NOT(ISBLANK(B408))),"",'tracking - Table 2-1-2'!E$66)</f>
      </c>
      <c r="U408" t="str" s="969" cm="1">
        <f t="array" ref="U408">IF(OR(ISBLANK($B408),ISBLANK('tracking - Table 2-1-2'!A$1)),"",'tracking - Table 2-1-2'!F$66)</f>
      </c>
    </row>
    <row r="409" ht="8.75" customHeight="1" hidden="1">
      <c r="A409" s="960">
        <v>44748</v>
      </c>
      <c r="B409" s="961">
        <v>73.7</v>
      </c>
      <c r="C409" s="965" cm="1">
        <f t="array" ref="C409">IF(ISBLANK(B409),"",B409*2.2046226218)</f>
        <v>162.480687226660</v>
      </c>
      <c r="D409" s="962" cm="1">
        <f t="array" ref="D409">IF(ISBLANK(B409),"",AVERAGE(B403:B409))</f>
        <v>74.6166666666667</v>
      </c>
      <c r="E409" s="962" cm="1">
        <f t="array" ref="E409">IF(ISBLANK(B409),"",AVERAGE(B396:B409))</f>
        <v>75.1307692307692</v>
      </c>
      <c r="F409" s="962" cm="1">
        <f t="array" ref="F409">IF(ISBLANK(B409),"",AVERAGE(B380:B409))</f>
        <v>74.951724137931</v>
      </c>
      <c r="G409" s="964"/>
      <c r="H409" s="964"/>
      <c r="I409" s="964"/>
      <c r="J409" s="964"/>
      <c r="K409" s="964"/>
      <c r="L409" s="964"/>
      <c r="M409" s="964"/>
      <c r="N409" s="964"/>
      <c r="O409" s="964"/>
      <c r="P409" s="964"/>
      <c r="Q409" s="962"/>
      <c r="R409" t="str" s="964" cm="1">
        <f t="array" ref="R409">IF(OR(ISBLANK($B409),NOT(ISBLANK(B409))),"",'tracking - Table 2-1-2'!C$66)</f>
      </c>
      <c r="S409" t="str" s="964" cm="1">
        <f t="array" ref="S409">IF(OR(ISBLANK($B409),NOT(ISBLANK(B409))),"",'tracking - Table 2-1-2'!D$66)</f>
      </c>
      <c r="T409" t="str" s="964" cm="1">
        <f t="array" ref="T409">IF(OR(ISBLANK($B409),NOT(ISBLANK(B409))),"",'tracking - Table 2-1-2'!E$66)</f>
      </c>
      <c r="U409" t="str" s="969" cm="1">
        <f t="array" ref="U409">IF(OR(ISBLANK($B409),ISBLANK('tracking - Table 2-1-2'!A$1)),"",'tracking - Table 2-1-2'!F$66)</f>
      </c>
    </row>
    <row r="410" ht="8.75" customHeight="1" hidden="1">
      <c r="A410" s="960">
        <v>44749</v>
      </c>
      <c r="B410" s="961">
        <v>74.3</v>
      </c>
      <c r="C410" s="965" cm="1">
        <f t="array" ref="C410">IF(ISBLANK(B410),"",B410*2.2046226218)</f>
        <v>163.803460799740</v>
      </c>
      <c r="D410" s="962" cm="1">
        <f t="array" ref="D410">IF(ISBLANK(B410),"",AVERAGE(B404:B410))</f>
        <v>74.4666666666667</v>
      </c>
      <c r="E410" s="962" cm="1">
        <f t="array" ref="E410">IF(ISBLANK(B410),"",AVERAGE(B397:B410))</f>
        <v>75.0846153846154</v>
      </c>
      <c r="F410" s="962" cm="1">
        <f t="array" ref="F410">IF(ISBLANK(B410),"",AVERAGE(B381:B410))</f>
        <v>74.9413793103448</v>
      </c>
      <c r="G410" s="964"/>
      <c r="H410" s="964"/>
      <c r="I410" s="964"/>
      <c r="J410" s="964"/>
      <c r="K410" s="964"/>
      <c r="L410" s="964"/>
      <c r="M410" s="964"/>
      <c r="N410" s="964"/>
      <c r="O410" s="964"/>
      <c r="P410" s="964"/>
      <c r="Q410" s="962"/>
      <c r="R410" t="str" s="964" cm="1">
        <f t="array" ref="R410">IF(OR(ISBLANK($B410),NOT(ISBLANK(B410))),"",'tracking - Table 2-1-2'!C$66)</f>
      </c>
      <c r="S410" t="str" s="964" cm="1">
        <f t="array" ref="S410">IF(OR(ISBLANK($B410),NOT(ISBLANK(B410))),"",'tracking - Table 2-1-2'!D$66)</f>
      </c>
      <c r="T410" t="str" s="964" cm="1">
        <f t="array" ref="T410">IF(OR(ISBLANK($B410),NOT(ISBLANK(B410))),"",'tracking - Table 2-1-2'!E$66)</f>
      </c>
      <c r="U410" t="str" s="969" cm="1">
        <f t="array" ref="U410">IF(OR(ISBLANK($B410),ISBLANK('tracking - Table 2-1-2'!A$1)),"",'tracking - Table 2-1-2'!F$66)</f>
      </c>
    </row>
    <row r="411" ht="8.75" customHeight="1" hidden="1">
      <c r="A411" s="960">
        <v>44750</v>
      </c>
      <c r="B411" s="961">
        <v>73.7</v>
      </c>
      <c r="C411" s="965" cm="1">
        <f t="array" ref="C411">IF(ISBLANK(B411),"",B411*2.2046226218)</f>
        <v>162.480687226660</v>
      </c>
      <c r="D411" s="962" cm="1">
        <f t="array" ref="D411">IF(ISBLANK(B411),"",AVERAGE(B405:B411))</f>
        <v>74.2166666666667</v>
      </c>
      <c r="E411" s="962" cm="1">
        <f t="array" ref="E411">IF(ISBLANK(B411),"",AVERAGE(B398:B411))</f>
        <v>74.95</v>
      </c>
      <c r="F411" s="962" cm="1">
        <f t="array" ref="F411">IF(ISBLANK(B411),"",AVERAGE(B382:B411))</f>
        <v>74.8879310344828</v>
      </c>
      <c r="G411" s="964"/>
      <c r="H411" s="964"/>
      <c r="I411" s="964"/>
      <c r="J411" s="964"/>
      <c r="K411" s="964"/>
      <c r="L411" s="964"/>
      <c r="M411" s="964"/>
      <c r="N411" s="964"/>
      <c r="O411" s="964"/>
      <c r="P411" s="964"/>
      <c r="Q411" s="962"/>
      <c r="R411" t="str" s="964" cm="1">
        <f t="array" ref="R411">IF(OR(ISBLANK($B411),NOT(ISBLANK(B411))),"",'tracking - Table 2-1-2'!C$66)</f>
      </c>
      <c r="S411" t="str" s="964" cm="1">
        <f t="array" ref="S411">IF(OR(ISBLANK($B411),NOT(ISBLANK(B411))),"",'tracking - Table 2-1-2'!D$66)</f>
      </c>
      <c r="T411" t="str" s="964" cm="1">
        <f t="array" ref="T411">IF(OR(ISBLANK($B411),NOT(ISBLANK(B411))),"",'tracking - Table 2-1-2'!E$66)</f>
      </c>
      <c r="U411" t="str" s="969" cm="1">
        <f t="array" ref="U411">IF(OR(ISBLANK($B411),ISBLANK('tracking - Table 2-1-2'!A$1)),"",'tracking - Table 2-1-2'!F$66)</f>
      </c>
    </row>
    <row r="412" ht="8.75" customHeight="1" hidden="1">
      <c r="A412" s="960">
        <v>44751</v>
      </c>
      <c r="B412" s="961">
        <v>73.40000000000001</v>
      </c>
      <c r="C412" s="965" cm="1">
        <f t="array" ref="C412">IF(ISBLANK(B412),"",B412*2.2046226218)</f>
        <v>161.819300440120</v>
      </c>
      <c r="D412" s="962" cm="1">
        <f t="array" ref="D412">IF(ISBLANK(B412),"",AVERAGE(B406:B412))</f>
        <v>73.95</v>
      </c>
      <c r="E412" s="962" cm="1">
        <f t="array" ref="E412">IF(ISBLANK(B412),"",AVERAGE(B399:B412))</f>
        <v>74.7923076923077</v>
      </c>
      <c r="F412" s="962" cm="1">
        <f t="array" ref="F412">IF(ISBLANK(B412),"",AVERAGE(B383:B412))</f>
        <v>74.83448275862069</v>
      </c>
      <c r="G412" s="964"/>
      <c r="H412" s="964"/>
      <c r="I412" s="964"/>
      <c r="J412" s="964"/>
      <c r="K412" s="964"/>
      <c r="L412" s="964"/>
      <c r="M412" s="964"/>
      <c r="N412" s="964"/>
      <c r="O412" s="964"/>
      <c r="P412" s="964"/>
      <c r="Q412" s="962"/>
      <c r="R412" t="str" s="964" cm="1">
        <f t="array" ref="R412">IF(OR(ISBLANK($B412),NOT(ISBLANK(B412))),"",'tracking - Table 2-1-2'!C$66)</f>
      </c>
      <c r="S412" t="str" s="964" cm="1">
        <f t="array" ref="S412">IF(OR(ISBLANK($B412),NOT(ISBLANK(B412))),"",'tracking - Table 2-1-2'!D$66)</f>
      </c>
      <c r="T412" t="str" s="964" cm="1">
        <f t="array" ref="T412">IF(OR(ISBLANK($B412),NOT(ISBLANK(B412))),"",'tracking - Table 2-1-2'!E$66)</f>
      </c>
      <c r="U412" t="str" s="969" cm="1">
        <f t="array" ref="U412">IF(OR(ISBLANK($B412),ISBLANK('tracking - Table 2-1-2'!A$1)),"",'tracking - Table 2-1-2'!F$66)</f>
      </c>
    </row>
    <row r="413" ht="8.75" customHeight="1" hidden="1">
      <c r="A413" s="960">
        <v>44752</v>
      </c>
      <c r="B413" s="961">
        <v>73.90000000000001</v>
      </c>
      <c r="C413" s="965" cm="1">
        <f t="array" ref="C413">IF(ISBLANK(B413),"",B413*2.2046226218)</f>
        <v>162.921611751020</v>
      </c>
      <c r="D413" s="962" cm="1">
        <f t="array" ref="D413">IF(ISBLANK(B413),"",AVERAGE(B407:B413))</f>
        <v>73.8833333333333</v>
      </c>
      <c r="E413" s="962" cm="1">
        <f t="array" ref="E413">IF(ISBLANK(B413),"",AVERAGE(B400:B413))</f>
        <v>74.6576923076923</v>
      </c>
      <c r="F413" s="962" cm="1">
        <f t="array" ref="F413">IF(ISBLANK(B413),"",AVERAGE(B384:B413))</f>
        <v>74.7620689655172</v>
      </c>
      <c r="G413" s="964"/>
      <c r="H413" s="964"/>
      <c r="I413" s="964"/>
      <c r="J413" s="964"/>
      <c r="K413" s="964"/>
      <c r="L413" s="964"/>
      <c r="M413" s="964"/>
      <c r="N413" s="964"/>
      <c r="O413" s="964"/>
      <c r="P413" s="964"/>
      <c r="Q413" s="962"/>
      <c r="R413" t="str" s="964" cm="1">
        <f t="array" ref="R413">IF(OR(ISBLANK($B413),NOT(ISBLANK(B413))),"",'tracking - Table 2-1-2'!C$66)</f>
      </c>
      <c r="S413" t="str" s="964" cm="1">
        <f t="array" ref="S413">IF(OR(ISBLANK($B413),NOT(ISBLANK(B413))),"",'tracking - Table 2-1-2'!D$66)</f>
      </c>
      <c r="T413" t="str" s="964" cm="1">
        <f t="array" ref="T413">IF(OR(ISBLANK($B413),NOT(ISBLANK(B413))),"",'tracking - Table 2-1-2'!E$66)</f>
      </c>
      <c r="U413" t="str" s="969" cm="1">
        <f t="array" ref="U413">IF(OR(ISBLANK($B413),ISBLANK('tracking - Table 2-1-2'!A$1)),"",'tracking - Table 2-1-2'!F$66)</f>
      </c>
    </row>
    <row r="414" ht="8.75" customHeight="1" hidden="1">
      <c r="A414" s="960">
        <v>44753</v>
      </c>
      <c r="B414" s="961">
        <v>73.90000000000001</v>
      </c>
      <c r="C414" s="965" cm="1">
        <f t="array" ref="C414">IF(ISBLANK(B414),"",B414*2.2046226218)</f>
        <v>162.921611751020</v>
      </c>
      <c r="D414" s="962" cm="1">
        <f t="array" ref="D414">IF(ISBLANK(B414),"",AVERAGE(B408:B414))</f>
        <v>73.81666666666671</v>
      </c>
      <c r="E414" s="962" cm="1">
        <f t="array" ref="E414">IF(ISBLANK(B414),"",AVERAGE(B401:B414))</f>
        <v>74.5230769230769</v>
      </c>
      <c r="F414" s="962" cm="1">
        <f t="array" ref="F414">IF(ISBLANK(B414),"",AVERAGE(B385:B414))</f>
        <v>74.7275862068966</v>
      </c>
      <c r="G414" s="964"/>
      <c r="H414" s="964"/>
      <c r="I414" s="964"/>
      <c r="J414" s="964"/>
      <c r="K414" s="964"/>
      <c r="L414" s="964"/>
      <c r="M414" s="964"/>
      <c r="N414" s="964"/>
      <c r="O414" s="964"/>
      <c r="P414" s="964"/>
      <c r="Q414" s="962"/>
      <c r="R414" t="str" s="964" cm="1">
        <f t="array" ref="R414">IF(OR(ISBLANK($B414),NOT(ISBLANK(B414))),"",'tracking - Table 2-1-2'!C$66)</f>
      </c>
      <c r="S414" t="str" s="964" cm="1">
        <f t="array" ref="S414">IF(OR(ISBLANK($B414),NOT(ISBLANK(B414))),"",'tracking - Table 2-1-2'!D$66)</f>
      </c>
      <c r="T414" t="str" s="964" cm="1">
        <f t="array" ref="T414">IF(OR(ISBLANK($B414),NOT(ISBLANK(B414))),"",'tracking - Table 2-1-2'!E$66)</f>
      </c>
      <c r="U414" t="str" s="969" cm="1">
        <f t="array" ref="U414">IF(OR(ISBLANK($B414),ISBLANK('tracking - Table 2-1-2'!A$1)),"",'tracking - Table 2-1-2'!F$66)</f>
      </c>
    </row>
    <row r="415" ht="8.75" customHeight="1" hidden="1">
      <c r="A415" s="960">
        <v>44754</v>
      </c>
      <c r="B415" s="961">
        <v>73.5</v>
      </c>
      <c r="C415" s="965" cm="1">
        <f t="array" ref="C415">IF(ISBLANK(B415),"",B415*2.2046226218)</f>
        <v>162.0397627023</v>
      </c>
      <c r="D415" s="962" cm="1">
        <f t="array" ref="D415">IF(ISBLANK(B415),"",AVERAGE(B409:B415))</f>
        <v>73.7714285714286</v>
      </c>
      <c r="E415" s="962" cm="1">
        <f t="array" ref="E415">IF(ISBLANK(B415),"",AVERAGE(B402:B415))</f>
        <v>74.3346153846154</v>
      </c>
      <c r="F415" s="962" cm="1">
        <f t="array" ref="F415">IF(ISBLANK(B415),"",AVERAGE(B386:B415))</f>
        <v>74.6793103448276</v>
      </c>
      <c r="G415" s="964"/>
      <c r="H415" s="964"/>
      <c r="I415" s="964"/>
      <c r="J415" s="964"/>
      <c r="K415" s="964"/>
      <c r="L415" s="964"/>
      <c r="M415" s="964"/>
      <c r="N415" s="964"/>
      <c r="O415" s="964"/>
      <c r="P415" s="964"/>
      <c r="Q415" s="962"/>
      <c r="R415" t="str" s="964" cm="1">
        <f t="array" ref="R415">IF(OR(ISBLANK($B415),NOT(ISBLANK(B415))),"",'tracking - Table 2-1-2'!C$66)</f>
      </c>
      <c r="S415" t="str" s="964" cm="1">
        <f t="array" ref="S415">IF(OR(ISBLANK($B415),NOT(ISBLANK(B415))),"",'tracking - Table 2-1-2'!D$66)</f>
      </c>
      <c r="T415" t="str" s="964" cm="1">
        <f t="array" ref="T415">IF(OR(ISBLANK($B415),NOT(ISBLANK(B415))),"",'tracking - Table 2-1-2'!E$66)</f>
      </c>
      <c r="U415" t="str" s="969" cm="1">
        <f t="array" ref="U415">IF(OR(ISBLANK($B415),ISBLANK('tracking - Table 2-1-2'!A$1)),"",'tracking - Table 2-1-2'!F$66)</f>
      </c>
    </row>
    <row r="416" ht="8.75" customHeight="1" hidden="1">
      <c r="A416" s="960">
        <v>44755</v>
      </c>
      <c r="B416" s="961">
        <v>74.90000000000001</v>
      </c>
      <c r="C416" s="965" cm="1">
        <f t="array" ref="C416">IF(ISBLANK(B416),"",B416*2.2046226218)</f>
        <v>165.126234372820</v>
      </c>
      <c r="D416" s="962" cm="1">
        <f t="array" ref="D416">IF(ISBLANK(B416),"",AVERAGE(B410:B416))</f>
        <v>73.94285714285709</v>
      </c>
      <c r="E416" s="962" cm="1">
        <f t="array" ref="E416">IF(ISBLANK(B416),"",AVERAGE(B403:B416))</f>
        <v>74.2538461538462</v>
      </c>
      <c r="F416" s="962" cm="1">
        <f t="array" ref="F416">IF(ISBLANK(B416),"",AVERAGE(B387:B416))</f>
        <v>74.6793103448276</v>
      </c>
      <c r="G416" s="964"/>
      <c r="H416" s="964"/>
      <c r="I416" s="964"/>
      <c r="J416" s="964"/>
      <c r="K416" s="964"/>
      <c r="L416" s="964"/>
      <c r="M416" s="964"/>
      <c r="N416" s="964"/>
      <c r="O416" s="964"/>
      <c r="P416" s="964"/>
      <c r="Q416" s="962"/>
      <c r="R416" t="str" s="964" cm="1">
        <f t="array" ref="R416">IF(OR(ISBLANK($B416),NOT(ISBLANK(B416))),"",'tracking - Table 2-1-2'!C$66)</f>
      </c>
      <c r="S416" t="str" s="964" cm="1">
        <f t="array" ref="S416">IF(OR(ISBLANK($B416),NOT(ISBLANK(B416))),"",'tracking - Table 2-1-2'!D$66)</f>
      </c>
      <c r="T416" t="str" s="964" cm="1">
        <f t="array" ref="T416">IF(OR(ISBLANK($B416),NOT(ISBLANK(B416))),"",'tracking - Table 2-1-2'!E$66)</f>
      </c>
      <c r="U416" t="str" s="969" cm="1">
        <f t="array" ref="U416">IF(OR(ISBLANK($B416),ISBLANK('tracking - Table 2-1-2'!A$1)),"",'tracking - Table 2-1-2'!F$66)</f>
      </c>
    </row>
    <row r="417" ht="8.75" customHeight="1" hidden="1">
      <c r="A417" s="960">
        <v>44756</v>
      </c>
      <c r="B417" s="961">
        <v>74.5</v>
      </c>
      <c r="C417" s="965" cm="1">
        <f t="array" ref="C417">IF(ISBLANK(B417),"",B417*2.2046226218)</f>
        <v>164.2443853241</v>
      </c>
      <c r="D417" s="962" cm="1">
        <f t="array" ref="D417">IF(ISBLANK(B417),"",AVERAGE(B411:B417))</f>
        <v>73.9714285714286</v>
      </c>
      <c r="E417" s="962" cm="1">
        <f t="array" ref="E417">IF(ISBLANK(B417),"",AVERAGE(B404:B417))</f>
        <v>74.2</v>
      </c>
      <c r="F417" s="962" cm="1">
        <f t="array" ref="F417">IF(ISBLANK(B417),"",AVERAGE(B388:B417))</f>
        <v>74.66551724137931</v>
      </c>
      <c r="G417" s="964"/>
      <c r="H417" s="964"/>
      <c r="I417" s="964"/>
      <c r="J417" s="964"/>
      <c r="K417" s="964"/>
      <c r="L417" s="964"/>
      <c r="M417" s="964"/>
      <c r="N417" s="964"/>
      <c r="O417" s="964"/>
      <c r="P417" s="964"/>
      <c r="Q417" s="962"/>
      <c r="R417" t="str" s="964" cm="1">
        <f t="array" ref="R417">IF(OR(ISBLANK($B417),NOT(ISBLANK(B417))),"",'tracking - Table 2-1-2'!C$66)</f>
      </c>
      <c r="S417" t="str" s="964" cm="1">
        <f t="array" ref="S417">IF(OR(ISBLANK($B417),NOT(ISBLANK(B417))),"",'tracking - Table 2-1-2'!D$66)</f>
      </c>
      <c r="T417" t="str" s="964" cm="1">
        <f t="array" ref="T417">IF(OR(ISBLANK($B417),NOT(ISBLANK(B417))),"",'tracking - Table 2-1-2'!E$66)</f>
      </c>
      <c r="U417" t="str" s="969" cm="1">
        <f t="array" ref="U417">IF(OR(ISBLANK($B417),ISBLANK('tracking - Table 2-1-2'!A$1)),"",'tracking - Table 2-1-2'!F$66)</f>
      </c>
    </row>
    <row r="418" ht="8.75" customHeight="1" hidden="1">
      <c r="A418" s="960">
        <v>44757</v>
      </c>
      <c r="B418" s="961">
        <v>74.5</v>
      </c>
      <c r="C418" s="965" cm="1">
        <f t="array" ref="C418">IF(ISBLANK(B418),"",B418*2.2046226218)</f>
        <v>164.2443853241</v>
      </c>
      <c r="D418" s="962" cm="1">
        <f t="array" ref="D418">IF(ISBLANK(B418),"",AVERAGE(B412:B418))</f>
        <v>74.0857142857143</v>
      </c>
      <c r="E418" s="962" cm="1">
        <f t="array" ref="E418">IF(ISBLANK(B418),"",AVERAGE(B405:B418))</f>
        <v>74.14615384615379</v>
      </c>
      <c r="F418" s="962" cm="1">
        <f t="array" ref="F418">IF(ISBLANK(B418),"",AVERAGE(B389:B418))</f>
        <v>74.651724137931</v>
      </c>
      <c r="G418" s="964"/>
      <c r="H418" s="964"/>
      <c r="I418" s="964"/>
      <c r="J418" s="964"/>
      <c r="K418" s="964"/>
      <c r="L418" s="964"/>
      <c r="M418" s="964"/>
      <c r="N418" s="964"/>
      <c r="O418" s="964"/>
      <c r="P418" s="964"/>
      <c r="Q418" s="962"/>
      <c r="R418" t="str" s="964" cm="1">
        <f t="array" ref="R418">IF(OR(ISBLANK($B418),NOT(ISBLANK(B418))),"",'tracking - Table 2-1-2'!C$66)</f>
      </c>
      <c r="S418" t="str" s="964" cm="1">
        <f t="array" ref="S418">IF(OR(ISBLANK($B418),NOT(ISBLANK(B418))),"",'tracking - Table 2-1-2'!D$66)</f>
      </c>
      <c r="T418" t="str" s="964" cm="1">
        <f t="array" ref="T418">IF(OR(ISBLANK($B418),NOT(ISBLANK(B418))),"",'tracking - Table 2-1-2'!E$66)</f>
      </c>
      <c r="U418" t="str" s="969" cm="1">
        <f t="array" ref="U418">IF(OR(ISBLANK($B418),ISBLANK('tracking - Table 2-1-2'!A$1)),"",'tracking - Table 2-1-2'!F$66)</f>
      </c>
    </row>
    <row r="419" ht="8.75" customHeight="1" hidden="1">
      <c r="A419" s="960">
        <v>44758</v>
      </c>
      <c r="B419" s="961">
        <v>73.84999999999999</v>
      </c>
      <c r="C419" s="965" cm="1">
        <f t="array" ref="C419">IF(ISBLANK(B419),"",B419*2.2046226218)</f>
        <v>162.811380619930</v>
      </c>
      <c r="D419" s="962" cm="1">
        <f t="array" ref="D419">IF(ISBLANK(B419),"",AVERAGE(B413:B419))</f>
        <v>74.15000000000001</v>
      </c>
      <c r="E419" s="962" cm="1">
        <f t="array" ref="E419">IF(ISBLANK(B419),"",AVERAGE(B406:B419))</f>
        <v>74.05769230769231</v>
      </c>
      <c r="F419" s="962" cm="1">
        <f t="array" ref="F419">IF(ISBLANK(B419),"",AVERAGE(B390:B419))</f>
        <v>74.6379310344828</v>
      </c>
      <c r="G419" s="964"/>
      <c r="H419" s="964"/>
      <c r="I419" s="964"/>
      <c r="J419" s="964"/>
      <c r="K419" s="964"/>
      <c r="L419" s="964"/>
      <c r="M419" s="964"/>
      <c r="N419" s="964"/>
      <c r="O419" s="964"/>
      <c r="P419" s="964"/>
      <c r="Q419" s="962"/>
      <c r="R419" t="str" s="964" cm="1">
        <f t="array" ref="R419">IF(OR(ISBLANK($B419),NOT(ISBLANK(B419))),"",'tracking - Table 2-1-2'!C$66)</f>
      </c>
      <c r="S419" t="str" s="964" cm="1">
        <f t="array" ref="S419">IF(OR(ISBLANK($B419),NOT(ISBLANK(B419))),"",'tracking - Table 2-1-2'!D$66)</f>
      </c>
      <c r="T419" t="str" s="964" cm="1">
        <f t="array" ref="T419">IF(OR(ISBLANK($B419),NOT(ISBLANK(B419))),"",'tracking - Table 2-1-2'!E$66)</f>
      </c>
      <c r="U419" t="str" s="969" cm="1">
        <f t="array" ref="U419">IF(OR(ISBLANK($B419),ISBLANK('tracking - Table 2-1-2'!A$1)),"",'tracking - Table 2-1-2'!F$66)</f>
      </c>
    </row>
    <row r="420" ht="8.75" customHeight="1" hidden="1">
      <c r="A420" s="960">
        <v>44759</v>
      </c>
      <c r="B420" s="961">
        <v>74.55</v>
      </c>
      <c r="C420" s="965" cm="1">
        <f t="array" ref="C420">IF(ISBLANK(B420),"",B420*2.2046226218)</f>
        <v>164.354616455190</v>
      </c>
      <c r="D420" s="962" cm="1">
        <f t="array" ref="D420">IF(ISBLANK(B420),"",AVERAGE(B414:B420))</f>
        <v>74.2428571428571</v>
      </c>
      <c r="E420" s="962" cm="1">
        <f t="array" ref="E420">IF(ISBLANK(B420),"",AVERAGE(B407:B420))</f>
        <v>74.07692307692309</v>
      </c>
      <c r="F420" s="962" cm="1">
        <f t="array" ref="F420">IF(ISBLANK(B420),"",AVERAGE(B391:B420))</f>
        <v>74.651724137931</v>
      </c>
      <c r="G420" s="964"/>
      <c r="H420" s="964"/>
      <c r="I420" s="964"/>
      <c r="J420" s="964"/>
      <c r="K420" s="964"/>
      <c r="L420" s="964"/>
      <c r="M420" s="964"/>
      <c r="N420" s="964"/>
      <c r="O420" s="964"/>
      <c r="P420" s="964"/>
      <c r="Q420" s="962"/>
      <c r="R420" t="str" s="964" cm="1">
        <f t="array" ref="R420">IF(OR(ISBLANK($B420),NOT(ISBLANK(B420))),"",'tracking - Table 2-1-2'!C$66)</f>
      </c>
      <c r="S420" t="str" s="964" cm="1">
        <f t="array" ref="S420">IF(OR(ISBLANK($B420),NOT(ISBLANK(B420))),"",'tracking - Table 2-1-2'!D$66)</f>
      </c>
      <c r="T420" t="str" s="964" cm="1">
        <f t="array" ref="T420">IF(OR(ISBLANK($B420),NOT(ISBLANK(B420))),"",'tracking - Table 2-1-2'!E$66)</f>
      </c>
      <c r="U420" t="str" s="969" cm="1">
        <f t="array" ref="U420">IF(OR(ISBLANK($B420),ISBLANK('tracking - Table 2-1-2'!A$1)),"",'tracking - Table 2-1-2'!F$66)</f>
      </c>
    </row>
    <row r="421" ht="8.75" customHeight="1" hidden="1">
      <c r="A421" s="960">
        <v>44760</v>
      </c>
      <c r="B421" s="961">
        <v>74.2</v>
      </c>
      <c r="C421" s="965" cm="1">
        <f t="array" ref="C421">IF(ISBLANK(B421),"",B421*2.2046226218)</f>
        <v>163.582998537560</v>
      </c>
      <c r="D421" s="962" cm="1">
        <f t="array" ref="D421">IF(ISBLANK(B421),"",AVERAGE(B415:B421))</f>
        <v>74.28571428571431</v>
      </c>
      <c r="E421" s="962" cm="1">
        <f t="array" ref="E421">IF(ISBLANK(B421),"",AVERAGE(B408:B421))</f>
        <v>74.0692307692308</v>
      </c>
      <c r="F421" s="962" cm="1">
        <f t="array" ref="F421">IF(ISBLANK(B421),"",AVERAGE(B392:B421))</f>
        <v>74.6379310344828</v>
      </c>
      <c r="G421" s="964"/>
      <c r="H421" s="964"/>
      <c r="I421" s="964"/>
      <c r="J421" s="964"/>
      <c r="K421" s="964"/>
      <c r="L421" s="964"/>
      <c r="M421" s="964"/>
      <c r="N421" s="964"/>
      <c r="O421" s="964"/>
      <c r="P421" s="964"/>
      <c r="Q421" s="962"/>
      <c r="R421" t="str" s="964" cm="1">
        <f t="array" ref="R421">IF(OR(ISBLANK($B421),NOT(ISBLANK(B421))),"",'tracking - Table 2-1-2'!C$66)</f>
      </c>
      <c r="S421" t="str" s="964" cm="1">
        <f t="array" ref="S421">IF(OR(ISBLANK($B421),NOT(ISBLANK(B421))),"",'tracking - Table 2-1-2'!D$66)</f>
      </c>
      <c r="T421" t="str" s="964" cm="1">
        <f t="array" ref="T421">IF(OR(ISBLANK($B421),NOT(ISBLANK(B421))),"",'tracking - Table 2-1-2'!E$66)</f>
      </c>
      <c r="U421" t="str" s="969" cm="1">
        <f t="array" ref="U421">IF(OR(ISBLANK($B421),ISBLANK('tracking - Table 2-1-2'!A$1)),"",'tracking - Table 2-1-2'!F$66)</f>
      </c>
    </row>
    <row r="422" ht="8.75" customHeight="1" hidden="1">
      <c r="A422" s="960">
        <v>44761</v>
      </c>
      <c r="B422" s="961">
        <v>74.2</v>
      </c>
      <c r="C422" s="965" cm="1">
        <f t="array" ref="C422">IF(ISBLANK(B422),"",B422*2.2046226218)</f>
        <v>163.582998537560</v>
      </c>
      <c r="D422" s="962" cm="1">
        <f t="array" ref="D422">IF(ISBLANK(B422),"",AVERAGE(B416:B422))</f>
        <v>74.3857142857143</v>
      </c>
      <c r="E422" s="962" cm="1">
        <f t="array" ref="E422">IF(ISBLANK(B422),"",AVERAGE(B409:B422))</f>
        <v>74.07857142857139</v>
      </c>
      <c r="F422" s="962" cm="1">
        <f t="array" ref="F422">IF(ISBLANK(B422),"",AVERAGE(B393:B422))</f>
        <v>74.6120689655172</v>
      </c>
      <c r="G422" s="964"/>
      <c r="H422" s="964"/>
      <c r="I422" s="964"/>
      <c r="J422" s="964"/>
      <c r="K422" s="964"/>
      <c r="L422" s="964"/>
      <c r="M422" s="964"/>
      <c r="N422" s="964"/>
      <c r="O422" s="964"/>
      <c r="P422" s="964"/>
      <c r="Q422" s="962"/>
      <c r="R422" t="str" s="964" cm="1">
        <f t="array" ref="R422">IF(OR(ISBLANK($B422),NOT(ISBLANK(B422))),"",'tracking - Table 2-1-2'!C$66)</f>
      </c>
      <c r="S422" t="str" s="964" cm="1">
        <f t="array" ref="S422">IF(OR(ISBLANK($B422),NOT(ISBLANK(B422))),"",'tracking - Table 2-1-2'!D$66)</f>
      </c>
      <c r="T422" t="str" s="964" cm="1">
        <f t="array" ref="T422">IF(OR(ISBLANK($B422),NOT(ISBLANK(B422))),"",'tracking - Table 2-1-2'!E$66)</f>
      </c>
      <c r="U422" t="str" s="969" cm="1">
        <f t="array" ref="U422">IF(OR(ISBLANK($B422),ISBLANK('tracking - Table 2-1-2'!A$1)),"",'tracking - Table 2-1-2'!F$66)</f>
      </c>
    </row>
    <row r="423" ht="8.75" customHeight="1" hidden="1">
      <c r="A423" s="960">
        <v>44762</v>
      </c>
      <c r="B423" s="961">
        <v>74.55</v>
      </c>
      <c r="C423" s="965" cm="1">
        <f t="array" ref="C423">IF(ISBLANK(B423),"",B423*2.2046226218)</f>
        <v>164.354616455190</v>
      </c>
      <c r="D423" s="962" cm="1">
        <f t="array" ref="D423">IF(ISBLANK(B423),"",AVERAGE(B417:B423))</f>
        <v>74.3357142857143</v>
      </c>
      <c r="E423" s="962" cm="1">
        <f t="array" ref="E423">IF(ISBLANK(B423),"",AVERAGE(B410:B423))</f>
        <v>74.13928571428571</v>
      </c>
      <c r="F423" s="962" cm="1">
        <f t="array" ref="F423">IF(ISBLANK(B423),"",AVERAGE(B394:B423))</f>
        <v>74.598275862069</v>
      </c>
      <c r="G423" s="964"/>
      <c r="H423" s="964"/>
      <c r="I423" s="964"/>
      <c r="J423" s="964"/>
      <c r="K423" s="964"/>
      <c r="L423" s="964"/>
      <c r="M423" s="964"/>
      <c r="N423" s="964"/>
      <c r="O423" s="964"/>
      <c r="P423" s="964"/>
      <c r="Q423" s="962"/>
      <c r="R423" t="str" s="964" cm="1">
        <f t="array" ref="R423">IF(OR(ISBLANK($B423),NOT(ISBLANK(B423))),"",'tracking - Table 2-1-2'!C$66)</f>
      </c>
      <c r="S423" t="str" s="964" cm="1">
        <f t="array" ref="S423">IF(OR(ISBLANK($B423),NOT(ISBLANK(B423))),"",'tracking - Table 2-1-2'!D$66)</f>
      </c>
      <c r="T423" t="str" s="964" cm="1">
        <f t="array" ref="T423">IF(OR(ISBLANK($B423),NOT(ISBLANK(B423))),"",'tracking - Table 2-1-2'!E$66)</f>
      </c>
      <c r="U423" t="str" s="969" cm="1">
        <f t="array" ref="U423">IF(OR(ISBLANK($B423),ISBLANK('tracking - Table 2-1-2'!A$1)),"",'tracking - Table 2-1-2'!F$66)</f>
      </c>
    </row>
    <row r="424" ht="8.75" customHeight="1" hidden="1">
      <c r="A424" s="960">
        <v>44763</v>
      </c>
      <c r="B424" s="961">
        <v>74.55</v>
      </c>
      <c r="C424" s="965" cm="1">
        <f t="array" ref="C424">IF(ISBLANK(B424),"",B424*2.2046226218)</f>
        <v>164.354616455190</v>
      </c>
      <c r="D424" s="962" cm="1">
        <f t="array" ref="D424">IF(ISBLANK(B424),"",AVERAGE(B418:B424))</f>
        <v>74.3428571428571</v>
      </c>
      <c r="E424" s="962" cm="1">
        <f t="array" ref="E424">IF(ISBLANK(B424),"",AVERAGE(B411:B424))</f>
        <v>74.1571428571429</v>
      </c>
      <c r="F424" s="962" cm="1">
        <f t="array" ref="F424">IF(ISBLANK(B424),"",AVERAGE(B395:B424))</f>
        <v>74.59999999999999</v>
      </c>
      <c r="G424" s="964"/>
      <c r="H424" s="964"/>
      <c r="I424" s="964"/>
      <c r="J424" s="964"/>
      <c r="K424" s="964"/>
      <c r="L424" s="964"/>
      <c r="M424" s="964"/>
      <c r="N424" s="964"/>
      <c r="O424" s="964"/>
      <c r="P424" s="964"/>
      <c r="Q424" s="962"/>
      <c r="R424" t="str" s="964" cm="1">
        <f t="array" ref="R424">IF(OR(ISBLANK($B424),NOT(ISBLANK(B424))),"",'tracking - Table 2-1-2'!C$66)</f>
      </c>
      <c r="S424" t="str" s="964" cm="1">
        <f t="array" ref="S424">IF(OR(ISBLANK($B424),NOT(ISBLANK(B424))),"",'tracking - Table 2-1-2'!D$66)</f>
      </c>
      <c r="T424" t="str" s="964" cm="1">
        <f t="array" ref="T424">IF(OR(ISBLANK($B424),NOT(ISBLANK(B424))),"",'tracking - Table 2-1-2'!E$66)</f>
      </c>
      <c r="U424" t="str" s="969" cm="1">
        <f t="array" ref="U424">IF(OR(ISBLANK($B424),ISBLANK('tracking - Table 2-1-2'!A$1)),"",'tracking - Table 2-1-2'!F$66)</f>
      </c>
    </row>
    <row r="425" ht="8.75" customHeight="1" hidden="1">
      <c r="A425" s="960">
        <v>44764</v>
      </c>
      <c r="B425" s="961">
        <v>74.05</v>
      </c>
      <c r="C425" s="965" cm="1">
        <f t="array" ref="C425">IF(ISBLANK(B425),"",B425*2.2046226218)</f>
        <v>163.252305144290</v>
      </c>
      <c r="D425" s="962" cm="1">
        <f t="array" ref="D425">IF(ISBLANK(B425),"",AVERAGE(B419:B425))</f>
        <v>74.2785714285714</v>
      </c>
      <c r="E425" s="962" cm="1">
        <f t="array" ref="E425">IF(ISBLANK(B425),"",AVERAGE(B412:B425))</f>
        <v>74.18214285714291</v>
      </c>
      <c r="F425" s="962" cm="1">
        <f t="array" ref="F425">IF(ISBLANK(B425),"",AVERAGE(B396:B425))</f>
        <v>74.5948275862069</v>
      </c>
      <c r="G425" s="964"/>
      <c r="H425" s="964"/>
      <c r="I425" s="964"/>
      <c r="J425" s="964"/>
      <c r="K425" s="964"/>
      <c r="L425" s="964"/>
      <c r="M425" s="964"/>
      <c r="N425" s="964"/>
      <c r="O425" s="964"/>
      <c r="P425" s="964"/>
      <c r="Q425" s="962"/>
      <c r="R425" t="str" s="964" cm="1">
        <f t="array" ref="R425">IF(OR(ISBLANK($B425),NOT(ISBLANK(B425))),"",'tracking - Table 2-1-2'!C$66)</f>
      </c>
      <c r="S425" t="str" s="964" cm="1">
        <f t="array" ref="S425">IF(OR(ISBLANK($B425),NOT(ISBLANK(B425))),"",'tracking - Table 2-1-2'!D$66)</f>
      </c>
      <c r="T425" t="str" s="964" cm="1">
        <f t="array" ref="T425">IF(OR(ISBLANK($B425),NOT(ISBLANK(B425))),"",'tracking - Table 2-1-2'!E$66)</f>
      </c>
      <c r="U425" t="str" s="969" cm="1">
        <f t="array" ref="U425">IF(OR(ISBLANK($B425),ISBLANK('tracking - Table 2-1-2'!A$1)),"",'tracking - Table 2-1-2'!F$66)</f>
      </c>
    </row>
    <row r="426" ht="8.75" customHeight="1" hidden="1">
      <c r="A426" s="960">
        <v>44765</v>
      </c>
      <c r="B426" s="961">
        <v>74.2</v>
      </c>
      <c r="C426" s="965" cm="1">
        <f t="array" ref="C426">IF(ISBLANK(B426),"",B426*2.2046226218)</f>
        <v>163.582998537560</v>
      </c>
      <c r="D426" s="962" cm="1">
        <f t="array" ref="D426">IF(ISBLANK(B426),"",AVERAGE(B420:B426))</f>
        <v>74.32857142857139</v>
      </c>
      <c r="E426" s="962" cm="1">
        <f t="array" ref="E426">IF(ISBLANK(B426),"",AVERAGE(B413:B426))</f>
        <v>74.2392857142857</v>
      </c>
      <c r="F426" s="962" cm="1">
        <f t="array" ref="F426">IF(ISBLANK(B426),"",AVERAGE(B397:B426))</f>
        <v>74.5706896551724</v>
      </c>
      <c r="G426" s="964"/>
      <c r="H426" s="964"/>
      <c r="I426" s="964"/>
      <c r="J426" s="964"/>
      <c r="K426" s="964"/>
      <c r="L426" s="964"/>
      <c r="M426" s="964"/>
      <c r="N426" s="964"/>
      <c r="O426" s="964"/>
      <c r="P426" s="964"/>
      <c r="Q426" s="962"/>
      <c r="R426" t="str" s="964" cm="1">
        <f t="array" ref="R426">IF(OR(ISBLANK($B426),NOT(ISBLANK(B426))),"",'tracking - Table 2-1-2'!C$66)</f>
      </c>
      <c r="S426" t="str" s="964" cm="1">
        <f t="array" ref="S426">IF(OR(ISBLANK($B426),NOT(ISBLANK(B426))),"",'tracking - Table 2-1-2'!D$66)</f>
      </c>
      <c r="T426" t="str" s="964" cm="1">
        <f t="array" ref="T426">IF(OR(ISBLANK($B426),NOT(ISBLANK(B426))),"",'tracking - Table 2-1-2'!E$66)</f>
      </c>
      <c r="U426" t="str" s="969" cm="1">
        <f t="array" ref="U426">IF(OR(ISBLANK($B426),ISBLANK('tracking - Table 2-1-2'!A$1)),"",'tracking - Table 2-1-2'!F$66)</f>
      </c>
    </row>
    <row r="427" ht="8.75" customHeight="1" hidden="1">
      <c r="A427" s="960">
        <v>44766</v>
      </c>
      <c r="B427" s="961">
        <v>74.2</v>
      </c>
      <c r="C427" s="965" cm="1">
        <f t="array" ref="C427">IF(ISBLANK(B427),"",B427*2.2046226218)</f>
        <v>163.582998537560</v>
      </c>
      <c r="D427" s="962" cm="1">
        <f t="array" ref="D427">IF(ISBLANK(B427),"",AVERAGE(B421:B427))</f>
        <v>74.2785714285714</v>
      </c>
      <c r="E427" s="962" cm="1">
        <f t="array" ref="E427">IF(ISBLANK(B427),"",AVERAGE(B414:B427))</f>
        <v>74.2607142857143</v>
      </c>
      <c r="F427" s="962" cm="1">
        <f t="array" ref="F427">IF(ISBLANK(B427),"",AVERAGE(B398:B427))</f>
        <v>74.5275862068966</v>
      </c>
      <c r="G427" s="964"/>
      <c r="H427" s="964"/>
      <c r="I427" s="964"/>
      <c r="J427" s="964"/>
      <c r="K427" s="964"/>
      <c r="L427" s="964"/>
      <c r="M427" s="964"/>
      <c r="N427" s="964"/>
      <c r="O427" s="964"/>
      <c r="P427" s="964"/>
      <c r="Q427" s="962"/>
      <c r="R427" t="str" s="964" cm="1">
        <f t="array" ref="R427">IF(OR(ISBLANK($B427),NOT(ISBLANK(B427))),"",'tracking - Table 2-1-2'!C$66)</f>
      </c>
      <c r="S427" t="str" s="964" cm="1">
        <f t="array" ref="S427">IF(OR(ISBLANK($B427),NOT(ISBLANK(B427))),"",'tracking - Table 2-1-2'!D$66)</f>
      </c>
      <c r="T427" t="str" s="964" cm="1">
        <f t="array" ref="T427">IF(OR(ISBLANK($B427),NOT(ISBLANK(B427))),"",'tracking - Table 2-1-2'!E$66)</f>
      </c>
      <c r="U427" t="str" s="969" cm="1">
        <f t="array" ref="U427">IF(OR(ISBLANK($B427),ISBLANK('tracking - Table 2-1-2'!A$1)),"",'tracking - Table 2-1-2'!F$66)</f>
      </c>
    </row>
    <row r="428" ht="8.75" customHeight="1" hidden="1">
      <c r="A428" s="960">
        <v>44767</v>
      </c>
      <c r="B428" s="961">
        <v>74.15000000000001</v>
      </c>
      <c r="C428" s="965" cm="1">
        <f t="array" ref="C428">IF(ISBLANK(B428),"",B428*2.2046226218)</f>
        <v>163.472767406470</v>
      </c>
      <c r="D428" s="962" cm="1">
        <f t="array" ref="D428">IF(ISBLANK(B428),"",AVERAGE(B422:B428))</f>
        <v>74.2714285714286</v>
      </c>
      <c r="E428" s="962" cm="1">
        <f t="array" ref="E428">IF(ISBLANK(B428),"",AVERAGE(B415:B428))</f>
        <v>74.2785714285714</v>
      </c>
      <c r="F428" s="962" cm="1">
        <f t="array" ref="F428">IF(ISBLANK(B428),"",AVERAGE(B399:B428))</f>
        <v>74.48275862068969</v>
      </c>
      <c r="G428" s="964"/>
      <c r="H428" s="964"/>
      <c r="I428" s="964"/>
      <c r="J428" s="964"/>
      <c r="K428" s="964"/>
      <c r="L428" s="964"/>
      <c r="M428" s="964"/>
      <c r="N428" s="964"/>
      <c r="O428" s="964"/>
      <c r="P428" s="964"/>
      <c r="Q428" s="962"/>
      <c r="R428" t="str" s="964" cm="1">
        <f t="array" ref="R428">IF(OR(ISBLANK($B428),NOT(ISBLANK(B428))),"",'tracking - Table 2-1-2'!C$66)</f>
      </c>
      <c r="S428" t="str" s="964" cm="1">
        <f t="array" ref="S428">IF(OR(ISBLANK($B428),NOT(ISBLANK(B428))),"",'tracking - Table 2-1-2'!D$66)</f>
      </c>
      <c r="T428" t="str" s="964" cm="1">
        <f t="array" ref="T428">IF(OR(ISBLANK($B428),NOT(ISBLANK(B428))),"",'tracking - Table 2-1-2'!E$66)</f>
      </c>
      <c r="U428" t="str" s="969" cm="1">
        <f t="array" ref="U428">IF(OR(ISBLANK($B428),ISBLANK('tracking - Table 2-1-2'!A$1)),"",'tracking - Table 2-1-2'!F$66)</f>
      </c>
    </row>
    <row r="429" ht="8.75" customHeight="1" hidden="1">
      <c r="A429" s="960">
        <v>44768</v>
      </c>
      <c r="B429" s="961">
        <v>74.15000000000001</v>
      </c>
      <c r="C429" s="965" cm="1">
        <f t="array" ref="C429">IF(ISBLANK(B429),"",B429*2.2046226218)</f>
        <v>163.472767406470</v>
      </c>
      <c r="D429" s="962" cm="1">
        <f t="array" ref="D429">IF(ISBLANK(B429),"",AVERAGE(B423:B429))</f>
        <v>74.26428571428571</v>
      </c>
      <c r="E429" s="962" cm="1">
        <f t="array" ref="E429">IF(ISBLANK(B429),"",AVERAGE(B416:B429))</f>
        <v>74.325</v>
      </c>
      <c r="F429" s="962" cm="1">
        <f t="array" ref="F429">IF(ISBLANK(B429),"",AVERAGE(B400:B429))</f>
        <v>74.43103448275861</v>
      </c>
      <c r="G429" s="964"/>
      <c r="H429" s="964"/>
      <c r="I429" s="964"/>
      <c r="J429" s="964"/>
      <c r="K429" s="964"/>
      <c r="L429" s="964"/>
      <c r="M429" s="964"/>
      <c r="N429" s="964"/>
      <c r="O429" s="964"/>
      <c r="P429" s="964"/>
      <c r="Q429" s="962"/>
      <c r="R429" t="str" s="964" cm="1">
        <f t="array" ref="R429">IF(OR(ISBLANK($B429),NOT(ISBLANK(B429))),"",'tracking - Table 2-1-2'!C$66)</f>
      </c>
      <c r="S429" t="str" s="964" cm="1">
        <f t="array" ref="S429">IF(OR(ISBLANK($B429),NOT(ISBLANK(B429))),"",'tracking - Table 2-1-2'!D$66)</f>
      </c>
      <c r="T429" t="str" s="964" cm="1">
        <f t="array" ref="T429">IF(OR(ISBLANK($B429),NOT(ISBLANK(B429))),"",'tracking - Table 2-1-2'!E$66)</f>
      </c>
      <c r="U429" t="str" s="969" cm="1">
        <f t="array" ref="U429">IF(OR(ISBLANK($B429),ISBLANK('tracking - Table 2-1-2'!A$1)),"",'tracking - Table 2-1-2'!F$66)</f>
      </c>
    </row>
    <row r="430" ht="8.75" customHeight="1" hidden="1">
      <c r="A430" s="960">
        <v>44769</v>
      </c>
      <c r="B430" s="356"/>
      <c r="C430" t="str" s="352" cm="1">
        <f t="array" ref="C430">IF(ISBLANK(B430),"",B430*2.2046226218)</f>
      </c>
      <c r="D430" t="str" s="964" cm="1">
        <f t="array" ref="D430">IF(ISBLANK(B430),"",AVERAGE(B424:B430))</f>
      </c>
      <c r="E430" t="str" s="964" cm="1">
        <f t="array" ref="E430">IF(ISBLANK(B430),"",AVERAGE(B417:B430))</f>
      </c>
      <c r="F430" t="str" s="964" cm="1">
        <f t="array" ref="F430">IF(ISBLANK(B430),"",AVERAGE(B401:B430))</f>
      </c>
      <c r="G430" s="964"/>
      <c r="H430" s="964"/>
      <c r="I430" s="964"/>
      <c r="J430" s="964"/>
      <c r="K430" s="964"/>
      <c r="L430" s="964"/>
      <c r="M430" s="964"/>
      <c r="N430" s="964"/>
      <c r="O430" s="964"/>
      <c r="P430" s="964"/>
      <c r="Q430" s="962"/>
      <c r="R430" t="str" s="964" cm="1">
        <f t="array" ref="R430">IF(OR(ISBLANK($B430),NOT(ISBLANK(B430))),"",'tracking - Table 2-1-2'!C$66)</f>
      </c>
      <c r="S430" t="str" s="964" cm="1">
        <f t="array" ref="S430">IF(OR(ISBLANK($B430),NOT(ISBLANK(B430))),"",'tracking - Table 2-1-2'!D$66)</f>
      </c>
      <c r="T430" t="str" s="964" cm="1">
        <f t="array" ref="T430">IF(OR(ISBLANK($B430),NOT(ISBLANK(B430))),"",'tracking - Table 2-1-2'!E$66)</f>
      </c>
      <c r="U430" t="str" s="969" cm="1">
        <f t="array" ref="U430">IF(OR(ISBLANK($B430),ISBLANK('tracking - Table 2-1-2'!A$1)),"",'tracking - Table 2-1-2'!F$66)</f>
      </c>
    </row>
    <row r="431" ht="8.75" customHeight="1" hidden="1">
      <c r="A431" s="960">
        <v>44770</v>
      </c>
      <c r="B431" s="961">
        <v>74.95</v>
      </c>
      <c r="C431" s="965" cm="1">
        <f t="array" ref="C431">IF(ISBLANK(B431),"",B431*2.2046226218)</f>
        <v>165.236465503910</v>
      </c>
      <c r="D431" s="962" cm="1">
        <f t="array" ref="D431">IF(ISBLANK(B431),"",AVERAGE(B425:B431))</f>
        <v>74.2833333333333</v>
      </c>
      <c r="E431" s="962" cm="1">
        <f t="array" ref="E431">IF(ISBLANK(B431),"",AVERAGE(B418:B431))</f>
        <v>74.3153846153846</v>
      </c>
      <c r="F431" s="962" cm="1">
        <f t="array" ref="F431">IF(ISBLANK(B431),"",AVERAGE(B402:B431))</f>
        <v>74.3517857142857</v>
      </c>
      <c r="G431" s="964"/>
      <c r="H431" s="964"/>
      <c r="I431" s="964"/>
      <c r="J431" s="964"/>
      <c r="K431" s="964"/>
      <c r="L431" s="964"/>
      <c r="M431" s="964"/>
      <c r="N431" s="964"/>
      <c r="O431" s="964"/>
      <c r="P431" s="964"/>
      <c r="Q431" s="962"/>
      <c r="R431" t="str" s="964" cm="1">
        <f t="array" ref="R431">IF(OR(ISBLANK($B431),NOT(ISBLANK(B431))),"",'tracking - Table 2-1-2'!C$66)</f>
      </c>
      <c r="S431" t="str" s="964" cm="1">
        <f t="array" ref="S431">IF(OR(ISBLANK($B431),NOT(ISBLANK(B431))),"",'tracking - Table 2-1-2'!D$66)</f>
      </c>
      <c r="T431" t="str" s="964" cm="1">
        <f t="array" ref="T431">IF(OR(ISBLANK($B431),NOT(ISBLANK(B431))),"",'tracking - Table 2-1-2'!E$66)</f>
      </c>
      <c r="U431" t="str" s="969" cm="1">
        <f t="array" ref="U431">IF(OR(ISBLANK($B431),ISBLANK('tracking - Table 2-1-2'!A$1)),"",'tracking - Table 2-1-2'!F$66)</f>
      </c>
    </row>
    <row r="432" ht="8.75" customHeight="1" hidden="1">
      <c r="A432" s="960">
        <v>44771</v>
      </c>
      <c r="B432" s="961">
        <v>75.90000000000001</v>
      </c>
      <c r="C432" s="965" cm="1">
        <f t="array" ref="C432">IF(ISBLANK(B432),"",B432*2.2046226218)</f>
        <v>167.330856994620</v>
      </c>
      <c r="D432" s="962" cm="1">
        <f t="array" ref="D432">IF(ISBLANK(B432),"",AVERAGE(B426:B432))</f>
        <v>74.5916666666667</v>
      </c>
      <c r="E432" s="962" cm="1">
        <f t="array" ref="E432">IF(ISBLANK(B432),"",AVERAGE(B419:B432))</f>
        <v>74.42307692307691</v>
      </c>
      <c r="F432" s="962" cm="1">
        <f t="array" ref="F432">IF(ISBLANK(B432),"",AVERAGE(B403:B432))</f>
        <v>74.34999999999999</v>
      </c>
      <c r="G432" s="964"/>
      <c r="H432" s="964"/>
      <c r="I432" s="964"/>
      <c r="J432" s="964"/>
      <c r="K432" s="964"/>
      <c r="L432" s="964"/>
      <c r="M432" s="964"/>
      <c r="N432" s="964"/>
      <c r="O432" s="964"/>
      <c r="P432" s="964"/>
      <c r="Q432" s="962"/>
      <c r="R432" t="str" s="964" cm="1">
        <f t="array" ref="R432">IF(OR(ISBLANK($B432),NOT(ISBLANK(B432))),"",'tracking - Table 2-1-2'!C$66)</f>
      </c>
      <c r="S432" t="str" s="964" cm="1">
        <f t="array" ref="S432">IF(OR(ISBLANK($B432),NOT(ISBLANK(B432))),"",'tracking - Table 2-1-2'!D$66)</f>
      </c>
      <c r="T432" t="str" s="964" cm="1">
        <f t="array" ref="T432">IF(OR(ISBLANK($B432),NOT(ISBLANK(B432))),"",'tracking - Table 2-1-2'!E$66)</f>
      </c>
      <c r="U432" t="str" s="969" cm="1">
        <f t="array" ref="U432">IF(OR(ISBLANK($B432),ISBLANK('tracking - Table 2-1-2'!A$1)),"",'tracking - Table 2-1-2'!F$66)</f>
      </c>
    </row>
    <row r="433" ht="8.75" customHeight="1" hidden="1">
      <c r="A433" s="960">
        <v>44772</v>
      </c>
      <c r="B433" s="961">
        <v>75.90000000000001</v>
      </c>
      <c r="C433" s="965" cm="1">
        <f t="array" ref="C433">IF(ISBLANK(B433),"",B433*2.2046226218)</f>
        <v>167.330856994620</v>
      </c>
      <c r="D433" s="962" cm="1">
        <f t="array" ref="D433">IF(ISBLANK(B433),"",AVERAGE(B427:B433))</f>
        <v>74.875</v>
      </c>
      <c r="E433" s="962" cm="1">
        <f t="array" ref="E433">IF(ISBLANK(B433),"",AVERAGE(B420:B433))</f>
        <v>74.58076923076921</v>
      </c>
      <c r="F433" s="962" cm="1">
        <f t="array" ref="F433">IF(ISBLANK(B433),"",AVERAGE(B404:B433))</f>
        <v>74.375</v>
      </c>
      <c r="G433" s="964"/>
      <c r="H433" s="964"/>
      <c r="I433" s="964"/>
      <c r="J433" s="964"/>
      <c r="K433" s="964"/>
      <c r="L433" s="964"/>
      <c r="M433" s="964"/>
      <c r="N433" s="964"/>
      <c r="O433" s="964"/>
      <c r="P433" s="964"/>
      <c r="Q433" s="962"/>
      <c r="R433" t="str" s="964" cm="1">
        <f t="array" ref="R433">IF(OR(ISBLANK($B433),NOT(ISBLANK(B433))),"",'tracking - Table 2-1-2'!C$66)</f>
      </c>
      <c r="S433" t="str" s="964" cm="1">
        <f t="array" ref="S433">IF(OR(ISBLANK($B433),NOT(ISBLANK(B433))),"",'tracking - Table 2-1-2'!D$66)</f>
      </c>
      <c r="T433" t="str" s="964" cm="1">
        <f t="array" ref="T433">IF(OR(ISBLANK($B433),NOT(ISBLANK(B433))),"",'tracking - Table 2-1-2'!E$66)</f>
      </c>
      <c r="U433" t="str" s="969" cm="1">
        <f t="array" ref="U433">IF(OR(ISBLANK($B433),ISBLANK('tracking - Table 2-1-2'!A$1)),"",'tracking - Table 2-1-2'!F$66)</f>
      </c>
    </row>
    <row r="434" ht="8.75" customHeight="1" hidden="1">
      <c r="A434" s="960">
        <v>44773</v>
      </c>
      <c r="B434" s="961">
        <v>76.09999999999999</v>
      </c>
      <c r="C434" s="965" cm="1">
        <f t="array" ref="C434">IF(ISBLANK(B434),"",B434*2.2046226218)</f>
        <v>167.771781518980</v>
      </c>
      <c r="D434" s="962" cm="1">
        <f t="array" ref="D434">IF(ISBLANK(B434),"",AVERAGE(B428:B434))</f>
        <v>75.19166666666671</v>
      </c>
      <c r="E434" s="962" cm="1">
        <f t="array" ref="E434">IF(ISBLANK(B434),"",AVERAGE(B421:B434))</f>
        <v>74.7</v>
      </c>
      <c r="F434" s="962" cm="1">
        <f t="array" ref="F434">IF(ISBLANK(B434),"",AVERAGE(B405:B434))</f>
        <v>74.4071428571429</v>
      </c>
      <c r="G434" s="964"/>
      <c r="H434" s="964"/>
      <c r="I434" s="964"/>
      <c r="J434" s="964"/>
      <c r="K434" s="964"/>
      <c r="L434" s="964"/>
      <c r="M434" s="964"/>
      <c r="N434" s="964"/>
      <c r="O434" s="964"/>
      <c r="P434" s="964"/>
      <c r="Q434" s="962"/>
      <c r="R434" t="str" s="964" cm="1">
        <f t="array" ref="R434">IF(OR(ISBLANK($B434),NOT(ISBLANK(B434))),"",'tracking - Table 2-1-2'!C$66)</f>
      </c>
      <c r="S434" t="str" s="964" cm="1">
        <f t="array" ref="S434">IF(OR(ISBLANK($B434),NOT(ISBLANK(B434))),"",'tracking - Table 2-1-2'!D$66)</f>
      </c>
      <c r="T434" t="str" s="964" cm="1">
        <f t="array" ref="T434">IF(OR(ISBLANK($B434),NOT(ISBLANK(B434))),"",'tracking - Table 2-1-2'!E$66)</f>
      </c>
      <c r="U434" t="str" s="969" cm="1">
        <f t="array" ref="U434">IF(OR(ISBLANK($B434),ISBLANK('tracking - Table 2-1-2'!A$1)),"",'tracking - Table 2-1-2'!F$66)</f>
      </c>
    </row>
    <row r="435" ht="8.75" customHeight="1" hidden="1">
      <c r="A435" s="960">
        <v>44774</v>
      </c>
      <c r="B435" s="961">
        <v>75.59999999999999</v>
      </c>
      <c r="C435" s="965" cm="1">
        <f t="array" ref="C435">IF(ISBLANK(B435),"",B435*2.2046226218)</f>
        <v>166.669470208080</v>
      </c>
      <c r="D435" s="962" cm="1">
        <f t="array" ref="D435">IF(ISBLANK(B435),"",AVERAGE(B429:B435))</f>
        <v>75.43333333333329</v>
      </c>
      <c r="E435" s="962" cm="1">
        <f t="array" ref="E435">IF(ISBLANK(B435),"",AVERAGE(B422:B435))</f>
        <v>74.80769230769231</v>
      </c>
      <c r="F435" s="962" cm="1">
        <f t="array" ref="F435">IF(ISBLANK(B435),"",AVERAGE(B406:B435))</f>
        <v>74.4285714285714</v>
      </c>
      <c r="G435" s="964"/>
      <c r="H435" s="964"/>
      <c r="I435" s="964"/>
      <c r="J435" s="964"/>
      <c r="K435" s="964"/>
      <c r="L435" s="964"/>
      <c r="M435" s="964"/>
      <c r="N435" s="964"/>
      <c r="O435" s="964"/>
      <c r="P435" s="964"/>
      <c r="Q435" s="962"/>
      <c r="R435" t="str" s="964" cm="1">
        <f t="array" ref="R435">IF(OR(ISBLANK($B435),NOT(ISBLANK(B435))),"",'tracking - Table 2-1-2'!C$66)</f>
      </c>
      <c r="S435" t="str" s="964" cm="1">
        <f t="array" ref="S435">IF(OR(ISBLANK($B435),NOT(ISBLANK(B435))),"",'tracking - Table 2-1-2'!D$66)</f>
      </c>
      <c r="T435" t="str" s="964" cm="1">
        <f t="array" ref="T435">IF(OR(ISBLANK($B435),NOT(ISBLANK(B435))),"",'tracking - Table 2-1-2'!E$66)</f>
      </c>
      <c r="U435" t="str" s="969" cm="1">
        <f t="array" ref="U435">IF(OR(ISBLANK($B435),ISBLANK('tracking - Table 2-1-2'!A$1)),"",'tracking - Table 2-1-2'!F$66)</f>
      </c>
    </row>
    <row r="436" ht="8.75" customHeight="1" hidden="1">
      <c r="A436" s="960">
        <v>44775</v>
      </c>
      <c r="B436" s="961">
        <v>75.3</v>
      </c>
      <c r="C436" s="965" cm="1">
        <f t="array" ref="C436">IF(ISBLANK(B436),"",B436*2.2046226218)</f>
        <v>166.008083421540</v>
      </c>
      <c r="D436" s="962" cm="1">
        <f t="array" ref="D436">IF(ISBLANK(B436),"",AVERAGE(B430:B436))</f>
        <v>75.625</v>
      </c>
      <c r="E436" s="962" cm="1">
        <f t="array" ref="E436">IF(ISBLANK(B436),"",AVERAGE(B423:B436))</f>
        <v>74.8923076923077</v>
      </c>
      <c r="F436" s="962" cm="1">
        <f t="array" ref="F436">IF(ISBLANK(B436),"",AVERAGE(B407:B436))</f>
        <v>74.46428571428569</v>
      </c>
      <c r="G436" s="964"/>
      <c r="H436" s="964"/>
      <c r="I436" s="964"/>
      <c r="J436" s="964"/>
      <c r="K436" s="964"/>
      <c r="L436" s="964"/>
      <c r="M436" s="964"/>
      <c r="N436" s="964"/>
      <c r="O436" s="964"/>
      <c r="P436" s="964"/>
      <c r="Q436" s="962"/>
      <c r="R436" t="str" s="964" cm="1">
        <f t="array" ref="R436">IF(OR(ISBLANK($B436),NOT(ISBLANK(B436))),"",'tracking - Table 2-1-2'!C$66)</f>
      </c>
      <c r="S436" t="str" s="964" cm="1">
        <f t="array" ref="S436">IF(OR(ISBLANK($B436),NOT(ISBLANK(B436))),"",'tracking - Table 2-1-2'!D$66)</f>
      </c>
      <c r="T436" t="str" s="964" cm="1">
        <f t="array" ref="T436">IF(OR(ISBLANK($B436),NOT(ISBLANK(B436))),"",'tracking - Table 2-1-2'!E$66)</f>
      </c>
      <c r="U436" t="str" s="969" cm="1">
        <f t="array" ref="U436">IF(OR(ISBLANK($B436),ISBLANK('tracking - Table 2-1-2'!A$1)),"",'tracking - Table 2-1-2'!F$66)</f>
      </c>
    </row>
    <row r="437" ht="8.75" customHeight="1" hidden="1">
      <c r="A437" s="960">
        <v>44776</v>
      </c>
      <c r="B437" s="961">
        <v>74.90000000000001</v>
      </c>
      <c r="C437" s="965" cm="1">
        <f t="array" ref="C437">IF(ISBLANK(B437),"",B437*2.2046226218)</f>
        <v>165.126234372820</v>
      </c>
      <c r="D437" s="962" cm="1">
        <f t="array" ref="D437">IF(ISBLANK(B437),"",AVERAGE(B431:B437))</f>
        <v>75.5214285714286</v>
      </c>
      <c r="E437" s="962" cm="1">
        <f t="array" ref="E437">IF(ISBLANK(B437),"",AVERAGE(B424:B437))</f>
        <v>74.91923076923079</v>
      </c>
      <c r="F437" s="962" cm="1">
        <f t="array" ref="F437">IF(ISBLANK(B437),"",AVERAGE(B408:B437))</f>
        <v>74.48571428571429</v>
      </c>
      <c r="G437" s="964"/>
      <c r="H437" s="964"/>
      <c r="I437" s="964"/>
      <c r="J437" s="964"/>
      <c r="K437" s="964"/>
      <c r="L437" s="964"/>
      <c r="M437" s="964"/>
      <c r="N437" s="964"/>
      <c r="O437" s="964"/>
      <c r="P437" s="964"/>
      <c r="Q437" s="962"/>
      <c r="R437" t="str" s="964" cm="1">
        <f t="array" ref="R437">IF(OR(ISBLANK($B437),NOT(ISBLANK(B437))),"",'tracking - Table 2-1-2'!C$66)</f>
      </c>
      <c r="S437" t="str" s="964" cm="1">
        <f t="array" ref="S437">IF(OR(ISBLANK($B437),NOT(ISBLANK(B437))),"",'tracking - Table 2-1-2'!D$66)</f>
      </c>
      <c r="T437" t="str" s="964" cm="1">
        <f t="array" ref="T437">IF(OR(ISBLANK($B437),NOT(ISBLANK(B437))),"",'tracking - Table 2-1-2'!E$66)</f>
      </c>
      <c r="U437" t="str" s="969" cm="1">
        <f t="array" ref="U437">IF(OR(ISBLANK($B437),ISBLANK('tracking - Table 2-1-2'!A$1)),"",'tracking - Table 2-1-2'!F$66)</f>
      </c>
    </row>
    <row r="438" ht="8.75" customHeight="1" hidden="1">
      <c r="A438" s="960">
        <v>44777</v>
      </c>
      <c r="B438" s="961">
        <v>75.55</v>
      </c>
      <c r="C438" s="965" cm="1">
        <f t="array" ref="C438">IF(ISBLANK(B438),"",B438*2.2046226218)</f>
        <v>166.559239076990</v>
      </c>
      <c r="D438" s="962" cm="1">
        <f t="array" ref="D438">IF(ISBLANK(B438),"",AVERAGE(B432:B438))</f>
        <v>75.6071428571429</v>
      </c>
      <c r="E438" s="962" cm="1">
        <f t="array" ref="E438">IF(ISBLANK(B438),"",AVERAGE(B425:B438))</f>
        <v>74.9961538461538</v>
      </c>
      <c r="F438" s="962" cm="1">
        <f t="array" ref="F438">IF(ISBLANK(B438),"",AVERAGE(B409:B438))</f>
        <v>74.5224137931034</v>
      </c>
      <c r="G438" s="964"/>
      <c r="H438" s="964"/>
      <c r="I438" s="964"/>
      <c r="J438" s="964"/>
      <c r="K438" s="964"/>
      <c r="L438" s="964"/>
      <c r="M438" s="964"/>
      <c r="N438" s="964"/>
      <c r="O438" s="964"/>
      <c r="P438" s="964"/>
      <c r="Q438" s="962"/>
      <c r="R438" t="str" s="964" cm="1">
        <f t="array" ref="R438">IF(OR(ISBLANK($B438),NOT(ISBLANK(B438))),"",'tracking - Table 2-1-2'!C$66)</f>
      </c>
      <c r="S438" t="str" s="964" cm="1">
        <f t="array" ref="S438">IF(OR(ISBLANK($B438),NOT(ISBLANK(B438))),"",'tracking - Table 2-1-2'!D$66)</f>
      </c>
      <c r="T438" t="str" s="964" cm="1">
        <f t="array" ref="T438">IF(OR(ISBLANK($B438),NOT(ISBLANK(B438))),"",'tracking - Table 2-1-2'!E$66)</f>
      </c>
      <c r="U438" t="str" s="969" cm="1">
        <f t="array" ref="U438">IF(OR(ISBLANK($B438),ISBLANK('tracking - Table 2-1-2'!A$1)),"",'tracking - Table 2-1-2'!F$66)</f>
      </c>
    </row>
    <row r="439" ht="8.75" customHeight="1" hidden="1">
      <c r="A439" s="960">
        <v>44778</v>
      </c>
      <c r="B439" s="961">
        <v>76.7</v>
      </c>
      <c r="C439" s="965" cm="1">
        <f t="array" ref="C439">IF(ISBLANK(B439),"",B439*2.2046226218)</f>
        <v>169.094555092060</v>
      </c>
      <c r="D439" s="962" cm="1">
        <f t="array" ref="D439">IF(ISBLANK(B439),"",AVERAGE(B433:B439))</f>
        <v>75.7214285714286</v>
      </c>
      <c r="E439" s="962" cm="1">
        <f t="array" ref="E439">IF(ISBLANK(B439),"",AVERAGE(B426:B439))</f>
        <v>75.2</v>
      </c>
      <c r="F439" s="962" cm="1">
        <f t="array" ref="F439">IF(ISBLANK(B439),"",AVERAGE(B410:B439))</f>
        <v>74.6258620689655</v>
      </c>
      <c r="G439" s="964"/>
      <c r="H439" s="964"/>
      <c r="I439" s="964"/>
      <c r="J439" s="964"/>
      <c r="K439" s="964"/>
      <c r="L439" s="964"/>
      <c r="M439" s="964"/>
      <c r="N439" s="964"/>
      <c r="O439" s="964"/>
      <c r="P439" s="964"/>
      <c r="Q439" s="962"/>
      <c r="R439" t="str" s="964" cm="1">
        <f t="array" ref="R439">IF(OR(ISBLANK($B439),NOT(ISBLANK(B439))),"",'tracking - Table 2-1-2'!C$66)</f>
      </c>
      <c r="S439" t="str" s="964" cm="1">
        <f t="array" ref="S439">IF(OR(ISBLANK($B439),NOT(ISBLANK(B439))),"",'tracking - Table 2-1-2'!D$66)</f>
      </c>
      <c r="T439" t="str" s="964" cm="1">
        <f t="array" ref="T439">IF(OR(ISBLANK($B439),NOT(ISBLANK(B439))),"",'tracking - Table 2-1-2'!E$66)</f>
      </c>
      <c r="U439" t="str" s="969" cm="1">
        <f t="array" ref="U439">IF(OR(ISBLANK($B439),ISBLANK('tracking - Table 2-1-2'!A$1)),"",'tracking - Table 2-1-2'!F$66)</f>
      </c>
    </row>
    <row r="440" ht="8.75" customHeight="1" hidden="1">
      <c r="A440" s="960">
        <v>44779</v>
      </c>
      <c r="B440" s="961">
        <v>77.59999999999999</v>
      </c>
      <c r="C440" s="965" cm="1">
        <f t="array" ref="C440">IF(ISBLANK(B440),"",B440*2.2046226218)</f>
        <v>171.078715451680</v>
      </c>
      <c r="D440" s="962" cm="1">
        <f t="array" ref="D440">IF(ISBLANK(B440),"",AVERAGE(B434:B440))</f>
        <v>75.96428571428569</v>
      </c>
      <c r="E440" s="962" cm="1">
        <f t="array" ref="E440">IF(ISBLANK(B440),"",AVERAGE(B427:B440))</f>
        <v>75.4615384615385</v>
      </c>
      <c r="F440" s="962" cm="1">
        <f t="array" ref="F440">IF(ISBLANK(B440),"",AVERAGE(B411:B440))</f>
        <v>74.7396551724138</v>
      </c>
      <c r="G440" s="964"/>
      <c r="H440" s="964"/>
      <c r="I440" s="964"/>
      <c r="J440" s="964"/>
      <c r="K440" s="964"/>
      <c r="L440" s="964"/>
      <c r="M440" s="964"/>
      <c r="N440" s="964"/>
      <c r="O440" s="964"/>
      <c r="P440" s="964"/>
      <c r="Q440" s="962"/>
      <c r="R440" t="str" s="964" cm="1">
        <f t="array" ref="R440">IF(OR(ISBLANK($B440),NOT(ISBLANK(B440))),"",'tracking - Table 2-1-2'!C$66)</f>
      </c>
      <c r="S440" t="str" s="964" cm="1">
        <f t="array" ref="S440">IF(OR(ISBLANK($B440),NOT(ISBLANK(B440))),"",'tracking - Table 2-1-2'!D$66)</f>
      </c>
      <c r="T440" t="str" s="964" cm="1">
        <f t="array" ref="T440">IF(OR(ISBLANK($B440),NOT(ISBLANK(B440))),"",'tracking - Table 2-1-2'!E$66)</f>
      </c>
      <c r="U440" t="str" s="969" cm="1">
        <f t="array" ref="U440">IF(OR(ISBLANK($B440),ISBLANK('tracking - Table 2-1-2'!A$1)),"",'tracking - Table 2-1-2'!F$66)</f>
      </c>
    </row>
    <row r="441" ht="8.75" customHeight="1" hidden="1">
      <c r="A441" s="960">
        <v>44780</v>
      </c>
      <c r="B441" s="961">
        <v>77.2</v>
      </c>
      <c r="C441" s="965" cm="1">
        <f t="array" ref="C441">IF(ISBLANK(B441),"",B441*2.2046226218)</f>
        <v>170.196866402960</v>
      </c>
      <c r="D441" s="962" cm="1">
        <f t="array" ref="D441">IF(ISBLANK(B441),"",AVERAGE(B435:B441))</f>
        <v>76.12142857142859</v>
      </c>
      <c r="E441" s="962" cm="1">
        <f t="array" ref="E441">IF(ISBLANK(B441),"",AVERAGE(B428:B441))</f>
        <v>75.69230769230769</v>
      </c>
      <c r="F441" s="962" cm="1">
        <f t="array" ref="F441">IF(ISBLANK(B441),"",AVERAGE(B412:B441))</f>
        <v>74.8603448275862</v>
      </c>
      <c r="G441" s="964"/>
      <c r="H441" s="964"/>
      <c r="I441" s="964"/>
      <c r="J441" s="964"/>
      <c r="K441" s="964"/>
      <c r="L441" s="964"/>
      <c r="M441" s="964"/>
      <c r="N441" s="964"/>
      <c r="O441" s="964"/>
      <c r="P441" s="964"/>
      <c r="Q441" s="962"/>
      <c r="R441" t="str" s="964" cm="1">
        <f t="array" ref="R441">IF(OR(ISBLANK($B441),NOT(ISBLANK(B441))),"",'tracking - Table 2-1-2'!C$66)</f>
      </c>
      <c r="S441" t="str" s="964" cm="1">
        <f t="array" ref="S441">IF(OR(ISBLANK($B441),NOT(ISBLANK(B441))),"",'tracking - Table 2-1-2'!D$66)</f>
      </c>
      <c r="T441" t="str" s="964" cm="1">
        <f t="array" ref="T441">IF(OR(ISBLANK($B441),NOT(ISBLANK(B441))),"",'tracking - Table 2-1-2'!E$66)</f>
      </c>
      <c r="U441" t="str" s="969" cm="1">
        <f t="array" ref="U441">IF(OR(ISBLANK($B441),ISBLANK('tracking - Table 2-1-2'!A$1)),"",'tracking - Table 2-1-2'!F$66)</f>
      </c>
    </row>
    <row r="442" ht="8.75" customHeight="1" hidden="1">
      <c r="A442" s="960">
        <v>44781</v>
      </c>
      <c r="B442" s="961">
        <v>77.15000000000001</v>
      </c>
      <c r="C442" s="965" cm="1">
        <f t="array" ref="C442">IF(ISBLANK(B442),"",B442*2.2046226218)</f>
        <v>170.086635271870</v>
      </c>
      <c r="D442" s="962" cm="1">
        <f t="array" ref="D442">IF(ISBLANK(B442),"",AVERAGE(B436:B442))</f>
        <v>76.3428571428571</v>
      </c>
      <c r="E442" s="962" cm="1">
        <f t="array" ref="E442">IF(ISBLANK(B442),"",AVERAGE(B429:B442))</f>
        <v>75.92307692307691</v>
      </c>
      <c r="F442" s="962" cm="1">
        <f t="array" ref="F442">IF(ISBLANK(B442),"",AVERAGE(B413:B442))</f>
        <v>74.9896551724138</v>
      </c>
      <c r="G442" s="964"/>
      <c r="H442" s="964"/>
      <c r="I442" s="964"/>
      <c r="J442" s="964"/>
      <c r="K442" s="964"/>
      <c r="L442" s="964"/>
      <c r="M442" s="964"/>
      <c r="N442" s="964"/>
      <c r="O442" s="964"/>
      <c r="P442" s="964"/>
      <c r="Q442" s="962"/>
      <c r="R442" t="str" s="964" cm="1">
        <f t="array" ref="R442">IF(OR(ISBLANK($B442),NOT(ISBLANK(B442))),"",'tracking - Table 2-1-2'!C$66)</f>
      </c>
      <c r="S442" t="str" s="964" cm="1">
        <f t="array" ref="S442">IF(OR(ISBLANK($B442),NOT(ISBLANK(B442))),"",'tracking - Table 2-1-2'!D$66)</f>
      </c>
      <c r="T442" t="str" s="964" cm="1">
        <f t="array" ref="T442">IF(OR(ISBLANK($B442),NOT(ISBLANK(B442))),"",'tracking - Table 2-1-2'!E$66)</f>
      </c>
      <c r="U442" t="str" s="969" cm="1">
        <f t="array" ref="U442">IF(OR(ISBLANK($B442),ISBLANK('tracking - Table 2-1-2'!A$1)),"",'tracking - Table 2-1-2'!F$66)</f>
      </c>
    </row>
    <row r="443" ht="8.75" customHeight="1" hidden="1">
      <c r="A443" s="960">
        <v>44782</v>
      </c>
      <c r="B443" s="961">
        <v>75.65000000000001</v>
      </c>
      <c r="C443" s="965" cm="1">
        <f t="array" ref="C443">IF(ISBLANK(B443),"",B443*2.2046226218)</f>
        <v>166.779701339170</v>
      </c>
      <c r="D443" s="962" cm="1">
        <f t="array" ref="D443">IF(ISBLANK(B443),"",AVERAGE(B437:B443))</f>
        <v>76.3928571428571</v>
      </c>
      <c r="E443" s="962" cm="1">
        <f t="array" ref="E443">IF(ISBLANK(B443),"",AVERAGE(B430:B443))</f>
        <v>76.0384615384615</v>
      </c>
      <c r="F443" s="962" cm="1">
        <f t="array" ref="F443">IF(ISBLANK(B443),"",AVERAGE(B414:B443))</f>
        <v>75.05</v>
      </c>
      <c r="G443" s="964"/>
      <c r="H443" s="964"/>
      <c r="I443" s="964"/>
      <c r="J443" s="964"/>
      <c r="K443" s="964"/>
      <c r="L443" s="964"/>
      <c r="M443" s="964"/>
      <c r="N443" s="964"/>
      <c r="O443" s="964"/>
      <c r="P443" s="964"/>
      <c r="Q443" s="962"/>
      <c r="R443" t="str" s="964" cm="1">
        <f t="array" ref="R443">IF(OR(ISBLANK($B443),NOT(ISBLANK(B443))),"",'tracking - Table 2-1-2'!C$66)</f>
      </c>
      <c r="S443" t="str" s="964" cm="1">
        <f t="array" ref="S443">IF(OR(ISBLANK($B443),NOT(ISBLANK(B443))),"",'tracking - Table 2-1-2'!D$66)</f>
      </c>
      <c r="T443" t="str" s="964" cm="1">
        <f t="array" ref="T443">IF(OR(ISBLANK($B443),NOT(ISBLANK(B443))),"",'tracking - Table 2-1-2'!E$66)</f>
      </c>
      <c r="U443" t="str" s="969" cm="1">
        <f t="array" ref="U443">IF(OR(ISBLANK($B443),ISBLANK('tracking - Table 2-1-2'!A$1)),"",'tracking - Table 2-1-2'!F$66)</f>
      </c>
    </row>
    <row r="444" ht="8.75" customHeight="1" hidden="1">
      <c r="A444" s="960">
        <v>44783</v>
      </c>
      <c r="B444" s="961">
        <v>75.5</v>
      </c>
      <c r="C444" s="965" cm="1">
        <f t="array" ref="C444">IF(ISBLANK(B444),"",B444*2.2046226218)</f>
        <v>166.4490079459</v>
      </c>
      <c r="D444" s="962" cm="1">
        <f t="array" ref="D444">IF(ISBLANK(B444),"",AVERAGE(B438:B444))</f>
        <v>76.4785714285714</v>
      </c>
      <c r="E444" s="962" cm="1">
        <f t="array" ref="E444">IF(ISBLANK(B444),"",AVERAGE(B431:B444))</f>
        <v>76</v>
      </c>
      <c r="F444" s="962" cm="1">
        <f t="array" ref="F444">IF(ISBLANK(B444),"",AVERAGE(B415:B444))</f>
        <v>75.1051724137931</v>
      </c>
      <c r="G444" s="964"/>
      <c r="H444" s="964"/>
      <c r="I444" s="964"/>
      <c r="J444" s="964"/>
      <c r="K444" s="964"/>
      <c r="L444" s="964"/>
      <c r="M444" s="964"/>
      <c r="N444" s="964"/>
      <c r="O444" s="964"/>
      <c r="P444" s="964"/>
      <c r="Q444" s="962"/>
      <c r="R444" t="str" s="964" cm="1">
        <f t="array" ref="R444">IF(OR(ISBLANK($B444),NOT(ISBLANK(B444))),"",'tracking - Table 2-1-2'!C$66)</f>
      </c>
      <c r="S444" t="str" s="964" cm="1">
        <f t="array" ref="S444">IF(OR(ISBLANK($B444),NOT(ISBLANK(B444))),"",'tracking - Table 2-1-2'!D$66)</f>
      </c>
      <c r="T444" t="str" s="964" cm="1">
        <f t="array" ref="T444">IF(OR(ISBLANK($B444),NOT(ISBLANK(B444))),"",'tracking - Table 2-1-2'!E$66)</f>
      </c>
      <c r="U444" t="str" s="969" cm="1">
        <f t="array" ref="U444">IF(OR(ISBLANK($B444),ISBLANK('tracking - Table 2-1-2'!A$1)),"",'tracking - Table 2-1-2'!F$66)</f>
      </c>
    </row>
    <row r="445" ht="8.75" customHeight="1" hidden="1">
      <c r="A445" s="960">
        <v>44784</v>
      </c>
      <c r="B445" s="961">
        <v>75.45</v>
      </c>
      <c r="C445" s="965" cm="1">
        <f t="array" ref="C445">IF(ISBLANK(B445),"",B445*2.2046226218)</f>
        <v>166.338776814810</v>
      </c>
      <c r="D445" s="962" cm="1">
        <f t="array" ref="D445">IF(ISBLANK(B445),"",AVERAGE(B439:B445))</f>
        <v>76.46428571428569</v>
      </c>
      <c r="E445" s="962" cm="1">
        <f t="array" ref="E445">IF(ISBLANK(B445),"",AVERAGE(B432:B445))</f>
        <v>76.03571428571431</v>
      </c>
      <c r="F445" s="962" cm="1">
        <f t="array" ref="F445">IF(ISBLANK(B445),"",AVERAGE(B416:B445))</f>
        <v>75.1724137931034</v>
      </c>
      <c r="G445" s="964"/>
      <c r="H445" s="964"/>
      <c r="I445" s="964"/>
      <c r="J445" s="964"/>
      <c r="K445" s="964"/>
      <c r="L445" s="964"/>
      <c r="M445" s="964"/>
      <c r="N445" s="964"/>
      <c r="O445" s="964"/>
      <c r="P445" s="964"/>
      <c r="Q445" s="962"/>
      <c r="R445" t="str" s="964" cm="1">
        <f t="array" ref="R445">IF(OR(ISBLANK($B445),NOT(ISBLANK(B445))),"",'tracking - Table 2-1-2'!C$66)</f>
      </c>
      <c r="S445" t="str" s="964" cm="1">
        <f t="array" ref="S445">IF(OR(ISBLANK($B445),NOT(ISBLANK(B445))),"",'tracking - Table 2-1-2'!D$66)</f>
      </c>
      <c r="T445" t="str" s="964" cm="1">
        <f t="array" ref="T445">IF(OR(ISBLANK($B445),NOT(ISBLANK(B445))),"",'tracking - Table 2-1-2'!E$66)</f>
      </c>
      <c r="U445" t="str" s="969" cm="1">
        <f t="array" ref="U445">IF(OR(ISBLANK($B445),ISBLANK('tracking - Table 2-1-2'!A$1)),"",'tracking - Table 2-1-2'!F$66)</f>
      </c>
    </row>
    <row r="446" ht="8.75" customHeight="1" hidden="1">
      <c r="A446" s="960">
        <v>44785</v>
      </c>
      <c r="B446" s="961">
        <v>76.75</v>
      </c>
      <c r="C446" s="965" cm="1">
        <f t="array" ref="C446">IF(ISBLANK(B446),"",B446*2.2046226218)</f>
        <v>169.204786223150</v>
      </c>
      <c r="D446" s="962" cm="1">
        <f t="array" ref="D446">IF(ISBLANK(B446),"",AVERAGE(B440:B446))</f>
        <v>76.4714285714286</v>
      </c>
      <c r="E446" s="962" cm="1">
        <f t="array" ref="E446">IF(ISBLANK(B446),"",AVERAGE(B433:B446))</f>
        <v>76.0964285714286</v>
      </c>
      <c r="F446" s="962" cm="1">
        <f t="array" ref="F446">IF(ISBLANK(B446),"",AVERAGE(B417:B446))</f>
        <v>75.23620689655171</v>
      </c>
      <c r="G446" s="964"/>
      <c r="H446" s="964"/>
      <c r="I446" s="964"/>
      <c r="J446" s="964"/>
      <c r="K446" s="964"/>
      <c r="L446" s="964"/>
      <c r="M446" s="964"/>
      <c r="N446" s="964"/>
      <c r="O446" s="964"/>
      <c r="P446" s="964"/>
      <c r="Q446" s="962"/>
      <c r="R446" t="str" s="964" cm="1">
        <f t="array" ref="R446">IF(OR(ISBLANK($B446),NOT(ISBLANK(B446))),"",'tracking - Table 2-1-2'!C$66)</f>
      </c>
      <c r="S446" t="str" s="964" cm="1">
        <f t="array" ref="S446">IF(OR(ISBLANK($B446),NOT(ISBLANK(B446))),"",'tracking - Table 2-1-2'!D$66)</f>
      </c>
      <c r="T446" t="str" s="964" cm="1">
        <f t="array" ref="T446">IF(OR(ISBLANK($B446),NOT(ISBLANK(B446))),"",'tracking - Table 2-1-2'!E$66)</f>
      </c>
      <c r="U446" t="str" s="969" cm="1">
        <f t="array" ref="U446">IF(OR(ISBLANK($B446),ISBLANK('tracking - Table 2-1-2'!A$1)),"",'tracking - Table 2-1-2'!F$66)</f>
      </c>
    </row>
    <row r="447" ht="8.75" customHeight="1" hidden="1">
      <c r="A447" s="960">
        <v>44786</v>
      </c>
      <c r="B447" s="961">
        <v>76.59999999999999</v>
      </c>
      <c r="C447" s="965" cm="1">
        <f t="array" ref="C447">IF(ISBLANK(B447),"",B447*2.2046226218)</f>
        <v>168.874092829880</v>
      </c>
      <c r="D447" s="962" cm="1">
        <f t="array" ref="D447">IF(ISBLANK(B447),"",AVERAGE(B441:B447))</f>
        <v>76.32857142857139</v>
      </c>
      <c r="E447" s="962" cm="1">
        <f t="array" ref="E447">IF(ISBLANK(B447),"",AVERAGE(B434:B447))</f>
        <v>76.1464285714286</v>
      </c>
      <c r="F447" s="962" cm="1">
        <f t="array" ref="F447">IF(ISBLANK(B447),"",AVERAGE(B418:B447))</f>
        <v>75.3086206896552</v>
      </c>
      <c r="G447" s="964"/>
      <c r="H447" s="964"/>
      <c r="I447" s="964"/>
      <c r="J447" s="964"/>
      <c r="K447" s="964"/>
      <c r="L447" s="964"/>
      <c r="M447" s="964"/>
      <c r="N447" s="964"/>
      <c r="O447" s="964"/>
      <c r="P447" s="964"/>
      <c r="Q447" s="962"/>
      <c r="R447" t="str" s="964" cm="1">
        <f t="array" ref="R447">IF(OR(ISBLANK($B447),NOT(ISBLANK(B447))),"",'tracking - Table 2-1-2'!C$66)</f>
      </c>
      <c r="S447" t="str" s="964" cm="1">
        <f t="array" ref="S447">IF(OR(ISBLANK($B447),NOT(ISBLANK(B447))),"",'tracking - Table 2-1-2'!D$66)</f>
      </c>
      <c r="T447" t="str" s="964" cm="1">
        <f t="array" ref="T447">IF(OR(ISBLANK($B447),NOT(ISBLANK(B447))),"",'tracking - Table 2-1-2'!E$66)</f>
      </c>
      <c r="U447" t="str" s="969" cm="1">
        <f t="array" ref="U447">IF(OR(ISBLANK($B447),ISBLANK('tracking - Table 2-1-2'!A$1)),"",'tracking - Table 2-1-2'!F$66)</f>
      </c>
    </row>
    <row r="448" ht="8.75" customHeight="1" hidden="1">
      <c r="A448" s="960">
        <v>44787</v>
      </c>
      <c r="B448" s="961">
        <v>76.2</v>
      </c>
      <c r="C448" s="965" cm="1">
        <f t="array" ref="C448">IF(ISBLANK(B448),"",B448*2.2046226218)</f>
        <v>167.992243781160</v>
      </c>
      <c r="D448" s="962" cm="1">
        <f t="array" ref="D448">IF(ISBLANK(B448),"",AVERAGE(B442:B448))</f>
        <v>76.1857142857143</v>
      </c>
      <c r="E448" s="962" cm="1">
        <f t="array" ref="E448">IF(ISBLANK(B448),"",AVERAGE(B435:B448))</f>
        <v>76.1535714285714</v>
      </c>
      <c r="F448" s="962" cm="1">
        <f t="array" ref="F448">IF(ISBLANK(B448),"",AVERAGE(B419:B448))</f>
        <v>75.3672413793103</v>
      </c>
      <c r="G448" s="964"/>
      <c r="H448" s="964"/>
      <c r="I448" s="964"/>
      <c r="J448" s="964"/>
      <c r="K448" s="964"/>
      <c r="L448" s="964"/>
      <c r="M448" s="964"/>
      <c r="N448" s="964"/>
      <c r="O448" s="964"/>
      <c r="P448" s="964"/>
      <c r="Q448" s="962"/>
      <c r="R448" t="str" s="964" cm="1">
        <f t="array" ref="R448">IF(OR(ISBLANK($B448),NOT(ISBLANK(B448))),"",'tracking - Table 2-1-2'!C$66)</f>
      </c>
      <c r="S448" t="str" s="964" cm="1">
        <f t="array" ref="S448">IF(OR(ISBLANK($B448),NOT(ISBLANK(B448))),"",'tracking - Table 2-1-2'!D$66)</f>
      </c>
      <c r="T448" t="str" s="964" cm="1">
        <f t="array" ref="T448">IF(OR(ISBLANK($B448),NOT(ISBLANK(B448))),"",'tracking - Table 2-1-2'!E$66)</f>
      </c>
      <c r="U448" t="str" s="969" cm="1">
        <f t="array" ref="U448">IF(OR(ISBLANK($B448),ISBLANK('tracking - Table 2-1-2'!A$1)),"",'tracking - Table 2-1-2'!F$66)</f>
      </c>
    </row>
    <row r="449" ht="8.75" customHeight="1" hidden="1">
      <c r="A449" s="960">
        <v>44788</v>
      </c>
      <c r="B449" s="961">
        <v>76.55</v>
      </c>
      <c r="C449" s="965" cm="1">
        <f t="array" ref="C449">IF(ISBLANK(B449),"",B449*2.2046226218)</f>
        <v>168.763861698790</v>
      </c>
      <c r="D449" s="962" cm="1">
        <f t="array" ref="D449">IF(ISBLANK(B449),"",AVERAGE(B443:B449))</f>
        <v>76.09999999999999</v>
      </c>
      <c r="E449" s="962" cm="1">
        <f t="array" ref="E449">IF(ISBLANK(B449),"",AVERAGE(B436:B449))</f>
        <v>76.2214285714286</v>
      </c>
      <c r="F449" s="962" cm="1">
        <f t="array" ref="F449">IF(ISBLANK(B449),"",AVERAGE(B420:B449))</f>
        <v>75.4603448275862</v>
      </c>
      <c r="G449" s="964"/>
      <c r="H449" s="964"/>
      <c r="I449" s="964"/>
      <c r="J449" s="964"/>
      <c r="K449" s="964"/>
      <c r="L449" s="964"/>
      <c r="M449" s="964"/>
      <c r="N449" s="964"/>
      <c r="O449" s="964"/>
      <c r="P449" s="964"/>
      <c r="Q449" s="962"/>
      <c r="R449" t="str" s="964" cm="1">
        <f t="array" ref="R449">IF(OR(ISBLANK($B449),NOT(ISBLANK(B449))),"",'tracking - Table 2-1-2'!C$66)</f>
      </c>
      <c r="S449" t="str" s="964" cm="1">
        <f t="array" ref="S449">IF(OR(ISBLANK($B449),NOT(ISBLANK(B449))),"",'tracking - Table 2-1-2'!D$66)</f>
      </c>
      <c r="T449" t="str" s="964" cm="1">
        <f t="array" ref="T449">IF(OR(ISBLANK($B449),NOT(ISBLANK(B449))),"",'tracking - Table 2-1-2'!E$66)</f>
      </c>
      <c r="U449" t="str" s="969" cm="1">
        <f t="array" ref="U449">IF(OR(ISBLANK($B449),ISBLANK('tracking - Table 2-1-2'!A$1)),"",'tracking - Table 2-1-2'!F$66)</f>
      </c>
    </row>
    <row r="450" ht="8.75" customHeight="1" hidden="1">
      <c r="A450" s="960">
        <v>44789</v>
      </c>
      <c r="B450" s="961">
        <v>76.5</v>
      </c>
      <c r="C450" s="965" cm="1">
        <f t="array" ref="C450">IF(ISBLANK(B450),"",B450*2.2046226218)</f>
        <v>168.6536305677</v>
      </c>
      <c r="D450" s="962" cm="1">
        <f t="array" ref="D450">IF(ISBLANK(B450),"",AVERAGE(B444:B450))</f>
        <v>76.2214285714286</v>
      </c>
      <c r="E450" s="962" cm="1">
        <f t="array" ref="E450">IF(ISBLANK(B450),"",AVERAGE(B437:B450))</f>
        <v>76.30714285714291</v>
      </c>
      <c r="F450" s="962" cm="1">
        <f t="array" ref="F450">IF(ISBLANK(B450),"",AVERAGE(B421:B450))</f>
        <v>75.5275862068966</v>
      </c>
      <c r="G450" s="964"/>
      <c r="H450" s="964"/>
      <c r="I450" s="964"/>
      <c r="J450" s="964"/>
      <c r="K450" s="964"/>
      <c r="L450" s="964"/>
      <c r="M450" s="964"/>
      <c r="N450" s="964"/>
      <c r="O450" s="964"/>
      <c r="P450" s="964"/>
      <c r="Q450" s="962"/>
      <c r="R450" t="str" s="964" cm="1">
        <f t="array" ref="R450">IF(OR(ISBLANK($B450),NOT(ISBLANK(B450))),"",'tracking - Table 2-1-2'!C$66)</f>
      </c>
      <c r="S450" t="str" s="964" cm="1">
        <f t="array" ref="S450">IF(OR(ISBLANK($B450),NOT(ISBLANK(B450))),"",'tracking - Table 2-1-2'!D$66)</f>
      </c>
      <c r="T450" t="str" s="964" cm="1">
        <f t="array" ref="T450">IF(OR(ISBLANK($B450),NOT(ISBLANK(B450))),"",'tracking - Table 2-1-2'!E$66)</f>
      </c>
      <c r="U450" t="str" s="969" cm="1">
        <f t="array" ref="U450">IF(OR(ISBLANK($B450),ISBLANK('tracking - Table 2-1-2'!A$1)),"",'tracking - Table 2-1-2'!F$66)</f>
      </c>
    </row>
    <row r="451" ht="8.75" customHeight="1" hidden="1">
      <c r="A451" s="960">
        <v>44790</v>
      </c>
      <c r="B451" s="961">
        <v>76.5</v>
      </c>
      <c r="C451" s="965" cm="1">
        <f t="array" ref="C451">IF(ISBLANK(B451),"",B451*2.2046226218)</f>
        <v>168.6536305677</v>
      </c>
      <c r="D451" s="962" cm="1">
        <f t="array" ref="D451">IF(ISBLANK(B451),"",AVERAGE(B445:B451))</f>
        <v>76.3642857142857</v>
      </c>
      <c r="E451" s="962" cm="1">
        <f t="array" ref="E451">IF(ISBLANK(B451),"",AVERAGE(B438:B451))</f>
        <v>76.42142857142861</v>
      </c>
      <c r="F451" s="962" cm="1">
        <f t="array" ref="F451">IF(ISBLANK(B451),"",AVERAGE(B422:B451))</f>
        <v>75.60689655172411</v>
      </c>
      <c r="G451" s="964"/>
      <c r="H451" s="964"/>
      <c r="I451" s="964"/>
      <c r="J451" s="964"/>
      <c r="K451" s="964"/>
      <c r="L451" s="964"/>
      <c r="M451" s="964"/>
      <c r="N451" s="964"/>
      <c r="O451" s="964"/>
      <c r="P451" s="964"/>
      <c r="Q451" s="962"/>
      <c r="R451" t="str" s="964" cm="1">
        <f t="array" ref="R451">IF(OR(ISBLANK($B451),NOT(ISBLANK(B451))),"",'tracking - Table 2-1-2'!C$66)</f>
      </c>
      <c r="S451" t="str" s="964" cm="1">
        <f t="array" ref="S451">IF(OR(ISBLANK($B451),NOT(ISBLANK(B451))),"",'tracking - Table 2-1-2'!D$66)</f>
      </c>
      <c r="T451" t="str" s="964" cm="1">
        <f t="array" ref="T451">IF(OR(ISBLANK($B451),NOT(ISBLANK(B451))),"",'tracking - Table 2-1-2'!E$66)</f>
      </c>
      <c r="U451" t="str" s="969" cm="1">
        <f t="array" ref="U451">IF(OR(ISBLANK($B451),ISBLANK('tracking - Table 2-1-2'!A$1)),"",'tracking - Table 2-1-2'!F$66)</f>
      </c>
    </row>
    <row r="452" ht="8.75" customHeight="1" hidden="1">
      <c r="A452" s="960">
        <v>44791</v>
      </c>
      <c r="B452" s="961">
        <v>76.75</v>
      </c>
      <c r="C452" s="965" cm="1">
        <f t="array" ref="C452">IF(ISBLANK(B452),"",B452*2.2046226218)</f>
        <v>169.204786223150</v>
      </c>
      <c r="D452" s="962" cm="1">
        <f t="array" ref="D452">IF(ISBLANK(B452),"",AVERAGE(B446:B452))</f>
        <v>76.55</v>
      </c>
      <c r="E452" s="962" cm="1">
        <f t="array" ref="E452">IF(ISBLANK(B452),"",AVERAGE(B439:B452))</f>
        <v>76.5071428571429</v>
      </c>
      <c r="F452" s="962" cm="1">
        <f t="array" ref="F452">IF(ISBLANK(B452),"",AVERAGE(B423:B452))</f>
        <v>75.6948275862069</v>
      </c>
      <c r="G452" s="964"/>
      <c r="H452" s="964"/>
      <c r="I452" s="964"/>
      <c r="J452" s="964"/>
      <c r="K452" s="964"/>
      <c r="L452" s="964"/>
      <c r="M452" s="964"/>
      <c r="N452" s="964"/>
      <c r="O452" s="964"/>
      <c r="P452" s="964"/>
      <c r="Q452" s="962"/>
      <c r="R452" t="str" s="964" cm="1">
        <f t="array" ref="R452">IF(OR(ISBLANK($B452),NOT(ISBLANK(B452))),"",'tracking - Table 2-1-2'!C$66)</f>
      </c>
      <c r="S452" t="str" s="964" cm="1">
        <f t="array" ref="S452">IF(OR(ISBLANK($B452),NOT(ISBLANK(B452))),"",'tracking - Table 2-1-2'!D$66)</f>
      </c>
      <c r="T452" t="str" s="964" cm="1">
        <f t="array" ref="T452">IF(OR(ISBLANK($B452),NOT(ISBLANK(B452))),"",'tracking - Table 2-1-2'!E$66)</f>
      </c>
      <c r="U452" t="str" s="969" cm="1">
        <f t="array" ref="U452">IF(OR(ISBLANK($B452),ISBLANK('tracking - Table 2-1-2'!A$1)),"",'tracking - Table 2-1-2'!F$66)</f>
      </c>
    </row>
    <row r="453" ht="8.75" customHeight="1" hidden="1">
      <c r="A453" s="960">
        <v>44792</v>
      </c>
      <c r="B453" s="961">
        <v>78.2</v>
      </c>
      <c r="C453" s="965" cm="1">
        <f t="array" ref="C453">IF(ISBLANK(B453),"",B453*2.2046226218)</f>
        <v>172.401489024760</v>
      </c>
      <c r="D453" s="962" cm="1">
        <f t="array" ref="D453">IF(ISBLANK(B453),"",AVERAGE(B447:B453))</f>
        <v>76.7571428571429</v>
      </c>
      <c r="E453" s="962" cm="1">
        <f t="array" ref="E453">IF(ISBLANK(B453),"",AVERAGE(B440:B453))</f>
        <v>76.6142857142857</v>
      </c>
      <c r="F453" s="962" cm="1">
        <f t="array" ref="F453">IF(ISBLANK(B453),"",AVERAGE(B424:B453))</f>
        <v>75.8206896551724</v>
      </c>
      <c r="G453" s="964"/>
      <c r="H453" s="964"/>
      <c r="I453" s="964"/>
      <c r="J453" s="964"/>
      <c r="K453" s="964"/>
      <c r="L453" s="964"/>
      <c r="M453" s="964"/>
      <c r="N453" s="964"/>
      <c r="O453" s="964"/>
      <c r="P453" s="964"/>
      <c r="Q453" s="962"/>
      <c r="R453" t="str" s="964" cm="1">
        <f t="array" ref="R453">IF(OR(ISBLANK($B453),NOT(ISBLANK(B453))),"",'tracking - Table 2-1-2'!C$66)</f>
      </c>
      <c r="S453" t="str" s="964" cm="1">
        <f t="array" ref="S453">IF(OR(ISBLANK($B453),NOT(ISBLANK(B453))),"",'tracking - Table 2-1-2'!D$66)</f>
      </c>
      <c r="T453" t="str" s="964" cm="1">
        <f t="array" ref="T453">IF(OR(ISBLANK($B453),NOT(ISBLANK(B453))),"",'tracking - Table 2-1-2'!E$66)</f>
      </c>
      <c r="U453" t="str" s="969" cm="1">
        <f t="array" ref="U453">IF(OR(ISBLANK($B453),ISBLANK('tracking - Table 2-1-2'!A$1)),"",'tracking - Table 2-1-2'!F$66)</f>
      </c>
    </row>
    <row r="454" ht="8.75" customHeight="1" hidden="1">
      <c r="A454" s="960">
        <v>44793</v>
      </c>
      <c r="B454" s="961">
        <v>78.8</v>
      </c>
      <c r="C454" s="965" cm="1">
        <f t="array" ref="C454">IF(ISBLANK(B454),"",B454*2.2046226218)</f>
        <v>173.724262597840</v>
      </c>
      <c r="D454" s="962" cm="1">
        <f t="array" ref="D454">IF(ISBLANK(B454),"",AVERAGE(B448:B454))</f>
        <v>77.0714285714286</v>
      </c>
      <c r="E454" s="962" cm="1">
        <f t="array" ref="E454">IF(ISBLANK(B454),"",AVERAGE(B441:B454))</f>
        <v>76.7</v>
      </c>
      <c r="F454" s="962" cm="1">
        <f t="array" ref="F454">IF(ISBLANK(B454),"",AVERAGE(B425:B454))</f>
        <v>75.96724137931029</v>
      </c>
      <c r="G454" s="964"/>
      <c r="H454" s="964"/>
      <c r="I454" s="964"/>
      <c r="J454" s="964"/>
      <c r="K454" s="964"/>
      <c r="L454" s="964"/>
      <c r="M454" s="964"/>
      <c r="N454" s="964"/>
      <c r="O454" s="964"/>
      <c r="P454" s="964"/>
      <c r="Q454" s="962"/>
      <c r="R454" t="str" s="964" cm="1">
        <f t="array" ref="R454">IF(OR(ISBLANK($B454),NOT(ISBLANK(B454))),"",'tracking - Table 2-1-2'!C$66)</f>
      </c>
      <c r="S454" t="str" s="964" cm="1">
        <f t="array" ref="S454">IF(OR(ISBLANK($B454),NOT(ISBLANK(B454))),"",'tracking - Table 2-1-2'!D$66)</f>
      </c>
      <c r="T454" t="str" s="964" cm="1">
        <f t="array" ref="T454">IF(OR(ISBLANK($B454),NOT(ISBLANK(B454))),"",'tracking - Table 2-1-2'!E$66)</f>
      </c>
      <c r="U454" t="str" s="969" cm="1">
        <f t="array" ref="U454">IF(OR(ISBLANK($B454),ISBLANK('tracking - Table 2-1-2'!A$1)),"",'tracking - Table 2-1-2'!F$66)</f>
      </c>
    </row>
    <row r="455" ht="8.75" customHeight="1" hidden="1">
      <c r="A455" s="960">
        <v>44794</v>
      </c>
      <c r="B455" s="961">
        <v>78.5</v>
      </c>
      <c r="C455" s="965" cm="1">
        <f t="array" ref="C455">IF(ISBLANK(B455),"",B455*2.2046226218)</f>
        <v>173.0628758113</v>
      </c>
      <c r="D455" s="962" cm="1">
        <f t="array" ref="D455">IF(ISBLANK(B455),"",AVERAGE(B449:B455))</f>
        <v>77.40000000000001</v>
      </c>
      <c r="E455" s="962" cm="1">
        <f t="array" ref="E455">IF(ISBLANK(B455),"",AVERAGE(B442:B455))</f>
        <v>76.7928571428571</v>
      </c>
      <c r="F455" s="962" cm="1">
        <f t="array" ref="F455">IF(ISBLANK(B455),"",AVERAGE(B426:B455))</f>
        <v>76.1206896551724</v>
      </c>
      <c r="G455" s="964"/>
      <c r="H455" s="964"/>
      <c r="I455" s="964"/>
      <c r="J455" s="964"/>
      <c r="K455" s="964"/>
      <c r="L455" s="964"/>
      <c r="M455" s="964"/>
      <c r="N455" s="964"/>
      <c r="O455" s="964"/>
      <c r="P455" s="964"/>
      <c r="Q455" s="962"/>
      <c r="R455" t="str" s="964" cm="1">
        <f t="array" ref="R455">IF(OR(ISBLANK($B455),NOT(ISBLANK(B455))),"",'tracking - Table 2-1-2'!C$66)</f>
      </c>
      <c r="S455" t="str" s="964" cm="1">
        <f t="array" ref="S455">IF(OR(ISBLANK($B455),NOT(ISBLANK(B455))),"",'tracking - Table 2-1-2'!D$66)</f>
      </c>
      <c r="T455" t="str" s="964" cm="1">
        <f t="array" ref="T455">IF(OR(ISBLANK($B455),NOT(ISBLANK(B455))),"",'tracking - Table 2-1-2'!E$66)</f>
      </c>
      <c r="U455" t="str" s="969" cm="1">
        <f t="array" ref="U455">IF(OR(ISBLANK($B455),ISBLANK('tracking - Table 2-1-2'!A$1)),"",'tracking - Table 2-1-2'!F$66)</f>
      </c>
    </row>
    <row r="456" ht="8.75" customHeight="1" hidden="1">
      <c r="A456" s="960">
        <v>44795</v>
      </c>
      <c r="B456" s="961">
        <v>78.5</v>
      </c>
      <c r="C456" s="965" cm="1">
        <f t="array" ref="C456">IF(ISBLANK(B456),"",B456*2.2046226218)</f>
        <v>173.0628758113</v>
      </c>
      <c r="D456" s="962" cm="1">
        <f t="array" ref="D456">IF(ISBLANK(B456),"",AVERAGE(B450:B456))</f>
        <v>77.6785714285714</v>
      </c>
      <c r="E456" s="962" cm="1">
        <f t="array" ref="E456">IF(ISBLANK(B456),"",AVERAGE(B443:B456))</f>
        <v>76.88928571428571</v>
      </c>
      <c r="F456" s="962" cm="1">
        <f t="array" ref="F456">IF(ISBLANK(B456),"",AVERAGE(B427:B456))</f>
        <v>76.2689655172414</v>
      </c>
      <c r="G456" s="964"/>
      <c r="H456" s="964"/>
      <c r="I456" s="964"/>
      <c r="J456" s="964"/>
      <c r="K456" s="964"/>
      <c r="L456" s="964"/>
      <c r="M456" s="964"/>
      <c r="N456" s="964"/>
      <c r="O456" s="964"/>
      <c r="P456" s="964"/>
      <c r="Q456" s="962"/>
      <c r="R456" t="str" s="964" cm="1">
        <f t="array" ref="R456">IF(OR(ISBLANK($B456),NOT(ISBLANK(B456))),"",'tracking - Table 2-1-2'!C$66)</f>
      </c>
      <c r="S456" t="str" s="964" cm="1">
        <f t="array" ref="S456">IF(OR(ISBLANK($B456),NOT(ISBLANK(B456))),"",'tracking - Table 2-1-2'!D$66)</f>
      </c>
      <c r="T456" t="str" s="964" cm="1">
        <f t="array" ref="T456">IF(OR(ISBLANK($B456),NOT(ISBLANK(B456))),"",'tracking - Table 2-1-2'!E$66)</f>
      </c>
      <c r="U456" t="str" s="969" cm="1">
        <f t="array" ref="U456">IF(OR(ISBLANK($B456),ISBLANK('tracking - Table 2-1-2'!A$1)),"",'tracking - Table 2-1-2'!F$66)</f>
      </c>
    </row>
    <row r="457" ht="8.75" customHeight="1" hidden="1">
      <c r="A457" s="960">
        <v>44796</v>
      </c>
      <c r="B457" s="961">
        <v>78.5</v>
      </c>
      <c r="C457" s="965" cm="1">
        <f t="array" ref="C457">IF(ISBLANK(B457),"",B457*2.2046226218)</f>
        <v>173.0628758113</v>
      </c>
      <c r="D457" s="962" cm="1">
        <f t="array" ref="D457">IF(ISBLANK(B457),"",AVERAGE(B451:B457))</f>
        <v>77.96428571428569</v>
      </c>
      <c r="E457" s="962" cm="1">
        <f t="array" ref="E457">IF(ISBLANK(B457),"",AVERAGE(B444:B457))</f>
        <v>77.0928571428571</v>
      </c>
      <c r="F457" s="962" cm="1">
        <f t="array" ref="F457">IF(ISBLANK(B457),"",AVERAGE(B428:B457))</f>
        <v>76.4172413793103</v>
      </c>
      <c r="G457" s="964"/>
      <c r="H457" s="964"/>
      <c r="I457" s="964"/>
      <c r="J457" s="964"/>
      <c r="K457" s="964"/>
      <c r="L457" s="964"/>
      <c r="M457" s="964"/>
      <c r="N457" s="964"/>
      <c r="O457" s="964"/>
      <c r="P457" s="964"/>
      <c r="Q457" s="962"/>
      <c r="R457" t="str" s="964" cm="1">
        <f t="array" ref="R457">IF(OR(ISBLANK($B457),NOT(ISBLANK(B457))),"",'tracking - Table 2-1-2'!C$66)</f>
      </c>
      <c r="S457" t="str" s="964" cm="1">
        <f t="array" ref="S457">IF(OR(ISBLANK($B457),NOT(ISBLANK(B457))),"",'tracking - Table 2-1-2'!D$66)</f>
      </c>
      <c r="T457" t="str" s="964" cm="1">
        <f t="array" ref="T457">IF(OR(ISBLANK($B457),NOT(ISBLANK(B457))),"",'tracking - Table 2-1-2'!E$66)</f>
      </c>
      <c r="U457" t="str" s="969" cm="1">
        <f t="array" ref="U457">IF(OR(ISBLANK($B457),ISBLANK('tracking - Table 2-1-2'!A$1)),"",'tracking - Table 2-1-2'!F$66)</f>
      </c>
    </row>
    <row r="458" ht="8.75" customHeight="1" hidden="1">
      <c r="A458" s="960">
        <v>44797</v>
      </c>
      <c r="B458" s="961">
        <v>79</v>
      </c>
      <c r="C458" s="965" cm="1">
        <f t="array" ref="C458">IF(ISBLANK(B458),"",B458*2.2046226218)</f>
        <v>174.1651871222</v>
      </c>
      <c r="D458" s="962" cm="1">
        <f t="array" ref="D458">IF(ISBLANK(B458),"",AVERAGE(B452:B458))</f>
        <v>78.3214285714286</v>
      </c>
      <c r="E458" s="962" cm="1">
        <f t="array" ref="E458">IF(ISBLANK(B458),"",AVERAGE(B445:B458))</f>
        <v>77.3428571428571</v>
      </c>
      <c r="F458" s="962" cm="1">
        <f t="array" ref="F458">IF(ISBLANK(B458),"",AVERAGE(B429:B458))</f>
        <v>76.58448275862069</v>
      </c>
      <c r="G458" s="964"/>
      <c r="H458" s="964"/>
      <c r="I458" s="964"/>
      <c r="J458" s="964"/>
      <c r="K458" s="964"/>
      <c r="L458" s="964"/>
      <c r="M458" s="964"/>
      <c r="N458" s="964"/>
      <c r="O458" s="964"/>
      <c r="P458" s="964"/>
      <c r="Q458" s="962"/>
      <c r="R458" t="str" s="964" cm="1">
        <f t="array" ref="R458">IF(OR(ISBLANK($B458),NOT(ISBLANK(B458))),"",'tracking - Table 2-1-2'!C$66)</f>
      </c>
      <c r="S458" t="str" s="964" cm="1">
        <f t="array" ref="S458">IF(OR(ISBLANK($B458),NOT(ISBLANK(B458))),"",'tracking - Table 2-1-2'!D$66)</f>
      </c>
      <c r="T458" t="str" s="964" cm="1">
        <f t="array" ref="T458">IF(OR(ISBLANK($B458),NOT(ISBLANK(B458))),"",'tracking - Table 2-1-2'!E$66)</f>
      </c>
      <c r="U458" t="str" s="969" cm="1">
        <f t="array" ref="U458">IF(OR(ISBLANK($B458),ISBLANK('tracking - Table 2-1-2'!A$1)),"",'tracking - Table 2-1-2'!F$66)</f>
      </c>
    </row>
    <row r="459" ht="8.75" customHeight="1" hidden="1">
      <c r="A459" s="960">
        <v>44798</v>
      </c>
      <c r="B459" s="961">
        <v>78.7</v>
      </c>
      <c r="C459" s="965" cm="1">
        <f t="array" ref="C459">IF(ISBLANK(B459),"",B459*2.2046226218)</f>
        <v>173.503800335660</v>
      </c>
      <c r="D459" s="962" cm="1">
        <f t="array" ref="D459">IF(ISBLANK(B459),"",AVERAGE(B453:B459))</f>
        <v>78.59999999999999</v>
      </c>
      <c r="E459" s="962" cm="1">
        <f t="array" ref="E459">IF(ISBLANK(B459),"",AVERAGE(B446:B459))</f>
        <v>77.575</v>
      </c>
      <c r="F459" s="962" cm="1">
        <f t="array" ref="F459">IF(ISBLANK(B459),"",AVERAGE(B430:B459))</f>
        <v>76.7413793103448</v>
      </c>
      <c r="G459" s="964"/>
      <c r="H459" s="964"/>
      <c r="I459" s="964"/>
      <c r="J459" s="964"/>
      <c r="K459" s="964"/>
      <c r="L459" s="964"/>
      <c r="M459" s="964"/>
      <c r="N459" s="964"/>
      <c r="O459" s="964"/>
      <c r="P459" s="964"/>
      <c r="Q459" s="962"/>
      <c r="R459" t="str" s="964" cm="1">
        <f t="array" ref="R459">IF(OR(ISBLANK($B459),NOT(ISBLANK(B459))),"",'tracking - Table 2-1-2'!C$66)</f>
      </c>
      <c r="S459" t="str" s="964" cm="1">
        <f t="array" ref="S459">IF(OR(ISBLANK($B459),NOT(ISBLANK(B459))),"",'tracking - Table 2-1-2'!D$66)</f>
      </c>
      <c r="T459" t="str" s="964" cm="1">
        <f t="array" ref="T459">IF(OR(ISBLANK($B459),NOT(ISBLANK(B459))),"",'tracking - Table 2-1-2'!E$66)</f>
      </c>
      <c r="U459" t="str" s="969" cm="1">
        <f t="array" ref="U459">IF(OR(ISBLANK($B459),ISBLANK('tracking - Table 2-1-2'!A$1)),"",'tracking - Table 2-1-2'!F$66)</f>
      </c>
    </row>
    <row r="460" ht="8.75" customHeight="1" hidden="1">
      <c r="A460" s="960">
        <v>44799</v>
      </c>
      <c r="B460" s="961">
        <v>78.45</v>
      </c>
      <c r="C460" s="965" cm="1">
        <f t="array" ref="C460">IF(ISBLANK(B460),"",B460*2.2046226218)</f>
        <v>172.952644680210</v>
      </c>
      <c r="D460" s="962" cm="1">
        <f t="array" ref="D460">IF(ISBLANK(B460),"",AVERAGE(B454:B460))</f>
        <v>78.6357142857143</v>
      </c>
      <c r="E460" s="962" cm="1">
        <f t="array" ref="E460">IF(ISBLANK(B460),"",AVERAGE(B447:B460))</f>
        <v>77.6964285714286</v>
      </c>
      <c r="F460" s="962" cm="1">
        <f t="array" ref="F460">IF(ISBLANK(B460),"",AVERAGE(B431:B460))</f>
        <v>76.7983333333333</v>
      </c>
      <c r="G460" s="964"/>
      <c r="H460" s="964"/>
      <c r="I460" s="964"/>
      <c r="J460" s="964"/>
      <c r="K460" s="964"/>
      <c r="L460" s="964"/>
      <c r="M460" s="964"/>
      <c r="N460" s="964"/>
      <c r="O460" s="964"/>
      <c r="P460" s="964"/>
      <c r="Q460" s="962"/>
      <c r="R460" t="str" s="964" cm="1">
        <f t="array" ref="R460">IF(OR(ISBLANK($B460),NOT(ISBLANK(B460))),"",'tracking - Table 2-1-2'!C$66)</f>
      </c>
      <c r="S460" t="str" s="964" cm="1">
        <f t="array" ref="S460">IF(OR(ISBLANK($B460),NOT(ISBLANK(B460))),"",'tracking - Table 2-1-2'!D$66)</f>
      </c>
      <c r="T460" t="str" s="964" cm="1">
        <f t="array" ref="T460">IF(OR(ISBLANK($B460),NOT(ISBLANK(B460))),"",'tracking - Table 2-1-2'!E$66)</f>
      </c>
      <c r="U460" t="str" s="969" cm="1">
        <f t="array" ref="U460">IF(OR(ISBLANK($B460),ISBLANK('tracking - Table 2-1-2'!A$1)),"",'tracking - Table 2-1-2'!F$66)</f>
      </c>
    </row>
    <row r="461" ht="8.75" customHeight="1" hidden="1">
      <c r="A461" s="960">
        <v>44800</v>
      </c>
      <c r="B461" s="961">
        <v>78.8</v>
      </c>
      <c r="C461" s="965" cm="1">
        <f t="array" ref="C461">IF(ISBLANK(B461),"",B461*2.2046226218)</f>
        <v>173.724262597840</v>
      </c>
      <c r="D461" s="962" cm="1">
        <f t="array" ref="D461">IF(ISBLANK(B461),"",AVERAGE(B455:B461))</f>
        <v>78.6357142857143</v>
      </c>
      <c r="E461" s="962" cm="1">
        <f t="array" ref="E461">IF(ISBLANK(B461),"",AVERAGE(B448:B461))</f>
        <v>77.8535714285714</v>
      </c>
      <c r="F461" s="962" cm="1">
        <f t="array" ref="F461">IF(ISBLANK(B461),"",AVERAGE(B432:B461))</f>
        <v>76.9266666666667</v>
      </c>
      <c r="G461" s="964"/>
      <c r="H461" s="964"/>
      <c r="I461" s="964"/>
      <c r="J461" s="964"/>
      <c r="K461" s="964"/>
      <c r="L461" s="964"/>
      <c r="M461" s="964"/>
      <c r="N461" s="964"/>
      <c r="O461" s="964"/>
      <c r="P461" s="964"/>
      <c r="Q461" s="962"/>
      <c r="R461" t="str" s="964" cm="1">
        <f t="array" ref="R461">IF(OR(ISBLANK($B461),NOT(ISBLANK(B461))),"",'tracking - Table 2-1-2'!C$66)</f>
      </c>
      <c r="S461" t="str" s="964" cm="1">
        <f t="array" ref="S461">IF(OR(ISBLANK($B461),NOT(ISBLANK(B461))),"",'tracking - Table 2-1-2'!D$66)</f>
      </c>
      <c r="T461" t="str" s="964" cm="1">
        <f t="array" ref="T461">IF(OR(ISBLANK($B461),NOT(ISBLANK(B461))),"",'tracking - Table 2-1-2'!E$66)</f>
      </c>
      <c r="U461" t="str" s="969" cm="1">
        <f t="array" ref="U461">IF(OR(ISBLANK($B461),ISBLANK('tracking - Table 2-1-2'!A$1)),"",'tracking - Table 2-1-2'!F$66)</f>
      </c>
    </row>
    <row r="462" ht="8.75" customHeight="1" hidden="1">
      <c r="A462" s="960">
        <v>44801</v>
      </c>
      <c r="B462" s="356"/>
      <c r="C462" t="str" s="352" cm="1">
        <f t="array" ref="C462">IF(ISBLANK(B462),"",B462*2.2046226218)</f>
      </c>
      <c r="D462" t="str" s="964" cm="1">
        <f t="array" ref="D462">IF(ISBLANK(B462),"",AVERAGE(B456:B462))</f>
      </c>
      <c r="E462" t="str" s="964" cm="1">
        <f t="array" ref="E462">IF(ISBLANK(B462),"",AVERAGE(B449:B462))</f>
      </c>
      <c r="F462" t="str" s="964" cm="1">
        <f t="array" ref="F462">IF(ISBLANK(B462),"",AVERAGE(B433:B462))</f>
      </c>
      <c r="G462" s="964"/>
      <c r="H462" s="964"/>
      <c r="I462" s="964"/>
      <c r="J462" s="964"/>
      <c r="K462" s="964"/>
      <c r="L462" s="964"/>
      <c r="M462" s="964"/>
      <c r="N462" s="964"/>
      <c r="O462" s="964"/>
      <c r="P462" s="964"/>
      <c r="Q462" s="962"/>
      <c r="R462" t="str" s="964" cm="1">
        <f t="array" ref="R462">IF(OR(ISBLANK($B462),NOT(ISBLANK(B462))),"",'tracking - Table 2-1-2'!C$66)</f>
      </c>
      <c r="S462" t="str" s="964" cm="1">
        <f t="array" ref="S462">IF(OR(ISBLANK($B462),NOT(ISBLANK(B462))),"",'tracking - Table 2-1-2'!D$66)</f>
      </c>
      <c r="T462" t="str" s="964" cm="1">
        <f t="array" ref="T462">IF(OR(ISBLANK($B462),NOT(ISBLANK(B462))),"",'tracking - Table 2-1-2'!E$66)</f>
      </c>
      <c r="U462" t="str" s="969" cm="1">
        <f t="array" ref="U462">IF(OR(ISBLANK($B462),ISBLANK('tracking - Table 2-1-2'!A$1)),"",'tracking - Table 2-1-2'!F$66)</f>
      </c>
    </row>
    <row r="463" ht="8.75" customHeight="1" hidden="1">
      <c r="A463" s="960">
        <v>44802</v>
      </c>
      <c r="B463" s="961">
        <v>78.8</v>
      </c>
      <c r="C463" s="965" cm="1">
        <f t="array" ref="C463">IF(ISBLANK(B463),"",B463*2.2046226218)</f>
        <v>173.724262597840</v>
      </c>
      <c r="D463" s="962" cm="1">
        <f t="array" ref="D463">IF(ISBLANK(B463),"",AVERAGE(B457:B463))</f>
        <v>78.7083333333333</v>
      </c>
      <c r="E463" s="962" cm="1">
        <f t="array" ref="E463">IF(ISBLANK(B463),"",AVERAGE(B450:B463))</f>
        <v>78.1538461538462</v>
      </c>
      <c r="F463" s="962" cm="1">
        <f t="array" ref="F463">IF(ISBLANK(B463),"",AVERAGE(B434:B463))</f>
        <v>77.0620689655172</v>
      </c>
      <c r="G463" s="964"/>
      <c r="H463" s="964"/>
      <c r="I463" s="964"/>
      <c r="J463" s="964"/>
      <c r="K463" s="964"/>
      <c r="L463" s="964"/>
      <c r="M463" s="964"/>
      <c r="N463" s="964"/>
      <c r="O463" s="964"/>
      <c r="P463" s="964"/>
      <c r="Q463" s="962"/>
      <c r="R463" t="str" s="964" cm="1">
        <f t="array" ref="R463">IF(OR(ISBLANK($B463),NOT(ISBLANK(B463))),"",'tracking - Table 2-1-2'!C$66)</f>
      </c>
      <c r="S463" t="str" s="964" cm="1">
        <f t="array" ref="S463">IF(OR(ISBLANK($B463),NOT(ISBLANK(B463))),"",'tracking - Table 2-1-2'!D$66)</f>
      </c>
      <c r="T463" t="str" s="964" cm="1">
        <f t="array" ref="T463">IF(OR(ISBLANK($B463),NOT(ISBLANK(B463))),"",'tracking - Table 2-1-2'!E$66)</f>
      </c>
      <c r="U463" t="str" s="969" cm="1">
        <f t="array" ref="U463">IF(OR(ISBLANK($B463),ISBLANK('tracking - Table 2-1-2'!A$1)),"",'tracking - Table 2-1-2'!F$66)</f>
      </c>
    </row>
    <row r="464" ht="8.75" customHeight="1" hidden="1">
      <c r="A464" s="960">
        <v>44803</v>
      </c>
      <c r="B464" s="961">
        <v>79.09999999999999</v>
      </c>
      <c r="C464" s="965" cm="1">
        <f t="array" ref="C464">IF(ISBLANK(B464),"",B464*2.2046226218)</f>
        <v>174.385649384380</v>
      </c>
      <c r="D464" s="962" cm="1">
        <f t="array" ref="D464">IF(ISBLANK(B464),"",AVERAGE(B458:B464))</f>
        <v>78.80833333333329</v>
      </c>
      <c r="E464" s="962" cm="1">
        <f t="array" ref="E464">IF(ISBLANK(B464),"",AVERAGE(B451:B464))</f>
        <v>78.35384615384621</v>
      </c>
      <c r="F464" s="962" cm="1">
        <f t="array" ref="F464">IF(ISBLANK(B464),"",AVERAGE(B435:B464))</f>
        <v>77.16551724137931</v>
      </c>
      <c r="G464" s="964"/>
      <c r="H464" s="964"/>
      <c r="I464" s="964"/>
      <c r="J464" s="964"/>
      <c r="K464" s="964"/>
      <c r="L464" s="964"/>
      <c r="M464" s="964"/>
      <c r="N464" s="964"/>
      <c r="O464" s="964"/>
      <c r="P464" s="964"/>
      <c r="Q464" s="962"/>
      <c r="R464" t="str" s="964" cm="1">
        <f t="array" ref="R464">IF(OR(ISBLANK($B464),NOT(ISBLANK(B464))),"",'tracking - Table 2-1-2'!C$66)</f>
      </c>
      <c r="S464" t="str" s="964" cm="1">
        <f t="array" ref="S464">IF(OR(ISBLANK($B464),NOT(ISBLANK(B464))),"",'tracking - Table 2-1-2'!D$66)</f>
      </c>
      <c r="T464" t="str" s="964" cm="1">
        <f t="array" ref="T464">IF(OR(ISBLANK($B464),NOT(ISBLANK(B464))),"",'tracking - Table 2-1-2'!E$66)</f>
      </c>
      <c r="U464" t="str" s="969" cm="1">
        <f t="array" ref="U464">IF(OR(ISBLANK($B464),ISBLANK('tracking - Table 2-1-2'!A$1)),"",'tracking - Table 2-1-2'!F$66)</f>
      </c>
    </row>
    <row r="465" ht="8.75" customHeight="1" hidden="1">
      <c r="A465" s="960">
        <v>44804</v>
      </c>
      <c r="B465" s="961">
        <v>78.45</v>
      </c>
      <c r="C465" s="965" cm="1">
        <f t="array" ref="C465">IF(ISBLANK(B465),"",B465*2.2046226218)</f>
        <v>172.952644680210</v>
      </c>
      <c r="D465" s="962" cm="1">
        <f t="array" ref="D465">IF(ISBLANK(B465),"",AVERAGE(B459:B465))</f>
        <v>78.7166666666667</v>
      </c>
      <c r="E465" s="962" cm="1">
        <f t="array" ref="E465">IF(ISBLANK(B465),"",AVERAGE(B452:B465))</f>
        <v>78.5038461538462</v>
      </c>
      <c r="F465" s="962" cm="1">
        <f t="array" ref="F465">IF(ISBLANK(B465),"",AVERAGE(B436:B465))</f>
        <v>77.26379310344829</v>
      </c>
      <c r="G465" s="964"/>
      <c r="H465" s="964"/>
      <c r="I465" s="964"/>
      <c r="J465" s="964"/>
      <c r="K465" s="964"/>
      <c r="L465" s="964"/>
      <c r="M465" s="964"/>
      <c r="N465" s="964"/>
      <c r="O465" s="964"/>
      <c r="P465" s="964"/>
      <c r="Q465" s="962"/>
      <c r="R465" t="str" s="964" cm="1">
        <f t="array" ref="R465">IF(OR(ISBLANK($B465),NOT(ISBLANK(B465))),"",'tracking - Table 2-1-2'!C$66)</f>
      </c>
      <c r="S465" t="str" s="964" cm="1">
        <f t="array" ref="S465">IF(OR(ISBLANK($B465),NOT(ISBLANK(B465))),"",'tracking - Table 2-1-2'!D$66)</f>
      </c>
      <c r="T465" t="str" s="964" cm="1">
        <f t="array" ref="T465">IF(OR(ISBLANK($B465),NOT(ISBLANK(B465))),"",'tracking - Table 2-1-2'!E$66)</f>
      </c>
      <c r="U465" t="str" s="969" cm="1">
        <f t="array" ref="U465">IF(OR(ISBLANK($B465),ISBLANK('tracking - Table 2-1-2'!A$1)),"",'tracking - Table 2-1-2'!F$66)</f>
      </c>
    </row>
    <row r="466" ht="8.75" customHeight="1" hidden="1">
      <c r="A466" s="960">
        <v>44805</v>
      </c>
      <c r="B466" s="961">
        <v>78.45</v>
      </c>
      <c r="C466" s="965" cm="1">
        <f t="array" ref="C466">IF(ISBLANK(B466),"",B466*2.2046226218)</f>
        <v>172.952644680210</v>
      </c>
      <c r="D466" s="962" cm="1">
        <f t="array" ref="D466">IF(ISBLANK(B466),"",AVERAGE(B460:B466))</f>
        <v>78.675</v>
      </c>
      <c r="E466" s="962" cm="1">
        <f t="array" ref="E466">IF(ISBLANK(B466),"",AVERAGE(B453:B466))</f>
        <v>78.6346153846154</v>
      </c>
      <c r="F466" s="962" cm="1">
        <f t="array" ref="F466">IF(ISBLANK(B466),"",AVERAGE(B437:B466))</f>
        <v>77.37241379310341</v>
      </c>
      <c r="G466" s="964"/>
      <c r="H466" s="964"/>
      <c r="I466" s="964"/>
      <c r="J466" s="964"/>
      <c r="K466" s="964"/>
      <c r="L466" s="964"/>
      <c r="M466" s="964"/>
      <c r="N466" s="964"/>
      <c r="O466" s="964"/>
      <c r="P466" s="964"/>
      <c r="Q466" s="962"/>
      <c r="R466" t="str" s="964" cm="1">
        <f t="array" ref="R466">IF(OR(ISBLANK($B466),NOT(ISBLANK(B466))),"",'tracking - Table 2-1-2'!C$66)</f>
      </c>
      <c r="S466" t="str" s="964" cm="1">
        <f t="array" ref="S466">IF(OR(ISBLANK($B466),NOT(ISBLANK(B466))),"",'tracking - Table 2-1-2'!D$66)</f>
      </c>
      <c r="T466" t="str" s="964" cm="1">
        <f t="array" ref="T466">IF(OR(ISBLANK($B466),NOT(ISBLANK(B466))),"",'tracking - Table 2-1-2'!E$66)</f>
      </c>
      <c r="U466" t="str" s="969" cm="1">
        <f t="array" ref="U466">IF(OR(ISBLANK($B466),ISBLANK('tracking - Table 2-1-2'!A$1)),"",'tracking - Table 2-1-2'!F$66)</f>
      </c>
    </row>
    <row r="467" ht="8.75" customHeight="1" hidden="1">
      <c r="A467" s="960">
        <v>44806</v>
      </c>
      <c r="B467" s="961">
        <v>79.2</v>
      </c>
      <c r="C467" s="965" cm="1">
        <f t="array" ref="C467">IF(ISBLANK(B467),"",B467*2.2046226218)</f>
        <v>174.606111646560</v>
      </c>
      <c r="D467" s="962" cm="1">
        <f t="array" ref="D467">IF(ISBLANK(B467),"",AVERAGE(B461:B467))</f>
        <v>78.8</v>
      </c>
      <c r="E467" s="962" cm="1">
        <f t="array" ref="E467">IF(ISBLANK(B467),"",AVERAGE(B454:B467))</f>
        <v>78.7115384615385</v>
      </c>
      <c r="F467" s="962" cm="1">
        <f t="array" ref="F467">IF(ISBLANK(B467),"",AVERAGE(B438:B467))</f>
        <v>77.5206896551724</v>
      </c>
      <c r="G467" s="964"/>
      <c r="H467" s="964"/>
      <c r="I467" s="964"/>
      <c r="J467" s="964"/>
      <c r="K467" s="964"/>
      <c r="L467" s="964"/>
      <c r="M467" s="964"/>
      <c r="N467" s="964"/>
      <c r="O467" s="964"/>
      <c r="P467" s="964"/>
      <c r="Q467" s="962"/>
      <c r="R467" t="str" s="964" cm="1">
        <f t="array" ref="R467">IF(OR(ISBLANK($B467),NOT(ISBLANK(B467))),"",'tracking - Table 2-1-2'!C$66)</f>
      </c>
      <c r="S467" t="str" s="964" cm="1">
        <f t="array" ref="S467">IF(OR(ISBLANK($B467),NOT(ISBLANK(B467))),"",'tracking - Table 2-1-2'!D$66)</f>
      </c>
      <c r="T467" t="str" s="964" cm="1">
        <f t="array" ref="T467">IF(OR(ISBLANK($B467),NOT(ISBLANK(B467))),"",'tracking - Table 2-1-2'!E$66)</f>
      </c>
      <c r="U467" t="str" s="969" cm="1">
        <f t="array" ref="U467">IF(OR(ISBLANK($B467),ISBLANK('tracking - Table 2-1-2'!A$1)),"",'tracking - Table 2-1-2'!F$66)</f>
      </c>
    </row>
    <row r="468" ht="8.75" customHeight="1" hidden="1">
      <c r="A468" s="960">
        <v>44807</v>
      </c>
      <c r="B468" s="356"/>
      <c r="C468" t="str" s="352" cm="1">
        <f t="array" ref="C468">IF(ISBLANK(B468),"",B468*2.2046226218)</f>
      </c>
      <c r="D468" t="str" s="964" cm="1">
        <f t="array" ref="D468">IF(ISBLANK(B468),"",AVERAGE(B462:B468))</f>
      </c>
      <c r="E468" t="str" s="964" cm="1">
        <f t="array" ref="E468">IF(ISBLANK(B468),"",AVERAGE(B455:B468))</f>
      </c>
      <c r="F468" t="str" s="964" cm="1">
        <f t="array" ref="F468">IF(ISBLANK(B468),"",AVERAGE(B439:B468))</f>
      </c>
      <c r="G468" s="964"/>
      <c r="H468" s="964"/>
      <c r="I468" s="964"/>
      <c r="J468" s="964"/>
      <c r="K468" s="964"/>
      <c r="L468" s="964"/>
      <c r="M468" s="964"/>
      <c r="N468" s="964"/>
      <c r="O468" s="964"/>
      <c r="P468" s="964"/>
      <c r="Q468" s="962"/>
      <c r="R468" t="str" s="964" cm="1">
        <f t="array" ref="R468">IF(OR(ISBLANK($B468),NOT(ISBLANK(B468))),"",'tracking - Table 2-1-2'!C$66)</f>
      </c>
      <c r="S468" t="str" s="964" cm="1">
        <f t="array" ref="S468">IF(OR(ISBLANK($B468),NOT(ISBLANK(B468))),"",'tracking - Table 2-1-2'!D$66)</f>
      </c>
      <c r="T468" t="str" s="964" cm="1">
        <f t="array" ref="T468">IF(OR(ISBLANK($B468),NOT(ISBLANK(B468))),"",'tracking - Table 2-1-2'!E$66)</f>
      </c>
      <c r="U468" t="str" s="969" cm="1">
        <f t="array" ref="U468">IF(OR(ISBLANK($B468),ISBLANK('tracking - Table 2-1-2'!A$1)),"",'tracking - Table 2-1-2'!F$66)</f>
      </c>
    </row>
    <row r="469" ht="8.75" customHeight="1" hidden="1">
      <c r="A469" s="960">
        <v>44808</v>
      </c>
      <c r="B469" s="961">
        <v>78.09999999999999</v>
      </c>
      <c r="C469" s="965" cm="1">
        <f t="array" ref="C469">IF(ISBLANK(B469),"",B469*2.2046226218)</f>
        <v>172.181026762580</v>
      </c>
      <c r="D469" s="962" cm="1">
        <f t="array" ref="D469">IF(ISBLANK(B469),"",AVERAGE(B463:B469))</f>
        <v>78.68333333333329</v>
      </c>
      <c r="E469" s="962" cm="1">
        <f t="array" ref="E469">IF(ISBLANK(B469),"",AVERAGE(B456:B469))</f>
        <v>78.67083333333331</v>
      </c>
      <c r="F469" s="962" cm="1">
        <f t="array" ref="F469">IF(ISBLANK(B469),"",AVERAGE(B440:B469))</f>
        <v>77.64107142857139</v>
      </c>
      <c r="G469" s="964"/>
      <c r="H469" s="964"/>
      <c r="I469" s="964"/>
      <c r="J469" s="964"/>
      <c r="K469" s="964"/>
      <c r="L469" s="964"/>
      <c r="M469" s="964"/>
      <c r="N469" s="964"/>
      <c r="O469" s="964"/>
      <c r="P469" s="964"/>
      <c r="Q469" s="962"/>
      <c r="R469" t="str" s="964" cm="1">
        <f t="array" ref="R469">IF(OR(ISBLANK($B469),NOT(ISBLANK(B469))),"",'tracking - Table 2-1-2'!C$66)</f>
      </c>
      <c r="S469" t="str" s="964" cm="1">
        <f t="array" ref="S469">IF(OR(ISBLANK($B469),NOT(ISBLANK(B469))),"",'tracking - Table 2-1-2'!D$66)</f>
      </c>
      <c r="T469" t="str" s="964" cm="1">
        <f t="array" ref="T469">IF(OR(ISBLANK($B469),NOT(ISBLANK(B469))),"",'tracking - Table 2-1-2'!E$66)</f>
      </c>
      <c r="U469" t="str" s="969" cm="1">
        <f t="array" ref="U469">IF(OR(ISBLANK($B469),ISBLANK('tracking - Table 2-1-2'!A$1)),"",'tracking - Table 2-1-2'!F$66)</f>
      </c>
    </row>
    <row r="470" ht="8.75" customHeight="1" hidden="1">
      <c r="A470" s="960">
        <v>44809</v>
      </c>
      <c r="B470" s="961">
        <v>78.15000000000001</v>
      </c>
      <c r="C470" s="965" cm="1">
        <f t="array" ref="C470">IF(ISBLANK(B470),"",B470*2.2046226218)</f>
        <v>172.291257893670</v>
      </c>
      <c r="D470" s="962" cm="1">
        <f t="array" ref="D470">IF(ISBLANK(B470),"",AVERAGE(B464:B470))</f>
        <v>78.575</v>
      </c>
      <c r="E470" s="962" cm="1">
        <f t="array" ref="E470">IF(ISBLANK(B470),"",AVERAGE(B457:B470))</f>
        <v>78.64166666666669</v>
      </c>
      <c r="F470" s="962" cm="1">
        <f t="array" ref="F470">IF(ISBLANK(B470),"",AVERAGE(B441:B470))</f>
        <v>77.66071428571431</v>
      </c>
      <c r="G470" s="964"/>
      <c r="H470" s="964"/>
      <c r="I470" s="964"/>
      <c r="J470" s="964"/>
      <c r="K470" s="964"/>
      <c r="L470" s="964"/>
      <c r="M470" s="964"/>
      <c r="N470" s="964"/>
      <c r="O470" s="964"/>
      <c r="P470" s="964"/>
      <c r="Q470" s="962"/>
      <c r="R470" t="str" s="964" cm="1">
        <f t="array" ref="R470">IF(OR(ISBLANK($B470),NOT(ISBLANK(B470))),"",'tracking - Table 2-1-2'!C$66)</f>
      </c>
      <c r="S470" t="str" s="964" cm="1">
        <f t="array" ref="S470">IF(OR(ISBLANK($B470),NOT(ISBLANK(B470))),"",'tracking - Table 2-1-2'!D$66)</f>
      </c>
      <c r="T470" t="str" s="964" cm="1">
        <f t="array" ref="T470">IF(OR(ISBLANK($B470),NOT(ISBLANK(B470))),"",'tracking - Table 2-1-2'!E$66)</f>
      </c>
      <c r="U470" t="str" s="969" cm="1">
        <f t="array" ref="U470">IF(OR(ISBLANK($B470),ISBLANK('tracking - Table 2-1-2'!A$1)),"",'tracking - Table 2-1-2'!F$66)</f>
      </c>
    </row>
    <row r="471" ht="8.75" customHeight="1" hidden="1">
      <c r="A471" s="960">
        <v>44810</v>
      </c>
      <c r="B471" s="961">
        <v>78.15000000000001</v>
      </c>
      <c r="C471" s="965" cm="1">
        <f t="array" ref="C471">IF(ISBLANK(B471),"",B471*2.2046226218)</f>
        <v>172.291257893670</v>
      </c>
      <c r="D471" s="962" cm="1">
        <f t="array" ref="D471">IF(ISBLANK(B471),"",AVERAGE(B465:B471))</f>
        <v>78.4166666666667</v>
      </c>
      <c r="E471" s="962" cm="1">
        <f t="array" ref="E471">IF(ISBLANK(B471),"",AVERAGE(B458:B471))</f>
        <v>78.6125</v>
      </c>
      <c r="F471" s="962" cm="1">
        <f t="array" ref="F471">IF(ISBLANK(B471),"",AVERAGE(B442:B471))</f>
        <v>77.6946428571429</v>
      </c>
      <c r="G471" s="964"/>
      <c r="H471" s="964"/>
      <c r="I471" s="964"/>
      <c r="J471" s="964"/>
      <c r="K471" s="964"/>
      <c r="L471" s="964"/>
      <c r="M471" s="964"/>
      <c r="N471" s="964"/>
      <c r="O471" s="964"/>
      <c r="P471" s="964"/>
      <c r="Q471" s="962"/>
      <c r="R471" t="str" s="964" cm="1">
        <f t="array" ref="R471">IF(OR(ISBLANK($B471),NOT(ISBLANK(B471))),"",'tracking - Table 2-1-2'!C$66)</f>
      </c>
      <c r="S471" t="str" s="964" cm="1">
        <f t="array" ref="S471">IF(OR(ISBLANK($B471),NOT(ISBLANK(B471))),"",'tracking - Table 2-1-2'!D$66)</f>
      </c>
      <c r="T471" t="str" s="964" cm="1">
        <f t="array" ref="T471">IF(OR(ISBLANK($B471),NOT(ISBLANK(B471))),"",'tracking - Table 2-1-2'!E$66)</f>
      </c>
      <c r="U471" t="str" s="969" cm="1">
        <f t="array" ref="U471">IF(OR(ISBLANK($B471),ISBLANK('tracking - Table 2-1-2'!A$1)),"",'tracking - Table 2-1-2'!F$66)</f>
      </c>
    </row>
    <row r="472" ht="8.75" customHeight="1" hidden="1">
      <c r="A472" s="960">
        <v>44811</v>
      </c>
      <c r="B472" s="961">
        <v>78.09999999999999</v>
      </c>
      <c r="C472" s="965" cm="1">
        <f t="array" ref="C472">IF(ISBLANK(B472),"",B472*2.2046226218)</f>
        <v>172.181026762580</v>
      </c>
      <c r="D472" s="962" cm="1">
        <f t="array" ref="D472">IF(ISBLANK(B472),"",AVERAGE(B466:B472))</f>
        <v>78.35833333333331</v>
      </c>
      <c r="E472" s="962" cm="1">
        <f t="array" ref="E472">IF(ISBLANK(B472),"",AVERAGE(B459:B472))</f>
        <v>78.53749999999999</v>
      </c>
      <c r="F472" s="962" cm="1">
        <f t="array" ref="F472">IF(ISBLANK(B472),"",AVERAGE(B443:B472))</f>
        <v>77.7285714285714</v>
      </c>
      <c r="G472" s="964"/>
      <c r="H472" s="964"/>
      <c r="I472" s="964"/>
      <c r="J472" s="964"/>
      <c r="K472" s="964"/>
      <c r="L472" s="964"/>
      <c r="M472" s="964"/>
      <c r="N472" s="964"/>
      <c r="O472" s="964"/>
      <c r="P472" s="964"/>
      <c r="Q472" s="962"/>
      <c r="R472" t="str" s="964" cm="1">
        <f t="array" ref="R472">IF(OR(ISBLANK($B472),NOT(ISBLANK(B472))),"",'tracking - Table 2-1-2'!C$66)</f>
      </c>
      <c r="S472" t="str" s="964" cm="1">
        <f t="array" ref="S472">IF(OR(ISBLANK($B472),NOT(ISBLANK(B472))),"",'tracking - Table 2-1-2'!D$66)</f>
      </c>
      <c r="T472" t="str" s="964" cm="1">
        <f t="array" ref="T472">IF(OR(ISBLANK($B472),NOT(ISBLANK(B472))),"",'tracking - Table 2-1-2'!E$66)</f>
      </c>
      <c r="U472" t="str" s="969" cm="1">
        <f t="array" ref="U472">IF(OR(ISBLANK($B472),ISBLANK('tracking - Table 2-1-2'!A$1)),"",'tracking - Table 2-1-2'!F$66)</f>
      </c>
    </row>
    <row r="473" ht="8.75" customHeight="1" hidden="1">
      <c r="A473" s="960">
        <v>44812</v>
      </c>
      <c r="B473" s="961">
        <v>78.45</v>
      </c>
      <c r="C473" s="965" cm="1">
        <f t="array" ref="C473">IF(ISBLANK(B473),"",B473*2.2046226218)</f>
        <v>172.952644680210</v>
      </c>
      <c r="D473" s="962" cm="1">
        <f t="array" ref="D473">IF(ISBLANK(B473),"",AVERAGE(B467:B473))</f>
        <v>78.35833333333331</v>
      </c>
      <c r="E473" s="962" cm="1">
        <f t="array" ref="E473">IF(ISBLANK(B473),"",AVERAGE(B460:B473))</f>
        <v>78.51666666666669</v>
      </c>
      <c r="F473" s="962" cm="1">
        <f t="array" ref="F473">IF(ISBLANK(B473),"",AVERAGE(B444:B473))</f>
        <v>77.82857142857139</v>
      </c>
      <c r="G473" s="964"/>
      <c r="H473" s="964"/>
      <c r="I473" s="964"/>
      <c r="J473" s="964"/>
      <c r="K473" s="964"/>
      <c r="L473" s="964"/>
      <c r="M473" s="964"/>
      <c r="N473" s="964"/>
      <c r="O473" s="964"/>
      <c r="P473" s="964"/>
      <c r="Q473" s="962"/>
      <c r="R473" t="str" s="964" cm="1">
        <f t="array" ref="R473">IF(OR(ISBLANK($B473),NOT(ISBLANK(B473))),"",'tracking - Table 2-1-2'!C$66)</f>
      </c>
      <c r="S473" t="str" s="964" cm="1">
        <f t="array" ref="S473">IF(OR(ISBLANK($B473),NOT(ISBLANK(B473))),"",'tracking - Table 2-1-2'!D$66)</f>
      </c>
      <c r="T473" t="str" s="964" cm="1">
        <f t="array" ref="T473">IF(OR(ISBLANK($B473),NOT(ISBLANK(B473))),"",'tracking - Table 2-1-2'!E$66)</f>
      </c>
      <c r="U473" t="str" s="969" cm="1">
        <f t="array" ref="U473">IF(OR(ISBLANK($B473),ISBLANK('tracking - Table 2-1-2'!A$1)),"",'tracking - Table 2-1-2'!F$66)</f>
      </c>
    </row>
    <row r="474" ht="8.75" customHeight="1" hidden="1">
      <c r="A474" s="960">
        <v>44813</v>
      </c>
      <c r="B474" s="961">
        <v>78.8</v>
      </c>
      <c r="C474" s="965" cm="1">
        <f t="array" ref="C474">IF(ISBLANK(B474),"",B474*2.2046226218)</f>
        <v>173.724262597840</v>
      </c>
      <c r="D474" s="962" cm="1">
        <f t="array" ref="D474">IF(ISBLANK(B474),"",AVERAGE(B468:B474))</f>
        <v>78.2916666666667</v>
      </c>
      <c r="E474" s="962" cm="1">
        <f t="array" ref="E474">IF(ISBLANK(B474),"",AVERAGE(B461:B474))</f>
        <v>78.54583333333331</v>
      </c>
      <c r="F474" s="962" cm="1">
        <f t="array" ref="F474">IF(ISBLANK(B474),"",AVERAGE(B445:B474))</f>
        <v>77.9464285714286</v>
      </c>
      <c r="G474" s="964"/>
      <c r="H474" s="964"/>
      <c r="I474" s="964"/>
      <c r="J474" s="964"/>
      <c r="K474" s="964"/>
      <c r="L474" s="964"/>
      <c r="M474" s="964"/>
      <c r="N474" s="964"/>
      <c r="O474" s="964"/>
      <c r="P474" s="964"/>
      <c r="Q474" s="962"/>
      <c r="R474" t="str" s="964" cm="1">
        <f t="array" ref="R474">IF(OR(ISBLANK($B474),NOT(ISBLANK(B474))),"",'tracking - Table 2-1-2'!C$66)</f>
      </c>
      <c r="S474" t="str" s="964" cm="1">
        <f t="array" ref="S474">IF(OR(ISBLANK($B474),NOT(ISBLANK(B474))),"",'tracking - Table 2-1-2'!D$66)</f>
      </c>
      <c r="T474" t="str" s="964" cm="1">
        <f t="array" ref="T474">IF(OR(ISBLANK($B474),NOT(ISBLANK(B474))),"",'tracking - Table 2-1-2'!E$66)</f>
      </c>
      <c r="U474" t="str" s="969" cm="1">
        <f t="array" ref="U474">IF(OR(ISBLANK($B474),ISBLANK('tracking - Table 2-1-2'!A$1)),"",'tracking - Table 2-1-2'!F$66)</f>
      </c>
    </row>
    <row r="475" ht="8.75" customHeight="1" hidden="1">
      <c r="A475" s="960">
        <v>44814</v>
      </c>
      <c r="B475" s="961">
        <v>78.45</v>
      </c>
      <c r="C475" s="965" cm="1">
        <f t="array" ref="C475">IF(ISBLANK(B475),"",B475*2.2046226218)</f>
        <v>172.952644680210</v>
      </c>
      <c r="D475" s="962" cm="1">
        <f t="array" ref="D475">IF(ISBLANK(B475),"",AVERAGE(B469:B475))</f>
        <v>78.3142857142857</v>
      </c>
      <c r="E475" s="962" cm="1">
        <f t="array" ref="E475">IF(ISBLANK(B475),"",AVERAGE(B462:B475))</f>
        <v>78.51666666666669</v>
      </c>
      <c r="F475" s="962" cm="1">
        <f t="array" ref="F475">IF(ISBLANK(B475),"",AVERAGE(B446:B475))</f>
        <v>78.0535714285714</v>
      </c>
      <c r="G475" s="964"/>
      <c r="H475" s="964"/>
      <c r="I475" s="964"/>
      <c r="J475" s="964"/>
      <c r="K475" s="964"/>
      <c r="L475" s="964"/>
      <c r="M475" s="964"/>
      <c r="N475" s="964"/>
      <c r="O475" s="964"/>
      <c r="P475" s="964"/>
      <c r="Q475" s="962"/>
      <c r="R475" t="str" s="964" cm="1">
        <f t="array" ref="R475">IF(OR(ISBLANK($B475),NOT(ISBLANK(B475))),"",'tracking - Table 2-1-2'!C$66)</f>
      </c>
      <c r="S475" t="str" s="964" cm="1">
        <f t="array" ref="S475">IF(OR(ISBLANK($B475),NOT(ISBLANK(B475))),"",'tracking - Table 2-1-2'!D$66)</f>
      </c>
      <c r="T475" t="str" s="964" cm="1">
        <f t="array" ref="T475">IF(OR(ISBLANK($B475),NOT(ISBLANK(B475))),"",'tracking - Table 2-1-2'!E$66)</f>
      </c>
      <c r="U475" t="str" s="969" cm="1">
        <f t="array" ref="U475">IF(OR(ISBLANK($B475),ISBLANK('tracking - Table 2-1-2'!A$1)),"",'tracking - Table 2-1-2'!F$66)</f>
      </c>
    </row>
    <row r="476" ht="8.75" customHeight="1" hidden="1">
      <c r="A476" s="960">
        <v>44815</v>
      </c>
      <c r="B476" s="961">
        <v>76</v>
      </c>
      <c r="C476" s="965" cm="1">
        <f t="array" ref="C476">IF(ISBLANK(B476),"",B476*2.2046226218)</f>
        <v>167.5513192568</v>
      </c>
      <c r="D476" s="962" cm="1">
        <f t="array" ref="D476">IF(ISBLANK(B476),"",AVERAGE(B470:B476))</f>
        <v>78.01428571428571</v>
      </c>
      <c r="E476" s="962" cm="1">
        <f t="array" ref="E476">IF(ISBLANK(B476),"",AVERAGE(B463:B476))</f>
        <v>78.3230769230769</v>
      </c>
      <c r="F476" s="962" cm="1">
        <f t="array" ref="F476">IF(ISBLANK(B476),"",AVERAGE(B447:B476))</f>
        <v>78.02678571428569</v>
      </c>
      <c r="G476" s="964"/>
      <c r="H476" s="964"/>
      <c r="I476" s="964"/>
      <c r="J476" s="964"/>
      <c r="K476" s="964"/>
      <c r="L476" s="964"/>
      <c r="M476" s="964"/>
      <c r="N476" s="964"/>
      <c r="O476" s="964"/>
      <c r="P476" s="964"/>
      <c r="Q476" s="962"/>
      <c r="R476" t="str" s="964" cm="1">
        <f t="array" ref="R476">IF(OR(ISBLANK($B476),NOT(ISBLANK(B476))),"",'tracking - Table 2-1-2'!C$66)</f>
      </c>
      <c r="S476" t="str" s="964" cm="1">
        <f t="array" ref="S476">IF(OR(ISBLANK($B476),NOT(ISBLANK(B476))),"",'tracking - Table 2-1-2'!D$66)</f>
      </c>
      <c r="T476" t="str" s="964" cm="1">
        <f t="array" ref="T476">IF(OR(ISBLANK($B476),NOT(ISBLANK(B476))),"",'tracking - Table 2-1-2'!E$66)</f>
      </c>
      <c r="U476" t="str" s="969" cm="1">
        <f t="array" ref="U476">IF(OR(ISBLANK($B476),ISBLANK('tracking - Table 2-1-2'!A$1)),"",'tracking - Table 2-1-2'!F$66)</f>
      </c>
    </row>
    <row r="477" ht="8.75" customHeight="1" hidden="1">
      <c r="A477" s="960">
        <v>44816</v>
      </c>
      <c r="B477" s="961">
        <v>76</v>
      </c>
      <c r="C477" s="965" cm="1">
        <f t="array" ref="C477">IF(ISBLANK(B477),"",B477*2.2046226218)</f>
        <v>167.5513192568</v>
      </c>
      <c r="D477" s="962" cm="1">
        <f t="array" ref="D477">IF(ISBLANK(B477),"",AVERAGE(B471:B477))</f>
        <v>77.7071428571429</v>
      </c>
      <c r="E477" s="962" cm="1">
        <f t="array" ref="E477">IF(ISBLANK(B477),"",AVERAGE(B464:B477))</f>
        <v>78.1076923076923</v>
      </c>
      <c r="F477" s="962" cm="1">
        <f t="array" ref="F477">IF(ISBLANK(B477),"",AVERAGE(B448:B477))</f>
        <v>78.00535714285709</v>
      </c>
      <c r="G477" s="964"/>
      <c r="H477" s="964"/>
      <c r="I477" s="964"/>
      <c r="J477" s="964"/>
      <c r="K477" s="964"/>
      <c r="L477" s="964"/>
      <c r="M477" s="964"/>
      <c r="N477" s="964"/>
      <c r="O477" s="964"/>
      <c r="P477" s="964"/>
      <c r="Q477" s="962"/>
      <c r="R477" t="str" s="964" cm="1">
        <f t="array" ref="R477">IF(OR(ISBLANK($B477),NOT(ISBLANK(B477))),"",'tracking - Table 2-1-2'!C$66)</f>
      </c>
      <c r="S477" t="str" s="964" cm="1">
        <f t="array" ref="S477">IF(OR(ISBLANK($B477),NOT(ISBLANK(B477))),"",'tracking - Table 2-1-2'!D$66)</f>
      </c>
      <c r="T477" t="str" s="964" cm="1">
        <f t="array" ref="T477">IF(OR(ISBLANK($B477),NOT(ISBLANK(B477))),"",'tracking - Table 2-1-2'!E$66)</f>
      </c>
      <c r="U477" t="str" s="969" cm="1">
        <f t="array" ref="U477">IF(OR(ISBLANK($B477),ISBLANK('tracking - Table 2-1-2'!A$1)),"",'tracking - Table 2-1-2'!F$66)</f>
      </c>
    </row>
    <row r="478" ht="8.75" customHeight="1" hidden="1">
      <c r="A478" s="960">
        <v>44817</v>
      </c>
      <c r="B478" s="961">
        <v>77.09999999999999</v>
      </c>
      <c r="C478" s="965" cm="1">
        <f t="array" ref="C478">IF(ISBLANK(B478),"",B478*2.2046226218)</f>
        <v>169.976404140780</v>
      </c>
      <c r="D478" s="962" cm="1">
        <f t="array" ref="D478">IF(ISBLANK(B478),"",AVERAGE(B472:B478))</f>
        <v>77.55714285714291</v>
      </c>
      <c r="E478" s="962" cm="1">
        <f t="array" ref="E478">IF(ISBLANK(B478),"",AVERAGE(B465:B478))</f>
        <v>77.9538461538462</v>
      </c>
      <c r="F478" s="962" cm="1">
        <f t="array" ref="F478">IF(ISBLANK(B478),"",AVERAGE(B449:B478))</f>
        <v>78.03749999999999</v>
      </c>
      <c r="G478" s="964"/>
      <c r="H478" s="964"/>
      <c r="I478" s="964"/>
      <c r="J478" s="964"/>
      <c r="K478" s="964"/>
      <c r="L478" s="964"/>
      <c r="M478" s="964"/>
      <c r="N478" s="964"/>
      <c r="O478" s="964"/>
      <c r="P478" s="964"/>
      <c r="Q478" s="962"/>
      <c r="R478" t="str" s="964" cm="1">
        <f t="array" ref="R478">IF(OR(ISBLANK($B478),NOT(ISBLANK(B478))),"",'tracking - Table 2-1-2'!C$66)</f>
      </c>
      <c r="S478" t="str" s="964" cm="1">
        <f t="array" ref="S478">IF(OR(ISBLANK($B478),NOT(ISBLANK(B478))),"",'tracking - Table 2-1-2'!D$66)</f>
      </c>
      <c r="T478" t="str" s="964" cm="1">
        <f t="array" ref="T478">IF(OR(ISBLANK($B478),NOT(ISBLANK(B478))),"",'tracking - Table 2-1-2'!E$66)</f>
      </c>
      <c r="U478" t="str" s="969" cm="1">
        <f t="array" ref="U478">IF(OR(ISBLANK($B478),ISBLANK('tracking - Table 2-1-2'!A$1)),"",'tracking - Table 2-1-2'!F$66)</f>
      </c>
    </row>
    <row r="479" ht="8.75" customHeight="1" hidden="1">
      <c r="A479" s="960">
        <v>44818</v>
      </c>
      <c r="B479" s="961">
        <v>78</v>
      </c>
      <c r="C479" s="965" cm="1">
        <f t="array" ref="C479">IF(ISBLANK(B479),"",B479*2.2046226218)</f>
        <v>171.9605645004</v>
      </c>
      <c r="D479" s="962" cm="1">
        <f t="array" ref="D479">IF(ISBLANK(B479),"",AVERAGE(B473:B479))</f>
        <v>77.5428571428571</v>
      </c>
      <c r="E479" s="962" cm="1">
        <f t="array" ref="E479">IF(ISBLANK(B479),"",AVERAGE(B466:B479))</f>
        <v>77.91923076923079</v>
      </c>
      <c r="F479" s="962" cm="1">
        <f t="array" ref="F479">IF(ISBLANK(B479),"",AVERAGE(B450:B479))</f>
        <v>78.08928571428569</v>
      </c>
      <c r="G479" s="964"/>
      <c r="H479" s="964"/>
      <c r="I479" s="964"/>
      <c r="J479" s="964"/>
      <c r="K479" s="964"/>
      <c r="L479" s="964"/>
      <c r="M479" s="964"/>
      <c r="N479" s="964"/>
      <c r="O479" s="964"/>
      <c r="P479" s="964"/>
      <c r="Q479" s="962"/>
      <c r="R479" t="str" s="964" cm="1">
        <f t="array" ref="R479">IF(OR(ISBLANK($B479),NOT(ISBLANK(B479))),"",'tracking - Table 2-1-2'!C$66)</f>
      </c>
      <c r="S479" t="str" s="964" cm="1">
        <f t="array" ref="S479">IF(OR(ISBLANK($B479),NOT(ISBLANK(B479))),"",'tracking - Table 2-1-2'!D$66)</f>
      </c>
      <c r="T479" t="str" s="964" cm="1">
        <f t="array" ref="T479">IF(OR(ISBLANK($B479),NOT(ISBLANK(B479))),"",'tracking - Table 2-1-2'!E$66)</f>
      </c>
      <c r="U479" t="str" s="969" cm="1">
        <f t="array" ref="U479">IF(OR(ISBLANK($B479),ISBLANK('tracking - Table 2-1-2'!A$1)),"",'tracking - Table 2-1-2'!F$66)</f>
      </c>
    </row>
    <row r="480" ht="8.75" customHeight="1" hidden="1">
      <c r="A480" s="960">
        <v>44819</v>
      </c>
      <c r="B480" s="961">
        <v>77.2</v>
      </c>
      <c r="C480" s="965" cm="1">
        <f t="array" ref="C480">IF(ISBLANK(B480),"",B480*2.2046226218)</f>
        <v>170.196866402960</v>
      </c>
      <c r="D480" s="962" cm="1">
        <f t="array" ref="D480">IF(ISBLANK(B480),"",AVERAGE(B474:B480))</f>
        <v>77.3642857142857</v>
      </c>
      <c r="E480" s="962" cm="1">
        <f t="array" ref="E480">IF(ISBLANK(B480),"",AVERAGE(B467:B480))</f>
        <v>77.8230769230769</v>
      </c>
      <c r="F480" s="962" cm="1">
        <f t="array" ref="F480">IF(ISBLANK(B480),"",AVERAGE(B451:B480))</f>
        <v>78.1142857142857</v>
      </c>
      <c r="G480" s="964"/>
      <c r="H480" s="964"/>
      <c r="I480" s="964"/>
      <c r="J480" s="964"/>
      <c r="K480" s="964"/>
      <c r="L480" s="964"/>
      <c r="M480" s="964"/>
      <c r="N480" s="964"/>
      <c r="O480" s="964"/>
      <c r="P480" s="964"/>
      <c r="Q480" s="962"/>
      <c r="R480" t="str" s="964" cm="1">
        <f t="array" ref="R480">IF(OR(ISBLANK($B480),NOT(ISBLANK(B480))),"",'tracking - Table 2-1-2'!C$66)</f>
      </c>
      <c r="S480" t="str" s="964" cm="1">
        <f t="array" ref="S480">IF(OR(ISBLANK($B480),NOT(ISBLANK(B480))),"",'tracking - Table 2-1-2'!D$66)</f>
      </c>
      <c r="T480" t="str" s="964" cm="1">
        <f t="array" ref="T480">IF(OR(ISBLANK($B480),NOT(ISBLANK(B480))),"",'tracking - Table 2-1-2'!E$66)</f>
      </c>
      <c r="U480" t="str" s="969" cm="1">
        <f t="array" ref="U480">IF(OR(ISBLANK($B480),ISBLANK('tracking - Table 2-1-2'!A$1)),"",'tracking - Table 2-1-2'!F$66)</f>
      </c>
    </row>
    <row r="481" ht="8.75" customHeight="1" hidden="1">
      <c r="A481" s="960">
        <v>44820</v>
      </c>
      <c r="B481" s="961">
        <v>77.2</v>
      </c>
      <c r="C481" s="965" cm="1">
        <f t="array" ref="C481">IF(ISBLANK(B481),"",B481*2.2046226218)</f>
        <v>170.196866402960</v>
      </c>
      <c r="D481" s="962" cm="1">
        <f t="array" ref="D481">IF(ISBLANK(B481),"",AVERAGE(B475:B481))</f>
        <v>77.1357142857143</v>
      </c>
      <c r="E481" s="962" cm="1">
        <f t="array" ref="E481">IF(ISBLANK(B481),"",AVERAGE(B468:B481))</f>
        <v>77.66923076923079</v>
      </c>
      <c r="F481" s="962" cm="1">
        <f t="array" ref="F481">IF(ISBLANK(B481),"",AVERAGE(B452:B481))</f>
        <v>78.13928571428571</v>
      </c>
      <c r="G481" s="964"/>
      <c r="H481" s="964"/>
      <c r="I481" s="964"/>
      <c r="J481" s="964"/>
      <c r="K481" s="964"/>
      <c r="L481" s="964"/>
      <c r="M481" s="964"/>
      <c r="N481" s="964"/>
      <c r="O481" s="964"/>
      <c r="P481" s="964"/>
      <c r="Q481" s="962"/>
      <c r="R481" t="str" s="964" cm="1">
        <f t="array" ref="R481">IF(OR(ISBLANK($B481),NOT(ISBLANK(B481))),"",'tracking - Table 2-1-2'!C$66)</f>
      </c>
      <c r="S481" t="str" s="964" cm="1">
        <f t="array" ref="S481">IF(OR(ISBLANK($B481),NOT(ISBLANK(B481))),"",'tracking - Table 2-1-2'!D$66)</f>
      </c>
      <c r="T481" t="str" s="964" cm="1">
        <f t="array" ref="T481">IF(OR(ISBLANK($B481),NOT(ISBLANK(B481))),"",'tracking - Table 2-1-2'!E$66)</f>
      </c>
      <c r="U481" t="str" s="969" cm="1">
        <f t="array" ref="U481">IF(OR(ISBLANK($B481),ISBLANK('tracking - Table 2-1-2'!A$1)),"",'tracking - Table 2-1-2'!F$66)</f>
      </c>
    </row>
    <row r="482" ht="8.75" customHeight="1" hidden="1">
      <c r="A482" s="960">
        <v>44821</v>
      </c>
      <c r="B482" s="961">
        <v>76.8</v>
      </c>
      <c r="C482" s="965" cm="1">
        <f t="array" ref="C482">IF(ISBLANK(B482),"",B482*2.2046226218)</f>
        <v>169.315017354240</v>
      </c>
      <c r="D482" s="962" cm="1">
        <f t="array" ref="D482">IF(ISBLANK(B482),"",AVERAGE(B476:B482))</f>
        <v>76.90000000000001</v>
      </c>
      <c r="E482" s="962" cm="1">
        <f t="array" ref="E482">IF(ISBLANK(B482),"",AVERAGE(B469:B482))</f>
        <v>77.6071428571429</v>
      </c>
      <c r="F482" s="962" cm="1">
        <f t="array" ref="F482">IF(ISBLANK(B482),"",AVERAGE(B453:B482))</f>
        <v>78.14107142857139</v>
      </c>
      <c r="G482" s="964"/>
      <c r="H482" s="964"/>
      <c r="I482" s="964"/>
      <c r="J482" s="964"/>
      <c r="K482" s="964"/>
      <c r="L482" s="964"/>
      <c r="M482" s="964"/>
      <c r="N482" s="964"/>
      <c r="O482" s="964"/>
      <c r="P482" s="964"/>
      <c r="Q482" s="962"/>
      <c r="R482" t="str" s="964" cm="1">
        <f t="array" ref="R482">IF(OR(ISBLANK($B482),NOT(ISBLANK(B482))),"",'tracking - Table 2-1-2'!C$66)</f>
      </c>
      <c r="S482" t="str" s="964" cm="1">
        <f t="array" ref="S482">IF(OR(ISBLANK($B482),NOT(ISBLANK(B482))),"",'tracking - Table 2-1-2'!D$66)</f>
      </c>
      <c r="T482" t="str" s="964" cm="1">
        <f t="array" ref="T482">IF(OR(ISBLANK($B482),NOT(ISBLANK(B482))),"",'tracking - Table 2-1-2'!E$66)</f>
      </c>
      <c r="U482" t="str" s="969" cm="1">
        <f t="array" ref="U482">IF(OR(ISBLANK($B482),ISBLANK('tracking - Table 2-1-2'!A$1)),"",'tracking - Table 2-1-2'!F$66)</f>
      </c>
    </row>
    <row r="483" ht="8.75" customHeight="1" hidden="1">
      <c r="A483" s="960">
        <v>44822</v>
      </c>
      <c r="B483" s="961">
        <v>77.75</v>
      </c>
      <c r="C483" s="965" cm="1">
        <f t="array" ref="C483">IF(ISBLANK(B483),"",B483*2.2046226218)</f>
        <v>171.409408844950</v>
      </c>
      <c r="D483" s="962" cm="1">
        <f t="array" ref="D483">IF(ISBLANK(B483),"",AVERAGE(B477:B483))</f>
        <v>77.15000000000001</v>
      </c>
      <c r="E483" s="962" cm="1">
        <f t="array" ref="E483">IF(ISBLANK(B483),"",AVERAGE(B470:B483))</f>
        <v>77.5821428571429</v>
      </c>
      <c r="F483" s="962" cm="1">
        <f t="array" ref="F483">IF(ISBLANK(B483),"",AVERAGE(B454:B483))</f>
        <v>78.125</v>
      </c>
      <c r="G483" s="964"/>
      <c r="H483" s="964"/>
      <c r="I483" s="964"/>
      <c r="J483" s="964"/>
      <c r="K483" s="964"/>
      <c r="L483" s="964"/>
      <c r="M483" s="964"/>
      <c r="N483" s="964"/>
      <c r="O483" s="964"/>
      <c r="P483" s="964"/>
      <c r="Q483" s="962"/>
      <c r="R483" t="str" s="964" cm="1">
        <f t="array" ref="R483">IF(OR(ISBLANK($B483),NOT(ISBLANK(B483))),"",'tracking - Table 2-1-2'!C$66)</f>
      </c>
      <c r="S483" t="str" s="964" cm="1">
        <f t="array" ref="S483">IF(OR(ISBLANK($B483),NOT(ISBLANK(B483))),"",'tracking - Table 2-1-2'!D$66)</f>
      </c>
      <c r="T483" t="str" s="964" cm="1">
        <f t="array" ref="T483">IF(OR(ISBLANK($B483),NOT(ISBLANK(B483))),"",'tracking - Table 2-1-2'!E$66)</f>
      </c>
      <c r="U483" t="str" s="969" cm="1">
        <f t="array" ref="U483">IF(OR(ISBLANK($B483),ISBLANK('tracking - Table 2-1-2'!A$1)),"",'tracking - Table 2-1-2'!F$66)</f>
      </c>
    </row>
    <row r="484" ht="8.75" customHeight="1" hidden="1">
      <c r="A484" s="960">
        <v>44823</v>
      </c>
      <c r="B484" s="961">
        <v>77.40000000000001</v>
      </c>
      <c r="C484" s="965" cm="1">
        <f t="array" ref="C484">IF(ISBLANK(B484),"",B484*2.2046226218)</f>
        <v>170.637790927320</v>
      </c>
      <c r="D484" s="962" cm="1">
        <f t="array" ref="D484">IF(ISBLANK(B484),"",AVERAGE(B478:B484))</f>
        <v>77.34999999999999</v>
      </c>
      <c r="E484" s="962" cm="1">
        <f t="array" ref="E484">IF(ISBLANK(B484),"",AVERAGE(B471:B484))</f>
        <v>77.5285714285714</v>
      </c>
      <c r="F484" s="962" cm="1">
        <f t="array" ref="F484">IF(ISBLANK(B484),"",AVERAGE(B455:B484))</f>
        <v>78.075</v>
      </c>
      <c r="G484" s="964"/>
      <c r="H484" s="964"/>
      <c r="I484" s="964"/>
      <c r="J484" s="964"/>
      <c r="K484" s="964"/>
      <c r="L484" s="964"/>
      <c r="M484" s="964"/>
      <c r="N484" s="964"/>
      <c r="O484" s="964"/>
      <c r="P484" s="964"/>
      <c r="Q484" s="962"/>
      <c r="R484" t="str" s="964" cm="1">
        <f t="array" ref="R484">IF(OR(ISBLANK($B484),NOT(ISBLANK(B484))),"",'tracking - Table 2-1-2'!C$66)</f>
      </c>
      <c r="S484" t="str" s="964" cm="1">
        <f t="array" ref="S484">IF(OR(ISBLANK($B484),NOT(ISBLANK(B484))),"",'tracking - Table 2-1-2'!D$66)</f>
      </c>
      <c r="T484" t="str" s="964" cm="1">
        <f t="array" ref="T484">IF(OR(ISBLANK($B484),NOT(ISBLANK(B484))),"",'tracking - Table 2-1-2'!E$66)</f>
      </c>
      <c r="U484" t="str" s="969" cm="1">
        <f t="array" ref="U484">IF(OR(ISBLANK($B484),ISBLANK('tracking - Table 2-1-2'!A$1)),"",'tracking - Table 2-1-2'!F$66)</f>
      </c>
    </row>
    <row r="485" ht="8.75" customHeight="1" hidden="1">
      <c r="A485" s="960">
        <v>44824</v>
      </c>
      <c r="B485" s="961">
        <v>77.65000000000001</v>
      </c>
      <c r="C485" s="965" cm="1">
        <f t="array" ref="C485">IF(ISBLANK(B485),"",B485*2.2046226218)</f>
        <v>171.188946582770</v>
      </c>
      <c r="D485" s="962" cm="1">
        <f t="array" ref="D485">IF(ISBLANK(B485),"",AVERAGE(B479:B485))</f>
        <v>77.4285714285714</v>
      </c>
      <c r="E485" s="962" cm="1">
        <f t="array" ref="E485">IF(ISBLANK(B485),"",AVERAGE(B472:B485))</f>
        <v>77.4928571428571</v>
      </c>
      <c r="F485" s="962" cm="1">
        <f t="array" ref="F485">IF(ISBLANK(B485),"",AVERAGE(B456:B485))</f>
        <v>78.0446428571429</v>
      </c>
      <c r="G485" s="964"/>
      <c r="H485" s="964"/>
      <c r="I485" s="964"/>
      <c r="J485" s="964"/>
      <c r="K485" s="964"/>
      <c r="L485" s="964"/>
      <c r="M485" s="964"/>
      <c r="N485" s="964"/>
      <c r="O485" s="964"/>
      <c r="P485" s="964"/>
      <c r="Q485" s="962"/>
      <c r="R485" t="str" s="964" cm="1">
        <f t="array" ref="R485">IF(OR(ISBLANK($B485),NOT(ISBLANK(B485))),"",'tracking - Table 2-1-2'!C$66)</f>
      </c>
      <c r="S485" t="str" s="964" cm="1">
        <f t="array" ref="S485">IF(OR(ISBLANK($B485),NOT(ISBLANK(B485))),"",'tracking - Table 2-1-2'!D$66)</f>
      </c>
      <c r="T485" t="str" s="964" cm="1">
        <f t="array" ref="T485">IF(OR(ISBLANK($B485),NOT(ISBLANK(B485))),"",'tracking - Table 2-1-2'!E$66)</f>
      </c>
      <c r="U485" t="str" s="969" cm="1">
        <f t="array" ref="U485">IF(OR(ISBLANK($B485),ISBLANK('tracking - Table 2-1-2'!A$1)),"",'tracking - Table 2-1-2'!F$66)</f>
      </c>
    </row>
    <row r="486" ht="8.75" customHeight="1" hidden="1">
      <c r="A486" s="960">
        <v>44825</v>
      </c>
      <c r="B486" s="961">
        <v>77.7</v>
      </c>
      <c r="C486" s="965" cm="1">
        <f t="array" ref="C486">IF(ISBLANK(B486),"",B486*2.2046226218)</f>
        <v>171.299177713860</v>
      </c>
      <c r="D486" s="962" cm="1">
        <f t="array" ref="D486">IF(ISBLANK(B486),"",AVERAGE(B480:B486))</f>
        <v>77.3857142857143</v>
      </c>
      <c r="E486" s="962" cm="1">
        <f t="array" ref="E486">IF(ISBLANK(B486),"",AVERAGE(B473:B486))</f>
        <v>77.46428571428569</v>
      </c>
      <c r="F486" s="962" cm="1">
        <f t="array" ref="F486">IF(ISBLANK(B486),"",AVERAGE(B457:B486))</f>
        <v>78.01607142857139</v>
      </c>
      <c r="G486" s="964"/>
      <c r="H486" s="964"/>
      <c r="I486" s="964"/>
      <c r="J486" s="964"/>
      <c r="K486" s="964"/>
      <c r="L486" s="964"/>
      <c r="M486" s="964"/>
      <c r="N486" s="964"/>
      <c r="O486" s="964"/>
      <c r="P486" s="964"/>
      <c r="Q486" s="962"/>
      <c r="R486" t="str" s="964" cm="1">
        <f t="array" ref="R486">IF(OR(ISBLANK($B486),NOT(ISBLANK(B486))),"",'tracking - Table 2-1-2'!C$66)</f>
      </c>
      <c r="S486" t="str" s="964" cm="1">
        <f t="array" ref="S486">IF(OR(ISBLANK($B486),NOT(ISBLANK(B486))),"",'tracking - Table 2-1-2'!D$66)</f>
      </c>
      <c r="T486" t="str" s="964" cm="1">
        <f t="array" ref="T486">IF(OR(ISBLANK($B486),NOT(ISBLANK(B486))),"",'tracking - Table 2-1-2'!E$66)</f>
      </c>
      <c r="U486" t="str" s="969" cm="1">
        <f t="array" ref="U486">IF(OR(ISBLANK($B486),ISBLANK('tracking - Table 2-1-2'!A$1)),"",'tracking - Table 2-1-2'!F$66)</f>
      </c>
    </row>
    <row r="487" ht="8.75" customHeight="1" hidden="1">
      <c r="A487" s="960">
        <v>44826</v>
      </c>
      <c r="B487" s="961">
        <v>78.15000000000001</v>
      </c>
      <c r="C487" s="965" cm="1">
        <f t="array" ref="C487">IF(ISBLANK(B487),"",B487*2.2046226218)</f>
        <v>172.291257893670</v>
      </c>
      <c r="D487" s="962" cm="1">
        <f t="array" ref="D487">IF(ISBLANK(B487),"",AVERAGE(B481:B487))</f>
        <v>77.5214285714286</v>
      </c>
      <c r="E487" s="962" cm="1">
        <f t="array" ref="E487">IF(ISBLANK(B487),"",AVERAGE(B474:B487))</f>
        <v>77.44285714285709</v>
      </c>
      <c r="F487" s="962" cm="1">
        <f t="array" ref="F487">IF(ISBLANK(B487),"",AVERAGE(B458:B487))</f>
        <v>78.00357142857141</v>
      </c>
      <c r="G487" s="964"/>
      <c r="H487" s="964"/>
      <c r="I487" s="964"/>
      <c r="J487" s="964"/>
      <c r="K487" s="964"/>
      <c r="L487" s="964"/>
      <c r="M487" s="964"/>
      <c r="N487" s="964"/>
      <c r="O487" s="964"/>
      <c r="P487" s="964"/>
      <c r="Q487" s="962"/>
      <c r="R487" t="str" s="964" cm="1">
        <f t="array" ref="R487">IF(OR(ISBLANK($B487),NOT(ISBLANK(B487))),"",'tracking - Table 2-1-2'!C$66)</f>
      </c>
      <c r="S487" t="str" s="964" cm="1">
        <f t="array" ref="S487">IF(OR(ISBLANK($B487),NOT(ISBLANK(B487))),"",'tracking - Table 2-1-2'!D$66)</f>
      </c>
      <c r="T487" t="str" s="964" cm="1">
        <f t="array" ref="T487">IF(OR(ISBLANK($B487),NOT(ISBLANK(B487))),"",'tracking - Table 2-1-2'!E$66)</f>
      </c>
      <c r="U487" t="str" s="969" cm="1">
        <f t="array" ref="U487">IF(OR(ISBLANK($B487),ISBLANK('tracking - Table 2-1-2'!A$1)),"",'tracking - Table 2-1-2'!F$66)</f>
      </c>
    </row>
    <row r="488" ht="8.75" customHeight="1" hidden="1">
      <c r="A488" s="960">
        <v>44827</v>
      </c>
      <c r="B488" s="961">
        <v>78.55</v>
      </c>
      <c r="C488" s="965" cm="1">
        <f t="array" ref="C488">IF(ISBLANK(B488),"",B488*2.2046226218)</f>
        <v>173.173106942390</v>
      </c>
      <c r="D488" s="962" cm="1">
        <f t="array" ref="D488">IF(ISBLANK(B488),"",AVERAGE(B482:B488))</f>
        <v>77.71428571428569</v>
      </c>
      <c r="E488" s="962" cm="1">
        <f t="array" ref="E488">IF(ISBLANK(B488),"",AVERAGE(B475:B488))</f>
        <v>77.425</v>
      </c>
      <c r="F488" s="962" cm="1">
        <f t="array" ref="F488">IF(ISBLANK(B488),"",AVERAGE(B459:B488))</f>
        <v>77.9875</v>
      </c>
      <c r="G488" s="964"/>
      <c r="H488" s="964"/>
      <c r="I488" s="964"/>
      <c r="J488" s="964"/>
      <c r="K488" s="964"/>
      <c r="L488" s="964"/>
      <c r="M488" s="964"/>
      <c r="N488" s="964"/>
      <c r="O488" s="964"/>
      <c r="P488" s="964"/>
      <c r="Q488" s="962"/>
      <c r="R488" t="str" s="964" cm="1">
        <f t="array" ref="R488">IF(OR(ISBLANK($B488),NOT(ISBLANK(B488))),"",'tracking - Table 2-1-2'!C$66)</f>
      </c>
      <c r="S488" t="str" s="964" cm="1">
        <f t="array" ref="S488">IF(OR(ISBLANK($B488),NOT(ISBLANK(B488))),"",'tracking - Table 2-1-2'!D$66)</f>
      </c>
      <c r="T488" t="str" s="964" cm="1">
        <f t="array" ref="T488">IF(OR(ISBLANK($B488),NOT(ISBLANK(B488))),"",'tracking - Table 2-1-2'!E$66)</f>
      </c>
      <c r="U488" t="str" s="969" cm="1">
        <f t="array" ref="U488">IF(OR(ISBLANK($B488),ISBLANK('tracking - Table 2-1-2'!A$1)),"",'tracking - Table 2-1-2'!F$66)</f>
      </c>
    </row>
    <row r="489" ht="8.75" customHeight="1" hidden="1">
      <c r="A489" s="960">
        <v>44828</v>
      </c>
      <c r="B489" s="961">
        <v>78.90000000000001</v>
      </c>
      <c r="C489" s="965" cm="1">
        <f t="array" ref="C489">IF(ISBLANK(B489),"",B489*2.2046226218)</f>
        <v>173.944724860020</v>
      </c>
      <c r="D489" s="962" cm="1">
        <f t="array" ref="D489">IF(ISBLANK(B489),"",AVERAGE(B483:B489))</f>
        <v>78.01428571428571</v>
      </c>
      <c r="E489" s="962" cm="1">
        <f t="array" ref="E489">IF(ISBLANK(B489),"",AVERAGE(B476:B489))</f>
        <v>77.4571428571429</v>
      </c>
      <c r="F489" s="962" cm="1">
        <f t="array" ref="F489">IF(ISBLANK(B489),"",AVERAGE(B460:B489))</f>
        <v>77.99464285714291</v>
      </c>
      <c r="G489" s="964"/>
      <c r="H489" s="964"/>
      <c r="I489" s="964"/>
      <c r="J489" s="964"/>
      <c r="K489" s="964"/>
      <c r="L489" s="964"/>
      <c r="M489" s="964"/>
      <c r="N489" s="964"/>
      <c r="O489" s="964"/>
      <c r="P489" s="964"/>
      <c r="Q489" s="962"/>
      <c r="R489" t="str" s="964" cm="1">
        <f t="array" ref="R489">IF(OR(ISBLANK($B489),NOT(ISBLANK(B489))),"",'tracking - Table 2-1-2'!C$66)</f>
      </c>
      <c r="S489" t="str" s="964" cm="1">
        <f t="array" ref="S489">IF(OR(ISBLANK($B489),NOT(ISBLANK(B489))),"",'tracking - Table 2-1-2'!D$66)</f>
      </c>
      <c r="T489" t="str" s="964" cm="1">
        <f t="array" ref="T489">IF(OR(ISBLANK($B489),NOT(ISBLANK(B489))),"",'tracking - Table 2-1-2'!E$66)</f>
      </c>
      <c r="U489" t="str" s="969" cm="1">
        <f t="array" ref="U489">IF(OR(ISBLANK($B489),ISBLANK('tracking - Table 2-1-2'!A$1)),"",'tracking - Table 2-1-2'!F$66)</f>
      </c>
    </row>
    <row r="490" ht="8.75" customHeight="1" hidden="1">
      <c r="A490" s="960">
        <v>44829</v>
      </c>
      <c r="B490" s="961">
        <v>78.90000000000001</v>
      </c>
      <c r="C490" s="965" cm="1">
        <f t="array" ref="C490">IF(ISBLANK(B490),"",B490*2.2046226218)</f>
        <v>173.944724860020</v>
      </c>
      <c r="D490" s="962" cm="1">
        <f t="array" ref="D490">IF(ISBLANK(B490),"",AVERAGE(B484:B490))</f>
        <v>78.1785714285714</v>
      </c>
      <c r="E490" s="962" cm="1">
        <f t="array" ref="E490">IF(ISBLANK(B490),"",AVERAGE(B477:B490))</f>
        <v>77.6642857142857</v>
      </c>
      <c r="F490" s="962" cm="1">
        <f t="array" ref="F490">IF(ISBLANK(B490),"",AVERAGE(B461:B490))</f>
        <v>78.0107142857143</v>
      </c>
      <c r="G490" s="964"/>
      <c r="H490" s="964"/>
      <c r="I490" s="964"/>
      <c r="J490" s="964"/>
      <c r="K490" s="964"/>
      <c r="L490" s="964"/>
      <c r="M490" s="964"/>
      <c r="N490" s="964"/>
      <c r="O490" s="964"/>
      <c r="P490" s="964"/>
      <c r="Q490" s="962"/>
      <c r="R490" t="str" s="964" cm="1">
        <f t="array" ref="R490">IF(OR(ISBLANK($B490),NOT(ISBLANK(B490))),"",'tracking - Table 2-1-2'!C$66)</f>
      </c>
      <c r="S490" t="str" s="964" cm="1">
        <f t="array" ref="S490">IF(OR(ISBLANK($B490),NOT(ISBLANK(B490))),"",'tracking - Table 2-1-2'!D$66)</f>
      </c>
      <c r="T490" t="str" s="964" cm="1">
        <f t="array" ref="T490">IF(OR(ISBLANK($B490),NOT(ISBLANK(B490))),"",'tracking - Table 2-1-2'!E$66)</f>
      </c>
      <c r="U490" t="str" s="969" cm="1">
        <f t="array" ref="U490">IF(OR(ISBLANK($B490),ISBLANK('tracking - Table 2-1-2'!A$1)),"",'tracking - Table 2-1-2'!F$66)</f>
      </c>
    </row>
    <row r="491" ht="8.75" customHeight="1" hidden="1">
      <c r="A491" s="960">
        <v>44830</v>
      </c>
      <c r="B491" s="961">
        <v>79.3</v>
      </c>
      <c r="C491" s="965" cm="1">
        <f t="array" ref="C491">IF(ISBLANK(B491),"",B491*2.2046226218)</f>
        <v>174.826573908740</v>
      </c>
      <c r="D491" s="962" cm="1">
        <f t="array" ref="D491">IF(ISBLANK(B491),"",AVERAGE(B485:B491))</f>
        <v>78.45</v>
      </c>
      <c r="E491" s="962" cm="1">
        <f t="array" ref="E491">IF(ISBLANK(B491),"",AVERAGE(B478:B491))</f>
        <v>77.90000000000001</v>
      </c>
      <c r="F491" s="962" cm="1">
        <f t="array" ref="F491">IF(ISBLANK(B491),"",AVERAGE(B462:B491))</f>
        <v>78.0285714285714</v>
      </c>
      <c r="G491" s="964"/>
      <c r="H491" s="964"/>
      <c r="I491" s="964"/>
      <c r="J491" s="964"/>
      <c r="K491" s="964"/>
      <c r="L491" s="964"/>
      <c r="M491" s="964"/>
      <c r="N491" s="964"/>
      <c r="O491" s="964"/>
      <c r="P491" s="964"/>
      <c r="Q491" s="962"/>
      <c r="R491" t="str" s="964" cm="1">
        <f t="array" ref="R491">IF(OR(ISBLANK($B491),NOT(ISBLANK(B491))),"",'tracking - Table 2-1-2'!C$66)</f>
      </c>
      <c r="S491" t="str" s="964" cm="1">
        <f t="array" ref="S491">IF(OR(ISBLANK($B491),NOT(ISBLANK(B491))),"",'tracking - Table 2-1-2'!D$66)</f>
      </c>
      <c r="T491" t="str" s="964" cm="1">
        <f t="array" ref="T491">IF(OR(ISBLANK($B491),NOT(ISBLANK(B491))),"",'tracking - Table 2-1-2'!E$66)</f>
      </c>
      <c r="U491" t="str" s="969" cm="1">
        <f t="array" ref="U491">IF(OR(ISBLANK($B491),ISBLANK('tracking - Table 2-1-2'!A$1)),"",'tracking - Table 2-1-2'!F$66)</f>
      </c>
    </row>
    <row r="492" ht="8.75" customHeight="1" hidden="1">
      <c r="A492" s="960">
        <v>44831</v>
      </c>
      <c r="B492" s="961">
        <v>79.3</v>
      </c>
      <c r="C492" s="965" cm="1">
        <f t="array" ref="C492">IF(ISBLANK(B492),"",B492*2.2046226218)</f>
        <v>174.826573908740</v>
      </c>
      <c r="D492" s="962" cm="1">
        <f t="array" ref="D492">IF(ISBLANK(B492),"",AVERAGE(B486:B492))</f>
        <v>78.6857142857143</v>
      </c>
      <c r="E492" s="962" cm="1">
        <f t="array" ref="E492">IF(ISBLANK(B492),"",AVERAGE(B479:B492))</f>
        <v>78.05714285714291</v>
      </c>
      <c r="F492" s="962" cm="1">
        <f t="array" ref="F492">IF(ISBLANK(B492),"",AVERAGE(B463:B492))</f>
        <v>78.07241379310339</v>
      </c>
      <c r="G492" s="964"/>
      <c r="H492" s="964"/>
      <c r="I492" s="964"/>
      <c r="J492" s="964"/>
      <c r="K492" s="964"/>
      <c r="L492" s="964"/>
      <c r="M492" s="964"/>
      <c r="N492" s="964"/>
      <c r="O492" s="964"/>
      <c r="P492" s="964"/>
      <c r="Q492" s="962"/>
      <c r="R492" t="str" s="964" cm="1">
        <f t="array" ref="R492">IF(OR(ISBLANK($B492),NOT(ISBLANK(B492))),"",'tracking - Table 2-1-2'!C$66)</f>
      </c>
      <c r="S492" t="str" s="964" cm="1">
        <f t="array" ref="S492">IF(OR(ISBLANK($B492),NOT(ISBLANK(B492))),"",'tracking - Table 2-1-2'!D$66)</f>
      </c>
      <c r="T492" t="str" s="964" cm="1">
        <f t="array" ref="T492">IF(OR(ISBLANK($B492),NOT(ISBLANK(B492))),"",'tracking - Table 2-1-2'!E$66)</f>
      </c>
      <c r="U492" t="str" s="969" cm="1">
        <f t="array" ref="U492">IF(OR(ISBLANK($B492),ISBLANK('tracking - Table 2-1-2'!A$1)),"",'tracking - Table 2-1-2'!F$66)</f>
      </c>
    </row>
    <row r="493" ht="8.75" customHeight="1" hidden="1">
      <c r="A493" s="960">
        <v>44832</v>
      </c>
      <c r="B493" s="961">
        <v>79.59999999999999</v>
      </c>
      <c r="C493" s="965" cm="1">
        <f t="array" ref="C493">IF(ISBLANK(B493),"",B493*2.2046226218)</f>
        <v>175.487960695280</v>
      </c>
      <c r="D493" s="962" cm="1">
        <f t="array" ref="D493">IF(ISBLANK(B493),"",AVERAGE(B487:B493))</f>
        <v>78.9571428571429</v>
      </c>
      <c r="E493" s="962" cm="1">
        <f t="array" ref="E493">IF(ISBLANK(B493),"",AVERAGE(B480:B493))</f>
        <v>78.17142857142861</v>
      </c>
      <c r="F493" s="962" cm="1">
        <f t="array" ref="F493">IF(ISBLANK(B493),"",AVERAGE(B464:B493))</f>
        <v>78.09999999999999</v>
      </c>
      <c r="G493" s="964"/>
      <c r="H493" s="964"/>
      <c r="I493" s="964"/>
      <c r="J493" s="964"/>
      <c r="K493" s="964"/>
      <c r="L493" s="964"/>
      <c r="M493" s="964"/>
      <c r="N493" s="964"/>
      <c r="O493" s="964"/>
      <c r="P493" s="964"/>
      <c r="Q493" s="962"/>
      <c r="R493" t="str" s="964" cm="1">
        <f t="array" ref="R493">IF(OR(ISBLANK($B493),NOT(ISBLANK(B493))),"",'tracking - Table 2-1-2'!C$66)</f>
      </c>
      <c r="S493" t="str" s="964" cm="1">
        <f t="array" ref="S493">IF(OR(ISBLANK($B493),NOT(ISBLANK(B493))),"",'tracking - Table 2-1-2'!D$66)</f>
      </c>
      <c r="T493" t="str" s="964" cm="1">
        <f t="array" ref="T493">IF(OR(ISBLANK($B493),NOT(ISBLANK(B493))),"",'tracking - Table 2-1-2'!E$66)</f>
      </c>
      <c r="U493" t="str" s="969" cm="1">
        <f t="array" ref="U493">IF(OR(ISBLANK($B493),ISBLANK('tracking - Table 2-1-2'!A$1)),"",'tracking - Table 2-1-2'!F$66)</f>
      </c>
    </row>
    <row r="494" ht="8.75" customHeight="1" hidden="1">
      <c r="A494" s="960">
        <v>44833</v>
      </c>
      <c r="B494" s="961">
        <v>79.09999999999999</v>
      </c>
      <c r="C494" s="965" cm="1">
        <f t="array" ref="C494">IF(ISBLANK(B494),"",B494*2.2046226218)</f>
        <v>174.385649384380</v>
      </c>
      <c r="D494" s="962" cm="1">
        <f t="array" ref="D494">IF(ISBLANK(B494),"",AVERAGE(B488:B494))</f>
        <v>79.0928571428571</v>
      </c>
      <c r="E494" s="962" cm="1">
        <f t="array" ref="E494">IF(ISBLANK(B494),"",AVERAGE(B481:B494))</f>
        <v>78.30714285714291</v>
      </c>
      <c r="F494" s="962" cm="1">
        <f t="array" ref="F494">IF(ISBLANK(B494),"",AVERAGE(B465:B494))</f>
        <v>78.09999999999999</v>
      </c>
      <c r="G494" s="964"/>
      <c r="H494" s="964"/>
      <c r="I494" s="964"/>
      <c r="J494" s="964"/>
      <c r="K494" s="964"/>
      <c r="L494" s="964"/>
      <c r="M494" s="964"/>
      <c r="N494" s="964"/>
      <c r="O494" s="964"/>
      <c r="P494" s="964"/>
      <c r="Q494" s="962"/>
      <c r="R494" t="str" s="964" cm="1">
        <f t="array" ref="R494">IF(OR(ISBLANK($B494),NOT(ISBLANK(B494))),"",'tracking - Table 2-1-2'!C$66)</f>
      </c>
      <c r="S494" t="str" s="964" cm="1">
        <f t="array" ref="S494">IF(OR(ISBLANK($B494),NOT(ISBLANK(B494))),"",'tracking - Table 2-1-2'!D$66)</f>
      </c>
      <c r="T494" t="str" s="964" cm="1">
        <f t="array" ref="T494">IF(OR(ISBLANK($B494),NOT(ISBLANK(B494))),"",'tracking - Table 2-1-2'!E$66)</f>
      </c>
      <c r="U494" t="str" s="969" cm="1">
        <f t="array" ref="U494">IF(OR(ISBLANK($B494),ISBLANK('tracking - Table 2-1-2'!A$1)),"",'tracking - Table 2-1-2'!F$66)</f>
      </c>
    </row>
    <row r="495" ht="8.75" customHeight="1" hidden="1">
      <c r="A495" s="960">
        <v>44834</v>
      </c>
      <c r="B495" s="961">
        <v>78.75</v>
      </c>
      <c r="C495" s="965" cm="1">
        <f t="array" ref="C495">IF(ISBLANK(B495),"",B495*2.2046226218)</f>
        <v>173.614031466750</v>
      </c>
      <c r="D495" s="962" cm="1">
        <f t="array" ref="D495">IF(ISBLANK(B495),"",AVERAGE(B489:B495))</f>
        <v>79.12142857142859</v>
      </c>
      <c r="E495" s="962" cm="1">
        <f t="array" ref="E495">IF(ISBLANK(B495),"",AVERAGE(B482:B495))</f>
        <v>78.4178571428571</v>
      </c>
      <c r="F495" s="962" cm="1">
        <f t="array" ref="F495">IF(ISBLANK(B495),"",AVERAGE(B466:B495))</f>
        <v>78.1103448275862</v>
      </c>
      <c r="G495" s="964"/>
      <c r="H495" s="964"/>
      <c r="I495" s="964"/>
      <c r="J495" s="964"/>
      <c r="K495" s="964"/>
      <c r="L495" s="964"/>
      <c r="M495" s="964"/>
      <c r="N495" s="964"/>
      <c r="O495" s="964"/>
      <c r="P495" s="964"/>
      <c r="Q495" s="962"/>
      <c r="R495" t="str" s="964" cm="1">
        <f t="array" ref="R495">IF(OR(ISBLANK($B495),NOT(ISBLANK(B495))),"",'tracking - Table 2-1-2'!C$66)</f>
      </c>
      <c r="S495" t="str" s="964" cm="1">
        <f t="array" ref="S495">IF(OR(ISBLANK($B495),NOT(ISBLANK(B495))),"",'tracking - Table 2-1-2'!D$66)</f>
      </c>
      <c r="T495" t="str" s="964" cm="1">
        <f t="array" ref="T495">IF(OR(ISBLANK($B495),NOT(ISBLANK(B495))),"",'tracking - Table 2-1-2'!E$66)</f>
      </c>
      <c r="U495" t="str" s="969" cm="1">
        <f t="array" ref="U495">IF(OR(ISBLANK($B495),ISBLANK('tracking - Table 2-1-2'!A$1)),"",'tracking - Table 2-1-2'!F$66)</f>
      </c>
    </row>
    <row r="496" ht="8.75" customHeight="1" hidden="1">
      <c r="A496" s="960">
        <v>44835</v>
      </c>
      <c r="B496" s="961">
        <v>77.65000000000001</v>
      </c>
      <c r="C496" s="965" cm="1">
        <f t="array" ref="C496">IF(ISBLANK(B496),"",B496*2.2046226218)</f>
        <v>171.188946582770</v>
      </c>
      <c r="D496" s="962" cm="1">
        <f t="array" ref="D496">IF(ISBLANK(B496),"",AVERAGE(B490:B496))</f>
        <v>78.94285714285709</v>
      </c>
      <c r="E496" s="962" cm="1">
        <f t="array" ref="E496">IF(ISBLANK(B496),"",AVERAGE(B483:B496))</f>
        <v>78.4785714285714</v>
      </c>
      <c r="F496" s="962" cm="1">
        <f t="array" ref="F496">IF(ISBLANK(B496),"",AVERAGE(B467:B496))</f>
        <v>78.0827586206897</v>
      </c>
      <c r="G496" s="964"/>
      <c r="H496" s="964"/>
      <c r="I496" s="964"/>
      <c r="J496" s="964"/>
      <c r="K496" s="964"/>
      <c r="L496" s="964"/>
      <c r="M496" s="964"/>
      <c r="N496" s="964"/>
      <c r="O496" s="964"/>
      <c r="P496" s="964"/>
      <c r="Q496" s="962"/>
      <c r="R496" t="str" s="964" cm="1">
        <f t="array" ref="R496">IF(OR(ISBLANK($B496),NOT(ISBLANK(B496))),"",'tracking - Table 2-1-2'!C$66)</f>
      </c>
      <c r="S496" t="str" s="964" cm="1">
        <f t="array" ref="S496">IF(OR(ISBLANK($B496),NOT(ISBLANK(B496))),"",'tracking - Table 2-1-2'!D$66)</f>
      </c>
      <c r="T496" t="str" s="964" cm="1">
        <f t="array" ref="T496">IF(OR(ISBLANK($B496),NOT(ISBLANK(B496))),"",'tracking - Table 2-1-2'!E$66)</f>
      </c>
      <c r="U496" t="str" s="969" cm="1">
        <f t="array" ref="U496">IF(OR(ISBLANK($B496),ISBLANK('tracking - Table 2-1-2'!A$1)),"",'tracking - Table 2-1-2'!F$66)</f>
      </c>
    </row>
    <row r="497" ht="8.75" customHeight="1" hidden="1">
      <c r="A497" s="960">
        <v>44836</v>
      </c>
      <c r="B497" s="961">
        <v>78.09999999999999</v>
      </c>
      <c r="C497" s="965" cm="1">
        <f t="array" ref="C497">IF(ISBLANK(B497),"",B497*2.2046226218)</f>
        <v>172.181026762580</v>
      </c>
      <c r="D497" s="962" cm="1">
        <f t="array" ref="D497">IF(ISBLANK(B497),"",AVERAGE(B491:B497))</f>
        <v>78.82857142857139</v>
      </c>
      <c r="E497" s="962" cm="1">
        <f t="array" ref="E497">IF(ISBLANK(B497),"",AVERAGE(B484:B497))</f>
        <v>78.50357142857141</v>
      </c>
      <c r="F497" s="962" cm="1">
        <f t="array" ref="F497">IF(ISBLANK(B497),"",AVERAGE(B468:B497))</f>
        <v>78.04482758620691</v>
      </c>
      <c r="G497" s="964"/>
      <c r="H497" s="964"/>
      <c r="I497" s="964"/>
      <c r="J497" s="964"/>
      <c r="K497" s="964"/>
      <c r="L497" s="964"/>
      <c r="M497" s="964"/>
      <c r="N497" s="964"/>
      <c r="O497" s="964"/>
      <c r="P497" s="964"/>
      <c r="Q497" s="962"/>
      <c r="R497" t="str" s="964" cm="1">
        <f t="array" ref="R497">IF(OR(ISBLANK($B497),NOT(ISBLANK(B497))),"",'tracking - Table 2-1-2'!C$66)</f>
      </c>
      <c r="S497" t="str" s="964" cm="1">
        <f t="array" ref="S497">IF(OR(ISBLANK($B497),NOT(ISBLANK(B497))),"",'tracking - Table 2-1-2'!D$66)</f>
      </c>
      <c r="T497" t="str" s="964" cm="1">
        <f t="array" ref="T497">IF(OR(ISBLANK($B497),NOT(ISBLANK(B497))),"",'tracking - Table 2-1-2'!E$66)</f>
      </c>
      <c r="U497" t="str" s="969" cm="1">
        <f t="array" ref="U497">IF(OR(ISBLANK($B497),ISBLANK('tracking - Table 2-1-2'!A$1)),"",'tracking - Table 2-1-2'!F$66)</f>
      </c>
    </row>
    <row r="498" ht="8.75" customHeight="1" hidden="1">
      <c r="A498" s="960">
        <v>44837</v>
      </c>
      <c r="B498" s="961">
        <v>79.09999999999999</v>
      </c>
      <c r="C498" s="965" cm="1">
        <f t="array" ref="C498">IF(ISBLANK(B498),"",B498*2.2046226218)</f>
        <v>174.385649384380</v>
      </c>
      <c r="D498" s="962" cm="1">
        <f t="array" ref="D498">IF(ISBLANK(B498),"",AVERAGE(B492:B498))</f>
        <v>78.8</v>
      </c>
      <c r="E498" s="962" cm="1">
        <f t="array" ref="E498">IF(ISBLANK(B498),"",AVERAGE(B485:B498))</f>
        <v>78.625</v>
      </c>
      <c r="F498" s="962" cm="1">
        <f t="array" ref="F498">IF(ISBLANK(B498),"",AVERAGE(B469:B498))</f>
        <v>78.08</v>
      </c>
      <c r="G498" s="964"/>
      <c r="H498" s="964"/>
      <c r="I498" s="964"/>
      <c r="J498" s="964"/>
      <c r="K498" s="964"/>
      <c r="L498" s="964"/>
      <c r="M498" s="964"/>
      <c r="N498" s="964"/>
      <c r="O498" s="964"/>
      <c r="P498" s="964"/>
      <c r="Q498" s="962"/>
      <c r="R498" t="str" s="964" cm="1">
        <f t="array" ref="R498">IF(OR(ISBLANK($B498),NOT(ISBLANK(B498))),"",'tracking - Table 2-1-2'!C$66)</f>
      </c>
      <c r="S498" t="str" s="964" cm="1">
        <f t="array" ref="S498">IF(OR(ISBLANK($B498),NOT(ISBLANK(B498))),"",'tracking - Table 2-1-2'!D$66)</f>
      </c>
      <c r="T498" t="str" s="964" cm="1">
        <f t="array" ref="T498">IF(OR(ISBLANK($B498),NOT(ISBLANK(B498))),"",'tracking - Table 2-1-2'!E$66)</f>
      </c>
      <c r="U498" t="str" s="969" cm="1">
        <f t="array" ref="U498">IF(OR(ISBLANK($B498),ISBLANK('tracking - Table 2-1-2'!A$1)),"",'tracking - Table 2-1-2'!F$66)</f>
      </c>
    </row>
    <row r="499" ht="8.75" customHeight="1" hidden="1">
      <c r="A499" s="960">
        <v>44838</v>
      </c>
      <c r="B499" s="961">
        <v>79.05</v>
      </c>
      <c r="C499" s="965" cm="1">
        <f t="array" ref="C499">IF(ISBLANK(B499),"",B499*2.2046226218)</f>
        <v>174.275418253290</v>
      </c>
      <c r="D499" s="962" cm="1">
        <f t="array" ref="D499">IF(ISBLANK(B499),"",AVERAGE(B493:B499))</f>
        <v>78.76428571428571</v>
      </c>
      <c r="E499" s="962" cm="1">
        <f t="array" ref="E499">IF(ISBLANK(B499),"",AVERAGE(B486:B499))</f>
        <v>78.72499999999999</v>
      </c>
      <c r="F499" s="962" cm="1">
        <f t="array" ref="F499">IF(ISBLANK(B499),"",AVERAGE(B470:B499))</f>
        <v>78.11166666666669</v>
      </c>
      <c r="G499" s="964"/>
      <c r="H499" s="964"/>
      <c r="I499" s="964"/>
      <c r="J499" s="964"/>
      <c r="K499" s="964"/>
      <c r="L499" s="964"/>
      <c r="M499" s="964"/>
      <c r="N499" s="964"/>
      <c r="O499" s="964"/>
      <c r="P499" s="964"/>
      <c r="Q499" s="962"/>
      <c r="R499" t="str" s="964" cm="1">
        <f t="array" ref="R499">IF(OR(ISBLANK($B499),NOT(ISBLANK(B499))),"",'tracking - Table 2-1-2'!C$66)</f>
      </c>
      <c r="S499" t="str" s="964" cm="1">
        <f t="array" ref="S499">IF(OR(ISBLANK($B499),NOT(ISBLANK(B499))),"",'tracking - Table 2-1-2'!D$66)</f>
      </c>
      <c r="T499" t="str" s="964" cm="1">
        <f t="array" ref="T499">IF(OR(ISBLANK($B499),NOT(ISBLANK(B499))),"",'tracking - Table 2-1-2'!E$66)</f>
      </c>
      <c r="U499" t="str" s="969" cm="1">
        <f t="array" ref="U499">IF(OR(ISBLANK($B499),ISBLANK('tracking - Table 2-1-2'!A$1)),"",'tracking - Table 2-1-2'!F$66)</f>
      </c>
    </row>
    <row r="500" ht="8.75" customHeight="1" hidden="1">
      <c r="A500" s="960">
        <v>44839</v>
      </c>
      <c r="B500" s="961">
        <v>79.34999999999999</v>
      </c>
      <c r="C500" s="965" cm="1">
        <f t="array" ref="C500">IF(ISBLANK(B500),"",B500*2.2046226218)</f>
        <v>174.936805039830</v>
      </c>
      <c r="D500" s="962" cm="1">
        <f t="array" ref="D500">IF(ISBLANK(B500),"",AVERAGE(B494:B500))</f>
        <v>78.7285714285714</v>
      </c>
      <c r="E500" s="962" cm="1">
        <f t="array" ref="E500">IF(ISBLANK(B500),"",AVERAGE(B487:B500))</f>
        <v>78.8428571428571</v>
      </c>
      <c r="F500" s="962" cm="1">
        <f t="array" ref="F500">IF(ISBLANK(B500),"",AVERAGE(B471:B500))</f>
        <v>78.1516666666667</v>
      </c>
      <c r="G500" s="964"/>
      <c r="H500" s="964"/>
      <c r="I500" s="964"/>
      <c r="J500" s="964"/>
      <c r="K500" s="964"/>
      <c r="L500" s="964"/>
      <c r="M500" s="964"/>
      <c r="N500" s="964"/>
      <c r="O500" s="964"/>
      <c r="P500" s="964"/>
      <c r="Q500" s="962"/>
      <c r="R500" t="str" s="964" cm="1">
        <f t="array" ref="R500">IF(OR(ISBLANK($B500),NOT(ISBLANK(B500))),"",'tracking - Table 2-1-2'!C$66)</f>
      </c>
      <c r="S500" t="str" s="964" cm="1">
        <f t="array" ref="S500">IF(OR(ISBLANK($B500),NOT(ISBLANK(B500))),"",'tracking - Table 2-1-2'!D$66)</f>
      </c>
      <c r="T500" t="str" s="964" cm="1">
        <f t="array" ref="T500">IF(OR(ISBLANK($B500),NOT(ISBLANK(B500))),"",'tracking - Table 2-1-2'!E$66)</f>
      </c>
      <c r="U500" t="str" s="969" cm="1">
        <f t="array" ref="U500">IF(OR(ISBLANK($B500),ISBLANK('tracking - Table 2-1-2'!A$1)),"",'tracking - Table 2-1-2'!F$66)</f>
      </c>
    </row>
    <row r="501" ht="8.75" customHeight="1" hidden="1">
      <c r="A501" s="960">
        <v>44840</v>
      </c>
      <c r="B501" s="961">
        <v>79.55</v>
      </c>
      <c r="C501" s="965" cm="1">
        <f t="array" ref="C501">IF(ISBLANK(B501),"",B501*2.2046226218)</f>
        <v>175.377729564190</v>
      </c>
      <c r="D501" s="962" cm="1">
        <f t="array" ref="D501">IF(ISBLANK(B501),"",AVERAGE(B495:B501))</f>
        <v>78.7928571428571</v>
      </c>
      <c r="E501" s="962" cm="1">
        <f t="array" ref="E501">IF(ISBLANK(B501),"",AVERAGE(B488:B501))</f>
        <v>78.94285714285709</v>
      </c>
      <c r="F501" s="962" cm="1">
        <f t="array" ref="F501">IF(ISBLANK(B501),"",AVERAGE(B472:B501))</f>
        <v>78.1983333333333</v>
      </c>
      <c r="G501" s="964"/>
      <c r="H501" s="964"/>
      <c r="I501" s="964"/>
      <c r="J501" s="964"/>
      <c r="K501" s="964"/>
      <c r="L501" s="964"/>
      <c r="M501" s="964"/>
      <c r="N501" s="964"/>
      <c r="O501" s="964"/>
      <c r="P501" s="964"/>
      <c r="Q501" s="962"/>
      <c r="R501" t="str" s="964" cm="1">
        <f t="array" ref="R501">IF(OR(ISBLANK($B501),NOT(ISBLANK(B501))),"",'tracking - Table 2-1-2'!C$66)</f>
      </c>
      <c r="S501" t="str" s="964" cm="1">
        <f t="array" ref="S501">IF(OR(ISBLANK($B501),NOT(ISBLANK(B501))),"",'tracking - Table 2-1-2'!D$66)</f>
      </c>
      <c r="T501" t="str" s="964" cm="1">
        <f t="array" ref="T501">IF(OR(ISBLANK($B501),NOT(ISBLANK(B501))),"",'tracking - Table 2-1-2'!E$66)</f>
      </c>
      <c r="U501" t="str" s="969" cm="1">
        <f t="array" ref="U501">IF(OR(ISBLANK($B501),ISBLANK('tracking - Table 2-1-2'!A$1)),"",'tracking - Table 2-1-2'!F$66)</f>
      </c>
    </row>
    <row r="502" ht="8.75" customHeight="1" hidden="1">
      <c r="A502" s="960">
        <v>44841</v>
      </c>
      <c r="B502" s="961">
        <v>80</v>
      </c>
      <c r="C502" s="965" cm="1">
        <f t="array" ref="C502">IF(ISBLANK(B502),"",B502*2.2046226218)</f>
        <v>176.369809744</v>
      </c>
      <c r="D502" s="962" cm="1">
        <f t="array" ref="D502">IF(ISBLANK(B502),"",AVERAGE(B496:B502))</f>
        <v>78.9714285714286</v>
      </c>
      <c r="E502" s="962" cm="1">
        <f t="array" ref="E502">IF(ISBLANK(B502),"",AVERAGE(B489:B502))</f>
        <v>79.04642857142861</v>
      </c>
      <c r="F502" s="962" cm="1">
        <f t="array" ref="F502">IF(ISBLANK(B502),"",AVERAGE(B473:B502))</f>
        <v>78.2616666666667</v>
      </c>
      <c r="G502" s="964"/>
      <c r="H502" s="964"/>
      <c r="I502" s="964"/>
      <c r="J502" s="964"/>
      <c r="K502" s="964"/>
      <c r="L502" s="964"/>
      <c r="M502" s="964"/>
      <c r="N502" s="964"/>
      <c r="O502" s="964"/>
      <c r="P502" s="964"/>
      <c r="Q502" s="962"/>
      <c r="R502" t="str" s="964" cm="1">
        <f t="array" ref="R502">IF(OR(ISBLANK($B502),NOT(ISBLANK(B502))),"",'tracking - Table 2-1-2'!C$66)</f>
      </c>
      <c r="S502" t="str" s="964" cm="1">
        <f t="array" ref="S502">IF(OR(ISBLANK($B502),NOT(ISBLANK(B502))),"",'tracking - Table 2-1-2'!D$66)</f>
      </c>
      <c r="T502" t="str" s="964" cm="1">
        <f t="array" ref="T502">IF(OR(ISBLANK($B502),NOT(ISBLANK(B502))),"",'tracking - Table 2-1-2'!E$66)</f>
      </c>
      <c r="U502" t="str" s="969" cm="1">
        <f t="array" ref="U502">IF(OR(ISBLANK($B502),ISBLANK('tracking - Table 2-1-2'!A$1)),"",'tracking - Table 2-1-2'!F$66)</f>
      </c>
    </row>
    <row r="503" ht="8.75" customHeight="1" hidden="1">
      <c r="A503" s="960">
        <v>44842</v>
      </c>
      <c r="B503" s="961">
        <v>79.59999999999999</v>
      </c>
      <c r="C503" s="965" cm="1">
        <f t="array" ref="C503">IF(ISBLANK(B503),"",B503*2.2046226218)</f>
        <v>175.487960695280</v>
      </c>
      <c r="D503" s="962" cm="1">
        <f t="array" ref="D503">IF(ISBLANK(B503),"",AVERAGE(B497:B503))</f>
        <v>79.25</v>
      </c>
      <c r="E503" s="962" cm="1">
        <f t="array" ref="E503">IF(ISBLANK(B503),"",AVERAGE(B490:B503))</f>
        <v>79.0964285714286</v>
      </c>
      <c r="F503" s="962" cm="1">
        <f t="array" ref="F503">IF(ISBLANK(B503),"",AVERAGE(B474:B503))</f>
        <v>78.3</v>
      </c>
      <c r="G503" s="964"/>
      <c r="H503" s="964"/>
      <c r="I503" s="964"/>
      <c r="J503" s="964"/>
      <c r="K503" s="964"/>
      <c r="L503" s="964"/>
      <c r="M503" s="964"/>
      <c r="N503" s="964"/>
      <c r="O503" s="964"/>
      <c r="P503" s="964"/>
      <c r="Q503" s="962"/>
      <c r="R503" t="str" s="964" cm="1">
        <f t="array" ref="R503">IF(OR(ISBLANK($B503),NOT(ISBLANK(B503))),"",'tracking - Table 2-1-2'!C$66)</f>
      </c>
      <c r="S503" t="str" s="964" cm="1">
        <f t="array" ref="S503">IF(OR(ISBLANK($B503),NOT(ISBLANK(B503))),"",'tracking - Table 2-1-2'!D$66)</f>
      </c>
      <c r="T503" t="str" s="964" cm="1">
        <f t="array" ref="T503">IF(OR(ISBLANK($B503),NOT(ISBLANK(B503))),"",'tracking - Table 2-1-2'!E$66)</f>
      </c>
      <c r="U503" t="str" s="969" cm="1">
        <f t="array" ref="U503">IF(OR(ISBLANK($B503),ISBLANK('tracking - Table 2-1-2'!A$1)),"",'tracking - Table 2-1-2'!F$66)</f>
      </c>
    </row>
    <row r="504" ht="8.75" customHeight="1" hidden="1">
      <c r="A504" s="960">
        <v>44843</v>
      </c>
      <c r="B504" s="961">
        <v>79.8</v>
      </c>
      <c r="C504" s="965" cm="1">
        <f t="array" ref="C504">IF(ISBLANK(B504),"",B504*2.2046226218)</f>
        <v>175.928885219640</v>
      </c>
      <c r="D504" s="962" cm="1">
        <f t="array" ref="D504">IF(ISBLANK(B504),"",AVERAGE(B498:B504))</f>
        <v>79.4928571428571</v>
      </c>
      <c r="E504" s="962" cm="1">
        <f t="array" ref="E504">IF(ISBLANK(B504),"",AVERAGE(B491:B504))</f>
        <v>79.16071428571431</v>
      </c>
      <c r="F504" s="962" cm="1">
        <f t="array" ref="F504">IF(ISBLANK(B504),"",AVERAGE(B475:B504))</f>
        <v>78.3333333333333</v>
      </c>
      <c r="G504" s="964"/>
      <c r="H504" s="964"/>
      <c r="I504" s="964"/>
      <c r="J504" s="964"/>
      <c r="K504" s="964"/>
      <c r="L504" s="964"/>
      <c r="M504" s="964"/>
      <c r="N504" s="964"/>
      <c r="O504" s="964"/>
      <c r="P504" s="964"/>
      <c r="Q504" s="962"/>
      <c r="R504" t="str" s="964" cm="1">
        <f t="array" ref="R504">IF(OR(ISBLANK($B504),NOT(ISBLANK(B504))),"",'tracking - Table 2-1-2'!C$66)</f>
      </c>
      <c r="S504" t="str" s="964" cm="1">
        <f t="array" ref="S504">IF(OR(ISBLANK($B504),NOT(ISBLANK(B504))),"",'tracking - Table 2-1-2'!D$66)</f>
      </c>
      <c r="T504" t="str" s="964" cm="1">
        <f t="array" ref="T504">IF(OR(ISBLANK($B504),NOT(ISBLANK(B504))),"",'tracking - Table 2-1-2'!E$66)</f>
      </c>
      <c r="U504" t="str" s="969" cm="1">
        <f t="array" ref="U504">IF(OR(ISBLANK($B504),ISBLANK('tracking - Table 2-1-2'!A$1)),"",'tracking - Table 2-1-2'!F$66)</f>
      </c>
    </row>
    <row r="505" ht="8.75" customHeight="1" hidden="1">
      <c r="A505" s="960">
        <v>44844</v>
      </c>
      <c r="B505" s="961">
        <v>79.25</v>
      </c>
      <c r="C505" s="965" cm="1">
        <f t="array" ref="C505">IF(ISBLANK(B505),"",B505*2.2046226218)</f>
        <v>174.716342777650</v>
      </c>
      <c r="D505" s="962" cm="1">
        <f t="array" ref="D505">IF(ISBLANK(B505),"",AVERAGE(B499:B505))</f>
        <v>79.51428571428571</v>
      </c>
      <c r="E505" s="962" cm="1">
        <f t="array" ref="E505">IF(ISBLANK(B505),"",AVERAGE(B492:B505))</f>
        <v>79.1571428571429</v>
      </c>
      <c r="F505" s="962" cm="1">
        <f t="array" ref="F505">IF(ISBLANK(B505),"",AVERAGE(B476:B505))</f>
        <v>78.36</v>
      </c>
      <c r="G505" s="964"/>
      <c r="H505" s="964"/>
      <c r="I505" s="964"/>
      <c r="J505" s="964"/>
      <c r="K505" s="964"/>
      <c r="L505" s="964"/>
      <c r="M505" s="964"/>
      <c r="N505" s="964"/>
      <c r="O505" s="964"/>
      <c r="P505" s="964"/>
      <c r="Q505" s="962"/>
      <c r="R505" t="str" s="964" cm="1">
        <f t="array" ref="R505">IF(OR(ISBLANK($B505),NOT(ISBLANK(B505))),"",'tracking - Table 2-1-2'!C$66)</f>
      </c>
      <c r="S505" t="str" s="964" cm="1">
        <f t="array" ref="S505">IF(OR(ISBLANK($B505),NOT(ISBLANK(B505))),"",'tracking - Table 2-1-2'!D$66)</f>
      </c>
      <c r="T505" t="str" s="964" cm="1">
        <f t="array" ref="T505">IF(OR(ISBLANK($B505),NOT(ISBLANK(B505))),"",'tracking - Table 2-1-2'!E$66)</f>
      </c>
      <c r="U505" t="str" s="969" cm="1">
        <f t="array" ref="U505">IF(OR(ISBLANK($B505),ISBLANK('tracking - Table 2-1-2'!A$1)),"",'tracking - Table 2-1-2'!F$66)</f>
      </c>
    </row>
    <row r="506" ht="8.75" customHeight="1" hidden="1">
      <c r="A506" s="960">
        <v>44845</v>
      </c>
      <c r="B506" s="961">
        <v>79.8</v>
      </c>
      <c r="C506" s="965" cm="1">
        <f t="array" ref="C506">IF(ISBLANK(B506),"",B506*2.2046226218)</f>
        <v>175.928885219640</v>
      </c>
      <c r="D506" s="962" cm="1">
        <f t="array" ref="D506">IF(ISBLANK(B506),"",AVERAGE(B500:B506))</f>
        <v>79.62142857142859</v>
      </c>
      <c r="E506" s="962" cm="1">
        <f t="array" ref="E506">IF(ISBLANK(B506),"",AVERAGE(B493:B506))</f>
        <v>79.19285714285709</v>
      </c>
      <c r="F506" s="962" cm="1">
        <f t="array" ref="F506">IF(ISBLANK(B506),"",AVERAGE(B477:B506))</f>
        <v>78.48666666666669</v>
      </c>
      <c r="G506" s="964"/>
      <c r="H506" s="964"/>
      <c r="I506" s="964"/>
      <c r="J506" s="964"/>
      <c r="K506" s="964"/>
      <c r="L506" s="964"/>
      <c r="M506" s="964"/>
      <c r="N506" s="964"/>
      <c r="O506" s="964"/>
      <c r="P506" s="964"/>
      <c r="Q506" s="962"/>
      <c r="R506" t="str" s="964" cm="1">
        <f t="array" ref="R506">IF(OR(ISBLANK($B506),NOT(ISBLANK(B506))),"",'tracking - Table 2-1-2'!C$66)</f>
      </c>
      <c r="S506" t="str" s="964" cm="1">
        <f t="array" ref="S506">IF(OR(ISBLANK($B506),NOT(ISBLANK(B506))),"",'tracking - Table 2-1-2'!D$66)</f>
      </c>
      <c r="T506" t="str" s="964" cm="1">
        <f t="array" ref="T506">IF(OR(ISBLANK($B506),NOT(ISBLANK(B506))),"",'tracking - Table 2-1-2'!E$66)</f>
      </c>
      <c r="U506" t="str" s="969" cm="1">
        <f t="array" ref="U506">IF(OR(ISBLANK($B506),ISBLANK('tracking - Table 2-1-2'!A$1)),"",'tracking - Table 2-1-2'!F$66)</f>
      </c>
    </row>
    <row r="507" ht="8.75" customHeight="1" hidden="1">
      <c r="A507" s="960">
        <v>44846</v>
      </c>
      <c r="B507" s="961">
        <v>79.59999999999999</v>
      </c>
      <c r="C507" s="965" cm="1">
        <f t="array" ref="C507">IF(ISBLANK(B507),"",B507*2.2046226218)</f>
        <v>175.487960695280</v>
      </c>
      <c r="D507" s="962" cm="1">
        <f t="array" ref="D507">IF(ISBLANK(B507),"",AVERAGE(B501:B507))</f>
        <v>79.6571428571429</v>
      </c>
      <c r="E507" s="962" cm="1">
        <f t="array" ref="E507">IF(ISBLANK(B507),"",AVERAGE(B494:B507))</f>
        <v>79.19285714285709</v>
      </c>
      <c r="F507" s="962" cm="1">
        <f t="array" ref="F507">IF(ISBLANK(B507),"",AVERAGE(B478:B507))</f>
        <v>78.6066666666667</v>
      </c>
      <c r="G507" s="964"/>
      <c r="H507" s="964"/>
      <c r="I507" s="964"/>
      <c r="J507" s="964"/>
      <c r="K507" s="964"/>
      <c r="L507" s="964"/>
      <c r="M507" s="964"/>
      <c r="N507" s="964"/>
      <c r="O507" s="964"/>
      <c r="P507" s="964"/>
      <c r="Q507" s="962"/>
      <c r="R507" t="str" s="964" cm="1">
        <f t="array" ref="R507">IF(OR(ISBLANK($B507),NOT(ISBLANK(B507))),"",'tracking - Table 2-1-2'!C$66)</f>
      </c>
      <c r="S507" t="str" s="964" cm="1">
        <f t="array" ref="S507">IF(OR(ISBLANK($B507),NOT(ISBLANK(B507))),"",'tracking - Table 2-1-2'!D$66)</f>
      </c>
      <c r="T507" t="str" s="964" cm="1">
        <f t="array" ref="T507">IF(OR(ISBLANK($B507),NOT(ISBLANK(B507))),"",'tracking - Table 2-1-2'!E$66)</f>
      </c>
      <c r="U507" t="str" s="969" cm="1">
        <f t="array" ref="U507">IF(OR(ISBLANK($B507),ISBLANK('tracking - Table 2-1-2'!A$1)),"",'tracking - Table 2-1-2'!F$66)</f>
      </c>
    </row>
    <row r="508" ht="8.75" customHeight="1" hidden="1">
      <c r="A508" s="960">
        <v>44847</v>
      </c>
      <c r="B508" s="961">
        <v>79.75</v>
      </c>
      <c r="C508" s="965" cm="1">
        <f t="array" ref="C508">IF(ISBLANK(B508),"",B508*2.2046226218)</f>
        <v>175.818654088550</v>
      </c>
      <c r="D508" s="962" cm="1">
        <f t="array" ref="D508">IF(ISBLANK(B508),"",AVERAGE(B502:B508))</f>
        <v>79.6857142857143</v>
      </c>
      <c r="E508" s="962" cm="1">
        <f t="array" ref="E508">IF(ISBLANK(B508),"",AVERAGE(B495:B508))</f>
        <v>79.2392857142857</v>
      </c>
      <c r="F508" s="962" cm="1">
        <f t="array" ref="F508">IF(ISBLANK(B508),"",AVERAGE(B479:B508))</f>
        <v>78.69499999999999</v>
      </c>
      <c r="G508" s="964"/>
      <c r="H508" s="964"/>
      <c r="I508" s="964"/>
      <c r="J508" s="964"/>
      <c r="K508" s="964"/>
      <c r="L508" s="964"/>
      <c r="M508" s="964"/>
      <c r="N508" s="964"/>
      <c r="O508" s="964"/>
      <c r="P508" s="964"/>
      <c r="Q508" s="962"/>
      <c r="R508" t="str" s="964" cm="1">
        <f t="array" ref="R508">IF(OR(ISBLANK($B508),NOT(ISBLANK(B508))),"",'tracking - Table 2-1-2'!C$66)</f>
      </c>
      <c r="S508" t="str" s="964" cm="1">
        <f t="array" ref="S508">IF(OR(ISBLANK($B508),NOT(ISBLANK(B508))),"",'tracking - Table 2-1-2'!D$66)</f>
      </c>
      <c r="T508" t="str" s="964" cm="1">
        <f t="array" ref="T508">IF(OR(ISBLANK($B508),NOT(ISBLANK(B508))),"",'tracking - Table 2-1-2'!E$66)</f>
      </c>
      <c r="U508" t="str" s="969" cm="1">
        <f t="array" ref="U508">IF(OR(ISBLANK($B508),ISBLANK('tracking - Table 2-1-2'!A$1)),"",'tracking - Table 2-1-2'!F$66)</f>
      </c>
    </row>
    <row r="509" ht="8.75" customHeight="1" hidden="1">
      <c r="A509" s="960">
        <v>44848</v>
      </c>
      <c r="B509" s="961">
        <v>79.95</v>
      </c>
      <c r="C509" s="965" cm="1">
        <f t="array" ref="C509">IF(ISBLANK(B509),"",B509*2.2046226218)</f>
        <v>176.259578612910</v>
      </c>
      <c r="D509" s="962" cm="1">
        <f t="array" ref="D509">IF(ISBLANK(B509),"",AVERAGE(B503:B509))</f>
        <v>79.6785714285714</v>
      </c>
      <c r="E509" s="962" cm="1">
        <f t="array" ref="E509">IF(ISBLANK(B509),"",AVERAGE(B496:B509))</f>
        <v>79.325</v>
      </c>
      <c r="F509" s="962" cm="1">
        <f t="array" ref="F509">IF(ISBLANK(B509),"",AVERAGE(B480:B509))</f>
        <v>78.76000000000001</v>
      </c>
      <c r="G509" s="964"/>
      <c r="H509" s="964"/>
      <c r="I509" s="964"/>
      <c r="J509" s="964"/>
      <c r="K509" s="964"/>
      <c r="L509" s="964"/>
      <c r="M509" s="964"/>
      <c r="N509" s="964"/>
      <c r="O509" s="964"/>
      <c r="P509" s="964"/>
      <c r="Q509" s="962"/>
      <c r="R509" t="str" s="964" cm="1">
        <f t="array" ref="R509">IF(OR(ISBLANK($B509),NOT(ISBLANK(B509))),"",'tracking - Table 2-1-2'!C$66)</f>
      </c>
      <c r="S509" t="str" s="964" cm="1">
        <f t="array" ref="S509">IF(OR(ISBLANK($B509),NOT(ISBLANK(B509))),"",'tracking - Table 2-1-2'!D$66)</f>
      </c>
      <c r="T509" t="str" s="964" cm="1">
        <f t="array" ref="T509">IF(OR(ISBLANK($B509),NOT(ISBLANK(B509))),"",'tracking - Table 2-1-2'!E$66)</f>
      </c>
      <c r="U509" t="str" s="969" cm="1">
        <f t="array" ref="U509">IF(OR(ISBLANK($B509),ISBLANK('tracking - Table 2-1-2'!A$1)),"",'tracking - Table 2-1-2'!F$66)</f>
      </c>
    </row>
    <row r="510" ht="8.75" customHeight="1" hidden="1">
      <c r="A510" s="960">
        <v>44849</v>
      </c>
      <c r="B510" s="961">
        <v>80</v>
      </c>
      <c r="C510" s="965" cm="1">
        <f t="array" ref="C510">IF(ISBLANK(B510),"",B510*2.2046226218)</f>
        <v>176.369809744</v>
      </c>
      <c r="D510" s="962" cm="1">
        <f t="array" ref="D510">IF(ISBLANK(B510),"",AVERAGE(B504:B510))</f>
        <v>79.73571428571429</v>
      </c>
      <c r="E510" s="962" cm="1">
        <f t="array" ref="E510">IF(ISBLANK(B510),"",AVERAGE(B497:B510))</f>
        <v>79.4928571428571</v>
      </c>
      <c r="F510" s="962" cm="1">
        <f t="array" ref="F510">IF(ISBLANK(B510),"",AVERAGE(B481:B510))</f>
        <v>78.8533333333333</v>
      </c>
      <c r="G510" s="964"/>
      <c r="H510" s="964"/>
      <c r="I510" s="964"/>
      <c r="J510" s="964"/>
      <c r="K510" s="964"/>
      <c r="L510" s="964"/>
      <c r="M510" s="964"/>
      <c r="N510" s="964"/>
      <c r="O510" s="964"/>
      <c r="P510" s="964"/>
      <c r="Q510" s="962"/>
      <c r="R510" t="str" s="964" cm="1">
        <f t="array" ref="R510">IF(OR(ISBLANK($B510),NOT(ISBLANK(B510))),"",'tracking - Table 2-1-2'!C$66)</f>
      </c>
      <c r="S510" t="str" s="964" cm="1">
        <f t="array" ref="S510">IF(OR(ISBLANK($B510),NOT(ISBLANK(B510))),"",'tracking - Table 2-1-2'!D$66)</f>
      </c>
      <c r="T510" t="str" s="964" cm="1">
        <f t="array" ref="T510">IF(OR(ISBLANK($B510),NOT(ISBLANK(B510))),"",'tracking - Table 2-1-2'!E$66)</f>
      </c>
      <c r="U510" t="str" s="969" cm="1">
        <f t="array" ref="U510">IF(OR(ISBLANK($B510),ISBLANK('tracking - Table 2-1-2'!A$1)),"",'tracking - Table 2-1-2'!F$66)</f>
      </c>
    </row>
    <row r="511" ht="8.75" customHeight="1" hidden="1">
      <c r="A511" s="960">
        <v>44850</v>
      </c>
      <c r="B511" s="961">
        <v>80.15000000000001</v>
      </c>
      <c r="C511" s="965" cm="1">
        <f t="array" ref="C511">IF(ISBLANK(B511),"",B511*2.2046226218)</f>
        <v>176.700503137270</v>
      </c>
      <c r="D511" s="962" cm="1">
        <f t="array" ref="D511">IF(ISBLANK(B511),"",AVERAGE(B505:B511))</f>
        <v>79.78571428571431</v>
      </c>
      <c r="E511" s="962" cm="1">
        <f t="array" ref="E511">IF(ISBLANK(B511),"",AVERAGE(B498:B511))</f>
        <v>79.63928571428571</v>
      </c>
      <c r="F511" s="962" cm="1">
        <f t="array" ref="F511">IF(ISBLANK(B511),"",AVERAGE(B482:B511))</f>
        <v>78.9516666666667</v>
      </c>
      <c r="G511" s="964"/>
      <c r="H511" s="964"/>
      <c r="I511" s="964"/>
      <c r="J511" s="964"/>
      <c r="K511" s="964"/>
      <c r="L511" s="964"/>
      <c r="M511" s="964"/>
      <c r="N511" s="964"/>
      <c r="O511" s="964"/>
      <c r="P511" s="964"/>
      <c r="Q511" s="962"/>
      <c r="R511" t="str" s="964" cm="1">
        <f t="array" ref="R511">IF(OR(ISBLANK($B511),NOT(ISBLANK(B511))),"",'tracking - Table 2-1-2'!C$66)</f>
      </c>
      <c r="S511" t="str" s="964" cm="1">
        <f t="array" ref="S511">IF(OR(ISBLANK($B511),NOT(ISBLANK(B511))),"",'tracking - Table 2-1-2'!D$66)</f>
      </c>
      <c r="T511" t="str" s="964" cm="1">
        <f t="array" ref="T511">IF(OR(ISBLANK($B511),NOT(ISBLANK(B511))),"",'tracking - Table 2-1-2'!E$66)</f>
      </c>
      <c r="U511" t="str" s="969" cm="1">
        <f t="array" ref="U511">IF(OR(ISBLANK($B511),ISBLANK('tracking - Table 2-1-2'!A$1)),"",'tracking - Table 2-1-2'!F$66)</f>
      </c>
    </row>
    <row r="512" ht="8.75" customHeight="1" hidden="1">
      <c r="A512" s="960">
        <v>44851</v>
      </c>
      <c r="B512" s="961">
        <v>80.34999999999999</v>
      </c>
      <c r="C512" s="965" cm="1">
        <f t="array" ref="C512">IF(ISBLANK(B512),"",B512*2.2046226218)</f>
        <v>177.141427661630</v>
      </c>
      <c r="D512" s="962" cm="1">
        <f t="array" ref="D512">IF(ISBLANK(B512),"",AVERAGE(B506:B512))</f>
        <v>79.94285714285709</v>
      </c>
      <c r="E512" s="962" cm="1">
        <f t="array" ref="E512">IF(ISBLANK(B512),"",AVERAGE(B499:B512))</f>
        <v>79.7285714285714</v>
      </c>
      <c r="F512" s="962" cm="1">
        <f t="array" ref="F512">IF(ISBLANK(B512),"",AVERAGE(B483:B512))</f>
        <v>79.06999999999999</v>
      </c>
      <c r="G512" s="964"/>
      <c r="H512" s="964"/>
      <c r="I512" s="964"/>
      <c r="J512" s="964"/>
      <c r="K512" s="964"/>
      <c r="L512" s="964"/>
      <c r="M512" s="964"/>
      <c r="N512" s="964"/>
      <c r="O512" s="964"/>
      <c r="P512" s="964"/>
      <c r="Q512" s="962"/>
      <c r="R512" t="str" s="964" cm="1">
        <f t="array" ref="R512">IF(OR(ISBLANK($B512),NOT(ISBLANK(B512))),"",'tracking - Table 2-1-2'!C$66)</f>
      </c>
      <c r="S512" t="str" s="964" cm="1">
        <f t="array" ref="S512">IF(OR(ISBLANK($B512),NOT(ISBLANK(B512))),"",'tracking - Table 2-1-2'!D$66)</f>
      </c>
      <c r="T512" t="str" s="964" cm="1">
        <f t="array" ref="T512">IF(OR(ISBLANK($B512),NOT(ISBLANK(B512))),"",'tracking - Table 2-1-2'!E$66)</f>
      </c>
      <c r="U512" t="str" s="969" cm="1">
        <f t="array" ref="U512">IF(OR(ISBLANK($B512),ISBLANK('tracking - Table 2-1-2'!A$1)),"",'tracking - Table 2-1-2'!F$66)</f>
      </c>
    </row>
    <row r="513" ht="8.75" customHeight="1" hidden="1">
      <c r="A513" s="960">
        <v>44852</v>
      </c>
      <c r="B513" s="961">
        <v>80.3</v>
      </c>
      <c r="C513" s="965" cm="1">
        <f t="array" ref="C513">IF(ISBLANK(B513),"",B513*2.2046226218)</f>
        <v>177.031196530540</v>
      </c>
      <c r="D513" s="962" cm="1">
        <f t="array" ref="D513">IF(ISBLANK(B513),"",AVERAGE(B507:B513))</f>
        <v>80.01428571428571</v>
      </c>
      <c r="E513" s="962" cm="1">
        <f t="array" ref="E513">IF(ISBLANK(B513),"",AVERAGE(B500:B513))</f>
        <v>79.81785714285709</v>
      </c>
      <c r="F513" s="962" cm="1">
        <f t="array" ref="F513">IF(ISBLANK(B513),"",AVERAGE(B484:B513))</f>
        <v>79.155</v>
      </c>
      <c r="G513" s="964"/>
      <c r="H513" s="964"/>
      <c r="I513" s="964"/>
      <c r="J513" s="964"/>
      <c r="K513" s="964"/>
      <c r="L513" s="964"/>
      <c r="M513" s="964"/>
      <c r="N513" s="964"/>
      <c r="O513" s="964"/>
      <c r="P513" s="964"/>
      <c r="Q513" s="962"/>
      <c r="R513" t="str" s="964" cm="1">
        <f t="array" ref="R513">IF(OR(ISBLANK($B513),NOT(ISBLANK(B513))),"",'tracking - Table 2-1-2'!C$66)</f>
      </c>
      <c r="S513" t="str" s="964" cm="1">
        <f t="array" ref="S513">IF(OR(ISBLANK($B513),NOT(ISBLANK(B513))),"",'tracking - Table 2-1-2'!D$66)</f>
      </c>
      <c r="T513" t="str" s="964" cm="1">
        <f t="array" ref="T513">IF(OR(ISBLANK($B513),NOT(ISBLANK(B513))),"",'tracking - Table 2-1-2'!E$66)</f>
      </c>
      <c r="U513" t="str" s="969" cm="1">
        <f t="array" ref="U513">IF(OR(ISBLANK($B513),ISBLANK('tracking - Table 2-1-2'!A$1)),"",'tracking - Table 2-1-2'!F$66)</f>
      </c>
    </row>
    <row r="514" ht="8.75" customHeight="1" hidden="1">
      <c r="A514" s="960">
        <v>44853</v>
      </c>
      <c r="B514" s="961">
        <v>80.55</v>
      </c>
      <c r="C514" s="965" cm="1">
        <f t="array" ref="C514">IF(ISBLANK(B514),"",B514*2.2046226218)</f>
        <v>177.582352185990</v>
      </c>
      <c r="D514" s="962" cm="1">
        <f t="array" ref="D514">IF(ISBLANK(B514),"",AVERAGE(B508:B514))</f>
        <v>80.15000000000001</v>
      </c>
      <c r="E514" s="962" cm="1">
        <f t="array" ref="E514">IF(ISBLANK(B514),"",AVERAGE(B501:B514))</f>
        <v>79.9035714285714</v>
      </c>
      <c r="F514" s="962" cm="1">
        <f t="array" ref="F514">IF(ISBLANK(B514),"",AVERAGE(B485:B514))</f>
        <v>79.26000000000001</v>
      </c>
      <c r="G514" s="964"/>
      <c r="H514" s="964"/>
      <c r="I514" s="964"/>
      <c r="J514" s="964"/>
      <c r="K514" s="964"/>
      <c r="L514" s="964"/>
      <c r="M514" s="964"/>
      <c r="N514" s="964"/>
      <c r="O514" s="964"/>
      <c r="P514" s="964"/>
      <c r="Q514" s="962"/>
      <c r="R514" t="str" s="964" cm="1">
        <f t="array" ref="R514">IF(OR(ISBLANK($B514),NOT(ISBLANK(B514))),"",'tracking - Table 2-1-2'!C$66)</f>
      </c>
      <c r="S514" t="str" s="964" cm="1">
        <f t="array" ref="S514">IF(OR(ISBLANK($B514),NOT(ISBLANK(B514))),"",'tracking - Table 2-1-2'!D$66)</f>
      </c>
      <c r="T514" t="str" s="964" cm="1">
        <f t="array" ref="T514">IF(OR(ISBLANK($B514),NOT(ISBLANK(B514))),"",'tracking - Table 2-1-2'!E$66)</f>
      </c>
      <c r="U514" t="str" s="969" cm="1">
        <f t="array" ref="U514">IF(OR(ISBLANK($B514),ISBLANK('tracking - Table 2-1-2'!A$1)),"",'tracking - Table 2-1-2'!F$66)</f>
      </c>
    </row>
    <row r="515" ht="8.75" customHeight="1" hidden="1">
      <c r="A515" s="960">
        <v>44854</v>
      </c>
      <c r="B515" s="961">
        <v>80.7</v>
      </c>
      <c r="C515" s="965" cm="1">
        <f t="array" ref="C515">IF(ISBLANK(B515),"",B515*2.2046226218)</f>
        <v>177.913045579260</v>
      </c>
      <c r="D515" s="962" cm="1">
        <f t="array" ref="D515">IF(ISBLANK(B515),"",AVERAGE(B509:B515))</f>
        <v>80.28571428571431</v>
      </c>
      <c r="E515" s="962" cm="1">
        <f t="array" ref="E515">IF(ISBLANK(B515),"",AVERAGE(B502:B515))</f>
        <v>79.98571428571429</v>
      </c>
      <c r="F515" s="962" cm="1">
        <f t="array" ref="F515">IF(ISBLANK(B515),"",AVERAGE(B486:B515))</f>
        <v>79.36166666666669</v>
      </c>
      <c r="G515" s="964"/>
      <c r="H515" s="964"/>
      <c r="I515" s="964"/>
      <c r="J515" s="964"/>
      <c r="K515" s="964"/>
      <c r="L515" s="964"/>
      <c r="M515" s="964"/>
      <c r="N515" s="964"/>
      <c r="O515" s="964"/>
      <c r="P515" s="964"/>
      <c r="Q515" s="962"/>
      <c r="R515" t="str" s="964" cm="1">
        <f t="array" ref="R515">IF(OR(ISBLANK($B515),NOT(ISBLANK(B515))),"",'tracking - Table 2-1-2'!C$66)</f>
      </c>
      <c r="S515" t="str" s="964" cm="1">
        <f t="array" ref="S515">IF(OR(ISBLANK($B515),NOT(ISBLANK(B515))),"",'tracking - Table 2-1-2'!D$66)</f>
      </c>
      <c r="T515" t="str" s="964" cm="1">
        <f t="array" ref="T515">IF(OR(ISBLANK($B515),NOT(ISBLANK(B515))),"",'tracking - Table 2-1-2'!E$66)</f>
      </c>
      <c r="U515" t="str" s="969" cm="1">
        <f t="array" ref="U515">IF(OR(ISBLANK($B515),ISBLANK('tracking - Table 2-1-2'!A$1)),"",'tracking - Table 2-1-2'!F$66)</f>
      </c>
    </row>
    <row r="516" ht="8.75" customHeight="1" hidden="1">
      <c r="A516" s="960">
        <v>44855</v>
      </c>
      <c r="B516" s="961">
        <v>80.84999999999999</v>
      </c>
      <c r="C516" s="965" cm="1">
        <f t="array" ref="C516">IF(ISBLANK(B516),"",B516*2.2046226218)</f>
        <v>178.243738972530</v>
      </c>
      <c r="D516" s="962" cm="1">
        <f t="array" ref="D516">IF(ISBLANK(B516),"",AVERAGE(B510:B516))</f>
        <v>80.4142857142857</v>
      </c>
      <c r="E516" s="962" cm="1">
        <f t="array" ref="E516">IF(ISBLANK(B516),"",AVERAGE(B503:B516))</f>
        <v>80.04642857142861</v>
      </c>
      <c r="F516" s="962" cm="1">
        <f t="array" ref="F516">IF(ISBLANK(B516),"",AVERAGE(B487:B516))</f>
        <v>79.4666666666667</v>
      </c>
      <c r="G516" s="964"/>
      <c r="H516" s="964"/>
      <c r="I516" s="964"/>
      <c r="J516" s="964"/>
      <c r="K516" s="964"/>
      <c r="L516" s="964"/>
      <c r="M516" s="964"/>
      <c r="N516" s="964"/>
      <c r="O516" s="964"/>
      <c r="P516" s="964"/>
      <c r="Q516" s="962"/>
      <c r="R516" t="str" s="964" cm="1">
        <f t="array" ref="R516">IF(OR(ISBLANK($B516),NOT(ISBLANK(B516))),"",'tracking - Table 2-1-2'!C$66)</f>
      </c>
      <c r="S516" t="str" s="964" cm="1">
        <f t="array" ref="S516">IF(OR(ISBLANK($B516),NOT(ISBLANK(B516))),"",'tracking - Table 2-1-2'!D$66)</f>
      </c>
      <c r="T516" t="str" s="964" cm="1">
        <f t="array" ref="T516">IF(OR(ISBLANK($B516),NOT(ISBLANK(B516))),"",'tracking - Table 2-1-2'!E$66)</f>
      </c>
      <c r="U516" t="str" s="969" cm="1">
        <f t="array" ref="U516">IF(OR(ISBLANK($B516),ISBLANK('tracking - Table 2-1-2'!A$1)),"",'tracking - Table 2-1-2'!F$66)</f>
      </c>
    </row>
    <row r="517" ht="8.75" customHeight="1" hidden="1">
      <c r="A517" s="960">
        <v>44856</v>
      </c>
      <c r="B517" s="961">
        <v>81</v>
      </c>
      <c r="C517" s="965" cm="1">
        <f t="array" ref="C517">IF(ISBLANK(B517),"",B517*2.2046226218)</f>
        <v>178.5744323658</v>
      </c>
      <c r="D517" s="962" cm="1">
        <f t="array" ref="D517">IF(ISBLANK(B517),"",AVERAGE(B511:B517))</f>
        <v>80.55714285714291</v>
      </c>
      <c r="E517" s="962" cm="1">
        <f t="array" ref="E517">IF(ISBLANK(B517),"",AVERAGE(B504:B517))</f>
        <v>80.1464285714286</v>
      </c>
      <c r="F517" s="962" cm="1">
        <f t="array" ref="F517">IF(ISBLANK(B517),"",AVERAGE(B488:B517))</f>
        <v>79.5616666666667</v>
      </c>
      <c r="G517" s="964"/>
      <c r="H517" s="964"/>
      <c r="I517" s="964"/>
      <c r="J517" s="964"/>
      <c r="K517" s="964"/>
      <c r="L517" s="964"/>
      <c r="M517" s="964"/>
      <c r="N517" s="964"/>
      <c r="O517" s="964"/>
      <c r="P517" s="964"/>
      <c r="Q517" s="962"/>
      <c r="R517" t="str" s="964" cm="1">
        <f t="array" ref="R517">IF(OR(ISBLANK($B517),NOT(ISBLANK(B517))),"",'tracking - Table 2-1-2'!C$66)</f>
      </c>
      <c r="S517" t="str" s="964" cm="1">
        <f t="array" ref="S517">IF(OR(ISBLANK($B517),NOT(ISBLANK(B517))),"",'tracking - Table 2-1-2'!D$66)</f>
      </c>
      <c r="T517" t="str" s="964" cm="1">
        <f t="array" ref="T517">IF(OR(ISBLANK($B517),NOT(ISBLANK(B517))),"",'tracking - Table 2-1-2'!E$66)</f>
      </c>
      <c r="U517" t="str" s="969" cm="1">
        <f t="array" ref="U517">IF(OR(ISBLANK($B517),ISBLANK('tracking - Table 2-1-2'!A$1)),"",'tracking - Table 2-1-2'!F$66)</f>
      </c>
    </row>
    <row r="518" ht="8.75" customHeight="1" hidden="1">
      <c r="A518" s="960">
        <v>44857</v>
      </c>
      <c r="B518" s="961">
        <v>81.15000000000001</v>
      </c>
      <c r="C518" s="965" cm="1">
        <f t="array" ref="C518">IF(ISBLANK(B518),"",B518*2.2046226218)</f>
        <v>178.905125759070</v>
      </c>
      <c r="D518" s="962" cm="1">
        <f t="array" ref="D518">IF(ISBLANK(B518),"",AVERAGE(B512:B518))</f>
        <v>80.7</v>
      </c>
      <c r="E518" s="962" cm="1">
        <f t="array" ref="E518">IF(ISBLANK(B518),"",AVERAGE(B505:B518))</f>
        <v>80.2428571428571</v>
      </c>
      <c r="F518" s="962" cm="1">
        <f t="array" ref="F518">IF(ISBLANK(B518),"",AVERAGE(B489:B518))</f>
        <v>79.6483333333333</v>
      </c>
      <c r="G518" s="964"/>
      <c r="H518" s="964"/>
      <c r="I518" s="964"/>
      <c r="J518" s="964"/>
      <c r="K518" s="964"/>
      <c r="L518" s="964"/>
      <c r="M518" s="964"/>
      <c r="N518" s="964"/>
      <c r="O518" s="964"/>
      <c r="P518" s="964"/>
      <c r="Q518" s="962"/>
      <c r="R518" t="str" s="964" cm="1">
        <f t="array" ref="R518">IF(OR(ISBLANK($B518),NOT(ISBLANK(B518))),"",'tracking - Table 2-1-2'!C$66)</f>
      </c>
      <c r="S518" t="str" s="964" cm="1">
        <f t="array" ref="S518">IF(OR(ISBLANK($B518),NOT(ISBLANK(B518))),"",'tracking - Table 2-1-2'!D$66)</f>
      </c>
      <c r="T518" t="str" s="964" cm="1">
        <f t="array" ref="T518">IF(OR(ISBLANK($B518),NOT(ISBLANK(B518))),"",'tracking - Table 2-1-2'!E$66)</f>
      </c>
      <c r="U518" t="str" s="969" cm="1">
        <f t="array" ref="U518">IF(OR(ISBLANK($B518),ISBLANK('tracking - Table 2-1-2'!A$1)),"",'tracking - Table 2-1-2'!F$66)</f>
      </c>
    </row>
    <row r="519" ht="8.75" customHeight="1" hidden="1">
      <c r="A519" s="960">
        <v>44858</v>
      </c>
      <c r="B519" s="961">
        <v>81.3</v>
      </c>
      <c r="C519" s="965" cm="1">
        <f t="array" ref="C519">IF(ISBLANK(B519),"",B519*2.2046226218)</f>
        <v>179.235819152340</v>
      </c>
      <c r="D519" s="962" cm="1">
        <f t="array" ref="D519">IF(ISBLANK(B519),"",AVERAGE(B513:B519))</f>
        <v>80.8357142857143</v>
      </c>
      <c r="E519" s="962" cm="1">
        <f t="array" ref="E519">IF(ISBLANK(B519),"",AVERAGE(B506:B519))</f>
        <v>80.38928571428571</v>
      </c>
      <c r="F519" s="962" cm="1">
        <f t="array" ref="F519">IF(ISBLANK(B519),"",AVERAGE(B490:B519))</f>
        <v>79.7283333333333</v>
      </c>
      <c r="G519" s="964"/>
      <c r="H519" s="964"/>
      <c r="I519" s="964"/>
      <c r="J519" s="964"/>
      <c r="K519" s="964"/>
      <c r="L519" s="964"/>
      <c r="M519" s="964"/>
      <c r="N519" s="964"/>
      <c r="O519" s="964"/>
      <c r="P519" s="964"/>
      <c r="Q519" s="962"/>
      <c r="R519" t="str" s="964" cm="1">
        <f t="array" ref="R519">IF(OR(ISBLANK($B519),NOT(ISBLANK(B519))),"",'tracking - Table 2-1-2'!C$66)</f>
      </c>
      <c r="S519" t="str" s="964" cm="1">
        <f t="array" ref="S519">IF(OR(ISBLANK($B519),NOT(ISBLANK(B519))),"",'tracking - Table 2-1-2'!D$66)</f>
      </c>
      <c r="T519" t="str" s="964" cm="1">
        <f t="array" ref="T519">IF(OR(ISBLANK($B519),NOT(ISBLANK(B519))),"",'tracking - Table 2-1-2'!E$66)</f>
      </c>
      <c r="U519" t="str" s="969" cm="1">
        <f t="array" ref="U519">IF(OR(ISBLANK($B519),ISBLANK('tracking - Table 2-1-2'!A$1)),"",'tracking - Table 2-1-2'!F$66)</f>
      </c>
    </row>
    <row r="520" ht="8.75" customHeight="1" hidden="1">
      <c r="A520" s="960">
        <v>44859</v>
      </c>
      <c r="B520" s="961">
        <v>81.45</v>
      </c>
      <c r="C520" s="965" cm="1">
        <f t="array" ref="C520">IF(ISBLANK(B520),"",B520*2.2046226218)</f>
        <v>179.566512545610</v>
      </c>
      <c r="D520" s="962" cm="1">
        <f t="array" ref="D520">IF(ISBLANK(B520),"",AVERAGE(B514:B520))</f>
        <v>81</v>
      </c>
      <c r="E520" s="962" cm="1">
        <f t="array" ref="E520">IF(ISBLANK(B520),"",AVERAGE(B507:B520))</f>
        <v>80.5071428571429</v>
      </c>
      <c r="F520" s="962" cm="1">
        <f t="array" ref="F520">IF(ISBLANK(B520),"",AVERAGE(B491:B520))</f>
        <v>79.8133333333333</v>
      </c>
      <c r="G520" s="964"/>
      <c r="H520" s="964"/>
      <c r="I520" s="964"/>
      <c r="J520" s="964"/>
      <c r="K520" s="964"/>
      <c r="L520" s="964"/>
      <c r="M520" s="964"/>
      <c r="N520" s="964"/>
      <c r="O520" s="964"/>
      <c r="P520" s="964"/>
      <c r="Q520" s="962"/>
      <c r="R520" t="str" s="964" cm="1">
        <f t="array" ref="R520">IF(OR(ISBLANK($B520),NOT(ISBLANK(B520))),"",'tracking - Table 2-1-2'!C$66)</f>
      </c>
      <c r="S520" t="str" s="964" cm="1">
        <f t="array" ref="S520">IF(OR(ISBLANK($B520),NOT(ISBLANK(B520))),"",'tracking - Table 2-1-2'!D$66)</f>
      </c>
      <c r="T520" t="str" s="964" cm="1">
        <f t="array" ref="T520">IF(OR(ISBLANK($B520),NOT(ISBLANK(B520))),"",'tracking - Table 2-1-2'!E$66)</f>
      </c>
      <c r="U520" t="str" s="969" cm="1">
        <f t="array" ref="U520">IF(OR(ISBLANK($B520),ISBLANK('tracking - Table 2-1-2'!A$1)),"",'tracking - Table 2-1-2'!F$66)</f>
      </c>
    </row>
    <row r="521" ht="8.75" customHeight="1" hidden="1">
      <c r="A521" s="960">
        <v>44860</v>
      </c>
      <c r="B521" s="961">
        <v>81.3</v>
      </c>
      <c r="C521" s="965" cm="1">
        <f t="array" ref="C521">IF(ISBLANK(B521),"",B521*2.2046226218)</f>
        <v>179.235819152340</v>
      </c>
      <c r="D521" s="962" cm="1">
        <f t="array" ref="D521">IF(ISBLANK(B521),"",AVERAGE(B515:B521))</f>
        <v>81.1071428571429</v>
      </c>
      <c r="E521" s="962" cm="1">
        <f t="array" ref="E521">IF(ISBLANK(B521),"",AVERAGE(B508:B521))</f>
        <v>80.62857142857141</v>
      </c>
      <c r="F521" s="962" cm="1">
        <f t="array" ref="F521">IF(ISBLANK(B521),"",AVERAGE(B492:B521))</f>
        <v>79.88</v>
      </c>
      <c r="G521" s="964"/>
      <c r="H521" s="964"/>
      <c r="I521" s="964"/>
      <c r="J521" s="964"/>
      <c r="K521" s="964"/>
      <c r="L521" s="964"/>
      <c r="M521" s="964"/>
      <c r="N521" s="964"/>
      <c r="O521" s="964"/>
      <c r="P521" s="964"/>
      <c r="Q521" s="962"/>
      <c r="R521" t="str" s="964" cm="1">
        <f t="array" ref="R521">IF(OR(ISBLANK($B521),NOT(ISBLANK(B521))),"",'tracking - Table 2-1-2'!C$66)</f>
      </c>
      <c r="S521" t="str" s="964" cm="1">
        <f t="array" ref="S521">IF(OR(ISBLANK($B521),NOT(ISBLANK(B521))),"",'tracking - Table 2-1-2'!D$66)</f>
      </c>
      <c r="T521" t="str" s="964" cm="1">
        <f t="array" ref="T521">IF(OR(ISBLANK($B521),NOT(ISBLANK(B521))),"",'tracking - Table 2-1-2'!E$66)</f>
      </c>
      <c r="U521" t="str" s="969" cm="1">
        <f t="array" ref="U521">IF(OR(ISBLANK($B521),ISBLANK('tracking - Table 2-1-2'!A$1)),"",'tracking - Table 2-1-2'!F$66)</f>
      </c>
    </row>
    <row r="522" ht="8.75" customHeight="1" hidden="1">
      <c r="A522" s="960">
        <v>44861</v>
      </c>
      <c r="B522" s="961">
        <v>81.59999999999999</v>
      </c>
      <c r="C522" s="965" cm="1">
        <f t="array" ref="C522">IF(ISBLANK(B522),"",B522*2.2046226218)</f>
        <v>179.897205938880</v>
      </c>
      <c r="D522" s="962" cm="1">
        <f t="array" ref="D522">IF(ISBLANK(B522),"",AVERAGE(B516:B522))</f>
        <v>81.23571428571429</v>
      </c>
      <c r="E522" s="962" cm="1">
        <f t="array" ref="E522">IF(ISBLANK(B522),"",AVERAGE(B509:B522))</f>
        <v>80.7607142857143</v>
      </c>
      <c r="F522" s="962" cm="1">
        <f t="array" ref="F522">IF(ISBLANK(B522),"",AVERAGE(B493:B522))</f>
        <v>79.95666666666671</v>
      </c>
      <c r="G522" s="964"/>
      <c r="H522" s="964"/>
      <c r="I522" s="964"/>
      <c r="J522" s="964"/>
      <c r="K522" s="964"/>
      <c r="L522" s="964"/>
      <c r="M522" s="964"/>
      <c r="N522" s="964"/>
      <c r="O522" s="964"/>
      <c r="P522" s="964"/>
      <c r="Q522" s="962"/>
      <c r="R522" t="str" s="964" cm="1">
        <f t="array" ref="R522">IF(OR(ISBLANK($B522),NOT(ISBLANK(B522))),"",'tracking - Table 2-1-2'!C$66)</f>
      </c>
      <c r="S522" t="str" s="964" cm="1">
        <f t="array" ref="S522">IF(OR(ISBLANK($B522),NOT(ISBLANK(B522))),"",'tracking - Table 2-1-2'!D$66)</f>
      </c>
      <c r="T522" t="str" s="964" cm="1">
        <f t="array" ref="T522">IF(OR(ISBLANK($B522),NOT(ISBLANK(B522))),"",'tracking - Table 2-1-2'!E$66)</f>
      </c>
      <c r="U522" t="str" s="969" cm="1">
        <f t="array" ref="U522">IF(OR(ISBLANK($B522),ISBLANK('tracking - Table 2-1-2'!A$1)),"",'tracking - Table 2-1-2'!F$66)</f>
      </c>
    </row>
    <row r="523" ht="8.75" customHeight="1" hidden="1">
      <c r="A523" s="960">
        <v>44862</v>
      </c>
      <c r="B523" s="961">
        <v>81.05</v>
      </c>
      <c r="C523" s="965" cm="1">
        <f t="array" ref="C523">IF(ISBLANK(B523),"",B523*2.2046226218)</f>
        <v>178.684663496890</v>
      </c>
      <c r="D523" s="962" cm="1">
        <f t="array" ref="D523">IF(ISBLANK(B523),"",AVERAGE(B517:B523))</f>
        <v>81.26428571428571</v>
      </c>
      <c r="E523" s="962" cm="1">
        <f t="array" ref="E523">IF(ISBLANK(B523),"",AVERAGE(B510:B523))</f>
        <v>80.83928571428569</v>
      </c>
      <c r="F523" s="962" cm="1">
        <f t="array" ref="F523">IF(ISBLANK(B523),"",AVERAGE(B494:B523))</f>
        <v>80.005</v>
      </c>
      <c r="G523" s="964"/>
      <c r="H523" s="964"/>
      <c r="I523" s="964"/>
      <c r="J523" s="964"/>
      <c r="K523" s="964"/>
      <c r="L523" s="964"/>
      <c r="M523" s="964"/>
      <c r="N523" s="964"/>
      <c r="O523" s="964"/>
      <c r="P523" s="964"/>
      <c r="Q523" s="962"/>
      <c r="R523" t="str" s="964" cm="1">
        <f t="array" ref="R523">IF(OR(ISBLANK($B523),NOT(ISBLANK(B523))),"",'tracking - Table 2-1-2'!C$66)</f>
      </c>
      <c r="S523" t="str" s="964" cm="1">
        <f t="array" ref="S523">IF(OR(ISBLANK($B523),NOT(ISBLANK(B523))),"",'tracking - Table 2-1-2'!D$66)</f>
      </c>
      <c r="T523" t="str" s="964" cm="1">
        <f t="array" ref="T523">IF(OR(ISBLANK($B523),NOT(ISBLANK(B523))),"",'tracking - Table 2-1-2'!E$66)</f>
      </c>
      <c r="U523" t="str" s="969" cm="1">
        <f t="array" ref="U523">IF(OR(ISBLANK($B523),ISBLANK('tracking - Table 2-1-2'!A$1)),"",'tracking - Table 2-1-2'!F$66)</f>
      </c>
    </row>
    <row r="524" ht="8.75" customHeight="1" hidden="1">
      <c r="A524" s="960">
        <v>44863</v>
      </c>
      <c r="B524" s="961">
        <v>81.09999999999999</v>
      </c>
      <c r="C524" s="965" cm="1">
        <f t="array" ref="C524">IF(ISBLANK(B524),"",B524*2.2046226218)</f>
        <v>178.794894627980</v>
      </c>
      <c r="D524" s="962" cm="1">
        <f t="array" ref="D524">IF(ISBLANK(B524),"",AVERAGE(B518:B524))</f>
        <v>81.2785714285714</v>
      </c>
      <c r="E524" s="962" cm="1">
        <f t="array" ref="E524">IF(ISBLANK(B524),"",AVERAGE(B511:B524))</f>
        <v>80.9178571428571</v>
      </c>
      <c r="F524" s="962" cm="1">
        <f t="array" ref="F524">IF(ISBLANK(B524),"",AVERAGE(B495:B524))</f>
        <v>80.0716666666667</v>
      </c>
      <c r="G524" s="964"/>
      <c r="H524" s="964"/>
      <c r="I524" s="964"/>
      <c r="J524" s="964"/>
      <c r="K524" s="964"/>
      <c r="L524" s="964"/>
      <c r="M524" s="964"/>
      <c r="N524" s="964"/>
      <c r="O524" s="964"/>
      <c r="P524" s="964"/>
      <c r="Q524" s="962"/>
      <c r="R524" t="str" s="964" cm="1">
        <f t="array" ref="R524">IF(OR(ISBLANK($B524),NOT(ISBLANK(B524))),"",'tracking - Table 2-1-2'!C$66)</f>
      </c>
      <c r="S524" t="str" s="964" cm="1">
        <f t="array" ref="S524">IF(OR(ISBLANK($B524),NOT(ISBLANK(B524))),"",'tracking - Table 2-1-2'!D$66)</f>
      </c>
      <c r="T524" t="str" s="964" cm="1">
        <f t="array" ref="T524">IF(OR(ISBLANK($B524),NOT(ISBLANK(B524))),"",'tracking - Table 2-1-2'!E$66)</f>
      </c>
      <c r="U524" t="str" s="969" cm="1">
        <f t="array" ref="U524">IF(OR(ISBLANK($B524),ISBLANK('tracking - Table 2-1-2'!A$1)),"",'tracking - Table 2-1-2'!F$66)</f>
      </c>
    </row>
    <row r="525" ht="8.75" customHeight="1" hidden="1">
      <c r="A525" s="960">
        <v>44864</v>
      </c>
      <c r="B525" s="961">
        <v>80.65000000000001</v>
      </c>
      <c r="C525" s="965" cm="1">
        <f t="array" ref="C525">IF(ISBLANK(B525),"",B525*2.2046226218)</f>
        <v>177.802814448170</v>
      </c>
      <c r="D525" s="962" cm="1">
        <f t="array" ref="D525">IF(ISBLANK(B525),"",AVERAGE(B519:B525))</f>
        <v>81.2071428571429</v>
      </c>
      <c r="E525" s="962" cm="1">
        <f t="array" ref="E525">IF(ISBLANK(B525),"",AVERAGE(B512:B525))</f>
        <v>80.95357142857139</v>
      </c>
      <c r="F525" s="962" cm="1">
        <f t="array" ref="F525">IF(ISBLANK(B525),"",AVERAGE(B496:B525))</f>
        <v>80.13500000000001</v>
      </c>
      <c r="G525" s="964"/>
      <c r="H525" s="964"/>
      <c r="I525" s="964"/>
      <c r="J525" s="964"/>
      <c r="K525" s="964"/>
      <c r="L525" s="964"/>
      <c r="M525" s="964"/>
      <c r="N525" s="964"/>
      <c r="O525" s="964"/>
      <c r="P525" s="964"/>
      <c r="Q525" s="962"/>
      <c r="R525" t="str" s="964" cm="1">
        <f t="array" ref="R525">IF(OR(ISBLANK($B525),NOT(ISBLANK(B525))),"",'tracking - Table 2-1-2'!C$66)</f>
      </c>
      <c r="S525" t="str" s="964" cm="1">
        <f t="array" ref="S525">IF(OR(ISBLANK($B525),NOT(ISBLANK(B525))),"",'tracking - Table 2-1-2'!D$66)</f>
      </c>
      <c r="T525" t="str" s="964" cm="1">
        <f t="array" ref="T525">IF(OR(ISBLANK($B525),NOT(ISBLANK(B525))),"",'tracking - Table 2-1-2'!E$66)</f>
      </c>
      <c r="U525" t="str" s="969" cm="1">
        <f t="array" ref="U525">IF(OR(ISBLANK($B525),ISBLANK('tracking - Table 2-1-2'!A$1)),"",'tracking - Table 2-1-2'!F$66)</f>
      </c>
    </row>
    <row r="526" ht="8.75" customHeight="1" hidden="1">
      <c r="A526" s="960">
        <v>44865</v>
      </c>
      <c r="B526" s="961">
        <v>81.2</v>
      </c>
      <c r="C526" s="965" cm="1">
        <f t="array" ref="C526">IF(ISBLANK(B526),"",B526*2.2046226218)</f>
        <v>179.015356890160</v>
      </c>
      <c r="D526" s="962" cm="1">
        <f t="array" ref="D526">IF(ISBLANK(B526),"",AVERAGE(B520:B526))</f>
        <v>81.19285714285709</v>
      </c>
      <c r="E526" s="962" cm="1">
        <f t="array" ref="E526">IF(ISBLANK(B526),"",AVERAGE(B513:B526))</f>
        <v>81.01428571428571</v>
      </c>
      <c r="F526" s="962" cm="1">
        <f t="array" ref="F526">IF(ISBLANK(B526),"",AVERAGE(B497:B526))</f>
        <v>80.2533333333333</v>
      </c>
      <c r="G526" s="964"/>
      <c r="H526" s="964"/>
      <c r="I526" s="964"/>
      <c r="J526" s="964"/>
      <c r="K526" s="964"/>
      <c r="L526" s="964"/>
      <c r="M526" s="964"/>
      <c r="N526" s="964"/>
      <c r="O526" s="964"/>
      <c r="P526" s="964"/>
      <c r="Q526" s="962"/>
      <c r="R526" t="str" s="964" cm="1">
        <f t="array" ref="R526">IF(OR(ISBLANK($B526),NOT(ISBLANK(B526))),"",'tracking - Table 2-1-2'!C$66)</f>
      </c>
      <c r="S526" t="str" s="964" cm="1">
        <f t="array" ref="S526">IF(OR(ISBLANK($B526),NOT(ISBLANK(B526))),"",'tracking - Table 2-1-2'!D$66)</f>
      </c>
      <c r="T526" t="str" s="964" cm="1">
        <f t="array" ref="T526">IF(OR(ISBLANK($B526),NOT(ISBLANK(B526))),"",'tracking - Table 2-1-2'!E$66)</f>
      </c>
      <c r="U526" t="str" s="969" cm="1">
        <f t="array" ref="U526">IF(OR(ISBLANK($B526),ISBLANK('tracking - Table 2-1-2'!A$1)),"",'tracking - Table 2-1-2'!F$66)</f>
      </c>
    </row>
    <row r="527" ht="8.75" customHeight="1" hidden="1">
      <c r="A527" s="960">
        <v>44866</v>
      </c>
      <c r="B527" s="961">
        <v>80.8</v>
      </c>
      <c r="C527" s="965" cm="1">
        <f t="array" ref="C527">IF(ISBLANK(B527),"",B527*2.2046226218)</f>
        <v>178.133507841440</v>
      </c>
      <c r="D527" s="962" cm="1">
        <f t="array" ref="D527">IF(ISBLANK(B527),"",AVERAGE(B521:B527))</f>
        <v>81.09999999999999</v>
      </c>
      <c r="E527" s="962" cm="1">
        <f t="array" ref="E527">IF(ISBLANK(B527),"",AVERAGE(B514:B527))</f>
        <v>81.05</v>
      </c>
      <c r="F527" s="962" cm="1">
        <f t="array" ref="F527">IF(ISBLANK(B527),"",AVERAGE(B498:B527))</f>
        <v>80.34333333333331</v>
      </c>
      <c r="G527" s="964"/>
      <c r="H527" s="964"/>
      <c r="I527" s="964"/>
      <c r="J527" s="964"/>
      <c r="K527" s="964"/>
      <c r="L527" s="964"/>
      <c r="M527" s="964"/>
      <c r="N527" s="964"/>
      <c r="O527" s="964"/>
      <c r="P527" s="964"/>
      <c r="Q527" s="962"/>
      <c r="R527" t="str" s="964" cm="1">
        <f t="array" ref="R527">IF(OR(ISBLANK($B527),NOT(ISBLANK(B527))),"",'tracking - Table 2-1-2'!C$66)</f>
      </c>
      <c r="S527" t="str" s="964" cm="1">
        <f t="array" ref="S527">IF(OR(ISBLANK($B527),NOT(ISBLANK(B527))),"",'tracking - Table 2-1-2'!D$66)</f>
      </c>
      <c r="T527" t="str" s="964" cm="1">
        <f t="array" ref="T527">IF(OR(ISBLANK($B527),NOT(ISBLANK(B527))),"",'tracking - Table 2-1-2'!E$66)</f>
      </c>
      <c r="U527" t="str" s="969" cm="1">
        <f t="array" ref="U527">IF(OR(ISBLANK($B527),ISBLANK('tracking - Table 2-1-2'!A$1)),"",'tracking - Table 2-1-2'!F$66)</f>
      </c>
    </row>
    <row r="528" ht="8.75" customHeight="1" hidden="1">
      <c r="A528" s="960">
        <v>44867</v>
      </c>
      <c r="B528" s="961">
        <v>80.5</v>
      </c>
      <c r="C528" s="965" cm="1">
        <f t="array" ref="C528">IF(ISBLANK(B528),"",B528*2.2046226218)</f>
        <v>177.4721210549</v>
      </c>
      <c r="D528" s="962" cm="1">
        <f t="array" ref="D528">IF(ISBLANK(B528),"",AVERAGE(B522:B528))</f>
        <v>80.98571428571429</v>
      </c>
      <c r="E528" s="962" cm="1">
        <f t="array" ref="E528">IF(ISBLANK(B528),"",AVERAGE(B515:B528))</f>
        <v>81.04642857142861</v>
      </c>
      <c r="F528" s="962" cm="1">
        <f t="array" ref="F528">IF(ISBLANK(B528),"",AVERAGE(B499:B528))</f>
        <v>80.39</v>
      </c>
      <c r="G528" s="964"/>
      <c r="H528" s="964"/>
      <c r="I528" s="964"/>
      <c r="J528" s="964"/>
      <c r="K528" s="964"/>
      <c r="L528" s="964"/>
      <c r="M528" s="964"/>
      <c r="N528" s="964"/>
      <c r="O528" s="964"/>
      <c r="P528" s="964"/>
      <c r="Q528" s="962"/>
      <c r="R528" t="str" s="964" cm="1">
        <f t="array" ref="R528">IF(OR(ISBLANK($B528),NOT(ISBLANK(B528))),"",'tracking - Table 2-1-2'!C$66)</f>
      </c>
      <c r="S528" t="str" s="964" cm="1">
        <f t="array" ref="S528">IF(OR(ISBLANK($B528),NOT(ISBLANK(B528))),"",'tracking - Table 2-1-2'!D$66)</f>
      </c>
      <c r="T528" t="str" s="964" cm="1">
        <f t="array" ref="T528">IF(OR(ISBLANK($B528),NOT(ISBLANK(B528))),"",'tracking - Table 2-1-2'!E$66)</f>
      </c>
      <c r="U528" t="str" s="969" cm="1">
        <f t="array" ref="U528">IF(OR(ISBLANK($B528),ISBLANK('tracking - Table 2-1-2'!A$1)),"",'tracking - Table 2-1-2'!F$66)</f>
      </c>
    </row>
    <row r="529" ht="8.75" customHeight="1" hidden="1">
      <c r="A529" s="960">
        <v>44868</v>
      </c>
      <c r="B529" s="961">
        <v>80.5</v>
      </c>
      <c r="C529" s="965" cm="1">
        <f t="array" ref="C529">IF(ISBLANK(B529),"",B529*2.2046226218)</f>
        <v>177.4721210549</v>
      </c>
      <c r="D529" s="962" cm="1">
        <f t="array" ref="D529">IF(ISBLANK(B529),"",AVERAGE(B523:B529))</f>
        <v>80.82857142857139</v>
      </c>
      <c r="E529" s="962" cm="1">
        <f t="array" ref="E529">IF(ISBLANK(B529),"",AVERAGE(B516:B529))</f>
        <v>81.0321428571429</v>
      </c>
      <c r="F529" s="962" cm="1">
        <f t="array" ref="F529">IF(ISBLANK(B529),"",AVERAGE(B500:B529))</f>
        <v>80.4383333333333</v>
      </c>
      <c r="G529" s="964"/>
      <c r="H529" s="964"/>
      <c r="I529" s="964"/>
      <c r="J529" s="964"/>
      <c r="K529" s="964"/>
      <c r="L529" s="964"/>
      <c r="M529" s="964"/>
      <c r="N529" s="964"/>
      <c r="O529" s="964"/>
      <c r="P529" s="964"/>
      <c r="Q529" s="962"/>
      <c r="R529" t="str" s="964" cm="1">
        <f t="array" ref="R529">IF(OR(ISBLANK($B529),NOT(ISBLANK(B529))),"",'tracking - Table 2-1-2'!C$66)</f>
      </c>
      <c r="S529" t="str" s="964" cm="1">
        <f t="array" ref="S529">IF(OR(ISBLANK($B529),NOT(ISBLANK(B529))),"",'tracking - Table 2-1-2'!D$66)</f>
      </c>
      <c r="T529" t="str" s="964" cm="1">
        <f t="array" ref="T529">IF(OR(ISBLANK($B529),NOT(ISBLANK(B529))),"",'tracking - Table 2-1-2'!E$66)</f>
      </c>
      <c r="U529" t="str" s="969" cm="1">
        <f t="array" ref="U529">IF(OR(ISBLANK($B529),ISBLANK('tracking - Table 2-1-2'!A$1)),"",'tracking - Table 2-1-2'!F$66)</f>
      </c>
    </row>
    <row r="530" ht="8.75" customHeight="1" hidden="1">
      <c r="A530" s="960">
        <v>44869</v>
      </c>
      <c r="B530" s="961">
        <v>80.59999999999999</v>
      </c>
      <c r="C530" s="965" cm="1">
        <f t="array" ref="C530">IF(ISBLANK(B530),"",B530*2.2046226218)</f>
        <v>177.692583317080</v>
      </c>
      <c r="D530" s="962" cm="1">
        <f t="array" ref="D530">IF(ISBLANK(B530),"",AVERAGE(B524:B530))</f>
        <v>80.76428571428571</v>
      </c>
      <c r="E530" s="962" cm="1">
        <f t="array" ref="E530">IF(ISBLANK(B530),"",AVERAGE(B517:B530))</f>
        <v>81.01428571428571</v>
      </c>
      <c r="F530" s="962" cm="1">
        <f t="array" ref="F530">IF(ISBLANK(B530),"",AVERAGE(B501:B530))</f>
        <v>80.48</v>
      </c>
      <c r="G530" s="964"/>
      <c r="H530" s="964"/>
      <c r="I530" s="964"/>
      <c r="J530" s="964"/>
      <c r="K530" s="964"/>
      <c r="L530" s="964"/>
      <c r="M530" s="964"/>
      <c r="N530" s="964"/>
      <c r="O530" s="964"/>
      <c r="P530" s="964"/>
      <c r="Q530" s="962"/>
      <c r="R530" t="str" s="964" cm="1">
        <f t="array" ref="R530">IF(OR(ISBLANK($B530),NOT(ISBLANK(B530))),"",'tracking - Table 2-1-2'!C$66)</f>
      </c>
      <c r="S530" t="str" s="964" cm="1">
        <f t="array" ref="S530">IF(OR(ISBLANK($B530),NOT(ISBLANK(B530))),"",'tracking - Table 2-1-2'!D$66)</f>
      </c>
      <c r="T530" t="str" s="964" cm="1">
        <f t="array" ref="T530">IF(OR(ISBLANK($B530),NOT(ISBLANK(B530))),"",'tracking - Table 2-1-2'!E$66)</f>
      </c>
      <c r="U530" t="str" s="969" cm="1">
        <f t="array" ref="U530">IF(OR(ISBLANK($B530),ISBLANK('tracking - Table 2-1-2'!A$1)),"",'tracking - Table 2-1-2'!F$66)</f>
      </c>
    </row>
    <row r="531" ht="8.75" customHeight="1" hidden="1">
      <c r="A531" s="960">
        <v>44870</v>
      </c>
      <c r="B531" s="961">
        <v>80.90000000000001</v>
      </c>
      <c r="C531" s="965" cm="1">
        <f t="array" ref="C531">IF(ISBLANK(B531),"",B531*2.2046226218)</f>
        <v>178.353970103620</v>
      </c>
      <c r="D531" s="962" cm="1">
        <f t="array" ref="D531">IF(ISBLANK(B531),"",AVERAGE(B525:B531))</f>
        <v>80.73571428571429</v>
      </c>
      <c r="E531" s="962" cm="1">
        <f t="array" ref="E531">IF(ISBLANK(B531),"",AVERAGE(B518:B531))</f>
        <v>81.0071428571429</v>
      </c>
      <c r="F531" s="962" cm="1">
        <f t="array" ref="F531">IF(ISBLANK(B531),"",AVERAGE(B502:B531))</f>
        <v>80.52500000000001</v>
      </c>
      <c r="G531" s="964"/>
      <c r="H531" s="964"/>
      <c r="I531" s="964"/>
      <c r="J531" s="964"/>
      <c r="K531" s="964"/>
      <c r="L531" s="964"/>
      <c r="M531" s="964"/>
      <c r="N531" s="964"/>
      <c r="O531" s="964"/>
      <c r="P531" s="964"/>
      <c r="Q531" s="962"/>
      <c r="R531" t="str" s="964" cm="1">
        <f t="array" ref="R531">IF(OR(ISBLANK($B531),NOT(ISBLANK(B531))),"",'tracking - Table 2-1-2'!C$66)</f>
      </c>
      <c r="S531" t="str" s="964" cm="1">
        <f t="array" ref="S531">IF(OR(ISBLANK($B531),NOT(ISBLANK(B531))),"",'tracking - Table 2-1-2'!D$66)</f>
      </c>
      <c r="T531" t="str" s="964" cm="1">
        <f t="array" ref="T531">IF(OR(ISBLANK($B531),NOT(ISBLANK(B531))),"",'tracking - Table 2-1-2'!E$66)</f>
      </c>
      <c r="U531" t="str" s="969" cm="1">
        <f t="array" ref="U531">IF(OR(ISBLANK($B531),ISBLANK('tracking - Table 2-1-2'!A$1)),"",'tracking - Table 2-1-2'!F$66)</f>
      </c>
    </row>
    <row r="532" ht="8.75" customHeight="1" hidden="1">
      <c r="A532" s="960">
        <v>44871</v>
      </c>
      <c r="B532" s="961">
        <v>79.3</v>
      </c>
      <c r="C532" s="965" cm="1">
        <f t="array" ref="C532">IF(ISBLANK(B532),"",B532*2.2046226218)</f>
        <v>174.826573908740</v>
      </c>
      <c r="D532" s="962" cm="1">
        <f t="array" ref="D532">IF(ISBLANK(B532),"",AVERAGE(B526:B532))</f>
        <v>80.5428571428571</v>
      </c>
      <c r="E532" s="962" cm="1">
        <f t="array" ref="E532">IF(ISBLANK(B532),"",AVERAGE(B519:B532))</f>
        <v>80.875</v>
      </c>
      <c r="F532" s="962" cm="1">
        <f t="array" ref="F532">IF(ISBLANK(B532),"",AVERAGE(B503:B532))</f>
        <v>80.50166666666669</v>
      </c>
      <c r="G532" s="964"/>
      <c r="H532" s="964"/>
      <c r="I532" s="964"/>
      <c r="J532" s="964"/>
      <c r="K532" s="964"/>
      <c r="L532" s="964"/>
      <c r="M532" s="964"/>
      <c r="N532" s="964"/>
      <c r="O532" s="964"/>
      <c r="P532" s="964"/>
      <c r="Q532" s="962"/>
      <c r="R532" t="str" s="964" cm="1">
        <f t="array" ref="R532">IF(OR(ISBLANK($B532),NOT(ISBLANK(B532))),"",'tracking - Table 2-1-2'!C$66)</f>
      </c>
      <c r="S532" t="str" s="964" cm="1">
        <f t="array" ref="S532">IF(OR(ISBLANK($B532),NOT(ISBLANK(B532))),"",'tracking - Table 2-1-2'!D$66)</f>
      </c>
      <c r="T532" t="str" s="964" cm="1">
        <f t="array" ref="T532">IF(OR(ISBLANK($B532),NOT(ISBLANK(B532))),"",'tracking - Table 2-1-2'!E$66)</f>
      </c>
      <c r="U532" t="str" s="969" cm="1">
        <f t="array" ref="U532">IF(OR(ISBLANK($B532),ISBLANK('tracking - Table 2-1-2'!A$1)),"",'tracking - Table 2-1-2'!F$66)</f>
      </c>
    </row>
    <row r="533" ht="8.75" customHeight="1" hidden="1">
      <c r="A533" s="960">
        <v>44872</v>
      </c>
      <c r="B533" s="961">
        <v>79.40000000000001</v>
      </c>
      <c r="C533" s="965" cm="1">
        <f t="array" ref="C533">IF(ISBLANK(B533),"",B533*2.2046226218)</f>
        <v>175.047036170920</v>
      </c>
      <c r="D533" s="962" cm="1">
        <f t="array" ref="D533">IF(ISBLANK(B533),"",AVERAGE(B527:B533))</f>
        <v>80.28571428571431</v>
      </c>
      <c r="E533" s="962" cm="1">
        <f t="array" ref="E533">IF(ISBLANK(B533),"",AVERAGE(B520:B533))</f>
        <v>80.7392857142857</v>
      </c>
      <c r="F533" s="962" cm="1">
        <f t="array" ref="F533">IF(ISBLANK(B533),"",AVERAGE(B504:B533))</f>
        <v>80.495</v>
      </c>
      <c r="G533" s="964"/>
      <c r="H533" s="964"/>
      <c r="I533" s="964"/>
      <c r="J533" s="964"/>
      <c r="K533" s="964"/>
      <c r="L533" s="964"/>
      <c r="M533" s="964"/>
      <c r="N533" s="964"/>
      <c r="O533" s="964"/>
      <c r="P533" s="964"/>
      <c r="Q533" s="962"/>
      <c r="R533" t="str" s="964" cm="1">
        <f t="array" ref="R533">IF(OR(ISBLANK($B533),NOT(ISBLANK(B533))),"",'tracking - Table 2-1-2'!C$66)</f>
      </c>
      <c r="S533" t="str" s="964" cm="1">
        <f t="array" ref="S533">IF(OR(ISBLANK($B533),NOT(ISBLANK(B533))),"",'tracking - Table 2-1-2'!D$66)</f>
      </c>
      <c r="T533" t="str" s="964" cm="1">
        <f t="array" ref="T533">IF(OR(ISBLANK($B533),NOT(ISBLANK(B533))),"",'tracking - Table 2-1-2'!E$66)</f>
      </c>
      <c r="U533" t="str" s="969" cm="1">
        <f t="array" ref="U533">IF(OR(ISBLANK($B533),ISBLANK('tracking - Table 2-1-2'!A$1)),"",'tracking - Table 2-1-2'!F$66)</f>
      </c>
    </row>
    <row r="534" ht="8.75" customHeight="1" hidden="1">
      <c r="A534" s="960">
        <v>44873</v>
      </c>
      <c r="B534" s="961">
        <v>79.90000000000001</v>
      </c>
      <c r="C534" s="965" cm="1">
        <f t="array" ref="C534">IF(ISBLANK(B534),"",B534*2.2046226218)</f>
        <v>176.149347481820</v>
      </c>
      <c r="D534" s="962" cm="1">
        <f t="array" ref="D534">IF(ISBLANK(B534),"",AVERAGE(B528:B534))</f>
        <v>80.1571428571429</v>
      </c>
      <c r="E534" s="962" cm="1">
        <f t="array" ref="E534">IF(ISBLANK(B534),"",AVERAGE(B521:B534))</f>
        <v>80.62857142857141</v>
      </c>
      <c r="F534" s="962" cm="1">
        <f t="array" ref="F534">IF(ISBLANK(B534),"",AVERAGE(B505:B534))</f>
        <v>80.49833333333331</v>
      </c>
      <c r="G534" s="964"/>
      <c r="H534" s="964"/>
      <c r="I534" s="964"/>
      <c r="J534" s="964"/>
      <c r="K534" s="964"/>
      <c r="L534" s="964"/>
      <c r="M534" s="964"/>
      <c r="N534" s="964"/>
      <c r="O534" s="964"/>
      <c r="P534" s="964"/>
      <c r="Q534" s="962"/>
      <c r="R534" t="str" s="964" cm="1">
        <f t="array" ref="R534">IF(OR(ISBLANK($B534),NOT(ISBLANK(B534))),"",'tracking - Table 2-1-2'!C$66)</f>
      </c>
      <c r="S534" t="str" s="964" cm="1">
        <f t="array" ref="S534">IF(OR(ISBLANK($B534),NOT(ISBLANK(B534))),"",'tracking - Table 2-1-2'!D$66)</f>
      </c>
      <c r="T534" t="str" s="964" cm="1">
        <f t="array" ref="T534">IF(OR(ISBLANK($B534),NOT(ISBLANK(B534))),"",'tracking - Table 2-1-2'!E$66)</f>
      </c>
      <c r="U534" t="str" s="969" cm="1">
        <f t="array" ref="U534">IF(OR(ISBLANK($B534),ISBLANK('tracking - Table 2-1-2'!A$1)),"",'tracking - Table 2-1-2'!F$66)</f>
      </c>
    </row>
    <row r="535" ht="8.75" customHeight="1" hidden="1">
      <c r="A535" s="960">
        <v>44874</v>
      </c>
      <c r="B535" s="961">
        <v>80.15000000000001</v>
      </c>
      <c r="C535" s="965" cm="1">
        <f t="array" ref="C535">IF(ISBLANK(B535),"",B535*2.2046226218)</f>
        <v>176.700503137270</v>
      </c>
      <c r="D535" s="962" cm="1">
        <f t="array" ref="D535">IF(ISBLANK(B535),"",AVERAGE(B529:B535))</f>
        <v>80.1071428571429</v>
      </c>
      <c r="E535" s="962" cm="1">
        <f t="array" ref="E535">IF(ISBLANK(B535),"",AVERAGE(B522:B535))</f>
        <v>80.54642857142861</v>
      </c>
      <c r="F535" s="962" cm="1">
        <f t="array" ref="F535">IF(ISBLANK(B535),"",AVERAGE(B506:B535))</f>
        <v>80.52833333333329</v>
      </c>
      <c r="G535" s="964"/>
      <c r="H535" s="964"/>
      <c r="I535" s="964"/>
      <c r="J535" s="964"/>
      <c r="K535" s="964"/>
      <c r="L535" s="964"/>
      <c r="M535" s="964"/>
      <c r="N535" s="964"/>
      <c r="O535" s="964"/>
      <c r="P535" s="964"/>
      <c r="Q535" s="962"/>
      <c r="R535" t="str" s="964" cm="1">
        <f t="array" ref="R535">IF(OR(ISBLANK($B535),NOT(ISBLANK(B535))),"",'tracking - Table 2-1-2'!C$66)</f>
      </c>
      <c r="S535" t="str" s="964" cm="1">
        <f t="array" ref="S535">IF(OR(ISBLANK($B535),NOT(ISBLANK(B535))),"",'tracking - Table 2-1-2'!D$66)</f>
      </c>
      <c r="T535" t="str" s="964" cm="1">
        <f t="array" ref="T535">IF(OR(ISBLANK($B535),NOT(ISBLANK(B535))),"",'tracking - Table 2-1-2'!E$66)</f>
      </c>
      <c r="U535" t="str" s="969" cm="1">
        <f t="array" ref="U535">IF(OR(ISBLANK($B535),ISBLANK('tracking - Table 2-1-2'!A$1)),"",'tracking - Table 2-1-2'!F$66)</f>
      </c>
    </row>
    <row r="536" ht="8.75" customHeight="1" hidden="1">
      <c r="A536" s="960">
        <v>44875</v>
      </c>
      <c r="B536" s="961">
        <v>80.84999999999999</v>
      </c>
      <c r="C536" s="965" cm="1">
        <f t="array" ref="C536">IF(ISBLANK(B536),"",B536*2.2046226218)</f>
        <v>178.243738972530</v>
      </c>
      <c r="D536" s="962" cm="1">
        <f t="array" ref="D536">IF(ISBLANK(B536),"",AVERAGE(B530:B536))</f>
        <v>80.1571428571429</v>
      </c>
      <c r="E536" s="962" cm="1">
        <f t="array" ref="E536">IF(ISBLANK(B536),"",AVERAGE(B523:B536))</f>
        <v>80.4928571428571</v>
      </c>
      <c r="F536" s="962" cm="1">
        <f t="array" ref="F536">IF(ISBLANK(B536),"",AVERAGE(B507:B536))</f>
        <v>80.5633333333333</v>
      </c>
      <c r="G536" s="964"/>
      <c r="H536" s="964"/>
      <c r="I536" s="964"/>
      <c r="J536" s="964"/>
      <c r="K536" s="964"/>
      <c r="L536" s="964"/>
      <c r="M536" s="964"/>
      <c r="N536" s="964"/>
      <c r="O536" s="964"/>
      <c r="P536" s="964"/>
      <c r="Q536" s="962"/>
      <c r="R536" t="str" s="964" cm="1">
        <f t="array" ref="R536">IF(OR(ISBLANK($B536),NOT(ISBLANK(B536))),"",'tracking - Table 2-1-2'!C$66)</f>
      </c>
      <c r="S536" t="str" s="964" cm="1">
        <f t="array" ref="S536">IF(OR(ISBLANK($B536),NOT(ISBLANK(B536))),"",'tracking - Table 2-1-2'!D$66)</f>
      </c>
      <c r="T536" t="str" s="964" cm="1">
        <f t="array" ref="T536">IF(OR(ISBLANK($B536),NOT(ISBLANK(B536))),"",'tracking - Table 2-1-2'!E$66)</f>
      </c>
      <c r="U536" t="str" s="969" cm="1">
        <f t="array" ref="U536">IF(OR(ISBLANK($B536),ISBLANK('tracking - Table 2-1-2'!A$1)),"",'tracking - Table 2-1-2'!F$66)</f>
      </c>
    </row>
    <row r="537" ht="8.75" customHeight="1" hidden="1">
      <c r="A537" s="960">
        <v>44876</v>
      </c>
      <c r="B537" s="961">
        <v>80.84999999999999</v>
      </c>
      <c r="C537" s="965" cm="1">
        <f t="array" ref="C537">IF(ISBLANK(B537),"",B537*2.2046226218)</f>
        <v>178.243738972530</v>
      </c>
      <c r="D537" s="962" cm="1">
        <f t="array" ref="D537">IF(ISBLANK(B537),"",AVERAGE(B531:B537))</f>
        <v>80.19285714285709</v>
      </c>
      <c r="E537" s="962" cm="1">
        <f t="array" ref="E537">IF(ISBLANK(B537),"",AVERAGE(B524:B537))</f>
        <v>80.4785714285714</v>
      </c>
      <c r="F537" s="962" cm="1">
        <f t="array" ref="F537">IF(ISBLANK(B537),"",AVERAGE(B508:B537))</f>
        <v>80.605</v>
      </c>
      <c r="G537" s="964"/>
      <c r="H537" s="964"/>
      <c r="I537" s="964"/>
      <c r="J537" s="964"/>
      <c r="K537" s="964"/>
      <c r="L537" s="964"/>
      <c r="M537" s="964"/>
      <c r="N537" s="964"/>
      <c r="O537" s="964"/>
      <c r="P537" s="964"/>
      <c r="Q537" s="962"/>
      <c r="R537" t="str" s="964" cm="1">
        <f t="array" ref="R537">IF(OR(ISBLANK($B537),NOT(ISBLANK(B537))),"",'tracking - Table 2-1-2'!C$66)</f>
      </c>
      <c r="S537" t="str" s="964" cm="1">
        <f t="array" ref="S537">IF(OR(ISBLANK($B537),NOT(ISBLANK(B537))),"",'tracking - Table 2-1-2'!D$66)</f>
      </c>
      <c r="T537" t="str" s="964" cm="1">
        <f t="array" ref="T537">IF(OR(ISBLANK($B537),NOT(ISBLANK(B537))),"",'tracking - Table 2-1-2'!E$66)</f>
      </c>
      <c r="U537" t="str" s="969" cm="1">
        <f t="array" ref="U537">IF(OR(ISBLANK($B537),ISBLANK('tracking - Table 2-1-2'!A$1)),"",'tracking - Table 2-1-2'!F$66)</f>
      </c>
    </row>
    <row r="538" ht="8.75" customHeight="1" hidden="1">
      <c r="A538" s="960">
        <v>44877</v>
      </c>
      <c r="B538" s="961">
        <v>81</v>
      </c>
      <c r="C538" s="965" cm="1">
        <f t="array" ref="C538">IF(ISBLANK(B538),"",B538*2.2046226218)</f>
        <v>178.5744323658</v>
      </c>
      <c r="D538" s="962" cm="1">
        <f t="array" ref="D538">IF(ISBLANK(B538),"",AVERAGE(B532:B538))</f>
        <v>80.2071428571429</v>
      </c>
      <c r="E538" s="962" cm="1">
        <f t="array" ref="E538">IF(ISBLANK(B538),"",AVERAGE(B525:B538))</f>
        <v>80.4714285714286</v>
      </c>
      <c r="F538" s="962" cm="1">
        <f t="array" ref="F538">IF(ISBLANK(B538),"",AVERAGE(B509:B538))</f>
        <v>80.6466666666667</v>
      </c>
      <c r="G538" s="964"/>
      <c r="H538" s="964"/>
      <c r="I538" s="964"/>
      <c r="J538" s="964"/>
      <c r="K538" s="964"/>
      <c r="L538" s="964"/>
      <c r="M538" s="964"/>
      <c r="N538" s="964"/>
      <c r="O538" s="964"/>
      <c r="P538" s="964"/>
      <c r="Q538" s="962"/>
      <c r="R538" t="str" s="964" cm="1">
        <f t="array" ref="R538">IF(OR(ISBLANK($B538),NOT(ISBLANK(B538))),"",'tracking - Table 2-1-2'!C$66)</f>
      </c>
      <c r="S538" t="str" s="964" cm="1">
        <f t="array" ref="S538">IF(OR(ISBLANK($B538),NOT(ISBLANK(B538))),"",'tracking - Table 2-1-2'!D$66)</f>
      </c>
      <c r="T538" t="str" s="964" cm="1">
        <f t="array" ref="T538">IF(OR(ISBLANK($B538),NOT(ISBLANK(B538))),"",'tracking - Table 2-1-2'!E$66)</f>
      </c>
      <c r="U538" t="str" s="969" cm="1">
        <f t="array" ref="U538">IF(OR(ISBLANK($B538),ISBLANK('tracking - Table 2-1-2'!A$1)),"",'tracking - Table 2-1-2'!F$66)</f>
      </c>
    </row>
    <row r="539" ht="8.75" customHeight="1" hidden="1">
      <c r="A539" s="960">
        <v>44878</v>
      </c>
      <c r="B539" s="961">
        <v>81</v>
      </c>
      <c r="C539" s="965" cm="1">
        <f t="array" ref="C539">IF(ISBLANK(B539),"",B539*2.2046226218)</f>
        <v>178.5744323658</v>
      </c>
      <c r="D539" s="962" cm="1">
        <f t="array" ref="D539">IF(ISBLANK(B539),"",AVERAGE(B533:B539))</f>
        <v>80.45</v>
      </c>
      <c r="E539" s="962" cm="1">
        <f t="array" ref="E539">IF(ISBLANK(B539),"",AVERAGE(B526:B539))</f>
        <v>80.49642857142859</v>
      </c>
      <c r="F539" s="962" cm="1">
        <f t="array" ref="F539">IF(ISBLANK(B539),"",AVERAGE(B510:B539))</f>
        <v>80.6816666666667</v>
      </c>
      <c r="G539" s="964"/>
      <c r="H539" s="964"/>
      <c r="I539" s="964"/>
      <c r="J539" s="964"/>
      <c r="K539" s="964"/>
      <c r="L539" s="964"/>
      <c r="M539" s="964"/>
      <c r="N539" s="964"/>
      <c r="O539" s="964"/>
      <c r="P539" s="964"/>
      <c r="Q539" s="962"/>
      <c r="R539" t="str" s="964" cm="1">
        <f t="array" ref="R539">IF(OR(ISBLANK($B539),NOT(ISBLANK(B539))),"",'tracking - Table 2-1-2'!C$66)</f>
      </c>
      <c r="S539" t="str" s="964" cm="1">
        <f t="array" ref="S539">IF(OR(ISBLANK($B539),NOT(ISBLANK(B539))),"",'tracking - Table 2-1-2'!D$66)</f>
      </c>
      <c r="T539" t="str" s="964" cm="1">
        <f t="array" ref="T539">IF(OR(ISBLANK($B539),NOT(ISBLANK(B539))),"",'tracking - Table 2-1-2'!E$66)</f>
      </c>
      <c r="U539" t="str" s="969" cm="1">
        <f t="array" ref="U539">IF(OR(ISBLANK($B539),ISBLANK('tracking - Table 2-1-2'!A$1)),"",'tracking - Table 2-1-2'!F$66)</f>
      </c>
    </row>
    <row r="540" ht="8.75" customHeight="1" hidden="1">
      <c r="A540" s="960">
        <v>44879</v>
      </c>
      <c r="B540" s="961">
        <v>81.34999999999999</v>
      </c>
      <c r="C540" s="965" cm="1">
        <f t="array" ref="C540">IF(ISBLANK(B540),"",B540*2.2046226218)</f>
        <v>179.346050283430</v>
      </c>
      <c r="D540" s="962" cm="1">
        <f t="array" ref="D540">IF(ISBLANK(B540),"",AVERAGE(B534:B540))</f>
        <v>80.7285714285714</v>
      </c>
      <c r="E540" s="962" cm="1">
        <f t="array" ref="E540">IF(ISBLANK(B540),"",AVERAGE(B527:B540))</f>
        <v>80.5071428571429</v>
      </c>
      <c r="F540" s="962" cm="1">
        <f t="array" ref="F540">IF(ISBLANK(B540),"",AVERAGE(B511:B540))</f>
        <v>80.7266666666667</v>
      </c>
      <c r="G540" s="964"/>
      <c r="H540" s="964"/>
      <c r="I540" s="964"/>
      <c r="J540" s="964"/>
      <c r="K540" s="964"/>
      <c r="L540" s="964"/>
      <c r="M540" s="964"/>
      <c r="N540" s="964"/>
      <c r="O540" s="964"/>
      <c r="P540" s="964"/>
      <c r="Q540" s="962"/>
      <c r="R540" t="str" s="964" cm="1">
        <f t="array" ref="R540">IF(OR(ISBLANK($B540),NOT(ISBLANK(B540))),"",'tracking - Table 2-1-2'!C$66)</f>
      </c>
      <c r="S540" t="str" s="964" cm="1">
        <f t="array" ref="S540">IF(OR(ISBLANK($B540),NOT(ISBLANK(B540))),"",'tracking - Table 2-1-2'!D$66)</f>
      </c>
      <c r="T540" t="str" s="964" cm="1">
        <f t="array" ref="T540">IF(OR(ISBLANK($B540),NOT(ISBLANK(B540))),"",'tracking - Table 2-1-2'!E$66)</f>
      </c>
      <c r="U540" t="str" s="969" cm="1">
        <f t="array" ref="U540">IF(OR(ISBLANK($B540),ISBLANK('tracking - Table 2-1-2'!A$1)),"",'tracking - Table 2-1-2'!F$66)</f>
      </c>
    </row>
    <row r="541" ht="8.75" customHeight="1" hidden="1">
      <c r="A541" s="960">
        <v>44880</v>
      </c>
      <c r="B541" s="961">
        <v>81</v>
      </c>
      <c r="C541" s="965" cm="1">
        <f t="array" ref="C541">IF(ISBLANK(B541),"",B541*2.2046226218)</f>
        <v>178.5744323658</v>
      </c>
      <c r="D541" s="962" cm="1">
        <f t="array" ref="D541">IF(ISBLANK(B541),"",AVERAGE(B535:B541))</f>
        <v>80.8857142857143</v>
      </c>
      <c r="E541" s="962" cm="1">
        <f t="array" ref="E541">IF(ISBLANK(B541),"",AVERAGE(B528:B541))</f>
        <v>80.5214285714286</v>
      </c>
      <c r="F541" s="962" cm="1">
        <f t="array" ref="F541">IF(ISBLANK(B541),"",AVERAGE(B512:B541))</f>
        <v>80.755</v>
      </c>
      <c r="G541" s="964"/>
      <c r="H541" s="964"/>
      <c r="I541" s="964"/>
      <c r="J541" s="964"/>
      <c r="K541" s="964"/>
      <c r="L541" s="964"/>
      <c r="M541" s="964"/>
      <c r="N541" s="964"/>
      <c r="O541" s="964"/>
      <c r="P541" s="964"/>
      <c r="Q541" s="962"/>
      <c r="R541" t="str" s="964" cm="1">
        <f t="array" ref="R541">IF(OR(ISBLANK($B541),NOT(ISBLANK(B541))),"",'tracking - Table 2-1-2'!C$66)</f>
      </c>
      <c r="S541" t="str" s="964" cm="1">
        <f t="array" ref="S541">IF(OR(ISBLANK($B541),NOT(ISBLANK(B541))),"",'tracking - Table 2-1-2'!D$66)</f>
      </c>
      <c r="T541" t="str" s="964" cm="1">
        <f t="array" ref="T541">IF(OR(ISBLANK($B541),NOT(ISBLANK(B541))),"",'tracking - Table 2-1-2'!E$66)</f>
      </c>
      <c r="U541" t="str" s="969" cm="1">
        <f t="array" ref="U541">IF(OR(ISBLANK($B541),ISBLANK('tracking - Table 2-1-2'!A$1)),"",'tracking - Table 2-1-2'!F$66)</f>
      </c>
    </row>
    <row r="542" ht="8.75" customHeight="1" hidden="1">
      <c r="A542" s="960">
        <v>44881</v>
      </c>
      <c r="B542" s="961">
        <v>80.7</v>
      </c>
      <c r="C542" s="965" cm="1">
        <f t="array" ref="C542">IF(ISBLANK(B542),"",B542*2.2046226218)</f>
        <v>177.913045579260</v>
      </c>
      <c r="D542" s="962" cm="1">
        <f t="array" ref="D542">IF(ISBLANK(B542),"",AVERAGE(B536:B542))</f>
        <v>80.96428571428569</v>
      </c>
      <c r="E542" s="962" cm="1">
        <f t="array" ref="E542">IF(ISBLANK(B542),"",AVERAGE(B529:B542))</f>
        <v>80.53571428571431</v>
      </c>
      <c r="F542" s="962" cm="1">
        <f t="array" ref="F542">IF(ISBLANK(B542),"",AVERAGE(B513:B542))</f>
        <v>80.76666666666669</v>
      </c>
      <c r="G542" s="964"/>
      <c r="H542" s="964"/>
      <c r="I542" s="964"/>
      <c r="J542" s="964"/>
      <c r="K542" s="964"/>
      <c r="L542" s="964"/>
      <c r="M542" s="964"/>
      <c r="N542" s="964"/>
      <c r="O542" s="964"/>
      <c r="P542" s="964"/>
      <c r="Q542" s="962"/>
      <c r="R542" t="str" s="964" cm="1">
        <f t="array" ref="R542">IF(OR(ISBLANK($B542),NOT(ISBLANK(B542))),"",'tracking - Table 2-1-2'!C$66)</f>
      </c>
      <c r="S542" t="str" s="964" cm="1">
        <f t="array" ref="S542">IF(OR(ISBLANK($B542),NOT(ISBLANK(B542))),"",'tracking - Table 2-1-2'!D$66)</f>
      </c>
      <c r="T542" t="str" s="964" cm="1">
        <f t="array" ref="T542">IF(OR(ISBLANK($B542),NOT(ISBLANK(B542))),"",'tracking - Table 2-1-2'!E$66)</f>
      </c>
      <c r="U542" t="str" s="969" cm="1">
        <f t="array" ref="U542">IF(OR(ISBLANK($B542),ISBLANK('tracking - Table 2-1-2'!A$1)),"",'tracking - Table 2-1-2'!F$66)</f>
      </c>
    </row>
    <row r="543" ht="8.75" customHeight="1" hidden="1">
      <c r="A543" s="960">
        <v>44882</v>
      </c>
      <c r="B543" s="356"/>
      <c r="C543" t="str" s="352" cm="1">
        <f t="array" ref="C543">IF(ISBLANK(B543),"",B543*2.2046226218)</f>
      </c>
      <c r="D543" t="str" s="964" cm="1">
        <f t="array" ref="D543">IF(ISBLANK(B543),"",AVERAGE(B537:B543))</f>
      </c>
      <c r="E543" t="str" s="964" cm="1">
        <f t="array" ref="E543">IF(ISBLANK(B543),"",AVERAGE(B530:B543))</f>
      </c>
      <c r="F543" t="str" s="964" cm="1">
        <f t="array" ref="F543">IF(ISBLANK(B543),"",AVERAGE(B514:B543))</f>
      </c>
      <c r="G543" s="964"/>
      <c r="H543" s="964"/>
      <c r="I543" s="964"/>
      <c r="J543" s="964"/>
      <c r="K543" s="964"/>
      <c r="L543" s="964"/>
      <c r="M543" s="964"/>
      <c r="N543" s="964"/>
      <c r="O543" s="964"/>
      <c r="P543" s="964"/>
      <c r="Q543" s="962"/>
      <c r="R543" t="str" s="964" cm="1">
        <f t="array" ref="R543">IF(OR(ISBLANK($B543),NOT(ISBLANK(B543))),"",'tracking - Table 2-1-2'!C$66)</f>
      </c>
      <c r="S543" t="str" s="964" cm="1">
        <f t="array" ref="S543">IF(OR(ISBLANK($B543),NOT(ISBLANK(B543))),"",'tracking - Table 2-1-2'!D$66)</f>
      </c>
      <c r="T543" t="str" s="964" cm="1">
        <f t="array" ref="T543">IF(OR(ISBLANK($B543),NOT(ISBLANK(B543))),"",'tracking - Table 2-1-2'!E$66)</f>
      </c>
      <c r="U543" t="str" s="969" cm="1">
        <f t="array" ref="U543">IF(OR(ISBLANK($B543),ISBLANK('tracking - Table 2-1-2'!A$1)),"",'tracking - Table 2-1-2'!F$66)</f>
      </c>
    </row>
    <row r="544" ht="8.75" customHeight="1" hidden="1">
      <c r="A544" s="960">
        <v>44883</v>
      </c>
      <c r="B544" s="356"/>
      <c r="C544" t="str" s="352" cm="1">
        <f t="array" ref="C544">IF(ISBLANK(B544),"",B544*2.2046226218)</f>
      </c>
      <c r="D544" t="str" s="964" cm="1">
        <f t="array" ref="D544">IF(ISBLANK(B544),"",AVERAGE(B538:B544))</f>
      </c>
      <c r="E544" t="str" s="964" cm="1">
        <f t="array" ref="E544">IF(ISBLANK(B544),"",AVERAGE(B531:B544))</f>
      </c>
      <c r="F544" t="str" s="964" cm="1">
        <f t="array" ref="F544">IF(ISBLANK(B544),"",AVERAGE(B515:B544))</f>
      </c>
      <c r="G544" s="964"/>
      <c r="H544" s="964"/>
      <c r="I544" s="964"/>
      <c r="J544" s="964"/>
      <c r="K544" s="964"/>
      <c r="L544" s="964"/>
      <c r="M544" s="964"/>
      <c r="N544" s="964"/>
      <c r="O544" s="964"/>
      <c r="P544" s="964"/>
      <c r="Q544" s="962"/>
      <c r="R544" t="str" s="964" cm="1">
        <f t="array" ref="R544">IF(OR(ISBLANK($B544),NOT(ISBLANK(B544))),"",'tracking - Table 2-1-2'!C$66)</f>
      </c>
      <c r="S544" t="str" s="964" cm="1">
        <f t="array" ref="S544">IF(OR(ISBLANK($B544),NOT(ISBLANK(B544))),"",'tracking - Table 2-1-2'!D$66)</f>
      </c>
      <c r="T544" t="str" s="964" cm="1">
        <f t="array" ref="T544">IF(OR(ISBLANK($B544),NOT(ISBLANK(B544))),"",'tracking - Table 2-1-2'!E$66)</f>
      </c>
      <c r="U544" t="str" s="969" cm="1">
        <f t="array" ref="U544">IF(OR(ISBLANK($B544),ISBLANK('tracking - Table 2-1-2'!A$1)),"",'tracking - Table 2-1-2'!F$66)</f>
      </c>
    </row>
    <row r="545" ht="8.75" customHeight="1" hidden="1">
      <c r="A545" s="960">
        <v>44884</v>
      </c>
      <c r="B545" s="356"/>
      <c r="C545" t="str" s="352" cm="1">
        <f t="array" ref="C545">IF(ISBLANK(B545),"",B545*2.2046226218)</f>
      </c>
      <c r="D545" t="str" s="964" cm="1">
        <f t="array" ref="D545">IF(ISBLANK(B545),"",AVERAGE(B539:B545))</f>
      </c>
      <c r="E545" t="str" s="964" cm="1">
        <f t="array" ref="E545">IF(ISBLANK(B545),"",AVERAGE(B532:B545))</f>
      </c>
      <c r="F545" t="str" s="964" cm="1">
        <f t="array" ref="F545">IF(ISBLANK(B545),"",AVERAGE(B516:B545))</f>
      </c>
      <c r="G545" s="964"/>
      <c r="H545" s="964"/>
      <c r="I545" s="964"/>
      <c r="J545" s="964"/>
      <c r="K545" s="964"/>
      <c r="L545" s="964"/>
      <c r="M545" s="964"/>
      <c r="N545" s="964"/>
      <c r="O545" s="964"/>
      <c r="P545" s="964"/>
      <c r="Q545" s="962"/>
      <c r="R545" t="str" s="964" cm="1">
        <f t="array" ref="R545">IF(OR(ISBLANK($B545),NOT(ISBLANK(B545))),"",'tracking - Table 2-1-2'!C$66)</f>
      </c>
      <c r="S545" t="str" s="964" cm="1">
        <f t="array" ref="S545">IF(OR(ISBLANK($B545),NOT(ISBLANK(B545))),"",'tracking - Table 2-1-2'!D$66)</f>
      </c>
      <c r="T545" t="str" s="964" cm="1">
        <f t="array" ref="T545">IF(OR(ISBLANK($B545),NOT(ISBLANK(B545))),"",'tracking - Table 2-1-2'!E$66)</f>
      </c>
      <c r="U545" t="str" s="969" cm="1">
        <f t="array" ref="U545">IF(OR(ISBLANK($B545),ISBLANK('tracking - Table 2-1-2'!A$1)),"",'tracking - Table 2-1-2'!F$66)</f>
      </c>
    </row>
    <row r="546" ht="8.75" customHeight="1" hidden="1">
      <c r="A546" s="960">
        <v>44885</v>
      </c>
      <c r="B546" s="961">
        <v>80.59999999999999</v>
      </c>
      <c r="C546" s="965" cm="1">
        <f t="array" ref="C546">IF(ISBLANK(B546),"",B546*2.2046226218)</f>
        <v>177.692583317080</v>
      </c>
      <c r="D546" s="962" cm="1">
        <f t="array" ref="D546">IF(ISBLANK(B546),"",AVERAGE(B540:B546))</f>
        <v>80.91249999999999</v>
      </c>
      <c r="E546" s="962" cm="1">
        <f t="array" ref="E546">IF(ISBLANK(B546),"",AVERAGE(B533:B546))</f>
        <v>80.6181818181818</v>
      </c>
      <c r="F546" s="962" cm="1">
        <f t="array" ref="F546">IF(ISBLANK(B546),"",AVERAGE(B517:B546))</f>
        <v>80.7851851851852</v>
      </c>
      <c r="G546" s="964"/>
      <c r="H546" s="964"/>
      <c r="I546" s="964"/>
      <c r="J546" s="964"/>
      <c r="K546" s="964"/>
      <c r="L546" s="964"/>
      <c r="M546" s="964"/>
      <c r="N546" s="964"/>
      <c r="O546" s="964"/>
      <c r="P546" s="964"/>
      <c r="Q546" s="962"/>
      <c r="R546" t="str" s="964" cm="1">
        <f t="array" ref="R546">IF(OR(ISBLANK($B546),NOT(ISBLANK(B546))),"",'tracking - Table 2-1-2'!C$66)</f>
      </c>
      <c r="S546" t="str" s="964" cm="1">
        <f t="array" ref="S546">IF(OR(ISBLANK($B546),NOT(ISBLANK(B546))),"",'tracking - Table 2-1-2'!D$66)</f>
      </c>
      <c r="T546" t="str" s="964" cm="1">
        <f t="array" ref="T546">IF(OR(ISBLANK($B546),NOT(ISBLANK(B546))),"",'tracking - Table 2-1-2'!E$66)</f>
      </c>
      <c r="U546" t="str" s="969" cm="1">
        <f t="array" ref="U546">IF(OR(ISBLANK($B546),ISBLANK('tracking - Table 2-1-2'!A$1)),"",'tracking - Table 2-1-2'!F$66)</f>
      </c>
    </row>
    <row r="547" ht="8.75" customHeight="1" hidden="1">
      <c r="A547" s="960">
        <v>44886</v>
      </c>
      <c r="B547" s="961">
        <v>80.40000000000001</v>
      </c>
      <c r="C547" s="965" cm="1">
        <f t="array" ref="C547">IF(ISBLANK(B547),"",B547*2.2046226218)</f>
        <v>177.251658792720</v>
      </c>
      <c r="D547" s="962" cm="1">
        <f t="array" ref="D547">IF(ISBLANK(B547),"",AVERAGE(B541:B547))</f>
        <v>80.675</v>
      </c>
      <c r="E547" s="962" cm="1">
        <f t="array" ref="E547">IF(ISBLANK(B547),"",AVERAGE(B534:B547))</f>
        <v>80.7090909090909</v>
      </c>
      <c r="F547" s="962" cm="1">
        <f t="array" ref="F547">IF(ISBLANK(B547),"",AVERAGE(B518:B547))</f>
        <v>80.762962962963</v>
      </c>
      <c r="G547" s="964"/>
      <c r="H547" s="964"/>
      <c r="I547" s="964"/>
      <c r="J547" s="964"/>
      <c r="K547" s="964"/>
      <c r="L547" s="964"/>
      <c r="M547" s="964"/>
      <c r="N547" s="964"/>
      <c r="O547" s="964"/>
      <c r="P547" s="964"/>
      <c r="Q547" s="962"/>
      <c r="R547" t="str" s="964" cm="1">
        <f t="array" ref="R547">IF(OR(ISBLANK($B547),NOT(ISBLANK(B547))),"",'tracking - Table 2-1-2'!C$66)</f>
      </c>
      <c r="S547" t="str" s="964" cm="1">
        <f t="array" ref="S547">IF(OR(ISBLANK($B547),NOT(ISBLANK(B547))),"",'tracking - Table 2-1-2'!D$66)</f>
      </c>
      <c r="T547" t="str" s="964" cm="1">
        <f t="array" ref="T547">IF(OR(ISBLANK($B547),NOT(ISBLANK(B547))),"",'tracking - Table 2-1-2'!E$66)</f>
      </c>
      <c r="U547" t="str" s="969" cm="1">
        <f t="array" ref="U547">IF(OR(ISBLANK($B547),ISBLANK('tracking - Table 2-1-2'!A$1)),"",'tracking - Table 2-1-2'!F$66)</f>
      </c>
    </row>
    <row r="548" ht="8.75" customHeight="1" hidden="1">
      <c r="A548" s="960">
        <v>44887</v>
      </c>
      <c r="B548" s="961">
        <v>80.59999999999999</v>
      </c>
      <c r="C548" s="965" cm="1">
        <f t="array" ref="C548">IF(ISBLANK(B548),"",B548*2.2046226218)</f>
        <v>177.692583317080</v>
      </c>
      <c r="D548" s="962" cm="1">
        <f t="array" ref="D548">IF(ISBLANK(B548),"",AVERAGE(B542:B548))</f>
        <v>80.575</v>
      </c>
      <c r="E548" s="962" cm="1">
        <f t="array" ref="E548">IF(ISBLANK(B548),"",AVERAGE(B535:B548))</f>
        <v>80.77272727272729</v>
      </c>
      <c r="F548" s="962" cm="1">
        <f t="array" ref="F548">IF(ISBLANK(B548),"",AVERAGE(B519:B548))</f>
        <v>80.7425925925926</v>
      </c>
      <c r="G548" s="964"/>
      <c r="H548" s="964"/>
      <c r="I548" s="964"/>
      <c r="J548" s="964"/>
      <c r="K548" s="964"/>
      <c r="L548" s="964"/>
      <c r="M548" s="964"/>
      <c r="N548" s="964"/>
      <c r="O548" s="964"/>
      <c r="P548" s="964"/>
      <c r="Q548" s="962"/>
      <c r="R548" t="str" s="964" cm="1">
        <f t="array" ref="R548">IF(OR(ISBLANK($B548),NOT(ISBLANK(B548))),"",'tracking - Table 2-1-2'!C$66)</f>
      </c>
      <c r="S548" t="str" s="964" cm="1">
        <f t="array" ref="S548">IF(OR(ISBLANK($B548),NOT(ISBLANK(B548))),"",'tracking - Table 2-1-2'!D$66)</f>
      </c>
      <c r="T548" t="str" s="964" cm="1">
        <f t="array" ref="T548">IF(OR(ISBLANK($B548),NOT(ISBLANK(B548))),"",'tracking - Table 2-1-2'!E$66)</f>
      </c>
      <c r="U548" t="str" s="969" cm="1">
        <f t="array" ref="U548">IF(OR(ISBLANK($B548),ISBLANK('tracking - Table 2-1-2'!A$1)),"",'tracking - Table 2-1-2'!F$66)</f>
      </c>
    </row>
    <row r="549" ht="8.75" customHeight="1" hidden="1">
      <c r="A549" s="960">
        <v>44888</v>
      </c>
      <c r="B549" s="961">
        <v>81.40000000000001</v>
      </c>
      <c r="C549" s="965" cm="1">
        <f t="array" ref="C549">IF(ISBLANK(B549),"",B549*2.2046226218)</f>
        <v>179.456281414520</v>
      </c>
      <c r="D549" s="962" cm="1">
        <f t="array" ref="D549">IF(ISBLANK(B549),"",AVERAGE(B543:B549))</f>
        <v>80.75</v>
      </c>
      <c r="E549" s="962" cm="1">
        <f t="array" ref="E549">IF(ISBLANK(B549),"",AVERAGE(B536:B549))</f>
        <v>80.8863636363636</v>
      </c>
      <c r="F549" s="962" cm="1">
        <f t="array" ref="F549">IF(ISBLANK(B549),"",AVERAGE(B520:B549))</f>
        <v>80.74629629629629</v>
      </c>
      <c r="G549" s="964"/>
      <c r="H549" s="964"/>
      <c r="I549" s="964"/>
      <c r="J549" s="964"/>
      <c r="K549" s="964"/>
      <c r="L549" s="964"/>
      <c r="M549" s="964"/>
      <c r="N549" s="964"/>
      <c r="O549" s="964"/>
      <c r="P549" s="964"/>
      <c r="Q549" s="962"/>
      <c r="R549" t="str" s="964" cm="1">
        <f t="array" ref="R549">IF(OR(ISBLANK($B549),NOT(ISBLANK(B549))),"",'tracking - Table 2-1-2'!C$66)</f>
      </c>
      <c r="S549" t="str" s="964" cm="1">
        <f t="array" ref="S549">IF(OR(ISBLANK($B549),NOT(ISBLANK(B549))),"",'tracking - Table 2-1-2'!D$66)</f>
      </c>
      <c r="T549" t="str" s="964" cm="1">
        <f t="array" ref="T549">IF(OR(ISBLANK($B549),NOT(ISBLANK(B549))),"",'tracking - Table 2-1-2'!E$66)</f>
      </c>
      <c r="U549" t="str" s="969" cm="1">
        <f t="array" ref="U549">IF(OR(ISBLANK($B549),ISBLANK('tracking - Table 2-1-2'!A$1)),"",'tracking - Table 2-1-2'!F$66)</f>
      </c>
    </row>
    <row r="550" ht="8.75" customHeight="1" hidden="1">
      <c r="A550" s="960">
        <v>44889</v>
      </c>
      <c r="B550" s="961">
        <v>81.40000000000001</v>
      </c>
      <c r="C550" s="965" cm="1">
        <f t="array" ref="C550">IF(ISBLANK(B550),"",B550*2.2046226218)</f>
        <v>179.456281414520</v>
      </c>
      <c r="D550" s="962" cm="1">
        <f t="array" ref="D550">IF(ISBLANK(B550),"",AVERAGE(B544:B550))</f>
        <v>80.88</v>
      </c>
      <c r="E550" s="962" cm="1">
        <f t="array" ref="E550">IF(ISBLANK(B550),"",AVERAGE(B537:B550))</f>
        <v>80.93636363636359</v>
      </c>
      <c r="F550" s="962" cm="1">
        <f t="array" ref="F550">IF(ISBLANK(B550),"",AVERAGE(B521:B550))</f>
        <v>80.7444444444444</v>
      </c>
      <c r="G550" s="964"/>
      <c r="H550" s="964"/>
      <c r="I550" s="964"/>
      <c r="J550" s="964"/>
      <c r="K550" s="964"/>
      <c r="L550" s="964"/>
      <c r="M550" s="964"/>
      <c r="N550" s="964"/>
      <c r="O550" s="964"/>
      <c r="P550" s="964"/>
      <c r="Q550" s="962"/>
      <c r="R550" t="str" s="964" cm="1">
        <f t="array" ref="R550">IF(OR(ISBLANK($B550),NOT(ISBLANK(B550))),"",'tracking - Table 2-1-2'!C$66)</f>
      </c>
      <c r="S550" t="str" s="964" cm="1">
        <f t="array" ref="S550">IF(OR(ISBLANK($B550),NOT(ISBLANK(B550))),"",'tracking - Table 2-1-2'!D$66)</f>
      </c>
      <c r="T550" t="str" s="964" cm="1">
        <f t="array" ref="T550">IF(OR(ISBLANK($B550),NOT(ISBLANK(B550))),"",'tracking - Table 2-1-2'!E$66)</f>
      </c>
      <c r="U550" t="str" s="969" cm="1">
        <f t="array" ref="U550">IF(OR(ISBLANK($B550),ISBLANK('tracking - Table 2-1-2'!A$1)),"",'tracking - Table 2-1-2'!F$66)</f>
      </c>
    </row>
    <row r="551" ht="8.75" customHeight="1" hidden="1">
      <c r="A551" s="960">
        <v>44890</v>
      </c>
      <c r="B551" s="961">
        <v>81.7</v>
      </c>
      <c r="C551" s="965" cm="1">
        <f t="array" ref="C551">IF(ISBLANK(B551),"",B551*2.2046226218)</f>
        <v>180.117668201060</v>
      </c>
      <c r="D551" s="962" cm="1">
        <f t="array" ref="D551">IF(ISBLANK(B551),"",AVERAGE(B545:B551))</f>
        <v>81.01666666666669</v>
      </c>
      <c r="E551" s="962" cm="1">
        <f t="array" ref="E551">IF(ISBLANK(B551),"",AVERAGE(B538:B551))</f>
        <v>81.01363636363639</v>
      </c>
      <c r="F551" s="962" cm="1">
        <f t="array" ref="F551">IF(ISBLANK(B551),"",AVERAGE(B522:B551))</f>
        <v>80.7592592592593</v>
      </c>
      <c r="G551" s="964"/>
      <c r="H551" s="964"/>
      <c r="I551" s="964"/>
      <c r="J551" s="964"/>
      <c r="K551" s="964"/>
      <c r="L551" s="964"/>
      <c r="M551" s="964"/>
      <c r="N551" s="964"/>
      <c r="O551" s="964"/>
      <c r="P551" s="964"/>
      <c r="Q551" s="962"/>
      <c r="R551" t="str" s="964" cm="1">
        <f t="array" ref="R551">IF(OR(ISBLANK($B551),NOT(ISBLANK(B551))),"",'tracking - Table 2-1-2'!C$66)</f>
      </c>
      <c r="S551" t="str" s="964" cm="1">
        <f t="array" ref="S551">IF(OR(ISBLANK($B551),NOT(ISBLANK(B551))),"",'tracking - Table 2-1-2'!D$66)</f>
      </c>
      <c r="T551" t="str" s="964" cm="1">
        <f t="array" ref="T551">IF(OR(ISBLANK($B551),NOT(ISBLANK(B551))),"",'tracking - Table 2-1-2'!E$66)</f>
      </c>
      <c r="U551" t="str" s="969" cm="1">
        <f t="array" ref="U551">IF(OR(ISBLANK($B551),ISBLANK('tracking - Table 2-1-2'!A$1)),"",'tracking - Table 2-1-2'!F$66)</f>
      </c>
    </row>
    <row r="552" ht="8.75" customHeight="1" hidden="1">
      <c r="A552" s="960">
        <v>44891</v>
      </c>
      <c r="B552" s="961">
        <v>81.2</v>
      </c>
      <c r="C552" s="965" cm="1">
        <f t="array" ref="C552">IF(ISBLANK(B552),"",B552*2.2046226218)</f>
        <v>179.015356890160</v>
      </c>
      <c r="D552" s="962" cm="1">
        <f t="array" ref="D552">IF(ISBLANK(B552),"",AVERAGE(B546:B552))</f>
        <v>81.0428571428571</v>
      </c>
      <c r="E552" s="962" cm="1">
        <f t="array" ref="E552">IF(ISBLANK(B552),"",AVERAGE(B539:B552))</f>
        <v>81.0318181818182</v>
      </c>
      <c r="F552" s="962" cm="1">
        <f t="array" ref="F552">IF(ISBLANK(B552),"",AVERAGE(B523:B552))</f>
        <v>80.7444444444444</v>
      </c>
      <c r="G552" s="964"/>
      <c r="H552" s="964"/>
      <c r="I552" s="964"/>
      <c r="J552" s="964"/>
      <c r="K552" s="964"/>
      <c r="L552" s="964"/>
      <c r="M552" s="964"/>
      <c r="N552" s="964"/>
      <c r="O552" s="964"/>
      <c r="P552" s="964"/>
      <c r="Q552" s="962"/>
      <c r="R552" t="str" s="964" cm="1">
        <f t="array" ref="R552">IF(OR(ISBLANK($B552),NOT(ISBLANK(B552))),"",'tracking - Table 2-1-2'!C$66)</f>
      </c>
      <c r="S552" t="str" s="964" cm="1">
        <f t="array" ref="S552">IF(OR(ISBLANK($B552),NOT(ISBLANK(B552))),"",'tracking - Table 2-1-2'!D$66)</f>
      </c>
      <c r="T552" t="str" s="964" cm="1">
        <f t="array" ref="T552">IF(OR(ISBLANK($B552),NOT(ISBLANK(B552))),"",'tracking - Table 2-1-2'!E$66)</f>
      </c>
      <c r="U552" t="str" s="969" cm="1">
        <f t="array" ref="U552">IF(OR(ISBLANK($B552),ISBLANK('tracking - Table 2-1-2'!A$1)),"",'tracking - Table 2-1-2'!F$66)</f>
      </c>
    </row>
    <row r="553" ht="8.75" customHeight="1" hidden="1">
      <c r="A553" s="960">
        <v>44892</v>
      </c>
      <c r="B553" s="961">
        <v>81.5</v>
      </c>
      <c r="C553" s="965" cm="1">
        <f t="array" ref="C553">IF(ISBLANK(B553),"",B553*2.2046226218)</f>
        <v>179.6767436767</v>
      </c>
      <c r="D553" s="962" cm="1">
        <f t="array" ref="D553">IF(ISBLANK(B553),"",AVERAGE(B547:B553))</f>
        <v>81.17142857142861</v>
      </c>
      <c r="E553" s="962" cm="1">
        <f t="array" ref="E553">IF(ISBLANK(B553),"",AVERAGE(B540:B553))</f>
        <v>81.0772727272727</v>
      </c>
      <c r="F553" s="962" cm="1">
        <f t="array" ref="F553">IF(ISBLANK(B553),"",AVERAGE(B524:B553))</f>
        <v>80.76111111111111</v>
      </c>
      <c r="G553" s="964"/>
      <c r="H553" s="964"/>
      <c r="I553" s="964"/>
      <c r="J553" s="964"/>
      <c r="K553" s="964"/>
      <c r="L553" s="964"/>
      <c r="M553" s="964"/>
      <c r="N553" s="964"/>
      <c r="O553" s="964"/>
      <c r="P553" s="964"/>
      <c r="Q553" s="962"/>
      <c r="R553" t="str" s="964" cm="1">
        <f t="array" ref="R553">IF(OR(ISBLANK($B553),NOT(ISBLANK(B553))),"",'tracking - Table 2-1-2'!C$66)</f>
      </c>
      <c r="S553" t="str" s="964" cm="1">
        <f t="array" ref="S553">IF(OR(ISBLANK($B553),NOT(ISBLANK(B553))),"",'tracking - Table 2-1-2'!D$66)</f>
      </c>
      <c r="T553" t="str" s="964" cm="1">
        <f t="array" ref="T553">IF(OR(ISBLANK($B553),NOT(ISBLANK(B553))),"",'tracking - Table 2-1-2'!E$66)</f>
      </c>
      <c r="U553" t="str" s="969" cm="1">
        <f t="array" ref="U553">IF(OR(ISBLANK($B553),ISBLANK('tracking - Table 2-1-2'!A$1)),"",'tracking - Table 2-1-2'!F$66)</f>
      </c>
    </row>
    <row r="554" ht="8.75" customHeight="1" hidden="1">
      <c r="A554" s="960">
        <v>44893</v>
      </c>
      <c r="B554" s="961">
        <v>81.3</v>
      </c>
      <c r="C554" s="965" cm="1">
        <f t="array" ref="C554">IF(ISBLANK(B554),"",B554*2.2046226218)</f>
        <v>179.235819152340</v>
      </c>
      <c r="D554" s="962" cm="1">
        <f t="array" ref="D554">IF(ISBLANK(B554),"",AVERAGE(B548:B554))</f>
        <v>81.3</v>
      </c>
      <c r="E554" s="962" cm="1">
        <f t="array" ref="E554">IF(ISBLANK(B554),"",AVERAGE(B541:B554))</f>
        <v>81.07272727272731</v>
      </c>
      <c r="F554" s="962" cm="1">
        <f t="array" ref="F554">IF(ISBLANK(B554),"",AVERAGE(B525:B554))</f>
        <v>80.7685185185185</v>
      </c>
      <c r="G554" s="964"/>
      <c r="H554" s="964"/>
      <c r="I554" s="964"/>
      <c r="J554" s="964"/>
      <c r="K554" s="964"/>
      <c r="L554" s="964"/>
      <c r="M554" s="964"/>
      <c r="N554" s="964"/>
      <c r="O554" s="964"/>
      <c r="P554" s="964"/>
      <c r="Q554" s="962"/>
      <c r="R554" t="str" s="964" cm="1">
        <f t="array" ref="R554">IF(OR(ISBLANK($B554),NOT(ISBLANK(B554))),"",'tracking - Table 2-1-2'!C$66)</f>
      </c>
      <c r="S554" t="str" s="964" cm="1">
        <f t="array" ref="S554">IF(OR(ISBLANK($B554),NOT(ISBLANK(B554))),"",'tracking - Table 2-1-2'!D$66)</f>
      </c>
      <c r="T554" t="str" s="964" cm="1">
        <f t="array" ref="T554">IF(OR(ISBLANK($B554),NOT(ISBLANK(B554))),"",'tracking - Table 2-1-2'!E$66)</f>
      </c>
      <c r="U554" t="str" s="969" cm="1">
        <f t="array" ref="U554">IF(OR(ISBLANK($B554),ISBLANK('tracking - Table 2-1-2'!A$1)),"",'tracking - Table 2-1-2'!F$66)</f>
      </c>
    </row>
    <row r="555" ht="8.75" customHeight="1" hidden="1">
      <c r="A555" s="960">
        <v>44894</v>
      </c>
      <c r="B555" s="961">
        <v>81.2</v>
      </c>
      <c r="C555" s="965" cm="1">
        <f t="array" ref="C555">IF(ISBLANK(B555),"",B555*2.2046226218)</f>
        <v>179.015356890160</v>
      </c>
      <c r="D555" s="962" cm="1">
        <f t="array" ref="D555">IF(ISBLANK(B555),"",AVERAGE(B549:B555))</f>
        <v>81.3857142857143</v>
      </c>
      <c r="E555" s="962" cm="1">
        <f t="array" ref="E555">IF(ISBLANK(B555),"",AVERAGE(B542:B555))</f>
        <v>81.09090909090909</v>
      </c>
      <c r="F555" s="962" cm="1">
        <f t="array" ref="F555">IF(ISBLANK(B555),"",AVERAGE(B526:B555))</f>
        <v>80.78888888888891</v>
      </c>
      <c r="G555" s="964"/>
      <c r="H555" s="964"/>
      <c r="I555" s="964"/>
      <c r="J555" s="964"/>
      <c r="K555" s="964"/>
      <c r="L555" s="964"/>
      <c r="M555" s="964"/>
      <c r="N555" s="964"/>
      <c r="O555" s="964"/>
      <c r="P555" s="964"/>
      <c r="Q555" s="962"/>
      <c r="R555" t="str" s="964" cm="1">
        <f t="array" ref="R555">IF(OR(ISBLANK($B555),NOT(ISBLANK(B555))),"",'tracking - Table 2-1-2'!C$66)</f>
      </c>
      <c r="S555" t="str" s="964" cm="1">
        <f t="array" ref="S555">IF(OR(ISBLANK($B555),NOT(ISBLANK(B555))),"",'tracking - Table 2-1-2'!D$66)</f>
      </c>
      <c r="T555" t="str" s="964" cm="1">
        <f t="array" ref="T555">IF(OR(ISBLANK($B555),NOT(ISBLANK(B555))),"",'tracking - Table 2-1-2'!E$66)</f>
      </c>
      <c r="U555" t="str" s="969" cm="1">
        <f t="array" ref="U555">IF(OR(ISBLANK($B555),ISBLANK('tracking - Table 2-1-2'!A$1)),"",'tracking - Table 2-1-2'!F$66)</f>
      </c>
    </row>
    <row r="556" ht="8.75" customHeight="1" hidden="1">
      <c r="A556" s="960">
        <v>44895</v>
      </c>
      <c r="B556" s="961">
        <v>81.2</v>
      </c>
      <c r="C556" s="965" cm="1">
        <f t="array" ref="C556">IF(ISBLANK(B556),"",B556*2.2046226218)</f>
        <v>179.015356890160</v>
      </c>
      <c r="D556" s="962" cm="1">
        <f t="array" ref="D556">IF(ISBLANK(B556),"",AVERAGE(B550:B556))</f>
        <v>81.3571428571429</v>
      </c>
      <c r="E556" s="962" cm="1">
        <f t="array" ref="E556">IF(ISBLANK(B556),"",AVERAGE(B543:B556))</f>
        <v>81.1363636363636</v>
      </c>
      <c r="F556" s="962" cm="1">
        <f t="array" ref="F556">IF(ISBLANK(B556),"",AVERAGE(B527:B556))</f>
        <v>80.78888888888891</v>
      </c>
      <c r="G556" s="964"/>
      <c r="H556" s="964"/>
      <c r="I556" s="964"/>
      <c r="J556" s="964"/>
      <c r="K556" s="964"/>
      <c r="L556" s="964"/>
      <c r="M556" s="964"/>
      <c r="N556" s="964"/>
      <c r="O556" s="964"/>
      <c r="P556" s="964"/>
      <c r="Q556" s="962"/>
      <c r="R556" t="str" s="964" cm="1">
        <f t="array" ref="R556">IF(OR(ISBLANK($B556),NOT(ISBLANK(B556))),"",'tracking - Table 2-1-2'!C$66)</f>
      </c>
      <c r="S556" t="str" s="964" cm="1">
        <f t="array" ref="S556">IF(OR(ISBLANK($B556),NOT(ISBLANK(B556))),"",'tracking - Table 2-1-2'!D$66)</f>
      </c>
      <c r="T556" t="str" s="964" cm="1">
        <f t="array" ref="T556">IF(OR(ISBLANK($B556),NOT(ISBLANK(B556))),"",'tracking - Table 2-1-2'!E$66)</f>
      </c>
      <c r="U556" t="str" s="969" cm="1">
        <f t="array" ref="U556">IF(OR(ISBLANK($B556),ISBLANK('tracking - Table 2-1-2'!A$1)),"",'tracking - Table 2-1-2'!F$66)</f>
      </c>
    </row>
    <row r="557" ht="8.75" customHeight="1" hidden="1">
      <c r="A557" s="960">
        <v>44896</v>
      </c>
      <c r="B557" s="961">
        <v>80.95</v>
      </c>
      <c r="C557" s="965" cm="1">
        <f t="array" ref="C557">IF(ISBLANK(B557),"",B557*2.2046226218)</f>
        <v>178.464201234710</v>
      </c>
      <c r="D557" s="962" cm="1">
        <f t="array" ref="D557">IF(ISBLANK(B557),"",AVERAGE(B551:B557))</f>
        <v>81.2928571428571</v>
      </c>
      <c r="E557" s="962" cm="1">
        <f t="array" ref="E557">IF(ISBLANK(B557),"",AVERAGE(B544:B557))</f>
        <v>81.12083333333329</v>
      </c>
      <c r="F557" s="962" cm="1">
        <f t="array" ref="F557">IF(ISBLANK(B557),"",AVERAGE(B528:B557))</f>
        <v>80.79444444444439</v>
      </c>
      <c r="G557" s="964"/>
      <c r="H557" s="964"/>
      <c r="I557" s="964"/>
      <c r="J557" s="964"/>
      <c r="K557" s="964"/>
      <c r="L557" s="964"/>
      <c r="M557" s="964"/>
      <c r="N557" s="964"/>
      <c r="O557" s="964"/>
      <c r="P557" s="964"/>
      <c r="Q557" s="962"/>
      <c r="R557" t="str" s="964" cm="1">
        <f t="array" ref="R557">IF(OR(ISBLANK($B557),NOT(ISBLANK(B557))),"",'tracking - Table 2-1-2'!C$66)</f>
      </c>
      <c r="S557" t="str" s="964" cm="1">
        <f t="array" ref="S557">IF(OR(ISBLANK($B557),NOT(ISBLANK(B557))),"",'tracking - Table 2-1-2'!D$66)</f>
      </c>
      <c r="T557" t="str" s="964" cm="1">
        <f t="array" ref="T557">IF(OR(ISBLANK($B557),NOT(ISBLANK(B557))),"",'tracking - Table 2-1-2'!E$66)</f>
      </c>
      <c r="U557" t="str" s="969" cm="1">
        <f t="array" ref="U557">IF(OR(ISBLANK($B557),ISBLANK('tracking - Table 2-1-2'!A$1)),"",'tracking - Table 2-1-2'!F$66)</f>
      </c>
    </row>
    <row r="558" ht="8.75" customHeight="1" hidden="1">
      <c r="A558" s="960">
        <v>44897</v>
      </c>
      <c r="B558" s="961">
        <v>81.84999999999999</v>
      </c>
      <c r="C558" s="965" cm="1">
        <f t="array" ref="C558">IF(ISBLANK(B558),"",B558*2.2046226218)</f>
        <v>180.448361594330</v>
      </c>
      <c r="D558" s="962" cm="1">
        <f t="array" ref="D558">IF(ISBLANK(B558),"",AVERAGE(B552:B558))</f>
        <v>81.3142857142857</v>
      </c>
      <c r="E558" s="962" cm="1">
        <f t="array" ref="E558">IF(ISBLANK(B558),"",AVERAGE(B545:B558))</f>
        <v>81.1769230769231</v>
      </c>
      <c r="F558" s="962" cm="1">
        <f t="array" ref="F558">IF(ISBLANK(B558),"",AVERAGE(B529:B558))</f>
        <v>80.84444444444441</v>
      </c>
      <c r="G558" s="964"/>
      <c r="H558" s="964"/>
      <c r="I558" s="964"/>
      <c r="J558" s="964"/>
      <c r="K558" s="964"/>
      <c r="L558" s="964"/>
      <c r="M558" s="964"/>
      <c r="N558" s="964"/>
      <c r="O558" s="964"/>
      <c r="P558" s="964"/>
      <c r="Q558" s="962"/>
      <c r="R558" t="str" s="964" cm="1">
        <f t="array" ref="R558">IF(OR(ISBLANK($B558),NOT(ISBLANK(B558))),"",'tracking - Table 2-1-2'!C$66)</f>
      </c>
      <c r="S558" t="str" s="964" cm="1">
        <f t="array" ref="S558">IF(OR(ISBLANK($B558),NOT(ISBLANK(B558))),"",'tracking - Table 2-1-2'!D$66)</f>
      </c>
      <c r="T558" t="str" s="964" cm="1">
        <f t="array" ref="T558">IF(OR(ISBLANK($B558),NOT(ISBLANK(B558))),"",'tracking - Table 2-1-2'!E$66)</f>
      </c>
      <c r="U558" t="str" s="969" cm="1">
        <f t="array" ref="U558">IF(OR(ISBLANK($B558),ISBLANK('tracking - Table 2-1-2'!A$1)),"",'tracking - Table 2-1-2'!F$66)</f>
      </c>
    </row>
    <row r="559" ht="8.75" customHeight="1" hidden="1">
      <c r="A559" s="960">
        <v>44898</v>
      </c>
      <c r="B559" s="961">
        <v>81.45</v>
      </c>
      <c r="C559" s="965" cm="1">
        <f t="array" ref="C559">IF(ISBLANK(B559),"",B559*2.2046226218)</f>
        <v>179.566512545610</v>
      </c>
      <c r="D559" s="962" cm="1">
        <f t="array" ref="D559">IF(ISBLANK(B559),"",AVERAGE(B553:B559))</f>
        <v>81.34999999999999</v>
      </c>
      <c r="E559" s="962" cm="1">
        <f t="array" ref="E559">IF(ISBLANK(B559),"",AVERAGE(B546:B559))</f>
        <v>81.1964285714286</v>
      </c>
      <c r="F559" s="962" cm="1">
        <f t="array" ref="F559">IF(ISBLANK(B559),"",AVERAGE(B530:B559))</f>
        <v>80.8796296296296</v>
      </c>
      <c r="G559" s="964"/>
      <c r="H559" s="964"/>
      <c r="I559" s="964"/>
      <c r="J559" s="964"/>
      <c r="K559" s="964"/>
      <c r="L559" s="964"/>
      <c r="M559" s="964"/>
      <c r="N559" s="964"/>
      <c r="O559" s="964"/>
      <c r="P559" s="964"/>
      <c r="Q559" s="962"/>
      <c r="R559" t="str" s="964" cm="1">
        <f t="array" ref="R559">IF(OR(ISBLANK($B559),NOT(ISBLANK(B559))),"",'tracking - Table 2-1-2'!C$66)</f>
      </c>
      <c r="S559" t="str" s="964" cm="1">
        <f t="array" ref="S559">IF(OR(ISBLANK($B559),NOT(ISBLANK(B559))),"",'tracking - Table 2-1-2'!D$66)</f>
      </c>
      <c r="T559" t="str" s="964" cm="1">
        <f t="array" ref="T559">IF(OR(ISBLANK($B559),NOT(ISBLANK(B559))),"",'tracking - Table 2-1-2'!E$66)</f>
      </c>
      <c r="U559" t="str" s="969" cm="1">
        <f t="array" ref="U559">IF(OR(ISBLANK($B559),ISBLANK('tracking - Table 2-1-2'!A$1)),"",'tracking - Table 2-1-2'!F$66)</f>
      </c>
    </row>
    <row r="560" ht="8.75" customHeight="1" hidden="1">
      <c r="A560" s="960">
        <v>44899</v>
      </c>
      <c r="B560" s="961">
        <v>81.45</v>
      </c>
      <c r="C560" s="965" cm="1">
        <f t="array" ref="C560">IF(ISBLANK(B560),"",B560*2.2046226218)</f>
        <v>179.566512545610</v>
      </c>
      <c r="D560" s="962" cm="1">
        <f t="array" ref="D560">IF(ISBLANK(B560),"",AVERAGE(B554:B560))</f>
        <v>81.3428571428571</v>
      </c>
      <c r="E560" s="962" cm="1">
        <f t="array" ref="E560">IF(ISBLANK(B560),"",AVERAGE(B547:B560))</f>
        <v>81.2571428571429</v>
      </c>
      <c r="F560" s="962" cm="1">
        <f t="array" ref="F560">IF(ISBLANK(B560),"",AVERAGE(B531:B560))</f>
        <v>80.9111111111111</v>
      </c>
      <c r="G560" s="964"/>
      <c r="H560" s="964"/>
      <c r="I560" s="964"/>
      <c r="J560" s="964"/>
      <c r="K560" s="964"/>
      <c r="L560" s="964"/>
      <c r="M560" s="964"/>
      <c r="N560" s="964"/>
      <c r="O560" s="964"/>
      <c r="P560" s="964"/>
      <c r="Q560" s="962"/>
      <c r="R560" t="str" s="964" cm="1">
        <f t="array" ref="R560">IF(OR(ISBLANK($B560),NOT(ISBLANK(B560))),"",'tracking - Table 2-1-2'!C$66)</f>
      </c>
      <c r="S560" t="str" s="964" cm="1">
        <f t="array" ref="S560">IF(OR(ISBLANK($B560),NOT(ISBLANK(B560))),"",'tracking - Table 2-1-2'!D$66)</f>
      </c>
      <c r="T560" t="str" s="964" cm="1">
        <f t="array" ref="T560">IF(OR(ISBLANK($B560),NOT(ISBLANK(B560))),"",'tracking - Table 2-1-2'!E$66)</f>
      </c>
      <c r="U560" t="str" s="969" cm="1">
        <f t="array" ref="U560">IF(OR(ISBLANK($B560),ISBLANK('tracking - Table 2-1-2'!A$1)),"",'tracking - Table 2-1-2'!F$66)</f>
      </c>
    </row>
    <row r="561" ht="8.75" customHeight="1" hidden="1">
      <c r="A561" s="960">
        <v>44900</v>
      </c>
      <c r="B561" s="961">
        <v>81.90000000000001</v>
      </c>
      <c r="C561" s="965" cm="1">
        <f t="array" ref="C561">IF(ISBLANK(B561),"",B561*2.2046226218)</f>
        <v>180.558592725420</v>
      </c>
      <c r="D561" s="962" cm="1">
        <f t="array" ref="D561">IF(ISBLANK(B561),"",AVERAGE(B555:B561))</f>
        <v>81.4285714285714</v>
      </c>
      <c r="E561" s="962" cm="1">
        <f t="array" ref="E561">IF(ISBLANK(B561),"",AVERAGE(B548:B561))</f>
        <v>81.3642857142857</v>
      </c>
      <c r="F561" s="962" cm="1">
        <f t="array" ref="F561">IF(ISBLANK(B561),"",AVERAGE(B532:B561))</f>
        <v>80.94814814814811</v>
      </c>
      <c r="G561" s="964"/>
      <c r="H561" s="964"/>
      <c r="I561" s="964"/>
      <c r="J561" s="964"/>
      <c r="K561" s="964"/>
      <c r="L561" s="964"/>
      <c r="M561" s="964"/>
      <c r="N561" s="964"/>
      <c r="O561" s="964"/>
      <c r="P561" s="964"/>
      <c r="Q561" s="962"/>
      <c r="R561" t="str" s="964" cm="1">
        <f t="array" ref="R561">IF(OR(ISBLANK($B561),NOT(ISBLANK(B561))),"",'tracking - Table 2-1-2'!C$66)</f>
      </c>
      <c r="S561" t="str" s="964" cm="1">
        <f t="array" ref="S561">IF(OR(ISBLANK($B561),NOT(ISBLANK(B561))),"",'tracking - Table 2-1-2'!D$66)</f>
      </c>
      <c r="T561" t="str" s="964" cm="1">
        <f t="array" ref="T561">IF(OR(ISBLANK($B561),NOT(ISBLANK(B561))),"",'tracking - Table 2-1-2'!E$66)</f>
      </c>
      <c r="U561" t="str" s="969" cm="1">
        <f t="array" ref="U561">IF(OR(ISBLANK($B561),ISBLANK('tracking - Table 2-1-2'!A$1)),"",'tracking - Table 2-1-2'!F$66)</f>
      </c>
    </row>
    <row r="562" ht="8.75" customHeight="1" hidden="1">
      <c r="A562" s="960">
        <v>44901</v>
      </c>
      <c r="B562" s="961">
        <v>81.75</v>
      </c>
      <c r="C562" s="965" cm="1">
        <f t="array" ref="C562">IF(ISBLANK(B562),"",B562*2.2046226218)</f>
        <v>180.227899332150</v>
      </c>
      <c r="D562" s="962" cm="1">
        <f t="array" ref="D562">IF(ISBLANK(B562),"",AVERAGE(B556:B562))</f>
        <v>81.5071428571429</v>
      </c>
      <c r="E562" s="962" cm="1">
        <f t="array" ref="E562">IF(ISBLANK(B562),"",AVERAGE(B549:B562))</f>
        <v>81.4464285714286</v>
      </c>
      <c r="F562" s="962" cm="1">
        <f t="array" ref="F562">IF(ISBLANK(B562),"",AVERAGE(B533:B562))</f>
        <v>81.03888888888891</v>
      </c>
      <c r="G562" s="964"/>
      <c r="H562" s="964"/>
      <c r="I562" s="964"/>
      <c r="J562" s="964"/>
      <c r="K562" s="964"/>
      <c r="L562" s="964"/>
      <c r="M562" s="964"/>
      <c r="N562" s="964"/>
      <c r="O562" s="964"/>
      <c r="P562" s="964"/>
      <c r="Q562" s="962"/>
      <c r="R562" t="str" s="964" cm="1">
        <f t="array" ref="R562">IF(OR(ISBLANK($B562),NOT(ISBLANK(B562))),"",'tracking - Table 2-1-2'!C$66)</f>
      </c>
      <c r="S562" t="str" s="964" cm="1">
        <f t="array" ref="S562">IF(OR(ISBLANK($B562),NOT(ISBLANK(B562))),"",'tracking - Table 2-1-2'!D$66)</f>
      </c>
      <c r="T562" t="str" s="964" cm="1">
        <f t="array" ref="T562">IF(OR(ISBLANK($B562),NOT(ISBLANK(B562))),"",'tracking - Table 2-1-2'!E$66)</f>
      </c>
      <c r="U562" t="str" s="969" cm="1">
        <f t="array" ref="U562">IF(OR(ISBLANK($B562),ISBLANK('tracking - Table 2-1-2'!A$1)),"",'tracking - Table 2-1-2'!F$66)</f>
      </c>
    </row>
    <row r="563" ht="8.75" customHeight="1" hidden="1">
      <c r="A563" s="960">
        <v>44902</v>
      </c>
      <c r="B563" s="961">
        <v>82.05</v>
      </c>
      <c r="C563" s="965" cm="1">
        <f t="array" ref="C563">IF(ISBLANK(B563),"",B563*2.2046226218)</f>
        <v>180.889286118690</v>
      </c>
      <c r="D563" s="962" cm="1">
        <f t="array" ref="D563">IF(ISBLANK(B563),"",AVERAGE(B557:B563))</f>
        <v>81.62857142857141</v>
      </c>
      <c r="E563" s="962" cm="1">
        <f t="array" ref="E563">IF(ISBLANK(B563),"",AVERAGE(B550:B563))</f>
        <v>81.4928571428571</v>
      </c>
      <c r="F563" s="962" cm="1">
        <f t="array" ref="F563">IF(ISBLANK(B563),"",AVERAGE(B534:B563))</f>
        <v>81.137037037037</v>
      </c>
      <c r="G563" s="964"/>
      <c r="H563" s="964"/>
      <c r="I563" s="964"/>
      <c r="J563" s="964"/>
      <c r="K563" s="964"/>
      <c r="L563" s="964"/>
      <c r="M563" s="964"/>
      <c r="N563" s="964"/>
      <c r="O563" s="964"/>
      <c r="P563" s="964"/>
      <c r="Q563" s="962"/>
      <c r="R563" t="str" s="964" cm="1">
        <f t="array" ref="R563">IF(OR(ISBLANK($B563),NOT(ISBLANK(B563))),"",'tracking - Table 2-1-2'!C$66)</f>
      </c>
      <c r="S563" t="str" s="964" cm="1">
        <f t="array" ref="S563">IF(OR(ISBLANK($B563),NOT(ISBLANK(B563))),"",'tracking - Table 2-1-2'!D$66)</f>
      </c>
      <c r="T563" t="str" s="964" cm="1">
        <f t="array" ref="T563">IF(OR(ISBLANK($B563),NOT(ISBLANK(B563))),"",'tracking - Table 2-1-2'!E$66)</f>
      </c>
      <c r="U563" t="str" s="969" cm="1">
        <f t="array" ref="U563">IF(OR(ISBLANK($B563),ISBLANK('tracking - Table 2-1-2'!A$1)),"",'tracking - Table 2-1-2'!F$66)</f>
      </c>
    </row>
    <row r="564" ht="8.75" customHeight="1" hidden="1">
      <c r="A564" s="960">
        <v>44903</v>
      </c>
      <c r="B564" s="961">
        <v>81.55</v>
      </c>
      <c r="C564" s="965" cm="1">
        <f t="array" ref="C564">IF(ISBLANK(B564),"",B564*2.2046226218)</f>
        <v>179.786974807790</v>
      </c>
      <c r="D564" s="962" cm="1">
        <f t="array" ref="D564">IF(ISBLANK(B564),"",AVERAGE(B558:B564))</f>
        <v>81.71428571428569</v>
      </c>
      <c r="E564" s="962" cm="1">
        <f t="array" ref="E564">IF(ISBLANK(B564),"",AVERAGE(B551:B564))</f>
        <v>81.50357142857141</v>
      </c>
      <c r="F564" s="962" cm="1">
        <f t="array" ref="F564">IF(ISBLANK(B564),"",AVERAGE(B535:B564))</f>
        <v>81.19814814814811</v>
      </c>
      <c r="G564" s="964"/>
      <c r="H564" s="964"/>
      <c r="I564" s="964"/>
      <c r="J564" s="964"/>
      <c r="K564" s="964"/>
      <c r="L564" s="964"/>
      <c r="M564" s="964"/>
      <c r="N564" s="964"/>
      <c r="O564" s="964"/>
      <c r="P564" s="964"/>
      <c r="Q564" s="962"/>
      <c r="R564" t="str" s="964" cm="1">
        <f t="array" ref="R564">IF(OR(ISBLANK($B564),NOT(ISBLANK(B564))),"",'tracking - Table 2-1-2'!C$66)</f>
      </c>
      <c r="S564" t="str" s="964" cm="1">
        <f t="array" ref="S564">IF(OR(ISBLANK($B564),NOT(ISBLANK(B564))),"",'tracking - Table 2-1-2'!D$66)</f>
      </c>
      <c r="T564" t="str" s="964" cm="1">
        <f t="array" ref="T564">IF(OR(ISBLANK($B564),NOT(ISBLANK(B564))),"",'tracking - Table 2-1-2'!E$66)</f>
      </c>
      <c r="U564" t="str" s="969" cm="1">
        <f t="array" ref="U564">IF(OR(ISBLANK($B564),ISBLANK('tracking - Table 2-1-2'!A$1)),"",'tracking - Table 2-1-2'!F$66)</f>
      </c>
    </row>
    <row r="565" ht="8.75" customHeight="1" hidden="1">
      <c r="A565" s="960">
        <v>44904</v>
      </c>
      <c r="B565" s="961">
        <v>81.59999999999999</v>
      </c>
      <c r="C565" s="965" cm="1">
        <f t="array" ref="C565">IF(ISBLANK(B565),"",B565*2.2046226218)</f>
        <v>179.897205938880</v>
      </c>
      <c r="D565" s="962" cm="1">
        <f t="array" ref="D565">IF(ISBLANK(B565),"",AVERAGE(B559:B565))</f>
        <v>81.6785714285714</v>
      </c>
      <c r="E565" s="962" cm="1">
        <f t="array" ref="E565">IF(ISBLANK(B565),"",AVERAGE(B552:B565))</f>
        <v>81.49642857142859</v>
      </c>
      <c r="F565" s="962" cm="1">
        <f t="array" ref="F565">IF(ISBLANK(B565),"",AVERAGE(B536:B565))</f>
        <v>81.2518518518519</v>
      </c>
      <c r="G565" s="964"/>
      <c r="H565" s="964"/>
      <c r="I565" s="964"/>
      <c r="J565" s="964"/>
      <c r="K565" s="964"/>
      <c r="L565" s="964"/>
      <c r="M565" s="964"/>
      <c r="N565" s="964"/>
      <c r="O565" s="964"/>
      <c r="P565" s="964"/>
      <c r="Q565" s="962"/>
      <c r="R565" t="str" s="964" cm="1">
        <f t="array" ref="R565">IF(OR(ISBLANK($B565),NOT(ISBLANK(B565))),"",'tracking - Table 2-1-2'!C$66)</f>
      </c>
      <c r="S565" t="str" s="964" cm="1">
        <f t="array" ref="S565">IF(OR(ISBLANK($B565),NOT(ISBLANK(B565))),"",'tracking - Table 2-1-2'!D$66)</f>
      </c>
      <c r="T565" t="str" s="964" cm="1">
        <f t="array" ref="T565">IF(OR(ISBLANK($B565),NOT(ISBLANK(B565))),"",'tracking - Table 2-1-2'!E$66)</f>
      </c>
      <c r="U565" t="str" s="969" cm="1">
        <f t="array" ref="U565">IF(OR(ISBLANK($B565),ISBLANK('tracking - Table 2-1-2'!A$1)),"",'tracking - Table 2-1-2'!F$66)</f>
      </c>
    </row>
    <row r="566" ht="8.75" customHeight="1" hidden="1">
      <c r="A566" s="960">
        <v>44905</v>
      </c>
      <c r="B566" s="961">
        <v>81.75</v>
      </c>
      <c r="C566" s="965" cm="1">
        <f t="array" ref="C566">IF(ISBLANK(B566),"",B566*2.2046226218)</f>
        <v>180.227899332150</v>
      </c>
      <c r="D566" s="962" cm="1">
        <f t="array" ref="D566">IF(ISBLANK(B566),"",AVERAGE(B560:B566))</f>
        <v>81.7214285714286</v>
      </c>
      <c r="E566" s="962" cm="1">
        <f t="array" ref="E566">IF(ISBLANK(B566),"",AVERAGE(B553:B566))</f>
        <v>81.53571428571431</v>
      </c>
      <c r="F566" s="962" cm="1">
        <f t="array" ref="F566">IF(ISBLANK(B566),"",AVERAGE(B537:B566))</f>
        <v>81.2851851851852</v>
      </c>
      <c r="G566" s="964"/>
      <c r="H566" s="964"/>
      <c r="I566" s="964"/>
      <c r="J566" s="964"/>
      <c r="K566" s="964"/>
      <c r="L566" s="964"/>
      <c r="M566" s="964"/>
      <c r="N566" s="964"/>
      <c r="O566" s="964"/>
      <c r="P566" s="964"/>
      <c r="Q566" s="962"/>
      <c r="R566" t="str" s="964" cm="1">
        <f t="array" ref="R566">IF(OR(ISBLANK($B566),NOT(ISBLANK(B566))),"",'tracking - Table 2-1-2'!C$66)</f>
      </c>
      <c r="S566" t="str" s="964" cm="1">
        <f t="array" ref="S566">IF(OR(ISBLANK($B566),NOT(ISBLANK(B566))),"",'tracking - Table 2-1-2'!D$66)</f>
      </c>
      <c r="T566" t="str" s="964" cm="1">
        <f t="array" ref="T566">IF(OR(ISBLANK($B566),NOT(ISBLANK(B566))),"",'tracking - Table 2-1-2'!E$66)</f>
      </c>
      <c r="U566" t="str" s="969" cm="1">
        <f t="array" ref="U566">IF(OR(ISBLANK($B566),ISBLANK('tracking - Table 2-1-2'!A$1)),"",'tracking - Table 2-1-2'!F$66)</f>
      </c>
    </row>
    <row r="567" ht="8.75" customHeight="1" hidden="1">
      <c r="A567" s="960">
        <v>44906</v>
      </c>
      <c r="B567" s="961">
        <v>82.09999999999999</v>
      </c>
      <c r="C567" s="965" cm="1">
        <f t="array" ref="C567">IF(ISBLANK(B567),"",B567*2.2046226218)</f>
        <v>180.999517249780</v>
      </c>
      <c r="D567" s="962" cm="1">
        <f t="array" ref="D567">IF(ISBLANK(B567),"",AVERAGE(B561:B567))</f>
        <v>81.8142857142857</v>
      </c>
      <c r="E567" s="962" cm="1">
        <f t="array" ref="E567">IF(ISBLANK(B567),"",AVERAGE(B554:B567))</f>
        <v>81.57857142857139</v>
      </c>
      <c r="F567" s="962" cm="1">
        <f t="array" ref="F567">IF(ISBLANK(B567),"",AVERAGE(B538:B567))</f>
        <v>81.3314814814815</v>
      </c>
      <c r="G567" s="964"/>
      <c r="H567" s="964"/>
      <c r="I567" s="964"/>
      <c r="J567" s="964"/>
      <c r="K567" s="964"/>
      <c r="L567" s="964"/>
      <c r="M567" s="964"/>
      <c r="N567" s="964"/>
      <c r="O567" s="964"/>
      <c r="P567" s="964"/>
      <c r="Q567" s="962"/>
      <c r="R567" t="str" s="964" cm="1">
        <f t="array" ref="R567">IF(OR(ISBLANK($B567),NOT(ISBLANK(B567))),"",'tracking - Table 2-1-2'!C$66)</f>
      </c>
      <c r="S567" t="str" s="964" cm="1">
        <f t="array" ref="S567">IF(OR(ISBLANK($B567),NOT(ISBLANK(B567))),"",'tracking - Table 2-1-2'!D$66)</f>
      </c>
      <c r="T567" t="str" s="964" cm="1">
        <f t="array" ref="T567">IF(OR(ISBLANK($B567),NOT(ISBLANK(B567))),"",'tracking - Table 2-1-2'!E$66)</f>
      </c>
      <c r="U567" t="str" s="969" cm="1">
        <f t="array" ref="U567">IF(OR(ISBLANK($B567),ISBLANK('tracking - Table 2-1-2'!A$1)),"",'tracking - Table 2-1-2'!F$66)</f>
      </c>
    </row>
    <row r="568" ht="8.75" customHeight="1" hidden="1">
      <c r="A568" s="960">
        <v>44907</v>
      </c>
      <c r="B568" s="961">
        <v>81.75</v>
      </c>
      <c r="C568" s="965" cm="1">
        <f t="array" ref="C568">IF(ISBLANK(B568),"",B568*2.2046226218)</f>
        <v>180.227899332150</v>
      </c>
      <c r="D568" s="962" cm="1">
        <f t="array" ref="D568">IF(ISBLANK(B568),"",AVERAGE(B562:B568))</f>
        <v>81.7928571428571</v>
      </c>
      <c r="E568" s="962" cm="1">
        <f t="array" ref="E568">IF(ISBLANK(B568),"",AVERAGE(B555:B568))</f>
        <v>81.61071428571429</v>
      </c>
      <c r="F568" s="962" cm="1">
        <f t="array" ref="F568">IF(ISBLANK(B568),"",AVERAGE(B539:B568))</f>
        <v>81.3592592592593</v>
      </c>
      <c r="G568" s="964"/>
      <c r="H568" s="964"/>
      <c r="I568" s="964"/>
      <c r="J568" s="964"/>
      <c r="K568" s="964"/>
      <c r="L568" s="964"/>
      <c r="M568" s="964"/>
      <c r="N568" s="964"/>
      <c r="O568" s="964"/>
      <c r="P568" s="964"/>
      <c r="Q568" s="962"/>
      <c r="R568" t="str" s="964" cm="1">
        <f t="array" ref="R568">IF(OR(ISBLANK($B568),NOT(ISBLANK(B568))),"",'tracking - Table 2-1-2'!C$66)</f>
      </c>
      <c r="S568" t="str" s="964" cm="1">
        <f t="array" ref="S568">IF(OR(ISBLANK($B568),NOT(ISBLANK(B568))),"",'tracking - Table 2-1-2'!D$66)</f>
      </c>
      <c r="T568" t="str" s="964" cm="1">
        <f t="array" ref="T568">IF(OR(ISBLANK($B568),NOT(ISBLANK(B568))),"",'tracking - Table 2-1-2'!E$66)</f>
      </c>
      <c r="U568" t="str" s="969" cm="1">
        <f t="array" ref="U568">IF(OR(ISBLANK($B568),ISBLANK('tracking - Table 2-1-2'!A$1)),"",'tracking - Table 2-1-2'!F$66)</f>
      </c>
    </row>
    <row r="569" ht="8.75" customHeight="1" hidden="1">
      <c r="A569" s="960">
        <v>44908</v>
      </c>
      <c r="B569" s="961">
        <v>82.09999999999999</v>
      </c>
      <c r="C569" s="965" cm="1">
        <f t="array" ref="C569">IF(ISBLANK(B569),"",B569*2.2046226218)</f>
        <v>180.999517249780</v>
      </c>
      <c r="D569" s="962" cm="1">
        <f t="array" ref="D569">IF(ISBLANK(B569),"",AVERAGE(B563:B569))</f>
        <v>81.8428571428571</v>
      </c>
      <c r="E569" s="962" cm="1">
        <f t="array" ref="E569">IF(ISBLANK(B569),"",AVERAGE(B556:B569))</f>
        <v>81.675</v>
      </c>
      <c r="F569" s="962" cm="1">
        <f t="array" ref="F569">IF(ISBLANK(B569),"",AVERAGE(B540:B569))</f>
        <v>81.40000000000001</v>
      </c>
      <c r="G569" s="964"/>
      <c r="H569" s="964"/>
      <c r="I569" s="964"/>
      <c r="J569" s="964"/>
      <c r="K569" s="964"/>
      <c r="L569" s="964"/>
      <c r="M569" s="964"/>
      <c r="N569" s="964"/>
      <c r="O569" s="964"/>
      <c r="P569" s="964"/>
      <c r="Q569" s="962"/>
      <c r="R569" t="str" s="964" cm="1">
        <f t="array" ref="R569">IF(OR(ISBLANK($B569),NOT(ISBLANK(B569))),"",'tracking - Table 2-1-2'!C$66)</f>
      </c>
      <c r="S569" t="str" s="964" cm="1">
        <f t="array" ref="S569">IF(OR(ISBLANK($B569),NOT(ISBLANK(B569))),"",'tracking - Table 2-1-2'!D$66)</f>
      </c>
      <c r="T569" t="str" s="964" cm="1">
        <f t="array" ref="T569">IF(OR(ISBLANK($B569),NOT(ISBLANK(B569))),"",'tracking - Table 2-1-2'!E$66)</f>
      </c>
      <c r="U569" t="str" s="969" cm="1">
        <f t="array" ref="U569">IF(OR(ISBLANK($B569),ISBLANK('tracking - Table 2-1-2'!A$1)),"",'tracking - Table 2-1-2'!F$66)</f>
      </c>
    </row>
    <row r="570" ht="8.75" customHeight="1" hidden="1">
      <c r="A570" s="960">
        <v>44909</v>
      </c>
      <c r="B570" s="961">
        <v>81.40000000000001</v>
      </c>
      <c r="C570" s="965" cm="1">
        <f t="array" ref="C570">IF(ISBLANK(B570),"",B570*2.2046226218)</f>
        <v>179.456281414520</v>
      </c>
      <c r="D570" s="962" cm="1">
        <f t="array" ref="D570">IF(ISBLANK(B570),"",AVERAGE(B564:B570))</f>
        <v>81.75</v>
      </c>
      <c r="E570" s="962" cm="1">
        <f t="array" ref="E570">IF(ISBLANK(B570),"",AVERAGE(B557:B570))</f>
        <v>81.6892857142857</v>
      </c>
      <c r="F570" s="962" cm="1">
        <f t="array" ref="F570">IF(ISBLANK(B570),"",AVERAGE(B541:B570))</f>
        <v>81.4018518518519</v>
      </c>
      <c r="G570" s="964"/>
      <c r="H570" s="964"/>
      <c r="I570" s="964"/>
      <c r="J570" s="964"/>
      <c r="K570" s="964"/>
      <c r="L570" s="964"/>
      <c r="M570" s="964"/>
      <c r="N570" s="964"/>
      <c r="O570" s="964"/>
      <c r="P570" s="964"/>
      <c r="Q570" s="962"/>
      <c r="R570" t="str" s="964" cm="1">
        <f t="array" ref="R570">IF(OR(ISBLANK($B570),NOT(ISBLANK(B570))),"",'tracking - Table 2-1-2'!C$66)</f>
      </c>
      <c r="S570" t="str" s="964" cm="1">
        <f t="array" ref="S570">IF(OR(ISBLANK($B570),NOT(ISBLANK(B570))),"",'tracking - Table 2-1-2'!D$66)</f>
      </c>
      <c r="T570" t="str" s="964" cm="1">
        <f t="array" ref="T570">IF(OR(ISBLANK($B570),NOT(ISBLANK(B570))),"",'tracking - Table 2-1-2'!E$66)</f>
      </c>
      <c r="U570" t="str" s="969" cm="1">
        <f t="array" ref="U570">IF(OR(ISBLANK($B570),ISBLANK('tracking - Table 2-1-2'!A$1)),"",'tracking - Table 2-1-2'!F$66)</f>
      </c>
    </row>
    <row r="571" ht="8.75" customHeight="1" hidden="1">
      <c r="A571" s="960">
        <v>44910</v>
      </c>
      <c r="B571" s="961">
        <v>80.8</v>
      </c>
      <c r="C571" s="965" cm="1">
        <f t="array" ref="C571">IF(ISBLANK(B571),"",B571*2.2046226218)</f>
        <v>178.133507841440</v>
      </c>
      <c r="D571" s="962" cm="1">
        <f t="array" ref="D571">IF(ISBLANK(B571),"",AVERAGE(B565:B571))</f>
        <v>81.6428571428571</v>
      </c>
      <c r="E571" s="962" cm="1">
        <f t="array" ref="E571">IF(ISBLANK(B571),"",AVERAGE(B558:B571))</f>
        <v>81.6785714285714</v>
      </c>
      <c r="F571" s="962" cm="1">
        <f t="array" ref="F571">IF(ISBLANK(B571),"",AVERAGE(B542:B571))</f>
        <v>81.3944444444444</v>
      </c>
      <c r="G571" s="964"/>
      <c r="H571" s="964"/>
      <c r="I571" s="964"/>
      <c r="J571" s="964"/>
      <c r="K571" s="964"/>
      <c r="L571" s="964"/>
      <c r="M571" s="964"/>
      <c r="N571" s="964"/>
      <c r="O571" s="964"/>
      <c r="P571" s="964"/>
      <c r="Q571" s="962"/>
      <c r="R571" t="str" s="964" cm="1">
        <f t="array" ref="R571">IF(OR(ISBLANK($B571),NOT(ISBLANK(B571))),"",'tracking - Table 2-1-2'!C$66)</f>
      </c>
      <c r="S571" t="str" s="964" cm="1">
        <f t="array" ref="S571">IF(OR(ISBLANK($B571),NOT(ISBLANK(B571))),"",'tracking - Table 2-1-2'!D$66)</f>
      </c>
      <c r="T571" t="str" s="964" cm="1">
        <f t="array" ref="T571">IF(OR(ISBLANK($B571),NOT(ISBLANK(B571))),"",'tracking - Table 2-1-2'!E$66)</f>
      </c>
      <c r="U571" t="str" s="969" cm="1">
        <f t="array" ref="U571">IF(OR(ISBLANK($B571),ISBLANK('tracking - Table 2-1-2'!A$1)),"",'tracking - Table 2-1-2'!F$66)</f>
      </c>
    </row>
    <row r="572" ht="8.75" customHeight="1" hidden="1">
      <c r="A572" s="960">
        <v>44911</v>
      </c>
      <c r="B572" s="961">
        <v>80.5</v>
      </c>
      <c r="C572" s="965" cm="1">
        <f t="array" ref="C572">IF(ISBLANK(B572),"",B572*2.2046226218)</f>
        <v>177.4721210549</v>
      </c>
      <c r="D572" s="962" cm="1">
        <f t="array" ref="D572">IF(ISBLANK(B572),"",AVERAGE(B566:B572))</f>
        <v>81.48571428571429</v>
      </c>
      <c r="E572" s="962" cm="1">
        <f t="array" ref="E572">IF(ISBLANK(B572),"",AVERAGE(B559:B572))</f>
        <v>81.5821428571429</v>
      </c>
      <c r="F572" s="962" cm="1">
        <f t="array" ref="F572">IF(ISBLANK(B572),"",AVERAGE(B543:B572))</f>
        <v>81.387037037037</v>
      </c>
      <c r="G572" s="964"/>
      <c r="H572" s="964"/>
      <c r="I572" s="964"/>
      <c r="J572" s="964"/>
      <c r="K572" s="964"/>
      <c r="L572" s="964"/>
      <c r="M572" s="964"/>
      <c r="N572" s="964"/>
      <c r="O572" s="964"/>
      <c r="P572" s="964"/>
      <c r="Q572" s="962"/>
      <c r="R572" t="str" s="964" cm="1">
        <f t="array" ref="R572">IF(OR(ISBLANK($B572),NOT(ISBLANK(B572))),"",'tracking - Table 2-1-2'!C$66)</f>
      </c>
      <c r="S572" t="str" s="964" cm="1">
        <f t="array" ref="S572">IF(OR(ISBLANK($B572),NOT(ISBLANK(B572))),"",'tracking - Table 2-1-2'!D$66)</f>
      </c>
      <c r="T572" t="str" s="964" cm="1">
        <f t="array" ref="T572">IF(OR(ISBLANK($B572),NOT(ISBLANK(B572))),"",'tracking - Table 2-1-2'!E$66)</f>
      </c>
      <c r="U572" t="str" s="969" cm="1">
        <f t="array" ref="U572">IF(OR(ISBLANK($B572),ISBLANK('tracking - Table 2-1-2'!A$1)),"",'tracking - Table 2-1-2'!F$66)</f>
      </c>
    </row>
    <row r="573" ht="8.75" customHeight="1" hidden="1">
      <c r="A573" s="960">
        <v>44912</v>
      </c>
      <c r="B573" s="961">
        <v>80.8</v>
      </c>
      <c r="C573" s="965" cm="1">
        <f t="array" ref="C573">IF(ISBLANK(B573),"",B573*2.2046226218)</f>
        <v>178.133507841440</v>
      </c>
      <c r="D573" s="962" cm="1">
        <f t="array" ref="D573">IF(ISBLANK(B573),"",AVERAGE(B567:B573))</f>
        <v>81.34999999999999</v>
      </c>
      <c r="E573" s="962" cm="1">
        <f t="array" ref="E573">IF(ISBLANK(B573),"",AVERAGE(B560:B573))</f>
        <v>81.53571428571431</v>
      </c>
      <c r="F573" s="962" cm="1">
        <f t="array" ref="F573">IF(ISBLANK(B573),"",AVERAGE(B544:B573))</f>
        <v>81.3660714285714</v>
      </c>
      <c r="G573" s="964"/>
      <c r="H573" s="964"/>
      <c r="I573" s="964"/>
      <c r="J573" s="964"/>
      <c r="K573" s="964"/>
      <c r="L573" s="964"/>
      <c r="M573" s="964"/>
      <c r="N573" s="964"/>
      <c r="O573" s="964"/>
      <c r="P573" s="964"/>
      <c r="Q573" s="962"/>
      <c r="R573" t="str" s="964" cm="1">
        <f t="array" ref="R573">IF(OR(ISBLANK($B573),NOT(ISBLANK(B573))),"",'tracking - Table 2-1-2'!C$66)</f>
      </c>
      <c r="S573" t="str" s="964" cm="1">
        <f t="array" ref="S573">IF(OR(ISBLANK($B573),NOT(ISBLANK(B573))),"",'tracking - Table 2-1-2'!D$66)</f>
      </c>
      <c r="T573" t="str" s="964" cm="1">
        <f t="array" ref="T573">IF(OR(ISBLANK($B573),NOT(ISBLANK(B573))),"",'tracking - Table 2-1-2'!E$66)</f>
      </c>
      <c r="U573" t="str" s="969" cm="1">
        <f t="array" ref="U573">IF(OR(ISBLANK($B573),ISBLANK('tracking - Table 2-1-2'!A$1)),"",'tracking - Table 2-1-2'!F$66)</f>
      </c>
    </row>
    <row r="574" ht="8.75" customHeight="1" hidden="1">
      <c r="A574" s="960">
        <v>44913</v>
      </c>
      <c r="B574" s="961">
        <v>79.8</v>
      </c>
      <c r="C574" s="965" cm="1">
        <f t="array" ref="C574">IF(ISBLANK(B574),"",B574*2.2046226218)</f>
        <v>175.928885219640</v>
      </c>
      <c r="D574" s="962" cm="1">
        <f t="array" ref="D574">IF(ISBLANK(B574),"",AVERAGE(B568:B574))</f>
        <v>81.0214285714286</v>
      </c>
      <c r="E574" s="962" cm="1">
        <f t="array" ref="E574">IF(ISBLANK(B574),"",AVERAGE(B561:B574))</f>
        <v>81.4178571428571</v>
      </c>
      <c r="F574" s="962" cm="1">
        <f t="array" ref="F574">IF(ISBLANK(B574),"",AVERAGE(B545:B574))</f>
        <v>81.3120689655172</v>
      </c>
      <c r="G574" s="964"/>
      <c r="H574" s="964"/>
      <c r="I574" s="964"/>
      <c r="J574" s="964"/>
      <c r="K574" s="964"/>
      <c r="L574" s="964"/>
      <c r="M574" s="964"/>
      <c r="N574" s="964"/>
      <c r="O574" s="964"/>
      <c r="P574" s="964"/>
      <c r="Q574" s="962"/>
      <c r="R574" t="str" s="964" cm="1">
        <f t="array" ref="R574">IF(OR(ISBLANK($B574),NOT(ISBLANK(B574))),"",'tracking - Table 2-1-2'!C$66)</f>
      </c>
      <c r="S574" t="str" s="964" cm="1">
        <f t="array" ref="S574">IF(OR(ISBLANK($B574),NOT(ISBLANK(B574))),"",'tracking - Table 2-1-2'!D$66)</f>
      </c>
      <c r="T574" t="str" s="964" cm="1">
        <f t="array" ref="T574">IF(OR(ISBLANK($B574),NOT(ISBLANK(B574))),"",'tracking - Table 2-1-2'!E$66)</f>
      </c>
      <c r="U574" t="str" s="969" cm="1">
        <f t="array" ref="U574">IF(OR(ISBLANK($B574),ISBLANK('tracking - Table 2-1-2'!A$1)),"",'tracking - Table 2-1-2'!F$66)</f>
      </c>
    </row>
    <row r="575" ht="8.75" customHeight="1" hidden="1">
      <c r="A575" s="960">
        <v>44914</v>
      </c>
      <c r="B575" s="961">
        <v>80.15000000000001</v>
      </c>
      <c r="C575" s="965" cm="1">
        <f t="array" ref="C575">IF(ISBLANK(B575),"",B575*2.2046226218)</f>
        <v>176.700503137270</v>
      </c>
      <c r="D575" s="962" cm="1">
        <f t="array" ref="D575">IF(ISBLANK(B575),"",AVERAGE(B569:B575))</f>
        <v>80.7928571428571</v>
      </c>
      <c r="E575" s="962" cm="1">
        <f t="array" ref="E575">IF(ISBLANK(B575),"",AVERAGE(B562:B575))</f>
        <v>81.2928571428571</v>
      </c>
      <c r="F575" s="962" cm="1">
        <f t="array" ref="F575">IF(ISBLANK(B575),"",AVERAGE(B546:B575))</f>
        <v>81.2733333333333</v>
      </c>
      <c r="G575" s="964"/>
      <c r="H575" s="964"/>
      <c r="I575" s="964"/>
      <c r="J575" s="964"/>
      <c r="K575" s="964"/>
      <c r="L575" s="964"/>
      <c r="M575" s="964"/>
      <c r="N575" s="964"/>
      <c r="O575" s="964"/>
      <c r="P575" s="964"/>
      <c r="Q575" s="962"/>
      <c r="R575" t="str" s="964" cm="1">
        <f t="array" ref="R575">IF(OR(ISBLANK($B575),NOT(ISBLANK(B575))),"",'tracking - Table 2-1-2'!C$66)</f>
      </c>
      <c r="S575" t="str" s="964" cm="1">
        <f t="array" ref="S575">IF(OR(ISBLANK($B575),NOT(ISBLANK(B575))),"",'tracking - Table 2-1-2'!D$66)</f>
      </c>
      <c r="T575" t="str" s="964" cm="1">
        <f t="array" ref="T575">IF(OR(ISBLANK($B575),NOT(ISBLANK(B575))),"",'tracking - Table 2-1-2'!E$66)</f>
      </c>
      <c r="U575" t="str" s="969" cm="1">
        <f t="array" ref="U575">IF(OR(ISBLANK($B575),ISBLANK('tracking - Table 2-1-2'!A$1)),"",'tracking - Table 2-1-2'!F$66)</f>
      </c>
    </row>
    <row r="576" ht="8.75" customHeight="1" hidden="1">
      <c r="A576" s="960">
        <v>44915</v>
      </c>
      <c r="B576" s="961">
        <v>80.90000000000001</v>
      </c>
      <c r="C576" s="965" cm="1">
        <f t="array" ref="C576">IF(ISBLANK(B576),"",B576*2.2046226218)</f>
        <v>178.353970103620</v>
      </c>
      <c r="D576" s="962" cm="1">
        <f t="array" ref="D576">IF(ISBLANK(B576),"",AVERAGE(B570:B576))</f>
        <v>80.62142857142859</v>
      </c>
      <c r="E576" s="962" cm="1">
        <f t="array" ref="E576">IF(ISBLANK(B576),"",AVERAGE(B563:B576))</f>
        <v>81.2321428571429</v>
      </c>
      <c r="F576" s="962" cm="1">
        <f t="array" ref="F576">IF(ISBLANK(B576),"",AVERAGE(B547:B576))</f>
        <v>81.2833333333333</v>
      </c>
      <c r="G576" s="964"/>
      <c r="H576" s="964"/>
      <c r="I576" s="964"/>
      <c r="J576" s="964"/>
      <c r="K576" s="964"/>
      <c r="L576" s="964"/>
      <c r="M576" s="964"/>
      <c r="N576" s="964"/>
      <c r="O576" s="964"/>
      <c r="P576" s="964"/>
      <c r="Q576" s="962"/>
      <c r="R576" t="str" s="964" cm="1">
        <f t="array" ref="R576">IF(OR(ISBLANK($B576),NOT(ISBLANK(B576))),"",'tracking - Table 2-1-2'!C$66)</f>
      </c>
      <c r="S576" t="str" s="964" cm="1">
        <f t="array" ref="S576">IF(OR(ISBLANK($B576),NOT(ISBLANK(B576))),"",'tracking - Table 2-1-2'!D$66)</f>
      </c>
      <c r="T576" t="str" s="964" cm="1">
        <f t="array" ref="T576">IF(OR(ISBLANK($B576),NOT(ISBLANK(B576))),"",'tracking - Table 2-1-2'!E$66)</f>
      </c>
      <c r="U576" t="str" s="969" cm="1">
        <f t="array" ref="U576">IF(OR(ISBLANK($B576),ISBLANK('tracking - Table 2-1-2'!A$1)),"",'tracking - Table 2-1-2'!F$66)</f>
      </c>
    </row>
    <row r="577" ht="8.75" customHeight="1" hidden="1">
      <c r="A577" s="960">
        <v>44916</v>
      </c>
      <c r="B577" s="961">
        <v>80.90000000000001</v>
      </c>
      <c r="C577" s="965" cm="1">
        <f t="array" ref="C577">IF(ISBLANK(B577),"",B577*2.2046226218)</f>
        <v>178.353970103620</v>
      </c>
      <c r="D577" s="962" cm="1">
        <f t="array" ref="D577">IF(ISBLANK(B577),"",AVERAGE(B571:B577))</f>
        <v>80.55</v>
      </c>
      <c r="E577" s="962" cm="1">
        <f t="array" ref="E577">IF(ISBLANK(B577),"",AVERAGE(B564:B577))</f>
        <v>81.15000000000001</v>
      </c>
      <c r="F577" s="962" cm="1">
        <f t="array" ref="F577">IF(ISBLANK(B577),"",AVERAGE(B548:B577))</f>
        <v>81.3</v>
      </c>
      <c r="G577" s="964"/>
      <c r="H577" s="964"/>
      <c r="I577" s="964"/>
      <c r="J577" s="964"/>
      <c r="K577" s="964"/>
      <c r="L577" s="964"/>
      <c r="M577" s="964"/>
      <c r="N577" s="964"/>
      <c r="O577" s="964"/>
      <c r="P577" s="964"/>
      <c r="Q577" s="962"/>
      <c r="R577" t="str" s="964" cm="1">
        <f t="array" ref="R577">IF(OR(ISBLANK($B577),NOT(ISBLANK(B577))),"",'tracking - Table 2-1-2'!C$66)</f>
      </c>
      <c r="S577" t="str" s="964" cm="1">
        <f t="array" ref="S577">IF(OR(ISBLANK($B577),NOT(ISBLANK(B577))),"",'tracking - Table 2-1-2'!D$66)</f>
      </c>
      <c r="T577" t="str" s="964" cm="1">
        <f t="array" ref="T577">IF(OR(ISBLANK($B577),NOT(ISBLANK(B577))),"",'tracking - Table 2-1-2'!E$66)</f>
      </c>
      <c r="U577" t="str" s="969" cm="1">
        <f t="array" ref="U577">IF(OR(ISBLANK($B577),ISBLANK('tracking - Table 2-1-2'!A$1)),"",'tracking - Table 2-1-2'!F$66)</f>
      </c>
    </row>
    <row r="578" ht="8.75" customHeight="1" hidden="1">
      <c r="A578" s="960">
        <v>44917</v>
      </c>
      <c r="B578" s="961">
        <v>81.40000000000001</v>
      </c>
      <c r="C578" s="965" cm="1">
        <f t="array" ref="C578">IF(ISBLANK(B578),"",B578*2.2046226218)</f>
        <v>179.456281414520</v>
      </c>
      <c r="D578" s="962" cm="1">
        <f t="array" ref="D578">IF(ISBLANK(B578),"",AVERAGE(B572:B578))</f>
        <v>80.6357142857143</v>
      </c>
      <c r="E578" s="962" cm="1">
        <f t="array" ref="E578">IF(ISBLANK(B578),"",AVERAGE(B565:B578))</f>
        <v>81.13928571428571</v>
      </c>
      <c r="F578" s="962" cm="1">
        <f t="array" ref="F578">IF(ISBLANK(B578),"",AVERAGE(B549:B578))</f>
        <v>81.3266666666667</v>
      </c>
      <c r="G578" s="964"/>
      <c r="H578" s="964"/>
      <c r="I578" s="964"/>
      <c r="J578" s="964"/>
      <c r="K578" s="964"/>
      <c r="L578" s="964"/>
      <c r="M578" s="964"/>
      <c r="N578" s="964"/>
      <c r="O578" s="964"/>
      <c r="P578" s="964"/>
      <c r="Q578" s="962"/>
      <c r="R578" t="str" s="964" cm="1">
        <f t="array" ref="R578">IF(OR(ISBLANK($B578),NOT(ISBLANK(B578))),"",'tracking - Table 2-1-2'!C$66)</f>
      </c>
      <c r="S578" t="str" s="964" cm="1">
        <f t="array" ref="S578">IF(OR(ISBLANK($B578),NOT(ISBLANK(B578))),"",'tracking - Table 2-1-2'!D$66)</f>
      </c>
      <c r="T578" t="str" s="964" cm="1">
        <f t="array" ref="T578">IF(OR(ISBLANK($B578),NOT(ISBLANK(B578))),"",'tracking - Table 2-1-2'!E$66)</f>
      </c>
      <c r="U578" t="str" s="969" cm="1">
        <f t="array" ref="U578">IF(OR(ISBLANK($B578),ISBLANK('tracking - Table 2-1-2'!A$1)),"",'tracking - Table 2-1-2'!F$66)</f>
      </c>
    </row>
    <row r="579" ht="8.75" customHeight="1" hidden="1">
      <c r="A579" s="960">
        <v>44918</v>
      </c>
      <c r="B579" s="961">
        <v>81.5</v>
      </c>
      <c r="C579" s="965" cm="1">
        <f t="array" ref="C579">IF(ISBLANK(B579),"",B579*2.2046226218)</f>
        <v>179.6767436767</v>
      </c>
      <c r="D579" s="962" cm="1">
        <f t="array" ref="D579">IF(ISBLANK(B579),"",AVERAGE(B573:B579))</f>
        <v>80.7785714285714</v>
      </c>
      <c r="E579" s="962" cm="1">
        <f t="array" ref="E579">IF(ISBLANK(B579),"",AVERAGE(B566:B579))</f>
        <v>81.1321428571429</v>
      </c>
      <c r="F579" s="962" cm="1">
        <f t="array" ref="F579">IF(ISBLANK(B579),"",AVERAGE(B550:B579))</f>
        <v>81.33</v>
      </c>
      <c r="G579" s="964"/>
      <c r="H579" s="964"/>
      <c r="I579" s="964"/>
      <c r="J579" s="964"/>
      <c r="K579" s="964"/>
      <c r="L579" s="964"/>
      <c r="M579" s="964"/>
      <c r="N579" s="964"/>
      <c r="O579" s="964"/>
      <c r="P579" s="964"/>
      <c r="Q579" s="962"/>
      <c r="R579" t="str" s="964" cm="1">
        <f t="array" ref="R579">IF(OR(ISBLANK($B579),NOT(ISBLANK(B579))),"",'tracking - Table 2-1-2'!C$66)</f>
      </c>
      <c r="S579" t="str" s="964" cm="1">
        <f t="array" ref="S579">IF(OR(ISBLANK($B579),NOT(ISBLANK(B579))),"",'tracking - Table 2-1-2'!D$66)</f>
      </c>
      <c r="T579" t="str" s="964" cm="1">
        <f t="array" ref="T579">IF(OR(ISBLANK($B579),NOT(ISBLANK(B579))),"",'tracking - Table 2-1-2'!E$66)</f>
      </c>
      <c r="U579" t="str" s="969" cm="1">
        <f t="array" ref="U579">IF(OR(ISBLANK($B579),ISBLANK('tracking - Table 2-1-2'!A$1)),"",'tracking - Table 2-1-2'!F$66)</f>
      </c>
    </row>
    <row r="580" ht="8.75" customHeight="1" hidden="1">
      <c r="A580" s="960">
        <v>44919</v>
      </c>
      <c r="B580" s="961">
        <v>81.8</v>
      </c>
      <c r="C580" s="965" cm="1">
        <f t="array" ref="C580">IF(ISBLANK(B580),"",B580*2.2046226218)</f>
        <v>180.338130463240</v>
      </c>
      <c r="D580" s="962" cm="1">
        <f t="array" ref="D580">IF(ISBLANK(B580),"",AVERAGE(B574:B580))</f>
        <v>80.92142857142861</v>
      </c>
      <c r="E580" s="962" cm="1">
        <f t="array" ref="E580">IF(ISBLANK(B580),"",AVERAGE(B567:B580))</f>
        <v>81.1357142857143</v>
      </c>
      <c r="F580" s="962" cm="1">
        <f t="array" ref="F580">IF(ISBLANK(B580),"",AVERAGE(B551:B580))</f>
        <v>81.34333333333331</v>
      </c>
      <c r="G580" s="964"/>
      <c r="H580" s="964"/>
      <c r="I580" s="964"/>
      <c r="J580" s="964"/>
      <c r="K580" s="964"/>
      <c r="L580" s="964"/>
      <c r="M580" s="964"/>
      <c r="N580" s="964"/>
      <c r="O580" s="964"/>
      <c r="P580" s="964"/>
      <c r="Q580" s="962"/>
      <c r="R580" t="str" s="964" cm="1">
        <f t="array" ref="R580">IF(OR(ISBLANK($B580),NOT(ISBLANK(B580))),"",'tracking - Table 2-1-2'!C$66)</f>
      </c>
      <c r="S580" t="str" s="964" cm="1">
        <f t="array" ref="S580">IF(OR(ISBLANK($B580),NOT(ISBLANK(B580))),"",'tracking - Table 2-1-2'!D$66)</f>
      </c>
      <c r="T580" t="str" s="964" cm="1">
        <f t="array" ref="T580">IF(OR(ISBLANK($B580),NOT(ISBLANK(B580))),"",'tracking - Table 2-1-2'!E$66)</f>
      </c>
      <c r="U580" t="str" s="969" cm="1">
        <f t="array" ref="U580">IF(OR(ISBLANK($B580),ISBLANK('tracking - Table 2-1-2'!A$1)),"",'tracking - Table 2-1-2'!F$66)</f>
      </c>
    </row>
    <row r="581" ht="8.75" customHeight="1" hidden="1">
      <c r="A581" s="960">
        <v>44920</v>
      </c>
      <c r="B581" s="961">
        <v>82.15000000000001</v>
      </c>
      <c r="C581" s="965" cm="1">
        <f t="array" ref="C581">IF(ISBLANK(B581),"",B581*2.2046226218)</f>
        <v>181.109748380870</v>
      </c>
      <c r="D581" s="962" cm="1">
        <f t="array" ref="D581">IF(ISBLANK(B581),"",AVERAGE(B575:B581))</f>
        <v>81.2571428571429</v>
      </c>
      <c r="E581" s="962" cm="1">
        <f t="array" ref="E581">IF(ISBLANK(B581),"",AVERAGE(B568:B581))</f>
        <v>81.13928571428571</v>
      </c>
      <c r="F581" s="962" cm="1">
        <f t="array" ref="F581">IF(ISBLANK(B581),"",AVERAGE(B552:B581))</f>
        <v>81.35833333333331</v>
      </c>
      <c r="G581" s="964"/>
      <c r="H581" s="964"/>
      <c r="I581" s="964"/>
      <c r="J581" s="964"/>
      <c r="K581" s="964"/>
      <c r="L581" s="964"/>
      <c r="M581" s="964"/>
      <c r="N581" s="964"/>
      <c r="O581" s="964"/>
      <c r="P581" s="964"/>
      <c r="Q581" s="962"/>
      <c r="R581" t="str" s="964" cm="1">
        <f t="array" ref="R581">IF(OR(ISBLANK($B581),NOT(ISBLANK(B581))),"",'tracking - Table 2-1-2'!C$66)</f>
      </c>
      <c r="S581" t="str" s="964" cm="1">
        <f t="array" ref="S581">IF(OR(ISBLANK($B581),NOT(ISBLANK(B581))),"",'tracking - Table 2-1-2'!D$66)</f>
      </c>
      <c r="T581" t="str" s="964" cm="1">
        <f t="array" ref="T581">IF(OR(ISBLANK($B581),NOT(ISBLANK(B581))),"",'tracking - Table 2-1-2'!E$66)</f>
      </c>
      <c r="U581" t="str" s="969" cm="1">
        <f t="array" ref="U581">IF(OR(ISBLANK($B581),ISBLANK('tracking - Table 2-1-2'!A$1)),"",'tracking - Table 2-1-2'!F$66)</f>
      </c>
    </row>
    <row r="582" ht="8.75" customHeight="1" hidden="1">
      <c r="A582" s="960">
        <v>44921</v>
      </c>
      <c r="B582" s="961">
        <v>81.65000000000001</v>
      </c>
      <c r="C582" s="965" cm="1">
        <f t="array" ref="C582">IF(ISBLANK(B582),"",B582*2.2046226218)</f>
        <v>180.007437069970</v>
      </c>
      <c r="D582" s="962" cm="1">
        <f t="array" ref="D582">IF(ISBLANK(B582),"",AVERAGE(B576:B582))</f>
        <v>81.4714285714286</v>
      </c>
      <c r="E582" s="962" cm="1">
        <f t="array" ref="E582">IF(ISBLANK(B582),"",AVERAGE(B569:B582))</f>
        <v>81.1321428571429</v>
      </c>
      <c r="F582" s="962" cm="1">
        <f t="array" ref="F582">IF(ISBLANK(B582),"",AVERAGE(B553:B582))</f>
        <v>81.37333333333331</v>
      </c>
      <c r="G582" s="964"/>
      <c r="H582" s="964"/>
      <c r="I582" s="964"/>
      <c r="J582" s="964"/>
      <c r="K582" s="964"/>
      <c r="L582" s="964"/>
      <c r="M582" s="964"/>
      <c r="N582" s="964"/>
      <c r="O582" s="964"/>
      <c r="P582" s="964"/>
      <c r="Q582" s="962"/>
      <c r="R582" t="str" s="964" cm="1">
        <f t="array" ref="R582">IF(OR(ISBLANK($B582),NOT(ISBLANK(B582))),"",'tracking - Table 2-1-2'!C$66)</f>
      </c>
      <c r="S582" t="str" s="964" cm="1">
        <f t="array" ref="S582">IF(OR(ISBLANK($B582),NOT(ISBLANK(B582))),"",'tracking - Table 2-1-2'!D$66)</f>
      </c>
      <c r="T582" t="str" s="964" cm="1">
        <f t="array" ref="T582">IF(OR(ISBLANK($B582),NOT(ISBLANK(B582))),"",'tracking - Table 2-1-2'!E$66)</f>
      </c>
      <c r="U582" t="str" s="969" cm="1">
        <f t="array" ref="U582">IF(OR(ISBLANK($B582),ISBLANK('tracking - Table 2-1-2'!A$1)),"",'tracking - Table 2-1-2'!F$66)</f>
      </c>
    </row>
    <row r="583" ht="8.75" customHeight="1" hidden="1">
      <c r="A583" s="960">
        <v>44922</v>
      </c>
      <c r="B583" s="961">
        <v>81.5</v>
      </c>
      <c r="C583" s="965" cm="1">
        <f t="array" ref="C583">IF(ISBLANK(B583),"",B583*2.2046226218)</f>
        <v>179.6767436767</v>
      </c>
      <c r="D583" s="962" cm="1">
        <f t="array" ref="D583">IF(ISBLANK(B583),"",AVERAGE(B577:B583))</f>
        <v>81.55714285714291</v>
      </c>
      <c r="E583" s="962" cm="1">
        <f t="array" ref="E583">IF(ISBLANK(B583),"",AVERAGE(B570:B583))</f>
        <v>81.08928571428569</v>
      </c>
      <c r="F583" s="962" cm="1">
        <f t="array" ref="F583">IF(ISBLANK(B583),"",AVERAGE(B554:B583))</f>
        <v>81.37333333333331</v>
      </c>
      <c r="G583" s="964"/>
      <c r="H583" s="964"/>
      <c r="I583" s="964"/>
      <c r="J583" s="964"/>
      <c r="K583" s="964"/>
      <c r="L583" s="964"/>
      <c r="M583" s="964"/>
      <c r="N583" s="964"/>
      <c r="O583" s="964"/>
      <c r="P583" s="964"/>
      <c r="Q583" s="962"/>
      <c r="R583" t="str" s="964" cm="1">
        <f t="array" ref="R583">IF(OR(ISBLANK($B583),NOT(ISBLANK(B583))),"",'tracking - Table 2-1-2'!C$66)</f>
      </c>
      <c r="S583" t="str" s="964" cm="1">
        <f t="array" ref="S583">IF(OR(ISBLANK($B583),NOT(ISBLANK(B583))),"",'tracking - Table 2-1-2'!D$66)</f>
      </c>
      <c r="T583" t="str" s="964" cm="1">
        <f t="array" ref="T583">IF(OR(ISBLANK($B583),NOT(ISBLANK(B583))),"",'tracking - Table 2-1-2'!E$66)</f>
      </c>
      <c r="U583" t="str" s="969" cm="1">
        <f t="array" ref="U583">IF(OR(ISBLANK($B583),ISBLANK('tracking - Table 2-1-2'!A$1)),"",'tracking - Table 2-1-2'!F$66)</f>
      </c>
    </row>
    <row r="584" ht="8.75" customHeight="1" hidden="1">
      <c r="A584" s="960">
        <v>44923</v>
      </c>
      <c r="B584" s="961">
        <v>81.5</v>
      </c>
      <c r="C584" s="965" cm="1">
        <f t="array" ref="C584">IF(ISBLANK(B584),"",B584*2.2046226218)</f>
        <v>179.6767436767</v>
      </c>
      <c r="D584" s="962" cm="1">
        <f t="array" ref="D584">IF(ISBLANK(B584),"",AVERAGE(B578:B584))</f>
        <v>81.6428571428571</v>
      </c>
      <c r="E584" s="962" cm="1">
        <f t="array" ref="E584">IF(ISBLANK(B584),"",AVERAGE(B571:B584))</f>
        <v>81.0964285714286</v>
      </c>
      <c r="F584" s="962" cm="1">
        <f t="array" ref="F584">IF(ISBLANK(B584),"",AVERAGE(B555:B584))</f>
        <v>81.38</v>
      </c>
      <c r="G584" s="964"/>
      <c r="H584" s="964"/>
      <c r="I584" s="964"/>
      <c r="J584" s="964"/>
      <c r="K584" s="964"/>
      <c r="L584" s="964"/>
      <c r="M584" s="964"/>
      <c r="N584" s="964"/>
      <c r="O584" s="964"/>
      <c r="P584" s="964"/>
      <c r="Q584" s="962"/>
      <c r="R584" t="str" s="964" cm="1">
        <f t="array" ref="R584">IF(OR(ISBLANK($B584),NOT(ISBLANK(B584))),"",'tracking - Table 2-1-2'!C$66)</f>
      </c>
      <c r="S584" t="str" s="964" cm="1">
        <f t="array" ref="S584">IF(OR(ISBLANK($B584),NOT(ISBLANK(B584))),"",'tracking - Table 2-1-2'!D$66)</f>
      </c>
      <c r="T584" t="str" s="964" cm="1">
        <f t="array" ref="T584">IF(OR(ISBLANK($B584),NOT(ISBLANK(B584))),"",'tracking - Table 2-1-2'!E$66)</f>
      </c>
      <c r="U584" t="str" s="969" cm="1">
        <f t="array" ref="U584">IF(OR(ISBLANK($B584),ISBLANK('tracking - Table 2-1-2'!A$1)),"",'tracking - Table 2-1-2'!F$66)</f>
      </c>
    </row>
    <row r="585" ht="8.75" customHeight="1" hidden="1">
      <c r="A585" s="960">
        <v>44924</v>
      </c>
      <c r="B585" s="961">
        <v>81.5</v>
      </c>
      <c r="C585" s="965" cm="1">
        <f t="array" ref="C585">IF(ISBLANK(B585),"",B585*2.2046226218)</f>
        <v>179.6767436767</v>
      </c>
      <c r="D585" s="962" cm="1">
        <f t="array" ref="D585">IF(ISBLANK(B585),"",AVERAGE(B579:B585))</f>
        <v>81.6571428571429</v>
      </c>
      <c r="E585" s="962" cm="1">
        <f t="array" ref="E585">IF(ISBLANK(B585),"",AVERAGE(B572:B585))</f>
        <v>81.1464285714286</v>
      </c>
      <c r="F585" s="962" cm="1">
        <f t="array" ref="F585">IF(ISBLANK(B585),"",AVERAGE(B556:B585))</f>
        <v>81.39</v>
      </c>
      <c r="G585" s="964"/>
      <c r="H585" s="964"/>
      <c r="I585" s="964"/>
      <c r="J585" s="964"/>
      <c r="K585" s="964"/>
      <c r="L585" s="964"/>
      <c r="M585" s="964"/>
      <c r="N585" s="964"/>
      <c r="O585" s="964"/>
      <c r="P585" s="964"/>
      <c r="Q585" s="962"/>
      <c r="R585" t="str" s="964" cm="1">
        <f t="array" ref="R585">IF(OR(ISBLANK($B585),NOT(ISBLANK(B585))),"",'tracking - Table 2-1-2'!C$66)</f>
      </c>
      <c r="S585" t="str" s="964" cm="1">
        <f t="array" ref="S585">IF(OR(ISBLANK($B585),NOT(ISBLANK(B585))),"",'tracking - Table 2-1-2'!D$66)</f>
      </c>
      <c r="T585" t="str" s="964" cm="1">
        <f t="array" ref="T585">IF(OR(ISBLANK($B585),NOT(ISBLANK(B585))),"",'tracking - Table 2-1-2'!E$66)</f>
      </c>
      <c r="U585" t="str" s="969" cm="1">
        <f t="array" ref="U585">IF(OR(ISBLANK($B585),ISBLANK('tracking - Table 2-1-2'!A$1)),"",'tracking - Table 2-1-2'!F$66)</f>
      </c>
    </row>
    <row r="586" ht="8.75" customHeight="1" hidden="1">
      <c r="A586" s="960">
        <v>44925</v>
      </c>
      <c r="B586" s="961">
        <v>81.8</v>
      </c>
      <c r="C586" s="965" cm="1">
        <f t="array" ref="C586">IF(ISBLANK(B586),"",B586*2.2046226218)</f>
        <v>180.338130463240</v>
      </c>
      <c r="D586" s="962" cm="1">
        <f t="array" ref="D586">IF(ISBLANK(B586),"",AVERAGE(B580:B586))</f>
        <v>81.7</v>
      </c>
      <c r="E586" s="962" cm="1">
        <f t="array" ref="E586">IF(ISBLANK(B586),"",AVERAGE(B573:B586))</f>
        <v>81.2392857142857</v>
      </c>
      <c r="F586" s="962" cm="1">
        <f t="array" ref="F586">IF(ISBLANK(B586),"",AVERAGE(B557:B586))</f>
        <v>81.41</v>
      </c>
      <c r="G586" s="964"/>
      <c r="H586" s="964"/>
      <c r="I586" s="964"/>
      <c r="J586" s="964"/>
      <c r="K586" s="964"/>
      <c r="L586" s="964"/>
      <c r="M586" s="964"/>
      <c r="N586" s="964"/>
      <c r="O586" s="964"/>
      <c r="P586" s="964"/>
      <c r="Q586" s="962"/>
      <c r="R586" t="str" s="964" cm="1">
        <f t="array" ref="R586">IF(OR(ISBLANK($B586),NOT(ISBLANK(B586))),"",'tracking - Table 2-1-2'!C$66)</f>
      </c>
      <c r="S586" t="str" s="964" cm="1">
        <f t="array" ref="S586">IF(OR(ISBLANK($B586),NOT(ISBLANK(B586))),"",'tracking - Table 2-1-2'!D$66)</f>
      </c>
      <c r="T586" t="str" s="964" cm="1">
        <f t="array" ref="T586">IF(OR(ISBLANK($B586),NOT(ISBLANK(B586))),"",'tracking - Table 2-1-2'!E$66)</f>
      </c>
      <c r="U586" t="str" s="969" cm="1">
        <f t="array" ref="U586">IF(OR(ISBLANK($B586),ISBLANK('tracking - Table 2-1-2'!A$1)),"",'tracking - Table 2-1-2'!F$66)</f>
      </c>
    </row>
    <row r="587" ht="8.75" customHeight="1" hidden="1">
      <c r="A587" s="960">
        <v>44926</v>
      </c>
      <c r="B587" s="961">
        <v>82</v>
      </c>
      <c r="C587" s="965" cm="1">
        <f t="array" ref="C587">IF(ISBLANK(B587),"",B587*2.2046226218)</f>
        <v>180.7790549876</v>
      </c>
      <c r="D587" s="962" cm="1">
        <f t="array" ref="D587">IF(ISBLANK(B587),"",AVERAGE(B581:B587))</f>
        <v>81.7285714285714</v>
      </c>
      <c r="E587" s="962" cm="1">
        <f t="array" ref="E587">IF(ISBLANK(B587),"",AVERAGE(B574:B587))</f>
        <v>81.325</v>
      </c>
      <c r="F587" s="962" cm="1">
        <f t="array" ref="F587">IF(ISBLANK(B587),"",AVERAGE(B558:B587))</f>
        <v>81.44499999999999</v>
      </c>
      <c r="G587" s="964"/>
      <c r="H587" s="964"/>
      <c r="I587" s="964"/>
      <c r="J587" s="964"/>
      <c r="K587" s="964"/>
      <c r="L587" s="964"/>
      <c r="M587" s="964"/>
      <c r="N587" s="964"/>
      <c r="O587" s="964"/>
      <c r="P587" s="964"/>
      <c r="Q587" s="962"/>
      <c r="R587" t="str" s="964" cm="1">
        <f t="array" ref="R587">IF(OR(ISBLANK($B587),NOT(ISBLANK(B587))),"",'tracking - Table 2-1-2'!C$66)</f>
      </c>
      <c r="S587" t="str" s="964" cm="1">
        <f t="array" ref="S587">IF(OR(ISBLANK($B587),NOT(ISBLANK(B587))),"",'tracking - Table 2-1-2'!D$66)</f>
      </c>
      <c r="T587" t="str" s="964" cm="1">
        <f t="array" ref="T587">IF(OR(ISBLANK($B587),NOT(ISBLANK(B587))),"",'tracking - Table 2-1-2'!E$66)</f>
      </c>
      <c r="U587" t="str" s="969" cm="1">
        <f t="array" ref="U587">IF(OR(ISBLANK($B587),ISBLANK('tracking - Table 2-1-2'!A$1)),"",'tracking - Table 2-1-2'!F$66)</f>
      </c>
    </row>
    <row r="588" ht="8.75" customHeight="1" hidden="1">
      <c r="A588" s="960">
        <v>44927</v>
      </c>
      <c r="B588" s="961">
        <v>82</v>
      </c>
      <c r="C588" s="965" cm="1">
        <f t="array" ref="C588">IF(ISBLANK(B588),"",B588*2.2046226218)</f>
        <v>180.7790549876</v>
      </c>
      <c r="D588" s="962" cm="1">
        <f t="array" ref="D588">IF(ISBLANK(B588),"",AVERAGE(B582:B588))</f>
        <v>81.7071428571429</v>
      </c>
      <c r="E588" s="962" cm="1">
        <f t="array" ref="E588">IF(ISBLANK(B588),"",AVERAGE(B575:B588))</f>
        <v>81.4821428571429</v>
      </c>
      <c r="F588" s="962" cm="1">
        <f t="array" ref="F588">IF(ISBLANK(B588),"",AVERAGE(B559:B588))</f>
        <v>81.45</v>
      </c>
      <c r="G588" s="964"/>
      <c r="H588" s="964"/>
      <c r="I588" s="964"/>
      <c r="J588" s="964"/>
      <c r="K588" s="964"/>
      <c r="L588" s="964"/>
      <c r="M588" s="964"/>
      <c r="N588" s="964"/>
      <c r="O588" s="964"/>
      <c r="P588" s="964"/>
      <c r="Q588" s="962"/>
      <c r="R588" t="str" s="964" cm="1">
        <f t="array" ref="R588">IF(OR(ISBLANK($B588),NOT(ISBLANK(B588))),"",'tracking - Table 2-1-2'!C$66)</f>
      </c>
      <c r="S588" t="str" s="964" cm="1">
        <f t="array" ref="S588">IF(OR(ISBLANK($B588),NOT(ISBLANK(B588))),"",'tracking - Table 2-1-2'!D$66)</f>
      </c>
      <c r="T588" t="str" s="964" cm="1">
        <f t="array" ref="T588">IF(OR(ISBLANK($B588),NOT(ISBLANK(B588))),"",'tracking - Table 2-1-2'!E$66)</f>
      </c>
      <c r="U588" t="str" s="969" cm="1">
        <f t="array" ref="U588">IF(OR(ISBLANK($B588),ISBLANK('tracking - Table 2-1-2'!A$1)),"",'tracking - Table 2-1-2'!F$66)</f>
      </c>
    </row>
    <row r="589" ht="8.75" customHeight="1" hidden="1">
      <c r="A589" s="960">
        <v>44928</v>
      </c>
      <c r="B589" s="961">
        <v>82</v>
      </c>
      <c r="C589" s="965" cm="1">
        <f t="array" ref="C589">IF(ISBLANK(B589),"",B589*2.2046226218)</f>
        <v>180.7790549876</v>
      </c>
      <c r="D589" s="962" cm="1">
        <f t="array" ref="D589">IF(ISBLANK(B589),"",AVERAGE(B583:B589))</f>
        <v>81.7571428571429</v>
      </c>
      <c r="E589" s="962" cm="1">
        <f t="array" ref="E589">IF(ISBLANK(B589),"",AVERAGE(B576:B589))</f>
        <v>81.6142857142857</v>
      </c>
      <c r="F589" s="962" cm="1">
        <f t="array" ref="F589">IF(ISBLANK(B589),"",AVERAGE(B560:B589))</f>
        <v>81.46833333333331</v>
      </c>
      <c r="G589" s="964"/>
      <c r="H589" s="964"/>
      <c r="I589" s="964"/>
      <c r="J589" s="964"/>
      <c r="K589" s="964"/>
      <c r="L589" s="964"/>
      <c r="M589" s="964"/>
      <c r="N589" s="964"/>
      <c r="O589" s="964"/>
      <c r="P589" s="964"/>
      <c r="Q589" s="962"/>
      <c r="R589" t="str" s="964" cm="1">
        <f t="array" ref="R589">IF(OR(ISBLANK($B589),NOT(ISBLANK(B589))),"",'tracking - Table 2-1-2'!C$66)</f>
      </c>
      <c r="S589" t="str" s="964" cm="1">
        <f t="array" ref="S589">IF(OR(ISBLANK($B589),NOT(ISBLANK(B589))),"",'tracking - Table 2-1-2'!D$66)</f>
      </c>
      <c r="T589" t="str" s="964" cm="1">
        <f t="array" ref="T589">IF(OR(ISBLANK($B589),NOT(ISBLANK(B589))),"",'tracking - Table 2-1-2'!E$66)</f>
      </c>
      <c r="U589" t="str" s="969" cm="1">
        <f t="array" ref="U589">IF(OR(ISBLANK($B589),ISBLANK('tracking - Table 2-1-2'!A$1)),"",'tracking - Table 2-1-2'!F$66)</f>
      </c>
    </row>
    <row r="590" ht="8.75" customHeight="1" hidden="1">
      <c r="A590" s="960">
        <v>44929</v>
      </c>
      <c r="B590" s="961">
        <v>81.45</v>
      </c>
      <c r="C590" s="965" cm="1">
        <f t="array" ref="C590">IF(ISBLANK(B590),"",B590*2.2046226218)</f>
        <v>179.566512545610</v>
      </c>
      <c r="D590" s="962" cm="1">
        <f t="array" ref="D590">IF(ISBLANK(B590),"",AVERAGE(B584:B590))</f>
        <v>81.75</v>
      </c>
      <c r="E590" s="962" cm="1">
        <f t="array" ref="E590">IF(ISBLANK(B590),"",AVERAGE(B577:B590))</f>
        <v>81.6535714285714</v>
      </c>
      <c r="F590" s="962" cm="1">
        <f t="array" ref="F590">IF(ISBLANK(B590),"",AVERAGE(B561:B590))</f>
        <v>81.46833333333331</v>
      </c>
      <c r="G590" s="964"/>
      <c r="H590" s="964"/>
      <c r="I590" s="964"/>
      <c r="J590" s="964"/>
      <c r="K590" s="964"/>
      <c r="L590" s="964"/>
      <c r="M590" s="964"/>
      <c r="N590" s="964"/>
      <c r="O590" s="964"/>
      <c r="P590" s="964"/>
      <c r="Q590" s="962"/>
      <c r="R590" t="str" s="964" cm="1">
        <f t="array" ref="R590">IF(OR(ISBLANK($B590),NOT(ISBLANK(B590))),"",'tracking - Table 2-1-2'!C$66)</f>
      </c>
      <c r="S590" t="str" s="964" cm="1">
        <f t="array" ref="S590">IF(OR(ISBLANK($B590),NOT(ISBLANK(B590))),"",'tracking - Table 2-1-2'!D$66)</f>
      </c>
      <c r="T590" t="str" s="964" cm="1">
        <f t="array" ref="T590">IF(OR(ISBLANK($B590),NOT(ISBLANK(B590))),"",'tracking - Table 2-1-2'!E$66)</f>
      </c>
      <c r="U590" t="str" s="969" cm="1">
        <f t="array" ref="U590">IF(OR(ISBLANK($B590),ISBLANK('tracking - Table 2-1-2'!A$1)),"",'tracking - Table 2-1-2'!F$66)</f>
      </c>
    </row>
    <row r="591" ht="8.75" customHeight="1" hidden="1">
      <c r="A591" s="960">
        <v>44930</v>
      </c>
      <c r="B591" s="961">
        <v>81.45</v>
      </c>
      <c r="C591" s="965" cm="1">
        <f t="array" ref="C591">IF(ISBLANK(B591),"",B591*2.2046226218)</f>
        <v>179.566512545610</v>
      </c>
      <c r="D591" s="962" cm="1">
        <f t="array" ref="D591">IF(ISBLANK(B591),"",AVERAGE(B585:B591))</f>
        <v>81.7428571428571</v>
      </c>
      <c r="E591" s="962" cm="1">
        <f t="array" ref="E591">IF(ISBLANK(B591),"",AVERAGE(B578:B591))</f>
        <v>81.69285714285709</v>
      </c>
      <c r="F591" s="962" cm="1">
        <f t="array" ref="F591">IF(ISBLANK(B591),"",AVERAGE(B562:B591))</f>
        <v>81.4533333333333</v>
      </c>
      <c r="G591" s="964"/>
      <c r="H591" s="964"/>
      <c r="I591" s="964"/>
      <c r="J591" s="964"/>
      <c r="K591" s="964"/>
      <c r="L591" s="964"/>
      <c r="M591" s="964"/>
      <c r="N591" s="964"/>
      <c r="O591" s="964"/>
      <c r="P591" s="964"/>
      <c r="Q591" s="962"/>
      <c r="R591" t="str" s="964" cm="1">
        <f t="array" ref="R591">IF(OR(ISBLANK($B591),NOT(ISBLANK(B591))),"",'tracking - Table 2-1-2'!C$66)</f>
      </c>
      <c r="S591" t="str" s="964" cm="1">
        <f t="array" ref="S591">IF(OR(ISBLANK($B591),NOT(ISBLANK(B591))),"",'tracking - Table 2-1-2'!D$66)</f>
      </c>
      <c r="T591" t="str" s="964" cm="1">
        <f t="array" ref="T591">IF(OR(ISBLANK($B591),NOT(ISBLANK(B591))),"",'tracking - Table 2-1-2'!E$66)</f>
      </c>
      <c r="U591" t="str" s="969" cm="1">
        <f t="array" ref="U591">IF(OR(ISBLANK($B591),ISBLANK('tracking - Table 2-1-2'!A$1)),"",'tracking - Table 2-1-2'!F$66)</f>
      </c>
    </row>
    <row r="592" ht="8.75" customHeight="1" hidden="1">
      <c r="A592" s="960">
        <v>44931</v>
      </c>
      <c r="B592" s="961">
        <v>81.45</v>
      </c>
      <c r="C592" s="965" cm="1">
        <f t="array" ref="C592">IF(ISBLANK(B592),"",B592*2.2046226218)</f>
        <v>179.566512545610</v>
      </c>
      <c r="D592" s="962" cm="1">
        <f t="array" ref="D592">IF(ISBLANK(B592),"",AVERAGE(B586:B592))</f>
        <v>81.73571428571429</v>
      </c>
      <c r="E592" s="962" cm="1">
        <f t="array" ref="E592">IF(ISBLANK(B592),"",AVERAGE(B579:B592))</f>
        <v>81.6964285714286</v>
      </c>
      <c r="F592" s="962" cm="1">
        <f t="array" ref="F592">IF(ISBLANK(B592),"",AVERAGE(B563:B592))</f>
        <v>81.4433333333333</v>
      </c>
      <c r="G592" s="964"/>
      <c r="H592" s="964"/>
      <c r="I592" s="964"/>
      <c r="J592" s="964"/>
      <c r="K592" s="964"/>
      <c r="L592" s="964"/>
      <c r="M592" s="964"/>
      <c r="N592" s="964"/>
      <c r="O592" s="964"/>
      <c r="P592" s="964"/>
      <c r="Q592" s="962"/>
      <c r="R592" t="str" s="964" cm="1">
        <f t="array" ref="R592">IF(OR(ISBLANK($B592),NOT(ISBLANK(B592))),"",'tracking - Table 2-1-2'!C$66)</f>
      </c>
      <c r="S592" t="str" s="964" cm="1">
        <f t="array" ref="S592">IF(OR(ISBLANK($B592),NOT(ISBLANK(B592))),"",'tracking - Table 2-1-2'!D$66)</f>
      </c>
      <c r="T592" t="str" s="964" cm="1">
        <f t="array" ref="T592">IF(OR(ISBLANK($B592),NOT(ISBLANK(B592))),"",'tracking - Table 2-1-2'!E$66)</f>
      </c>
      <c r="U592" t="str" s="969" cm="1">
        <f t="array" ref="U592">IF(OR(ISBLANK($B592),ISBLANK('tracking - Table 2-1-2'!A$1)),"",'tracking - Table 2-1-2'!F$66)</f>
      </c>
    </row>
    <row r="593" ht="8.75" customHeight="1" hidden="1">
      <c r="A593" s="960">
        <v>44932</v>
      </c>
      <c r="B593" s="961">
        <v>81.45</v>
      </c>
      <c r="C593" s="965" cm="1">
        <f t="array" ref="C593">IF(ISBLANK(B593),"",B593*2.2046226218)</f>
        <v>179.566512545610</v>
      </c>
      <c r="D593" s="962" cm="1">
        <f t="array" ref="D593">IF(ISBLANK(B593),"",AVERAGE(B587:B593))</f>
        <v>81.6857142857143</v>
      </c>
      <c r="E593" s="962" cm="1">
        <f t="array" ref="E593">IF(ISBLANK(B593),"",AVERAGE(B580:B593))</f>
        <v>81.69285714285709</v>
      </c>
      <c r="F593" s="962" cm="1">
        <f t="array" ref="F593">IF(ISBLANK(B593),"",AVERAGE(B564:B593))</f>
        <v>81.4233333333333</v>
      </c>
      <c r="G593" s="964"/>
      <c r="H593" s="964"/>
      <c r="I593" s="964"/>
      <c r="J593" s="964"/>
      <c r="K593" s="964"/>
      <c r="L593" s="964"/>
      <c r="M593" s="964"/>
      <c r="N593" s="964"/>
      <c r="O593" s="964"/>
      <c r="P593" s="964"/>
      <c r="Q593" s="962"/>
      <c r="R593" t="str" s="964" cm="1">
        <f t="array" ref="R593">IF(OR(ISBLANK($B593),NOT(ISBLANK(B593))),"",'tracking - Table 2-1-2'!C$66)</f>
      </c>
      <c r="S593" t="str" s="964" cm="1">
        <f t="array" ref="S593">IF(OR(ISBLANK($B593),NOT(ISBLANK(B593))),"",'tracking - Table 2-1-2'!D$66)</f>
      </c>
      <c r="T593" t="str" s="964" cm="1">
        <f t="array" ref="T593">IF(OR(ISBLANK($B593),NOT(ISBLANK(B593))),"",'tracking - Table 2-1-2'!E$66)</f>
      </c>
      <c r="U593" t="str" s="969" cm="1">
        <f t="array" ref="U593">IF(OR(ISBLANK($B593),ISBLANK('tracking - Table 2-1-2'!A$1)),"",'tracking - Table 2-1-2'!F$66)</f>
      </c>
    </row>
    <row r="594" ht="8.75" customHeight="1" hidden="1">
      <c r="A594" s="960">
        <v>44933</v>
      </c>
      <c r="B594" s="961">
        <v>81.45</v>
      </c>
      <c r="C594" s="965" cm="1">
        <f t="array" ref="C594">IF(ISBLANK(B594),"",B594*2.2046226218)</f>
        <v>179.566512545610</v>
      </c>
      <c r="D594" s="962" cm="1">
        <f t="array" ref="D594">IF(ISBLANK(B594),"",AVERAGE(B588:B594))</f>
        <v>81.6071428571429</v>
      </c>
      <c r="E594" s="962" cm="1">
        <f t="array" ref="E594">IF(ISBLANK(B594),"",AVERAGE(B581:B594))</f>
        <v>81.6678571428571</v>
      </c>
      <c r="F594" s="962" cm="1">
        <f t="array" ref="F594">IF(ISBLANK(B594),"",AVERAGE(B565:B594))</f>
        <v>81.42</v>
      </c>
      <c r="G594" s="964"/>
      <c r="H594" s="964"/>
      <c r="I594" s="964"/>
      <c r="J594" s="964"/>
      <c r="K594" s="964"/>
      <c r="L594" s="964"/>
      <c r="M594" s="964"/>
      <c r="N594" s="964"/>
      <c r="O594" s="964"/>
      <c r="P594" s="964"/>
      <c r="Q594" s="962"/>
      <c r="R594" t="str" s="964" cm="1">
        <f t="array" ref="R594">IF(OR(ISBLANK($B594),NOT(ISBLANK(B594))),"",'tracking - Table 2-1-2'!C$66)</f>
      </c>
      <c r="S594" t="str" s="964" cm="1">
        <f t="array" ref="S594">IF(OR(ISBLANK($B594),NOT(ISBLANK(B594))),"",'tracking - Table 2-1-2'!D$66)</f>
      </c>
      <c r="T594" t="str" s="964" cm="1">
        <f t="array" ref="T594">IF(OR(ISBLANK($B594),NOT(ISBLANK(B594))),"",'tracking - Table 2-1-2'!E$66)</f>
      </c>
      <c r="U594" t="str" s="969" cm="1">
        <f t="array" ref="U594">IF(OR(ISBLANK($B594),ISBLANK('tracking - Table 2-1-2'!A$1)),"",'tracking - Table 2-1-2'!F$66)</f>
      </c>
    </row>
    <row r="595" ht="8.75" customHeight="1" hidden="1">
      <c r="A595" s="960">
        <v>44934</v>
      </c>
      <c r="B595" s="356"/>
      <c r="C595" t="str" s="352" cm="1">
        <f t="array" ref="C595">IF(ISBLANK(B595),"",B595*2.2046226218)</f>
      </c>
      <c r="D595" t="str" s="964" cm="1">
        <f t="array" ref="D595">IF(ISBLANK(B595),"",AVERAGE(B589:B595))</f>
      </c>
      <c r="E595" t="str" s="964" cm="1">
        <f t="array" ref="E595">IF(ISBLANK(B595),"",AVERAGE(B582:B595))</f>
      </c>
      <c r="F595" t="str" s="964" cm="1">
        <f t="array" ref="F595">IF(ISBLANK(B595),"",AVERAGE(B566:B595))</f>
      </c>
      <c r="G595" s="964"/>
      <c r="H595" s="964"/>
      <c r="I595" s="964"/>
      <c r="J595" s="964"/>
      <c r="K595" s="964"/>
      <c r="L595" s="964"/>
      <c r="M595" s="964"/>
      <c r="N595" s="964"/>
      <c r="O595" s="964"/>
      <c r="P595" s="964"/>
      <c r="Q595" s="962"/>
      <c r="R595" t="str" s="964" cm="1">
        <f t="array" ref="R595">IF(OR(ISBLANK($B595),NOT(ISBLANK(B595))),"",'tracking - Table 2-1-2'!C$66)</f>
      </c>
      <c r="S595" t="str" s="964" cm="1">
        <f t="array" ref="S595">IF(OR(ISBLANK($B595),NOT(ISBLANK(B595))),"",'tracking - Table 2-1-2'!D$66)</f>
      </c>
      <c r="T595" t="str" s="964" cm="1">
        <f t="array" ref="T595">IF(OR(ISBLANK($B595),NOT(ISBLANK(B595))),"",'tracking - Table 2-1-2'!E$66)</f>
      </c>
      <c r="U595" t="str" s="969" cm="1">
        <f t="array" ref="U595">IF(OR(ISBLANK($B595),ISBLANK('tracking - Table 2-1-2'!A$1)),"",'tracking - Table 2-1-2'!F$66)</f>
      </c>
    </row>
    <row r="596" ht="8.75" customHeight="1" hidden="1">
      <c r="A596" s="960">
        <v>44935</v>
      </c>
      <c r="B596" s="961">
        <v>80.09999999999999</v>
      </c>
      <c r="C596" s="965" cm="1">
        <f t="array" ref="C596">IF(ISBLANK(B596),"",B596*2.2046226218)</f>
        <v>176.590272006180</v>
      </c>
      <c r="D596" s="962" cm="1">
        <f t="array" ref="D596">IF(ISBLANK(B596),"",AVERAGE(B590:B596))</f>
        <v>81.22499999999999</v>
      </c>
      <c r="E596" s="962" cm="1">
        <f t="array" ref="E596">IF(ISBLANK(B596),"",AVERAGE(B583:B596))</f>
        <v>81.51153846153851</v>
      </c>
      <c r="F596" s="962" cm="1">
        <f t="array" ref="F596">IF(ISBLANK(B596),"",AVERAGE(B567:B596))</f>
        <v>81.35689655172411</v>
      </c>
      <c r="G596" s="964"/>
      <c r="H596" s="964"/>
      <c r="I596" s="964"/>
      <c r="J596" s="964"/>
      <c r="K596" s="964"/>
      <c r="L596" s="964"/>
      <c r="M596" s="964"/>
      <c r="N596" s="964"/>
      <c r="O596" s="964"/>
      <c r="P596" s="964"/>
      <c r="Q596" s="962"/>
      <c r="R596" t="str" s="964" cm="1">
        <f t="array" ref="R596">IF(OR(ISBLANK($B596),NOT(ISBLANK(B596))),"",'tracking - Table 2-1-2'!C$66)</f>
      </c>
      <c r="S596" t="str" s="964" cm="1">
        <f t="array" ref="S596">IF(OR(ISBLANK($B596),NOT(ISBLANK(B596))),"",'tracking - Table 2-1-2'!D$66)</f>
      </c>
      <c r="T596" t="str" s="964" cm="1">
        <f t="array" ref="T596">IF(OR(ISBLANK($B596),NOT(ISBLANK(B596))),"",'tracking - Table 2-1-2'!E$66)</f>
      </c>
      <c r="U596" t="str" s="969" cm="1">
        <f t="array" ref="U596">IF(OR(ISBLANK($B596),ISBLANK('tracking - Table 2-1-2'!A$1)),"",'tracking - Table 2-1-2'!F$66)</f>
      </c>
    </row>
    <row r="597" ht="8.75" customHeight="1" hidden="1">
      <c r="A597" s="960">
        <v>44936</v>
      </c>
      <c r="B597" s="356"/>
      <c r="C597" t="str" s="352" cm="1">
        <f t="array" ref="C597">IF(ISBLANK(B597),"",B597*2.2046226218)</f>
      </c>
      <c r="D597" t="str" s="964" cm="1">
        <f t="array" ref="D597">IF(ISBLANK(B597),"",AVERAGE(B591:B597))</f>
      </c>
      <c r="E597" t="str" s="964" cm="1">
        <f t="array" ref="E597">IF(ISBLANK(B597),"",AVERAGE(B584:B597))</f>
      </c>
      <c r="F597" t="str" s="964" cm="1">
        <f t="array" ref="F597">IF(ISBLANK(B597),"",AVERAGE(B568:B597))</f>
      </c>
      <c r="G597" s="964"/>
      <c r="H597" s="964"/>
      <c r="I597" s="964"/>
      <c r="J597" s="964"/>
      <c r="K597" s="964"/>
      <c r="L597" s="964"/>
      <c r="M597" s="964"/>
      <c r="N597" s="964"/>
      <c r="O597" s="964"/>
      <c r="P597" s="964"/>
      <c r="Q597" s="962"/>
      <c r="R597" t="str" s="964" cm="1">
        <f t="array" ref="R597">IF(OR(ISBLANK($B597),NOT(ISBLANK(B597))),"",'tracking - Table 2-1-2'!C$66)</f>
      </c>
      <c r="S597" t="str" s="964" cm="1">
        <f t="array" ref="S597">IF(OR(ISBLANK($B597),NOT(ISBLANK(B597))),"",'tracking - Table 2-1-2'!D$66)</f>
      </c>
      <c r="T597" t="str" s="964" cm="1">
        <f t="array" ref="T597">IF(OR(ISBLANK($B597),NOT(ISBLANK(B597))),"",'tracking - Table 2-1-2'!E$66)</f>
      </c>
      <c r="U597" t="str" s="969" cm="1">
        <f t="array" ref="U597">IF(OR(ISBLANK($B597),ISBLANK('tracking - Table 2-1-2'!A$1)),"",'tracking - Table 2-1-2'!F$66)</f>
      </c>
    </row>
    <row r="598" ht="8.75" customHeight="1" hidden="1">
      <c r="A598" s="960">
        <v>44937</v>
      </c>
      <c r="B598" s="356"/>
      <c r="C598" t="str" s="352" cm="1">
        <f t="array" ref="C598">IF(ISBLANK(B598),"",B598*2.2046226218)</f>
      </c>
      <c r="D598" t="str" s="964" cm="1">
        <f t="array" ref="D598">IF(ISBLANK(B598),"",AVERAGE(B592:B598))</f>
      </c>
      <c r="E598" t="str" s="964" cm="1">
        <f t="array" ref="E598">IF(ISBLANK(B598),"",AVERAGE(B585:B598))</f>
      </c>
      <c r="F598" t="str" s="964" cm="1">
        <f t="array" ref="F598">IF(ISBLANK(B598),"",AVERAGE(B569:B598))</f>
      </c>
      <c r="G598" s="964"/>
      <c r="H598" s="964"/>
      <c r="I598" s="964"/>
      <c r="J598" s="964"/>
      <c r="K598" s="964"/>
      <c r="L598" s="964"/>
      <c r="M598" s="964"/>
      <c r="N598" s="964"/>
      <c r="O598" s="964"/>
      <c r="P598" s="964"/>
      <c r="Q598" s="962"/>
      <c r="R598" t="str" s="964" cm="1">
        <f t="array" ref="R598">IF(OR(ISBLANK($B598),NOT(ISBLANK(B598))),"",'tracking - Table 2-1-2'!C$66)</f>
      </c>
      <c r="S598" t="str" s="964" cm="1">
        <f t="array" ref="S598">IF(OR(ISBLANK($B598),NOT(ISBLANK(B598))),"",'tracking - Table 2-1-2'!D$66)</f>
      </c>
      <c r="T598" t="str" s="964" cm="1">
        <f t="array" ref="T598">IF(OR(ISBLANK($B598),NOT(ISBLANK(B598))),"",'tracking - Table 2-1-2'!E$66)</f>
      </c>
      <c r="U598" t="str" s="969" cm="1">
        <f t="array" ref="U598">IF(OR(ISBLANK($B598),ISBLANK('tracking - Table 2-1-2'!A$1)),"",'tracking - Table 2-1-2'!F$66)</f>
      </c>
    </row>
    <row r="599" ht="8.75" customHeight="1" hidden="1">
      <c r="A599" s="960">
        <v>44938</v>
      </c>
      <c r="B599" s="356"/>
      <c r="C599" t="str" s="352" cm="1">
        <f t="array" ref="C599">IF(ISBLANK(B599),"",B599*2.2046226218)</f>
      </c>
      <c r="D599" t="str" s="964" cm="1">
        <f t="array" ref="D599">IF(ISBLANK(B599),"",AVERAGE(B593:B599))</f>
      </c>
      <c r="E599" t="str" s="964" cm="1">
        <f t="array" ref="E599">IF(ISBLANK(B599),"",AVERAGE(B586:B599))</f>
      </c>
      <c r="F599" t="str" s="964" cm="1">
        <f t="array" ref="F599">IF(ISBLANK(B599),"",AVERAGE(B570:B599))</f>
      </c>
      <c r="G599" s="964"/>
      <c r="H599" s="964"/>
      <c r="I599" s="964"/>
      <c r="J599" s="964"/>
      <c r="K599" s="964"/>
      <c r="L599" s="964"/>
      <c r="M599" s="964"/>
      <c r="N599" s="964"/>
      <c r="O599" s="964"/>
      <c r="P599" s="964"/>
      <c r="Q599" s="962"/>
      <c r="R599" t="str" s="964" cm="1">
        <f t="array" ref="R599">IF(OR(ISBLANK($B599),NOT(ISBLANK(B599))),"",'tracking - Table 2-1-2'!C$66)</f>
      </c>
      <c r="S599" t="str" s="964" cm="1">
        <f t="array" ref="S599">IF(OR(ISBLANK($B599),NOT(ISBLANK(B599))),"",'tracking - Table 2-1-2'!D$66)</f>
      </c>
      <c r="T599" t="str" s="964" cm="1">
        <f t="array" ref="T599">IF(OR(ISBLANK($B599),NOT(ISBLANK(B599))),"",'tracking - Table 2-1-2'!E$66)</f>
      </c>
      <c r="U599" t="str" s="969" cm="1">
        <f t="array" ref="U599">IF(OR(ISBLANK($B599),ISBLANK('tracking - Table 2-1-2'!A$1)),"",'tracking - Table 2-1-2'!F$66)</f>
      </c>
    </row>
    <row r="600" ht="8.75" customHeight="1" hidden="1">
      <c r="A600" s="960">
        <v>44939</v>
      </c>
      <c r="B600" s="356"/>
      <c r="C600" t="str" s="352" cm="1">
        <f t="array" ref="C600">IF(ISBLANK(B600),"",B600*2.2046226218)</f>
      </c>
      <c r="D600" t="str" s="964" cm="1">
        <f t="array" ref="D600">IF(ISBLANK(B600),"",AVERAGE(B594:B600))</f>
      </c>
      <c r="E600" t="str" s="964" cm="1">
        <f t="array" ref="E600">IF(ISBLANK(B600),"",AVERAGE(B587:B600))</f>
      </c>
      <c r="F600" t="str" s="964" cm="1">
        <f t="array" ref="F600">IF(ISBLANK(B600),"",AVERAGE(B571:B600))</f>
      </c>
      <c r="G600" s="964"/>
      <c r="H600" s="964"/>
      <c r="I600" s="964"/>
      <c r="J600" s="964"/>
      <c r="K600" s="964"/>
      <c r="L600" s="964"/>
      <c r="M600" s="964"/>
      <c r="N600" s="964"/>
      <c r="O600" s="964"/>
      <c r="P600" s="964"/>
      <c r="Q600" s="962"/>
      <c r="R600" t="str" s="964" cm="1">
        <f t="array" ref="R600">IF(OR(ISBLANK($B600),NOT(ISBLANK(B600))),"",'tracking - Table 2-1-2'!C$66)</f>
      </c>
      <c r="S600" t="str" s="964" cm="1">
        <f t="array" ref="S600">IF(OR(ISBLANK($B600),NOT(ISBLANK(B600))),"",'tracking - Table 2-1-2'!D$66)</f>
      </c>
      <c r="T600" t="str" s="964" cm="1">
        <f t="array" ref="T600">IF(OR(ISBLANK($B600),NOT(ISBLANK(B600))),"",'tracking - Table 2-1-2'!E$66)</f>
      </c>
      <c r="U600" t="str" s="969" cm="1">
        <f t="array" ref="U600">IF(OR(ISBLANK($B600),ISBLANK('tracking - Table 2-1-2'!A$1)),"",'tracking - Table 2-1-2'!F$66)</f>
      </c>
    </row>
    <row r="601" ht="8.75" customHeight="1" hidden="1">
      <c r="A601" s="960">
        <v>44940</v>
      </c>
      <c r="B601" s="356"/>
      <c r="C601" t="str" s="352" cm="1">
        <f t="array" ref="C601">IF(ISBLANK(B601),"",B601*2.2046226218)</f>
      </c>
      <c r="D601" t="str" s="964" cm="1">
        <f t="array" ref="D601">IF(ISBLANK(B601),"",AVERAGE(B595:B601))</f>
      </c>
      <c r="E601" t="str" s="964" cm="1">
        <f t="array" ref="E601">IF(ISBLANK(B601),"",AVERAGE(B588:B601))</f>
      </c>
      <c r="F601" t="str" s="964" cm="1">
        <f t="array" ref="F601">IF(ISBLANK(B601),"",AVERAGE(B572:B601))</f>
      </c>
      <c r="G601" s="964"/>
      <c r="H601" s="964"/>
      <c r="I601" s="964"/>
      <c r="J601" s="964"/>
      <c r="K601" s="964"/>
      <c r="L601" s="964"/>
      <c r="M601" s="964"/>
      <c r="N601" s="964"/>
      <c r="O601" s="964"/>
      <c r="P601" s="964"/>
      <c r="Q601" s="962"/>
      <c r="R601" t="str" s="964" cm="1">
        <f t="array" ref="R601">IF(OR(ISBLANK($B601),NOT(ISBLANK(B601))),"",'tracking - Table 2-1-2'!C$66)</f>
      </c>
      <c r="S601" t="str" s="964" cm="1">
        <f t="array" ref="S601">IF(OR(ISBLANK($B601),NOT(ISBLANK(B601))),"",'tracking - Table 2-1-2'!D$66)</f>
      </c>
      <c r="T601" t="str" s="964" cm="1">
        <f t="array" ref="T601">IF(OR(ISBLANK($B601),NOT(ISBLANK(B601))),"",'tracking - Table 2-1-2'!E$66)</f>
      </c>
      <c r="U601" t="str" s="969" cm="1">
        <f t="array" ref="U601">IF(OR(ISBLANK($B601),ISBLANK('tracking - Table 2-1-2'!A$1)),"",'tracking - Table 2-1-2'!F$66)</f>
      </c>
    </row>
    <row r="602" ht="8.75" customHeight="1" hidden="1">
      <c r="A602" s="960">
        <v>44941</v>
      </c>
      <c r="B602" s="356"/>
      <c r="C602" t="str" s="352" cm="1">
        <f t="array" ref="C602">IF(ISBLANK(B602),"",B602*2.2046226218)</f>
      </c>
      <c r="D602" t="str" s="964" cm="1">
        <f t="array" ref="D602">IF(ISBLANK(B602),"",AVERAGE(B596:B602))</f>
      </c>
      <c r="E602" t="str" s="964" cm="1">
        <f t="array" ref="E602">IF(ISBLANK(B602),"",AVERAGE(B589:B602))</f>
      </c>
      <c r="F602" t="str" s="964" cm="1">
        <f t="array" ref="F602">IF(ISBLANK(B602),"",AVERAGE(B573:B602))</f>
      </c>
      <c r="G602" s="964"/>
      <c r="H602" s="964"/>
      <c r="I602" s="964"/>
      <c r="J602" s="964"/>
      <c r="K602" s="964"/>
      <c r="L602" s="964"/>
      <c r="M602" s="964"/>
      <c r="N602" s="964"/>
      <c r="O602" s="964"/>
      <c r="P602" s="964"/>
      <c r="Q602" s="962"/>
      <c r="R602" t="str" s="964" cm="1">
        <f t="array" ref="R602">IF(OR(ISBLANK($B602),NOT(ISBLANK(B602))),"",'tracking - Table 2-1-2'!C$66)</f>
      </c>
      <c r="S602" t="str" s="964" cm="1">
        <f t="array" ref="S602">IF(OR(ISBLANK($B602),NOT(ISBLANK(B602))),"",'tracking - Table 2-1-2'!D$66)</f>
      </c>
      <c r="T602" t="str" s="964" cm="1">
        <f t="array" ref="T602">IF(OR(ISBLANK($B602),NOT(ISBLANK(B602))),"",'tracking - Table 2-1-2'!E$66)</f>
      </c>
      <c r="U602" t="str" s="969" cm="1">
        <f t="array" ref="U602">IF(OR(ISBLANK($B602),ISBLANK('tracking - Table 2-1-2'!A$1)),"",'tracking - Table 2-1-2'!F$66)</f>
      </c>
    </row>
    <row r="603" ht="8.75" customHeight="1" hidden="1">
      <c r="A603" s="960">
        <v>44942</v>
      </c>
      <c r="B603" s="356"/>
      <c r="C603" t="str" s="352" cm="1">
        <f t="array" ref="C603">IF(ISBLANK(B603),"",B603*2.2046226218)</f>
      </c>
      <c r="D603" t="str" s="964" cm="1">
        <f t="array" ref="D603">IF(ISBLANK(B603),"",AVERAGE(B597:B603))</f>
      </c>
      <c r="E603" t="str" s="964" cm="1">
        <f t="array" ref="E603">IF(ISBLANK(B603),"",AVERAGE(B590:B603))</f>
      </c>
      <c r="F603" t="str" s="964" cm="1">
        <f t="array" ref="F603">IF(ISBLANK(B603),"",AVERAGE(B574:B603))</f>
      </c>
      <c r="G603" s="964"/>
      <c r="H603" s="964"/>
      <c r="I603" s="964"/>
      <c r="J603" s="964"/>
      <c r="K603" s="964"/>
      <c r="L603" s="964"/>
      <c r="M603" s="964"/>
      <c r="N603" s="964"/>
      <c r="O603" s="964"/>
      <c r="P603" s="964"/>
      <c r="Q603" s="962"/>
      <c r="R603" t="str" s="964" cm="1">
        <f t="array" ref="R603">IF(OR(ISBLANK($B603),NOT(ISBLANK(B603))),"",'tracking - Table 2-1-2'!C$66)</f>
      </c>
      <c r="S603" t="str" s="964" cm="1">
        <f t="array" ref="S603">IF(OR(ISBLANK($B603),NOT(ISBLANK(B603))),"",'tracking - Table 2-1-2'!D$66)</f>
      </c>
      <c r="T603" t="str" s="964" cm="1">
        <f t="array" ref="T603">IF(OR(ISBLANK($B603),NOT(ISBLANK(B603))),"",'tracking - Table 2-1-2'!E$66)</f>
      </c>
      <c r="U603" t="str" s="969" cm="1">
        <f t="array" ref="U603">IF(OR(ISBLANK($B603),ISBLANK('tracking - Table 2-1-2'!A$1)),"",'tracking - Table 2-1-2'!F$66)</f>
      </c>
    </row>
    <row r="604" ht="8.75" customHeight="1" hidden="1">
      <c r="A604" s="960">
        <v>44943</v>
      </c>
      <c r="B604" s="356"/>
      <c r="C604" t="str" s="352" cm="1">
        <f t="array" ref="C604">IF(ISBLANK(B604),"",B604*2.2046226218)</f>
      </c>
      <c r="D604" t="str" s="964" cm="1">
        <f t="array" ref="D604">IF(ISBLANK(B604),"",AVERAGE(B598:B604))</f>
      </c>
      <c r="E604" t="str" s="964" cm="1">
        <f t="array" ref="E604">IF(ISBLANK(B604),"",AVERAGE(B591:B604))</f>
      </c>
      <c r="F604" t="str" s="964" cm="1">
        <f t="array" ref="F604">IF(ISBLANK(B604),"",AVERAGE(B575:B604))</f>
      </c>
      <c r="G604" s="964"/>
      <c r="H604" s="964"/>
      <c r="I604" s="964"/>
      <c r="J604" s="964"/>
      <c r="K604" s="964"/>
      <c r="L604" s="964"/>
      <c r="M604" s="964"/>
      <c r="N604" s="964"/>
      <c r="O604" s="964"/>
      <c r="P604" s="964"/>
      <c r="Q604" s="962"/>
      <c r="R604" t="str" s="964" cm="1">
        <f t="array" ref="R604">IF(OR(ISBLANK($B604),NOT(ISBLANK(B604))),"",'tracking - Table 2-1-2'!C$66)</f>
      </c>
      <c r="S604" t="str" s="964" cm="1">
        <f t="array" ref="S604">IF(OR(ISBLANK($B604),NOT(ISBLANK(B604))),"",'tracking - Table 2-1-2'!D$66)</f>
      </c>
      <c r="T604" t="str" s="964" cm="1">
        <f t="array" ref="T604">IF(OR(ISBLANK($B604),NOT(ISBLANK(B604))),"",'tracking - Table 2-1-2'!E$66)</f>
      </c>
      <c r="U604" t="str" s="969" cm="1">
        <f t="array" ref="U604">IF(OR(ISBLANK($B604),ISBLANK('tracking - Table 2-1-2'!A$1)),"",'tracking - Table 2-1-2'!F$66)</f>
      </c>
    </row>
    <row r="605" ht="8.75" customHeight="1" hidden="1">
      <c r="A605" s="960">
        <v>44944</v>
      </c>
      <c r="B605" s="356"/>
      <c r="C605" t="str" s="352" cm="1">
        <f t="array" ref="C605">IF(ISBLANK(B605),"",B605*2.2046226218)</f>
      </c>
      <c r="D605" t="str" s="964" cm="1">
        <f t="array" ref="D605">IF(ISBLANK(B605),"",AVERAGE(B599:B605))</f>
      </c>
      <c r="E605" t="str" s="964" cm="1">
        <f t="array" ref="E605">IF(ISBLANK(B605),"",AVERAGE(B592:B605))</f>
      </c>
      <c r="F605" t="str" s="964" cm="1">
        <f t="array" ref="F605">IF(ISBLANK(B605),"",AVERAGE(B576:B605))</f>
      </c>
      <c r="G605" s="964"/>
      <c r="H605" s="964"/>
      <c r="I605" s="964"/>
      <c r="J605" s="964"/>
      <c r="K605" s="964"/>
      <c r="L605" s="964"/>
      <c r="M605" s="964"/>
      <c r="N605" s="964"/>
      <c r="O605" s="964"/>
      <c r="P605" s="964"/>
      <c r="Q605" s="962"/>
      <c r="R605" t="str" s="964" cm="1">
        <f t="array" ref="R605">IF(OR(ISBLANK($B605),NOT(ISBLANK(B605))),"",'tracking - Table 2-1-2'!C$66)</f>
      </c>
      <c r="S605" t="str" s="964" cm="1">
        <f t="array" ref="S605">IF(OR(ISBLANK($B605),NOT(ISBLANK(B605))),"",'tracking - Table 2-1-2'!D$66)</f>
      </c>
      <c r="T605" t="str" s="964" cm="1">
        <f t="array" ref="T605">IF(OR(ISBLANK($B605),NOT(ISBLANK(B605))),"",'tracking - Table 2-1-2'!E$66)</f>
      </c>
      <c r="U605" t="str" s="969" cm="1">
        <f t="array" ref="U605">IF(OR(ISBLANK($B605),ISBLANK('tracking - Table 2-1-2'!A$1)),"",'tracking - Table 2-1-2'!F$66)</f>
      </c>
    </row>
    <row r="606" ht="8.75" customHeight="1" hidden="1">
      <c r="A606" s="960">
        <v>44945</v>
      </c>
      <c r="B606" s="356"/>
      <c r="C606" t="str" s="352" cm="1">
        <f t="array" ref="C606">IF(ISBLANK(B606),"",B606*2.2046226218)</f>
      </c>
      <c r="D606" t="str" s="964" cm="1">
        <f t="array" ref="D606">IF(ISBLANK(B606),"",AVERAGE(B600:B606))</f>
      </c>
      <c r="E606" t="str" s="964" cm="1">
        <f t="array" ref="E606">IF(ISBLANK(B606),"",AVERAGE(B593:B606))</f>
      </c>
      <c r="F606" t="str" s="964" cm="1">
        <f t="array" ref="F606">IF(ISBLANK(B606),"",AVERAGE(B577:B606))</f>
      </c>
      <c r="G606" s="964"/>
      <c r="H606" s="964"/>
      <c r="I606" s="964"/>
      <c r="J606" s="964"/>
      <c r="K606" s="964"/>
      <c r="L606" s="964"/>
      <c r="M606" s="964"/>
      <c r="N606" s="964"/>
      <c r="O606" s="964"/>
      <c r="P606" s="964"/>
      <c r="Q606" s="962"/>
      <c r="R606" t="str" s="964" cm="1">
        <f t="array" ref="R606">IF(OR(ISBLANK($B606),NOT(ISBLANK(B606))),"",'tracking - Table 2-1-2'!C$66)</f>
      </c>
      <c r="S606" t="str" s="964" cm="1">
        <f t="array" ref="S606">IF(OR(ISBLANK($B606),NOT(ISBLANK(B606))),"",'tracking - Table 2-1-2'!D$66)</f>
      </c>
      <c r="T606" t="str" s="964" cm="1">
        <f t="array" ref="T606">IF(OR(ISBLANK($B606),NOT(ISBLANK(B606))),"",'tracking - Table 2-1-2'!E$66)</f>
      </c>
      <c r="U606" t="str" s="969" cm="1">
        <f t="array" ref="U606">IF(OR(ISBLANK($B606),ISBLANK('tracking - Table 2-1-2'!A$1)),"",'tracking - Table 2-1-2'!F$66)</f>
      </c>
    </row>
    <row r="607" ht="8.75" customHeight="1" hidden="1">
      <c r="A607" s="960">
        <v>44946</v>
      </c>
      <c r="B607" s="356"/>
      <c r="C607" t="str" s="352" cm="1">
        <f t="array" ref="C607">IF(ISBLANK(B607),"",B607*2.2046226218)</f>
      </c>
      <c r="D607" t="str" s="964" cm="1">
        <f t="array" ref="D607">IF(ISBLANK(B607),"",AVERAGE(B601:B607))</f>
      </c>
      <c r="E607" t="str" s="964" cm="1">
        <f t="array" ref="E607">IF(ISBLANK(B607),"",AVERAGE(B594:B607))</f>
      </c>
      <c r="F607" t="str" s="964" cm="1">
        <f t="array" ref="F607">IF(ISBLANK(B607),"",AVERAGE(B578:B607))</f>
      </c>
      <c r="G607" s="964"/>
      <c r="H607" s="964"/>
      <c r="I607" s="964"/>
      <c r="J607" s="964"/>
      <c r="K607" s="964"/>
      <c r="L607" s="964"/>
      <c r="M607" s="964"/>
      <c r="N607" s="964"/>
      <c r="O607" s="964"/>
      <c r="P607" s="964"/>
      <c r="Q607" s="962"/>
      <c r="R607" t="str" s="964" cm="1">
        <f t="array" ref="R607">IF(OR(ISBLANK($B607),NOT(ISBLANK(B607))),"",'tracking - Table 2-1-2'!C$66)</f>
      </c>
      <c r="S607" t="str" s="964" cm="1">
        <f t="array" ref="S607">IF(OR(ISBLANK($B607),NOT(ISBLANK(B607))),"",'tracking - Table 2-1-2'!D$66)</f>
      </c>
      <c r="T607" t="str" s="964" cm="1">
        <f t="array" ref="T607">IF(OR(ISBLANK($B607),NOT(ISBLANK(B607))),"",'tracking - Table 2-1-2'!E$66)</f>
      </c>
      <c r="U607" t="str" s="969" cm="1">
        <f t="array" ref="U607">IF(OR(ISBLANK($B607),ISBLANK('tracking - Table 2-1-2'!A$1)),"",'tracking - Table 2-1-2'!F$66)</f>
      </c>
    </row>
    <row r="608" ht="8.75" customHeight="1" hidden="1">
      <c r="A608" s="960">
        <v>44947</v>
      </c>
      <c r="B608" s="356"/>
      <c r="C608" t="str" s="352" cm="1">
        <f t="array" ref="C608">IF(ISBLANK(B608),"",B608*2.2046226218)</f>
      </c>
      <c r="D608" t="str" s="964" cm="1">
        <f t="array" ref="D608">IF(ISBLANK(B608),"",AVERAGE(B602:B608))</f>
      </c>
      <c r="E608" t="str" s="964" cm="1">
        <f t="array" ref="E608">IF(ISBLANK(B608),"",AVERAGE(B595:B608))</f>
      </c>
      <c r="F608" t="str" s="964" cm="1">
        <f t="array" ref="F608">IF(ISBLANK(B608),"",AVERAGE(B579:B608))</f>
      </c>
      <c r="G608" s="964"/>
      <c r="H608" s="964"/>
      <c r="I608" s="964"/>
      <c r="J608" s="964"/>
      <c r="K608" s="964"/>
      <c r="L608" s="964"/>
      <c r="M608" s="964"/>
      <c r="N608" s="964"/>
      <c r="O608" s="964"/>
      <c r="P608" s="964"/>
      <c r="Q608" s="962"/>
      <c r="R608" t="str" s="964" cm="1">
        <f t="array" ref="R608">IF(OR(ISBLANK($B608),NOT(ISBLANK(B608))),"",'tracking - Table 2-1-2'!C$66)</f>
      </c>
      <c r="S608" t="str" s="964" cm="1">
        <f t="array" ref="S608">IF(OR(ISBLANK($B608),NOT(ISBLANK(B608))),"",'tracking - Table 2-1-2'!D$66)</f>
      </c>
      <c r="T608" t="str" s="964" cm="1">
        <f t="array" ref="T608">IF(OR(ISBLANK($B608),NOT(ISBLANK(B608))),"",'tracking - Table 2-1-2'!E$66)</f>
      </c>
      <c r="U608" t="str" s="969" cm="1">
        <f t="array" ref="U608">IF(OR(ISBLANK($B608),ISBLANK('tracking - Table 2-1-2'!A$1)),"",'tracking - Table 2-1-2'!F$66)</f>
      </c>
    </row>
    <row r="609" ht="8.75" customHeight="1" hidden="1">
      <c r="A609" s="960">
        <v>44948</v>
      </c>
      <c r="B609" s="356"/>
      <c r="C609" t="str" s="352" cm="1">
        <f t="array" ref="C609">IF(ISBLANK(B609),"",B609*2.2046226218)</f>
      </c>
      <c r="D609" t="str" s="964" cm="1">
        <f t="array" ref="D609">IF(ISBLANK(B609),"",AVERAGE(B603:B609))</f>
      </c>
      <c r="E609" t="str" s="964" cm="1">
        <f t="array" ref="E609">IF(ISBLANK(B609),"",AVERAGE(B596:B609))</f>
      </c>
      <c r="F609" t="str" s="964" cm="1">
        <f t="array" ref="F609">IF(ISBLANK(B609),"",AVERAGE(B580:B609))</f>
      </c>
      <c r="G609" s="964"/>
      <c r="H609" s="964"/>
      <c r="I609" s="964"/>
      <c r="J609" s="964"/>
      <c r="K609" s="964"/>
      <c r="L609" s="964"/>
      <c r="M609" s="964"/>
      <c r="N609" s="964"/>
      <c r="O609" s="964"/>
      <c r="P609" s="964"/>
      <c r="Q609" s="962"/>
      <c r="R609" t="str" s="964" cm="1">
        <f t="array" ref="R609">IF(OR(ISBLANK($B609),NOT(ISBLANK(B609))),"",'tracking - Table 2-1-2'!C$66)</f>
      </c>
      <c r="S609" t="str" s="964" cm="1">
        <f t="array" ref="S609">IF(OR(ISBLANK($B609),NOT(ISBLANK(B609))),"",'tracking - Table 2-1-2'!D$66)</f>
      </c>
      <c r="T609" t="str" s="964" cm="1">
        <f t="array" ref="T609">IF(OR(ISBLANK($B609),NOT(ISBLANK(B609))),"",'tracking - Table 2-1-2'!E$66)</f>
      </c>
      <c r="U609" t="str" s="969" cm="1">
        <f t="array" ref="U609">IF(OR(ISBLANK($B609),ISBLANK('tracking - Table 2-1-2'!A$1)),"",'tracking - Table 2-1-2'!F$66)</f>
      </c>
    </row>
    <row r="610" ht="8.75" customHeight="1" hidden="1">
      <c r="A610" s="960">
        <v>44949</v>
      </c>
      <c r="B610" s="356"/>
      <c r="C610" t="str" s="352" cm="1">
        <f t="array" ref="C610">IF(ISBLANK(B610),"",B610*2.2046226218)</f>
      </c>
      <c r="D610" t="str" s="964" cm="1">
        <f t="array" ref="D610">IF(ISBLANK(B610),"",AVERAGE(B604:B610))</f>
      </c>
      <c r="E610" t="str" s="964" cm="1">
        <f t="array" ref="E610">IF(ISBLANK(B610),"",AVERAGE(B597:B610))</f>
      </c>
      <c r="F610" t="str" s="964" cm="1">
        <f t="array" ref="F610">IF(ISBLANK(B610),"",AVERAGE(B581:B610))</f>
      </c>
      <c r="G610" s="964"/>
      <c r="H610" s="964"/>
      <c r="I610" s="964"/>
      <c r="J610" s="964"/>
      <c r="K610" s="964"/>
      <c r="L610" s="964"/>
      <c r="M610" s="964"/>
      <c r="N610" s="964"/>
      <c r="O610" s="964"/>
      <c r="P610" s="964"/>
      <c r="Q610" s="962"/>
      <c r="R610" t="str" s="964" cm="1">
        <f t="array" ref="R610">IF(OR(ISBLANK($B610),NOT(ISBLANK(B610))),"",'tracking - Table 2-1-2'!C$66)</f>
      </c>
      <c r="S610" t="str" s="964" cm="1">
        <f t="array" ref="S610">IF(OR(ISBLANK($B610),NOT(ISBLANK(B610))),"",'tracking - Table 2-1-2'!D$66)</f>
      </c>
      <c r="T610" t="str" s="964" cm="1">
        <f t="array" ref="T610">IF(OR(ISBLANK($B610),NOT(ISBLANK(B610))),"",'tracking - Table 2-1-2'!E$66)</f>
      </c>
      <c r="U610" t="str" s="969" cm="1">
        <f t="array" ref="U610">IF(OR(ISBLANK($B610),ISBLANK('tracking - Table 2-1-2'!A$1)),"",'tracking - Table 2-1-2'!F$66)</f>
      </c>
    </row>
    <row r="611" ht="8.75" customHeight="1" hidden="1">
      <c r="A611" s="960">
        <v>44950</v>
      </c>
      <c r="B611" s="356"/>
      <c r="C611" t="str" s="352" cm="1">
        <f t="array" ref="C611">IF(ISBLANK(B611),"",B611*2.2046226218)</f>
      </c>
      <c r="D611" t="str" s="964" cm="1">
        <f t="array" ref="D611">IF(ISBLANK(B611),"",AVERAGE(B605:B611))</f>
      </c>
      <c r="E611" t="str" s="964" cm="1">
        <f t="array" ref="E611">IF(ISBLANK(B611),"",AVERAGE(B598:B611))</f>
      </c>
      <c r="F611" t="str" s="964" cm="1">
        <f t="array" ref="F611">IF(ISBLANK(B611),"",AVERAGE(B582:B611))</f>
      </c>
      <c r="G611" s="964"/>
      <c r="H611" s="964"/>
      <c r="I611" s="964"/>
      <c r="J611" s="964"/>
      <c r="K611" s="964"/>
      <c r="L611" s="964"/>
      <c r="M611" s="964"/>
      <c r="N611" s="964"/>
      <c r="O611" s="964"/>
      <c r="P611" s="964"/>
      <c r="Q611" s="962"/>
      <c r="R611" t="str" s="964" cm="1">
        <f t="array" ref="R611">IF(OR(ISBLANK($B611),NOT(ISBLANK(B611))),"",'tracking - Table 2-1-2'!C$66)</f>
      </c>
      <c r="S611" t="str" s="964" cm="1">
        <f t="array" ref="S611">IF(OR(ISBLANK($B611),NOT(ISBLANK(B611))),"",'tracking - Table 2-1-2'!D$66)</f>
      </c>
      <c r="T611" t="str" s="964" cm="1">
        <f t="array" ref="T611">IF(OR(ISBLANK($B611),NOT(ISBLANK(B611))),"",'tracking - Table 2-1-2'!E$66)</f>
      </c>
      <c r="U611" t="str" s="969" cm="1">
        <f t="array" ref="U611">IF(OR(ISBLANK($B611),ISBLANK('tracking - Table 2-1-2'!A$1)),"",'tracking - Table 2-1-2'!F$66)</f>
      </c>
    </row>
    <row r="612" ht="8.75" customHeight="1" hidden="1">
      <c r="A612" s="960">
        <v>44951</v>
      </c>
      <c r="B612" s="356"/>
      <c r="C612" t="str" s="352" cm="1">
        <f t="array" ref="C612">IF(ISBLANK(B612),"",B612*2.2046226218)</f>
      </c>
      <c r="D612" t="str" s="964" cm="1">
        <f t="array" ref="D612">IF(ISBLANK(B612),"",AVERAGE(B606:B612))</f>
      </c>
      <c r="E612" t="str" s="964" cm="1">
        <f t="array" ref="E612">IF(ISBLANK(B612),"",AVERAGE(B599:B612))</f>
      </c>
      <c r="F612" t="str" s="964" cm="1">
        <f t="array" ref="F612">IF(ISBLANK(B612),"",AVERAGE(B583:B612))</f>
      </c>
      <c r="G612" s="964"/>
      <c r="H612" s="964"/>
      <c r="I612" s="964"/>
      <c r="J612" s="964"/>
      <c r="K612" s="964"/>
      <c r="L612" s="964"/>
      <c r="M612" s="964"/>
      <c r="N612" s="964"/>
      <c r="O612" s="964"/>
      <c r="P612" s="964"/>
      <c r="Q612" s="962"/>
      <c r="R612" t="str" s="964" cm="1">
        <f t="array" ref="R612">IF(OR(ISBLANK($B612),NOT(ISBLANK(B612))),"",'tracking - Table 2-1-2'!C$66)</f>
      </c>
      <c r="S612" t="str" s="964" cm="1">
        <f t="array" ref="S612">IF(OR(ISBLANK($B612),NOT(ISBLANK(B612))),"",'tracking - Table 2-1-2'!D$66)</f>
      </c>
      <c r="T612" t="str" s="964" cm="1">
        <f t="array" ref="T612">IF(OR(ISBLANK($B612),NOT(ISBLANK(B612))),"",'tracking - Table 2-1-2'!E$66)</f>
      </c>
      <c r="U612" t="str" s="969" cm="1">
        <f t="array" ref="U612">IF(OR(ISBLANK($B612),ISBLANK('tracking - Table 2-1-2'!A$1)),"",'tracking - Table 2-1-2'!F$66)</f>
      </c>
    </row>
    <row r="613" ht="8.75" customHeight="1" hidden="1">
      <c r="A613" s="960">
        <v>44952</v>
      </c>
      <c r="B613" s="356"/>
      <c r="C613" t="str" s="352" cm="1">
        <f t="array" ref="C613">IF(ISBLANK(B613),"",B613*2.2046226218)</f>
      </c>
      <c r="D613" t="str" s="964" cm="1">
        <f t="array" ref="D613">IF(ISBLANK(B613),"",AVERAGE(B607:B613))</f>
      </c>
      <c r="E613" t="str" s="964" cm="1">
        <f t="array" ref="E613">IF(ISBLANK(B613),"",AVERAGE(B600:B613))</f>
      </c>
      <c r="F613" t="str" s="964" cm="1">
        <f t="array" ref="F613">IF(ISBLANK(B613),"",AVERAGE(B584:B613))</f>
      </c>
      <c r="G613" s="964"/>
      <c r="H613" s="964"/>
      <c r="I613" s="964"/>
      <c r="J613" s="964"/>
      <c r="K613" s="964"/>
      <c r="L613" s="964"/>
      <c r="M613" s="964"/>
      <c r="N613" s="964"/>
      <c r="O613" s="964"/>
      <c r="P613" s="964"/>
      <c r="Q613" s="962"/>
      <c r="R613" t="str" s="964" cm="1">
        <f t="array" ref="R613">IF(OR(ISBLANK($B613),NOT(ISBLANK(B613))),"",'tracking - Table 2-1-2'!C$66)</f>
      </c>
      <c r="S613" t="str" s="964" cm="1">
        <f t="array" ref="S613">IF(OR(ISBLANK($B613),NOT(ISBLANK(B613))),"",'tracking - Table 2-1-2'!D$66)</f>
      </c>
      <c r="T613" t="str" s="964" cm="1">
        <f t="array" ref="T613">IF(OR(ISBLANK($B613),NOT(ISBLANK(B613))),"",'tracking - Table 2-1-2'!E$66)</f>
      </c>
      <c r="U613" t="str" s="969" cm="1">
        <f t="array" ref="U613">IF(OR(ISBLANK($B613),ISBLANK('tracking - Table 2-1-2'!A$1)),"",'tracking - Table 2-1-2'!F$66)</f>
      </c>
    </row>
    <row r="614" ht="8.75" customHeight="1" hidden="1">
      <c r="A614" s="960">
        <v>44953</v>
      </c>
      <c r="B614" s="356"/>
      <c r="C614" t="str" s="352" cm="1">
        <f t="array" ref="C614">IF(ISBLANK(B614),"",B614*2.2046226218)</f>
      </c>
      <c r="D614" t="str" s="964" cm="1">
        <f t="array" ref="D614">IF(ISBLANK(B614),"",AVERAGE(B608:B614))</f>
      </c>
      <c r="E614" t="str" s="964" cm="1">
        <f t="array" ref="E614">IF(ISBLANK(B614),"",AVERAGE(B601:B614))</f>
      </c>
      <c r="F614" t="str" s="964" cm="1">
        <f t="array" ref="F614">IF(ISBLANK(B614),"",AVERAGE(B585:B614))</f>
      </c>
      <c r="G614" s="964"/>
      <c r="H614" s="964"/>
      <c r="I614" s="964"/>
      <c r="J614" s="964"/>
      <c r="K614" s="964"/>
      <c r="L614" s="964"/>
      <c r="M614" s="964"/>
      <c r="N614" s="964"/>
      <c r="O614" s="964"/>
      <c r="P614" s="964"/>
      <c r="Q614" s="962"/>
      <c r="R614" t="str" s="964" cm="1">
        <f t="array" ref="R614">IF(OR(ISBLANK($B614),NOT(ISBLANK(B614))),"",'tracking - Table 2-1-2'!C$66)</f>
      </c>
      <c r="S614" t="str" s="964" cm="1">
        <f t="array" ref="S614">IF(OR(ISBLANK($B614),NOT(ISBLANK(B614))),"",'tracking - Table 2-1-2'!D$66)</f>
      </c>
      <c r="T614" t="str" s="964" cm="1">
        <f t="array" ref="T614">IF(OR(ISBLANK($B614),NOT(ISBLANK(B614))),"",'tracking - Table 2-1-2'!E$66)</f>
      </c>
      <c r="U614" t="str" s="969" cm="1">
        <f t="array" ref="U614">IF(OR(ISBLANK($B614),ISBLANK('tracking - Table 2-1-2'!A$1)),"",'tracking - Table 2-1-2'!F$66)</f>
      </c>
    </row>
    <row r="615" ht="8.75" customHeight="1" hidden="1">
      <c r="A615" s="960">
        <v>44954</v>
      </c>
      <c r="B615" s="356"/>
      <c r="C615" t="str" s="352" cm="1">
        <f t="array" ref="C615">IF(ISBLANK(B615),"",B615*2.2046226218)</f>
      </c>
      <c r="D615" t="str" s="964" cm="1">
        <f t="array" ref="D615">IF(ISBLANK(B615),"",AVERAGE(B609:B615))</f>
      </c>
      <c r="E615" t="str" s="964" cm="1">
        <f t="array" ref="E615">IF(ISBLANK(B615),"",AVERAGE(B602:B615))</f>
      </c>
      <c r="F615" t="str" s="964" cm="1">
        <f t="array" ref="F615">IF(ISBLANK(B615),"",AVERAGE(B586:B615))</f>
      </c>
      <c r="G615" s="964"/>
      <c r="H615" s="964"/>
      <c r="I615" s="964"/>
      <c r="J615" s="964"/>
      <c r="K615" s="964"/>
      <c r="L615" s="964"/>
      <c r="M615" s="964"/>
      <c r="N615" s="964"/>
      <c r="O615" s="964"/>
      <c r="P615" s="964"/>
      <c r="Q615" s="962"/>
      <c r="R615" t="str" s="964" cm="1">
        <f t="array" ref="R615">IF(OR(ISBLANK($B615),NOT(ISBLANK(B615))),"",'tracking - Table 2-1-2'!C$66)</f>
      </c>
      <c r="S615" t="str" s="964" cm="1">
        <f t="array" ref="S615">IF(OR(ISBLANK($B615),NOT(ISBLANK(B615))),"",'tracking - Table 2-1-2'!D$66)</f>
      </c>
      <c r="T615" t="str" s="964" cm="1">
        <f t="array" ref="T615">IF(OR(ISBLANK($B615),NOT(ISBLANK(B615))),"",'tracking - Table 2-1-2'!E$66)</f>
      </c>
      <c r="U615" t="str" s="969" cm="1">
        <f t="array" ref="U615">IF(OR(ISBLANK($B615),ISBLANK('tracking - Table 2-1-2'!A$1)),"",'tracking - Table 2-1-2'!F$66)</f>
      </c>
    </row>
    <row r="616" ht="8.75" customHeight="1" hidden="1">
      <c r="A616" s="960">
        <v>44955</v>
      </c>
      <c r="B616" s="356"/>
      <c r="C616" t="str" s="352" cm="1">
        <f t="array" ref="C616">IF(ISBLANK(B616),"",B616*2.2046226218)</f>
      </c>
      <c r="D616" t="str" s="964" cm="1">
        <f t="array" ref="D616">IF(ISBLANK(B616),"",AVERAGE(B610:B616))</f>
      </c>
      <c r="E616" t="str" s="964" cm="1">
        <f t="array" ref="E616">IF(ISBLANK(B616),"",AVERAGE(B603:B616))</f>
      </c>
      <c r="F616" t="str" s="964" cm="1">
        <f t="array" ref="F616">IF(ISBLANK(B616),"",AVERAGE(B587:B616))</f>
      </c>
      <c r="G616" s="964"/>
      <c r="H616" s="964"/>
      <c r="I616" s="964"/>
      <c r="J616" s="964"/>
      <c r="K616" s="964"/>
      <c r="L616" s="964"/>
      <c r="M616" s="964"/>
      <c r="N616" s="964"/>
      <c r="O616" s="964"/>
      <c r="P616" s="964"/>
      <c r="Q616" s="962"/>
      <c r="R616" t="str" s="964" cm="1">
        <f t="array" ref="R616">IF(OR(ISBLANK($B616),NOT(ISBLANK(B616))),"",'tracking - Table 2-1-2'!C$66)</f>
      </c>
      <c r="S616" t="str" s="964" cm="1">
        <f t="array" ref="S616">IF(OR(ISBLANK($B616),NOT(ISBLANK(B616))),"",'tracking - Table 2-1-2'!D$66)</f>
      </c>
      <c r="T616" t="str" s="964" cm="1">
        <f t="array" ref="T616">IF(OR(ISBLANK($B616),NOT(ISBLANK(B616))),"",'tracking - Table 2-1-2'!E$66)</f>
      </c>
      <c r="U616" t="str" s="969" cm="1">
        <f t="array" ref="U616">IF(OR(ISBLANK($B616),ISBLANK('tracking - Table 2-1-2'!A$1)),"",'tracking - Table 2-1-2'!F$66)</f>
      </c>
    </row>
    <row r="617" ht="8.75" customHeight="1" hidden="1">
      <c r="A617" s="960">
        <v>44956</v>
      </c>
      <c r="B617" s="356"/>
      <c r="C617" t="str" s="352" cm="1">
        <f t="array" ref="C617">IF(ISBLANK(B617),"",B617*2.2046226218)</f>
      </c>
      <c r="D617" t="str" s="964" cm="1">
        <f t="array" ref="D617">IF(ISBLANK(B617),"",AVERAGE(B611:B617))</f>
      </c>
      <c r="E617" t="str" s="964" cm="1">
        <f t="array" ref="E617">IF(ISBLANK(B617),"",AVERAGE(B604:B617))</f>
      </c>
      <c r="F617" t="str" s="964" cm="1">
        <f t="array" ref="F617">IF(ISBLANK(B617),"",AVERAGE(B588:B617))</f>
      </c>
      <c r="G617" s="964"/>
      <c r="H617" s="964"/>
      <c r="I617" s="964"/>
      <c r="J617" s="964"/>
      <c r="K617" s="964"/>
      <c r="L617" s="964"/>
      <c r="M617" s="964"/>
      <c r="N617" s="964"/>
      <c r="O617" s="964"/>
      <c r="P617" s="964"/>
      <c r="Q617" s="962"/>
      <c r="R617" t="str" s="964" cm="1">
        <f t="array" ref="R617">IF(OR(ISBLANK($B617),NOT(ISBLANK(B617))),"",'tracking - Table 2-1-2'!C$66)</f>
      </c>
      <c r="S617" t="str" s="964" cm="1">
        <f t="array" ref="S617">IF(OR(ISBLANK($B617),NOT(ISBLANK(B617))),"",'tracking - Table 2-1-2'!D$66)</f>
      </c>
      <c r="T617" t="str" s="964" cm="1">
        <f t="array" ref="T617">IF(OR(ISBLANK($B617),NOT(ISBLANK(B617))),"",'tracking - Table 2-1-2'!E$66)</f>
      </c>
      <c r="U617" t="str" s="969" cm="1">
        <f t="array" ref="U617">IF(OR(ISBLANK($B617),ISBLANK('tracking - Table 2-1-2'!A$1)),"",'tracking - Table 2-1-2'!F$66)</f>
      </c>
    </row>
    <row r="618" ht="8.75" customHeight="1" hidden="1">
      <c r="A618" s="960">
        <v>44957</v>
      </c>
      <c r="B618" s="356"/>
      <c r="C618" t="str" s="352" cm="1">
        <f t="array" ref="C618">IF(ISBLANK(B618),"",B618*2.2046226218)</f>
      </c>
      <c r="D618" t="str" s="964" cm="1">
        <f t="array" ref="D618">IF(ISBLANK(B618),"",AVERAGE(B612:B618))</f>
      </c>
      <c r="E618" t="str" s="964" cm="1">
        <f t="array" ref="E618">IF(ISBLANK(B618),"",AVERAGE(B605:B618))</f>
      </c>
      <c r="F618" t="str" s="964" cm="1">
        <f t="array" ref="F618">IF(ISBLANK(B618),"",AVERAGE(B589:B618))</f>
      </c>
      <c r="G618" s="964"/>
      <c r="H618" s="964"/>
      <c r="I618" s="964"/>
      <c r="J618" s="964"/>
      <c r="K618" s="964"/>
      <c r="L618" s="964"/>
      <c r="M618" s="964"/>
      <c r="N618" s="964"/>
      <c r="O618" s="964"/>
      <c r="P618" s="964"/>
      <c r="Q618" s="962"/>
      <c r="R618" t="str" s="964" cm="1">
        <f t="array" ref="R618">IF(OR(ISBLANK($B618),NOT(ISBLANK(B618))),"",'tracking - Table 2-1-2'!C$66)</f>
      </c>
      <c r="S618" t="str" s="964" cm="1">
        <f t="array" ref="S618">IF(OR(ISBLANK($B618),NOT(ISBLANK(B618))),"",'tracking - Table 2-1-2'!D$66)</f>
      </c>
      <c r="T618" t="str" s="964" cm="1">
        <f t="array" ref="T618">IF(OR(ISBLANK($B618),NOT(ISBLANK(B618))),"",'tracking - Table 2-1-2'!E$66)</f>
      </c>
      <c r="U618" t="str" s="969" cm="1">
        <f t="array" ref="U618">IF(OR(ISBLANK($B618),ISBLANK('tracking - Table 2-1-2'!A$1)),"",'tracking - Table 2-1-2'!F$66)</f>
      </c>
    </row>
    <row r="619" ht="8.75" customHeight="1" hidden="1">
      <c r="A619" s="960">
        <v>44958</v>
      </c>
      <c r="B619" s="356"/>
      <c r="C619" t="str" s="352" cm="1">
        <f t="array" ref="C619">IF(ISBLANK(B619),"",B619*2.2046226218)</f>
      </c>
      <c r="D619" t="str" s="964" cm="1">
        <f t="array" ref="D619">IF(ISBLANK(B619),"",AVERAGE(B613:B619))</f>
      </c>
      <c r="E619" t="str" s="964" cm="1">
        <f t="array" ref="E619">IF(ISBLANK(B619),"",AVERAGE(B606:B619))</f>
      </c>
      <c r="F619" t="str" s="964" cm="1">
        <f t="array" ref="F619">IF(ISBLANK(B619),"",AVERAGE(B590:B619))</f>
      </c>
      <c r="G619" s="964"/>
      <c r="H619" s="964"/>
      <c r="I619" s="964"/>
      <c r="J619" s="964"/>
      <c r="K619" s="964"/>
      <c r="L619" s="964"/>
      <c r="M619" s="964"/>
      <c r="N619" s="964"/>
      <c r="O619" s="964"/>
      <c r="P619" s="964"/>
      <c r="Q619" s="962"/>
      <c r="R619" t="str" s="964" cm="1">
        <f t="array" ref="R619">IF(OR(ISBLANK($B619),NOT(ISBLANK(B619))),"",'tracking - Table 2-1-2'!C$66)</f>
      </c>
      <c r="S619" t="str" s="964" cm="1">
        <f t="array" ref="S619">IF(OR(ISBLANK($B619),NOT(ISBLANK(B619))),"",'tracking - Table 2-1-2'!D$66)</f>
      </c>
      <c r="T619" t="str" s="964" cm="1">
        <f t="array" ref="T619">IF(OR(ISBLANK($B619),NOT(ISBLANK(B619))),"",'tracking - Table 2-1-2'!E$66)</f>
      </c>
      <c r="U619" t="str" s="969" cm="1">
        <f t="array" ref="U619">IF(OR(ISBLANK($B619),ISBLANK('tracking - Table 2-1-2'!A$1)),"",'tracking - Table 2-1-2'!F$66)</f>
      </c>
    </row>
    <row r="620" ht="8.75" customHeight="1" hidden="1">
      <c r="A620" s="960">
        <v>44959</v>
      </c>
      <c r="B620" s="356"/>
      <c r="C620" t="str" s="352" cm="1">
        <f t="array" ref="C620">IF(ISBLANK(B620),"",B620*2.2046226218)</f>
      </c>
      <c r="D620" t="str" s="964" cm="1">
        <f t="array" ref="D620">IF(ISBLANK(B620),"",AVERAGE(B614:B620))</f>
      </c>
      <c r="E620" t="str" s="964" cm="1">
        <f t="array" ref="E620">IF(ISBLANK(B620),"",AVERAGE(B607:B620))</f>
      </c>
      <c r="F620" t="str" s="964" cm="1">
        <f t="array" ref="F620">IF(ISBLANK(B620),"",AVERAGE(B591:B620))</f>
      </c>
      <c r="G620" s="964"/>
      <c r="H620" s="964"/>
      <c r="I620" s="964"/>
      <c r="J620" s="964"/>
      <c r="K620" s="964"/>
      <c r="L620" s="964"/>
      <c r="M620" s="964"/>
      <c r="N620" s="964"/>
      <c r="O620" s="964"/>
      <c r="P620" s="964"/>
      <c r="Q620" s="962"/>
      <c r="R620" t="str" s="964" cm="1">
        <f t="array" ref="R620">IF(OR(ISBLANK($B620),NOT(ISBLANK(B620))),"",'tracking - Table 2-1-2'!C$66)</f>
      </c>
      <c r="S620" t="str" s="964" cm="1">
        <f t="array" ref="S620">IF(OR(ISBLANK($B620),NOT(ISBLANK(B620))),"",'tracking - Table 2-1-2'!D$66)</f>
      </c>
      <c r="T620" t="str" s="964" cm="1">
        <f t="array" ref="T620">IF(OR(ISBLANK($B620),NOT(ISBLANK(B620))),"",'tracking - Table 2-1-2'!E$66)</f>
      </c>
      <c r="U620" t="str" s="969" cm="1">
        <f t="array" ref="U620">IF(OR(ISBLANK($B620),ISBLANK('tracking - Table 2-1-2'!A$1)),"",'tracking - Table 2-1-2'!F$66)</f>
      </c>
    </row>
    <row r="621" ht="8.75" customHeight="1" hidden="1">
      <c r="A621" s="960">
        <v>44960</v>
      </c>
      <c r="B621" s="356"/>
      <c r="C621" t="str" s="352" cm="1">
        <f t="array" ref="C621">IF(ISBLANK(B621),"",B621*2.2046226218)</f>
      </c>
      <c r="D621" t="str" s="964" cm="1">
        <f t="array" ref="D621">IF(ISBLANK(B621),"",AVERAGE(B615:B621))</f>
      </c>
      <c r="E621" t="str" s="964" cm="1">
        <f t="array" ref="E621">IF(ISBLANK(B621),"",AVERAGE(B608:B621))</f>
      </c>
      <c r="F621" t="str" s="964" cm="1">
        <f t="array" ref="F621">IF(ISBLANK(B621),"",AVERAGE(B592:B621))</f>
      </c>
      <c r="G621" s="964"/>
      <c r="H621" s="964"/>
      <c r="I621" s="964"/>
      <c r="J621" s="964"/>
      <c r="K621" s="964"/>
      <c r="L621" s="964"/>
      <c r="M621" s="964"/>
      <c r="N621" s="964"/>
      <c r="O621" s="964"/>
      <c r="P621" s="964"/>
      <c r="Q621" s="962"/>
      <c r="R621" t="str" s="964" cm="1">
        <f t="array" ref="R621">IF(OR(ISBLANK($B621),NOT(ISBLANK(B621))),"",'tracking - Table 2-1-2'!C$66)</f>
      </c>
      <c r="S621" t="str" s="964" cm="1">
        <f t="array" ref="S621">IF(OR(ISBLANK($B621),NOT(ISBLANK(B621))),"",'tracking - Table 2-1-2'!D$66)</f>
      </c>
      <c r="T621" t="str" s="964" cm="1">
        <f t="array" ref="T621">IF(OR(ISBLANK($B621),NOT(ISBLANK(B621))),"",'tracking - Table 2-1-2'!E$66)</f>
      </c>
      <c r="U621" t="str" s="969" cm="1">
        <f t="array" ref="U621">IF(OR(ISBLANK($B621),ISBLANK('tracking - Table 2-1-2'!A$1)),"",'tracking - Table 2-1-2'!F$66)</f>
      </c>
    </row>
    <row r="622" ht="8.75" customHeight="1" hidden="1">
      <c r="A622" s="960">
        <v>44961</v>
      </c>
      <c r="B622" s="356"/>
      <c r="C622" t="str" s="352" cm="1">
        <f t="array" ref="C622">IF(ISBLANK(B622),"",B622*2.2046226218)</f>
      </c>
      <c r="D622" t="str" s="964" cm="1">
        <f t="array" ref="D622">IF(ISBLANK(B622),"",AVERAGE(B616:B622))</f>
      </c>
      <c r="E622" t="str" s="964" cm="1">
        <f t="array" ref="E622">IF(ISBLANK(B622),"",AVERAGE(B609:B622))</f>
      </c>
      <c r="F622" t="str" s="964" cm="1">
        <f t="array" ref="F622">IF(ISBLANK(B622),"",AVERAGE(B593:B622))</f>
      </c>
      <c r="G622" s="964"/>
      <c r="H622" s="964"/>
      <c r="I622" s="964"/>
      <c r="J622" s="964"/>
      <c r="K622" s="964"/>
      <c r="L622" s="964"/>
      <c r="M622" s="964"/>
      <c r="N622" s="964"/>
      <c r="O622" s="964"/>
      <c r="P622" s="964"/>
      <c r="Q622" s="962"/>
      <c r="R622" t="str" s="964" cm="1">
        <f t="array" ref="R622">IF(OR(ISBLANK($B622),NOT(ISBLANK(B622))),"",'tracking - Table 2-1-2'!C$66)</f>
      </c>
      <c r="S622" t="str" s="964" cm="1">
        <f t="array" ref="S622">IF(OR(ISBLANK($B622),NOT(ISBLANK(B622))),"",'tracking - Table 2-1-2'!D$66)</f>
      </c>
      <c r="T622" t="str" s="964" cm="1">
        <f t="array" ref="T622">IF(OR(ISBLANK($B622),NOT(ISBLANK(B622))),"",'tracking - Table 2-1-2'!E$66)</f>
      </c>
      <c r="U622" t="str" s="969" cm="1">
        <f t="array" ref="U622">IF(OR(ISBLANK($B622),ISBLANK('tracking - Table 2-1-2'!A$1)),"",'tracking - Table 2-1-2'!F$66)</f>
      </c>
    </row>
    <row r="623" ht="8.75" customHeight="1" hidden="1">
      <c r="A623" s="960">
        <v>44962</v>
      </c>
      <c r="B623" s="356"/>
      <c r="C623" t="str" s="352" cm="1">
        <f t="array" ref="C623">IF(ISBLANK(B623),"",B623*2.2046226218)</f>
      </c>
      <c r="D623" t="str" s="964" cm="1">
        <f t="array" ref="D623">IF(ISBLANK(B623),"",AVERAGE(B617:B623))</f>
      </c>
      <c r="E623" t="str" s="964" cm="1">
        <f t="array" ref="E623">IF(ISBLANK(B623),"",AVERAGE(B610:B623))</f>
      </c>
      <c r="F623" t="str" s="964" cm="1">
        <f t="array" ref="F623">IF(ISBLANK(B623),"",AVERAGE(B594:B623))</f>
      </c>
      <c r="G623" s="964"/>
      <c r="H623" s="964"/>
      <c r="I623" s="964"/>
      <c r="J623" s="964"/>
      <c r="K623" s="964"/>
      <c r="L623" s="964"/>
      <c r="M623" s="964"/>
      <c r="N623" s="964"/>
      <c r="O623" s="964"/>
      <c r="P623" s="964"/>
      <c r="Q623" s="962"/>
      <c r="R623" t="str" s="964" cm="1">
        <f t="array" ref="R623">IF(OR(ISBLANK($B623),NOT(ISBLANK(B623))),"",'tracking - Table 2-1-2'!C$66)</f>
      </c>
      <c r="S623" t="str" s="964" cm="1">
        <f t="array" ref="S623">IF(OR(ISBLANK($B623),NOT(ISBLANK(B623))),"",'tracking - Table 2-1-2'!D$66)</f>
      </c>
      <c r="T623" t="str" s="964" cm="1">
        <f t="array" ref="T623">IF(OR(ISBLANK($B623),NOT(ISBLANK(B623))),"",'tracking - Table 2-1-2'!E$66)</f>
      </c>
      <c r="U623" t="str" s="969" cm="1">
        <f t="array" ref="U623">IF(OR(ISBLANK($B623),ISBLANK('tracking - Table 2-1-2'!A$1)),"",'tracking - Table 2-1-2'!F$66)</f>
      </c>
    </row>
    <row r="624" ht="8.75" customHeight="1" hidden="1">
      <c r="A624" s="960">
        <v>44963</v>
      </c>
      <c r="B624" s="356"/>
      <c r="C624" t="str" s="352" cm="1">
        <f t="array" ref="C624">IF(ISBLANK(B624),"",B624*2.2046226218)</f>
      </c>
      <c r="D624" t="str" s="964" cm="1">
        <f t="array" ref="D624">IF(ISBLANK(B624),"",AVERAGE(B618:B624))</f>
      </c>
      <c r="E624" t="str" s="964" cm="1">
        <f t="array" ref="E624">IF(ISBLANK(B624),"",AVERAGE(B611:B624))</f>
      </c>
      <c r="F624" t="str" s="964" cm="1">
        <f t="array" ref="F624">IF(ISBLANK(B624),"",AVERAGE(B595:B624))</f>
      </c>
      <c r="G624" s="964"/>
      <c r="H624" s="964"/>
      <c r="I624" s="964"/>
      <c r="J624" s="964"/>
      <c r="K624" s="964"/>
      <c r="L624" s="964"/>
      <c r="M624" s="964"/>
      <c r="N624" s="964"/>
      <c r="O624" s="964"/>
      <c r="P624" s="964"/>
      <c r="Q624" s="962"/>
      <c r="R624" t="str" s="964" cm="1">
        <f t="array" ref="R624">IF(OR(ISBLANK($B624),NOT(ISBLANK(B624))),"",'tracking - Table 2-1-2'!C$66)</f>
      </c>
      <c r="S624" t="str" s="964" cm="1">
        <f t="array" ref="S624">IF(OR(ISBLANK($B624),NOT(ISBLANK(B624))),"",'tracking - Table 2-1-2'!D$66)</f>
      </c>
      <c r="T624" t="str" s="964" cm="1">
        <f t="array" ref="T624">IF(OR(ISBLANK($B624),NOT(ISBLANK(B624))),"",'tracking - Table 2-1-2'!E$66)</f>
      </c>
      <c r="U624" t="str" s="969" cm="1">
        <f t="array" ref="U624">IF(OR(ISBLANK($B624),ISBLANK('tracking - Table 2-1-2'!A$1)),"",'tracking - Table 2-1-2'!F$66)</f>
      </c>
    </row>
    <row r="625" ht="8.75" customHeight="1" hidden="1">
      <c r="A625" s="960">
        <v>44964</v>
      </c>
      <c r="B625" s="356"/>
      <c r="C625" t="str" s="352" cm="1">
        <f t="array" ref="C625">IF(ISBLANK(B625),"",B625*2.2046226218)</f>
      </c>
      <c r="D625" t="str" s="964" cm="1">
        <f t="array" ref="D625">IF(ISBLANK(B625),"",AVERAGE(B619:B625))</f>
      </c>
      <c r="E625" t="str" s="964" cm="1">
        <f t="array" ref="E625">IF(ISBLANK(B625),"",AVERAGE(B612:B625))</f>
      </c>
      <c r="F625" t="str" s="964" cm="1">
        <f t="array" ref="F625">IF(ISBLANK(B625),"",AVERAGE(B596:B625))</f>
      </c>
      <c r="G625" s="964"/>
      <c r="H625" s="964"/>
      <c r="I625" s="964"/>
      <c r="J625" s="964"/>
      <c r="K625" s="964"/>
      <c r="L625" s="964"/>
      <c r="M625" s="964"/>
      <c r="N625" s="964"/>
      <c r="O625" s="964"/>
      <c r="P625" s="964"/>
      <c r="Q625" s="962"/>
      <c r="R625" t="str" s="964" cm="1">
        <f t="array" ref="R625">IF(OR(ISBLANK($B625),NOT(ISBLANK(B625))),"",'tracking - Table 2-1-2'!C$66)</f>
      </c>
      <c r="S625" t="str" s="964" cm="1">
        <f t="array" ref="S625">IF(OR(ISBLANK($B625),NOT(ISBLANK(B625))),"",'tracking - Table 2-1-2'!D$66)</f>
      </c>
      <c r="T625" t="str" s="964" cm="1">
        <f t="array" ref="T625">IF(OR(ISBLANK($B625),NOT(ISBLANK(B625))),"",'tracking - Table 2-1-2'!E$66)</f>
      </c>
      <c r="U625" t="str" s="969" cm="1">
        <f t="array" ref="U625">IF(OR(ISBLANK($B625),ISBLANK('tracking - Table 2-1-2'!A$1)),"",'tracking - Table 2-1-2'!F$66)</f>
      </c>
    </row>
    <row r="626" ht="8.75" customHeight="1" hidden="1">
      <c r="A626" s="960">
        <v>44965</v>
      </c>
      <c r="B626" s="356"/>
      <c r="C626" t="str" s="352" cm="1">
        <f t="array" ref="C626">IF(ISBLANK(B626),"",B626*2.2046226218)</f>
      </c>
      <c r="D626" t="str" s="964" cm="1">
        <f t="array" ref="D626">IF(ISBLANK(B626),"",AVERAGE(B620:B626))</f>
      </c>
      <c r="E626" t="str" s="964" cm="1">
        <f t="array" ref="E626">IF(ISBLANK(B626),"",AVERAGE(B613:B626))</f>
      </c>
      <c r="F626" t="str" s="964" cm="1">
        <f t="array" ref="F626">IF(ISBLANK(B626),"",AVERAGE(B597:B626))</f>
      </c>
      <c r="G626" s="964"/>
      <c r="H626" s="964"/>
      <c r="I626" s="964"/>
      <c r="J626" s="964"/>
      <c r="K626" s="964"/>
      <c r="L626" s="964"/>
      <c r="M626" s="964"/>
      <c r="N626" s="964"/>
      <c r="O626" s="964"/>
      <c r="P626" s="964"/>
      <c r="Q626" s="962"/>
      <c r="R626" t="str" s="964" cm="1">
        <f t="array" ref="R626">IF(OR(ISBLANK($B626),NOT(ISBLANK(B626))),"",'tracking - Table 2-1-2'!C$66)</f>
      </c>
      <c r="S626" t="str" s="964" cm="1">
        <f t="array" ref="S626">IF(OR(ISBLANK($B626),NOT(ISBLANK(B626))),"",'tracking - Table 2-1-2'!D$66)</f>
      </c>
      <c r="T626" t="str" s="964" cm="1">
        <f t="array" ref="T626">IF(OR(ISBLANK($B626),NOT(ISBLANK(B626))),"",'tracking - Table 2-1-2'!E$66)</f>
      </c>
      <c r="U626" t="str" s="969" cm="1">
        <f t="array" ref="U626">IF(OR(ISBLANK($B626),ISBLANK('tracking - Table 2-1-2'!A$1)),"",'tracking - Table 2-1-2'!F$66)</f>
      </c>
    </row>
    <row r="627" ht="8.75" customHeight="1" hidden="1">
      <c r="A627" s="960">
        <v>44966</v>
      </c>
      <c r="B627" s="356"/>
      <c r="C627" t="str" s="352" cm="1">
        <f t="array" ref="C627">IF(ISBLANK(B627),"",B627*2.2046226218)</f>
      </c>
      <c r="D627" t="str" s="964" cm="1">
        <f t="array" ref="D627">IF(ISBLANK(B627),"",AVERAGE(B621:B627))</f>
      </c>
      <c r="E627" t="str" s="964" cm="1">
        <f t="array" ref="E627">IF(ISBLANK(B627),"",AVERAGE(B614:B627))</f>
      </c>
      <c r="F627" t="str" s="964" cm="1">
        <f t="array" ref="F627">IF(ISBLANK(B627),"",AVERAGE(B598:B627))</f>
      </c>
      <c r="G627" s="964"/>
      <c r="H627" s="964"/>
      <c r="I627" s="964"/>
      <c r="J627" s="964"/>
      <c r="K627" s="964"/>
      <c r="L627" s="964"/>
      <c r="M627" s="964"/>
      <c r="N627" s="964"/>
      <c r="O627" s="964"/>
      <c r="P627" s="964"/>
      <c r="Q627" s="962"/>
      <c r="R627" t="str" s="964" cm="1">
        <f t="array" ref="R627">IF(OR(ISBLANK($B627),NOT(ISBLANK(B627))),"",'tracking - Table 2-1-2'!C$66)</f>
      </c>
      <c r="S627" t="str" s="964" cm="1">
        <f t="array" ref="S627">IF(OR(ISBLANK($B627),NOT(ISBLANK(B627))),"",'tracking - Table 2-1-2'!D$66)</f>
      </c>
      <c r="T627" t="str" s="964" cm="1">
        <f t="array" ref="T627">IF(OR(ISBLANK($B627),NOT(ISBLANK(B627))),"",'tracking - Table 2-1-2'!E$66)</f>
      </c>
      <c r="U627" t="str" s="969" cm="1">
        <f t="array" ref="U627">IF(OR(ISBLANK($B627),ISBLANK('tracking - Table 2-1-2'!A$1)),"",'tracking - Table 2-1-2'!F$66)</f>
      </c>
    </row>
    <row r="628" ht="8.75" customHeight="1" hidden="1">
      <c r="A628" s="960">
        <v>44967</v>
      </c>
      <c r="B628" s="356"/>
      <c r="C628" t="str" s="352" cm="1">
        <f t="array" ref="C628">IF(ISBLANK(B628),"",B628*2.2046226218)</f>
      </c>
      <c r="D628" t="str" s="964" cm="1">
        <f t="array" ref="D628">IF(ISBLANK(B628),"",AVERAGE(B622:B628))</f>
      </c>
      <c r="E628" t="str" s="964" cm="1">
        <f t="array" ref="E628">IF(ISBLANK(B628),"",AVERAGE(B615:B628))</f>
      </c>
      <c r="F628" t="str" s="964" cm="1">
        <f t="array" ref="F628">IF(ISBLANK(B628),"",AVERAGE(B599:B628))</f>
      </c>
      <c r="G628" s="964"/>
      <c r="H628" s="964"/>
      <c r="I628" s="964"/>
      <c r="J628" s="964"/>
      <c r="K628" s="964"/>
      <c r="L628" s="964"/>
      <c r="M628" s="964"/>
      <c r="N628" s="964"/>
      <c r="O628" s="964"/>
      <c r="P628" s="964"/>
      <c r="Q628" s="962"/>
      <c r="R628" t="str" s="964" cm="1">
        <f t="array" ref="R628">IF(OR(ISBLANK($B628),NOT(ISBLANK(B628))),"",'tracking - Table 2-1-2'!C$66)</f>
      </c>
      <c r="S628" t="str" s="964" cm="1">
        <f t="array" ref="S628">IF(OR(ISBLANK($B628),NOT(ISBLANK(B628))),"",'tracking - Table 2-1-2'!D$66)</f>
      </c>
      <c r="T628" t="str" s="964" cm="1">
        <f t="array" ref="T628">IF(OR(ISBLANK($B628),NOT(ISBLANK(B628))),"",'tracking - Table 2-1-2'!E$66)</f>
      </c>
      <c r="U628" t="str" s="969" cm="1">
        <f t="array" ref="U628">IF(OR(ISBLANK($B628),ISBLANK('tracking - Table 2-1-2'!A$1)),"",'tracking - Table 2-1-2'!F$66)</f>
      </c>
    </row>
    <row r="629" ht="8.75" customHeight="1" hidden="1">
      <c r="A629" s="960">
        <v>44968</v>
      </c>
      <c r="B629" s="356"/>
      <c r="C629" t="str" s="352" cm="1">
        <f t="array" ref="C629">IF(ISBLANK(B629),"",B629*2.2046226218)</f>
      </c>
      <c r="D629" t="str" s="964" cm="1">
        <f t="array" ref="D629">IF(ISBLANK(B629),"",AVERAGE(B623:B629))</f>
      </c>
      <c r="E629" t="str" s="964" cm="1">
        <f t="array" ref="E629">IF(ISBLANK(B629),"",AVERAGE(B616:B629))</f>
      </c>
      <c r="F629" t="str" s="964" cm="1">
        <f t="array" ref="F629">IF(ISBLANK(B629),"",AVERAGE(B600:B629))</f>
      </c>
      <c r="G629" s="964"/>
      <c r="H629" s="964"/>
      <c r="I629" s="964"/>
      <c r="J629" s="964"/>
      <c r="K629" s="964"/>
      <c r="L629" s="964"/>
      <c r="M629" s="964"/>
      <c r="N629" s="964"/>
      <c r="O629" s="964"/>
      <c r="P629" s="964"/>
      <c r="Q629" s="962"/>
      <c r="R629" t="str" s="964" cm="1">
        <f t="array" ref="R629">IF(OR(ISBLANK($B629),NOT(ISBLANK(B629))),"",'tracking - Table 2-1-2'!C$66)</f>
      </c>
      <c r="S629" t="str" s="964" cm="1">
        <f t="array" ref="S629">IF(OR(ISBLANK($B629),NOT(ISBLANK(B629))),"",'tracking - Table 2-1-2'!D$66)</f>
      </c>
      <c r="T629" t="str" s="964" cm="1">
        <f t="array" ref="T629">IF(OR(ISBLANK($B629),NOT(ISBLANK(B629))),"",'tracking - Table 2-1-2'!E$66)</f>
      </c>
      <c r="U629" t="str" s="969" cm="1">
        <f t="array" ref="U629">IF(OR(ISBLANK($B629),ISBLANK('tracking - Table 2-1-2'!A$1)),"",'tracking - Table 2-1-2'!F$66)</f>
      </c>
    </row>
    <row r="630" ht="8.75" customHeight="1" hidden="1">
      <c r="A630" s="960">
        <v>44969</v>
      </c>
      <c r="B630" s="961">
        <v>81.5</v>
      </c>
      <c r="C630" s="965" cm="1">
        <f t="array" ref="C630">IF(ISBLANK(B630),"",B630*2.2046226218)</f>
        <v>179.6767436767</v>
      </c>
      <c r="D630" s="962" cm="1">
        <f t="array" ref="D630">IF(ISBLANK(B630),"",AVERAGE(B624:B630))</f>
        <v>81.5</v>
      </c>
      <c r="E630" s="962" cm="1">
        <f t="array" ref="E630">IF(ISBLANK(B630),"",AVERAGE(B617:B630))</f>
        <v>81.5</v>
      </c>
      <c r="F630" s="962" cm="1">
        <f t="array" ref="F630">IF(ISBLANK(B630),"",AVERAGE(B601:B630))</f>
        <v>81.5</v>
      </c>
      <c r="G630" s="964"/>
      <c r="H630" s="964"/>
      <c r="I630" s="964"/>
      <c r="J630" s="964"/>
      <c r="K630" s="964"/>
      <c r="L630" s="964"/>
      <c r="M630" s="964"/>
      <c r="N630" s="964"/>
      <c r="O630" s="964"/>
      <c r="P630" s="964"/>
      <c r="Q630" s="962"/>
      <c r="R630" t="str" s="964" cm="1">
        <f t="array" ref="R630">IF(OR(ISBLANK($B630),NOT(ISBLANK(B630))),"",'tracking - Table 2-1-2'!C$66)</f>
      </c>
      <c r="S630" t="str" s="964" cm="1">
        <f t="array" ref="S630">IF(OR(ISBLANK($B630),NOT(ISBLANK(B630))),"",'tracking - Table 2-1-2'!D$66)</f>
      </c>
      <c r="T630" t="str" s="964" cm="1">
        <f t="array" ref="T630">IF(OR(ISBLANK($B630),NOT(ISBLANK(B630))),"",'tracking - Table 2-1-2'!E$66)</f>
      </c>
      <c r="U630" t="str" s="969" cm="1">
        <f t="array" ref="U630">IF(OR(ISBLANK($B630),ISBLANK('tracking - Table 2-1-2'!A$1)),"",'tracking - Table 2-1-2'!F$66)</f>
      </c>
    </row>
    <row r="631" ht="8.75" customHeight="1" hidden="1">
      <c r="A631" s="960">
        <v>44970</v>
      </c>
      <c r="B631" s="961">
        <v>82.25</v>
      </c>
      <c r="C631" s="965" cm="1">
        <f t="array" ref="C631">IF(ISBLANK(B631),"",B631*2.2046226218)</f>
        <v>181.330210643050</v>
      </c>
      <c r="D631" s="962" cm="1">
        <f t="array" ref="D631">IF(ISBLANK(B631),"",AVERAGE(B625:B631))</f>
        <v>81.875</v>
      </c>
      <c r="E631" s="962" cm="1">
        <f t="array" ref="E631">IF(ISBLANK(B631),"",AVERAGE(B618:B631))</f>
        <v>81.875</v>
      </c>
      <c r="F631" s="962" cm="1">
        <f t="array" ref="F631">IF(ISBLANK(B631),"",AVERAGE(B602:B631))</f>
        <v>81.875</v>
      </c>
      <c r="G631" s="964"/>
      <c r="H631" s="964"/>
      <c r="I631" s="964"/>
      <c r="J631" s="964"/>
      <c r="K631" s="964"/>
      <c r="L631" s="964"/>
      <c r="M631" s="964"/>
      <c r="N631" s="964"/>
      <c r="O631" s="964"/>
      <c r="P631" s="964"/>
      <c r="Q631" s="962"/>
      <c r="R631" t="str" s="964" cm="1">
        <f t="array" ref="R631">IF(OR(ISBLANK($B631),NOT(ISBLANK(B631))),"",'tracking - Table 2-1-2'!C$66)</f>
      </c>
      <c r="S631" t="str" s="964" cm="1">
        <f t="array" ref="S631">IF(OR(ISBLANK($B631),NOT(ISBLANK(B631))),"",'tracking - Table 2-1-2'!D$66)</f>
      </c>
      <c r="T631" t="str" s="964" cm="1">
        <f t="array" ref="T631">IF(OR(ISBLANK($B631),NOT(ISBLANK(B631))),"",'tracking - Table 2-1-2'!E$66)</f>
      </c>
      <c r="U631" t="str" s="969" cm="1">
        <f t="array" ref="U631">IF(OR(ISBLANK($B631),ISBLANK('tracking - Table 2-1-2'!A$1)),"",'tracking - Table 2-1-2'!F$66)</f>
      </c>
    </row>
    <row r="632" ht="8.75" customHeight="1" hidden="1">
      <c r="A632" s="960">
        <v>44971</v>
      </c>
      <c r="B632" s="961">
        <v>81.5</v>
      </c>
      <c r="C632" s="965" cm="1">
        <f t="array" ref="C632">IF(ISBLANK(B632),"",B632*2.2046226218)</f>
        <v>179.6767436767</v>
      </c>
      <c r="D632" s="962" cm="1">
        <f t="array" ref="D632">IF(ISBLANK(B632),"",AVERAGE(B626:B632))</f>
        <v>81.75</v>
      </c>
      <c r="E632" s="962" cm="1">
        <f t="array" ref="E632">IF(ISBLANK(B632),"",AVERAGE(B619:B632))</f>
        <v>81.75</v>
      </c>
      <c r="F632" s="962" cm="1">
        <f t="array" ref="F632">IF(ISBLANK(B632),"",AVERAGE(B603:B632))</f>
        <v>81.75</v>
      </c>
      <c r="G632" s="964"/>
      <c r="H632" s="964"/>
      <c r="I632" s="964"/>
      <c r="J632" s="964"/>
      <c r="K632" s="964"/>
      <c r="L632" s="964"/>
      <c r="M632" s="964"/>
      <c r="N632" s="964"/>
      <c r="O632" s="964"/>
      <c r="P632" s="964"/>
      <c r="Q632" s="962"/>
      <c r="R632" t="str" s="964" cm="1">
        <f t="array" ref="R632">IF(OR(ISBLANK($B632),NOT(ISBLANK(B632))),"",'tracking - Table 2-1-2'!C$66)</f>
      </c>
      <c r="S632" t="str" s="964" cm="1">
        <f t="array" ref="S632">IF(OR(ISBLANK($B632),NOT(ISBLANK(B632))),"",'tracking - Table 2-1-2'!D$66)</f>
      </c>
      <c r="T632" t="str" s="964" cm="1">
        <f t="array" ref="T632">IF(OR(ISBLANK($B632),NOT(ISBLANK(B632))),"",'tracking - Table 2-1-2'!E$66)</f>
      </c>
      <c r="U632" t="str" s="969" cm="1">
        <f t="array" ref="U632">IF(OR(ISBLANK($B632),ISBLANK('tracking - Table 2-1-2'!A$1)),"",'tracking - Table 2-1-2'!F$66)</f>
      </c>
    </row>
    <row r="633" ht="8.75" customHeight="1" hidden="1">
      <c r="A633" s="960">
        <v>44972</v>
      </c>
      <c r="B633" s="961">
        <v>81.5</v>
      </c>
      <c r="C633" s="965" cm="1">
        <f t="array" ref="C633">IF(ISBLANK(B633),"",B633*2.2046226218)</f>
        <v>179.6767436767</v>
      </c>
      <c r="D633" s="962" cm="1">
        <f t="array" ref="D633">IF(ISBLANK(B633),"",AVERAGE(B627:B633))</f>
        <v>81.6875</v>
      </c>
      <c r="E633" s="962" cm="1">
        <f t="array" ref="E633">IF(ISBLANK(B633),"",AVERAGE(B620:B633))</f>
        <v>81.6875</v>
      </c>
      <c r="F633" s="962" cm="1">
        <f t="array" ref="F633">IF(ISBLANK(B633),"",AVERAGE(B604:B633))</f>
        <v>81.6875</v>
      </c>
      <c r="G633" s="964"/>
      <c r="H633" s="964"/>
      <c r="I633" s="964"/>
      <c r="J633" s="964"/>
      <c r="K633" s="964"/>
      <c r="L633" s="964"/>
      <c r="M633" s="964"/>
      <c r="N633" s="964"/>
      <c r="O633" s="964"/>
      <c r="P633" s="964"/>
      <c r="Q633" s="962"/>
      <c r="R633" t="str" s="964" cm="1">
        <f t="array" ref="R633">IF(OR(ISBLANK($B633),NOT(ISBLANK(B633))),"",'tracking - Table 2-1-2'!C$66)</f>
      </c>
      <c r="S633" t="str" s="964" cm="1">
        <f t="array" ref="S633">IF(OR(ISBLANK($B633),NOT(ISBLANK(B633))),"",'tracking - Table 2-1-2'!D$66)</f>
      </c>
      <c r="T633" t="str" s="964" cm="1">
        <f t="array" ref="T633">IF(OR(ISBLANK($B633),NOT(ISBLANK(B633))),"",'tracking - Table 2-1-2'!E$66)</f>
      </c>
      <c r="U633" t="str" s="969" cm="1">
        <f t="array" ref="U633">IF(OR(ISBLANK($B633),ISBLANK('tracking - Table 2-1-2'!A$1)),"",'tracking - Table 2-1-2'!F$66)</f>
      </c>
    </row>
    <row r="634" ht="8.75" customHeight="1" hidden="1">
      <c r="A634" s="960">
        <v>44973</v>
      </c>
      <c r="B634" s="961">
        <v>81.2</v>
      </c>
      <c r="C634" s="965" cm="1">
        <f t="array" ref="C634">IF(ISBLANK(B634),"",B634*2.2046226218)</f>
        <v>179.015356890160</v>
      </c>
      <c r="D634" s="962" cm="1">
        <f t="array" ref="D634">IF(ISBLANK(B634),"",AVERAGE(B628:B634))</f>
        <v>81.59</v>
      </c>
      <c r="E634" s="962" cm="1">
        <f t="array" ref="E634">IF(ISBLANK(B634),"",AVERAGE(B621:B634))</f>
        <v>81.59</v>
      </c>
      <c r="F634" s="962" cm="1">
        <f t="array" ref="F634">IF(ISBLANK(B634),"",AVERAGE(B605:B634))</f>
        <v>81.59</v>
      </c>
      <c r="G634" s="964"/>
      <c r="H634" s="964"/>
      <c r="I634" s="964"/>
      <c r="J634" s="964"/>
      <c r="K634" s="964"/>
      <c r="L634" s="964"/>
      <c r="M634" s="964"/>
      <c r="N634" s="964"/>
      <c r="O634" s="964"/>
      <c r="P634" s="964"/>
      <c r="Q634" s="962"/>
      <c r="R634" t="str" s="964" cm="1">
        <f t="array" ref="R634">IF(OR(ISBLANK($B634),NOT(ISBLANK(B634))),"",'tracking - Table 2-1-2'!C$66)</f>
      </c>
      <c r="S634" t="str" s="964" cm="1">
        <f t="array" ref="S634">IF(OR(ISBLANK($B634),NOT(ISBLANK(B634))),"",'tracking - Table 2-1-2'!D$66)</f>
      </c>
      <c r="T634" t="str" s="964" cm="1">
        <f t="array" ref="T634">IF(OR(ISBLANK($B634),NOT(ISBLANK(B634))),"",'tracking - Table 2-1-2'!E$66)</f>
      </c>
      <c r="U634" t="str" s="969" cm="1">
        <f t="array" ref="U634">IF(OR(ISBLANK($B634),ISBLANK('tracking - Table 2-1-2'!A$1)),"",'tracking - Table 2-1-2'!F$66)</f>
      </c>
    </row>
    <row r="635" ht="8.75" customHeight="1" hidden="1">
      <c r="A635" s="960">
        <v>44974</v>
      </c>
      <c r="B635" s="961">
        <v>81.90000000000001</v>
      </c>
      <c r="C635" s="965" cm="1">
        <f t="array" ref="C635">IF(ISBLANK(B635),"",B635*2.2046226218)</f>
        <v>180.558592725420</v>
      </c>
      <c r="D635" s="962" cm="1">
        <f t="array" ref="D635">IF(ISBLANK(B635),"",AVERAGE(B629:B635))</f>
        <v>81.64166666666669</v>
      </c>
      <c r="E635" s="962" cm="1">
        <f t="array" ref="E635">IF(ISBLANK(B635),"",AVERAGE(B622:B635))</f>
        <v>81.64166666666669</v>
      </c>
      <c r="F635" s="962" cm="1">
        <f t="array" ref="F635">IF(ISBLANK(B635),"",AVERAGE(B606:B635))</f>
        <v>81.64166666666669</v>
      </c>
      <c r="G635" s="964"/>
      <c r="H635" s="964"/>
      <c r="I635" s="964"/>
      <c r="J635" s="964"/>
      <c r="K635" s="964"/>
      <c r="L635" s="964"/>
      <c r="M635" s="964"/>
      <c r="N635" s="964"/>
      <c r="O635" s="964"/>
      <c r="P635" s="964"/>
      <c r="Q635" s="962"/>
      <c r="R635" t="str" s="964" cm="1">
        <f t="array" ref="R635">IF(OR(ISBLANK($B635),NOT(ISBLANK(B635))),"",'tracking - Table 2-1-2'!C$66)</f>
      </c>
      <c r="S635" t="str" s="964" cm="1">
        <f t="array" ref="S635">IF(OR(ISBLANK($B635),NOT(ISBLANK(B635))),"",'tracking - Table 2-1-2'!D$66)</f>
      </c>
      <c r="T635" t="str" s="964" cm="1">
        <f t="array" ref="T635">IF(OR(ISBLANK($B635),NOT(ISBLANK(B635))),"",'tracking - Table 2-1-2'!E$66)</f>
      </c>
      <c r="U635" t="str" s="969" cm="1">
        <f t="array" ref="U635">IF(OR(ISBLANK($B635),ISBLANK('tracking - Table 2-1-2'!A$1)),"",'tracking - Table 2-1-2'!F$66)</f>
      </c>
    </row>
    <row r="636" ht="8.75" customHeight="1" hidden="1">
      <c r="A636" s="960">
        <v>44975</v>
      </c>
      <c r="B636" s="961">
        <v>81.90000000000001</v>
      </c>
      <c r="C636" s="965" cm="1">
        <f t="array" ref="C636">IF(ISBLANK(B636),"",B636*2.2046226218)</f>
        <v>180.558592725420</v>
      </c>
      <c r="D636" s="962" cm="1">
        <f t="array" ref="D636">IF(ISBLANK(B636),"",AVERAGE(B630:B636))</f>
        <v>81.6785714285714</v>
      </c>
      <c r="E636" s="962" cm="1">
        <f t="array" ref="E636">IF(ISBLANK(B636),"",AVERAGE(B623:B636))</f>
        <v>81.6785714285714</v>
      </c>
      <c r="F636" s="962" cm="1">
        <f t="array" ref="F636">IF(ISBLANK(B636),"",AVERAGE(B607:B636))</f>
        <v>81.6785714285714</v>
      </c>
      <c r="G636" s="964"/>
      <c r="H636" s="964"/>
      <c r="I636" s="964"/>
      <c r="J636" s="964"/>
      <c r="K636" s="964"/>
      <c r="L636" s="964"/>
      <c r="M636" s="964"/>
      <c r="N636" s="964"/>
      <c r="O636" s="964"/>
      <c r="P636" s="964"/>
      <c r="Q636" s="962"/>
      <c r="R636" t="str" s="964" cm="1">
        <f t="array" ref="R636">IF(OR(ISBLANK($B636),NOT(ISBLANK(B636))),"",'tracking - Table 2-1-2'!C$66)</f>
      </c>
      <c r="S636" t="str" s="964" cm="1">
        <f t="array" ref="S636">IF(OR(ISBLANK($B636),NOT(ISBLANK(B636))),"",'tracking - Table 2-1-2'!D$66)</f>
      </c>
      <c r="T636" t="str" s="964" cm="1">
        <f t="array" ref="T636">IF(OR(ISBLANK($B636),NOT(ISBLANK(B636))),"",'tracking - Table 2-1-2'!E$66)</f>
      </c>
      <c r="U636" t="str" s="969" cm="1">
        <f t="array" ref="U636">IF(OR(ISBLANK($B636),ISBLANK('tracking - Table 2-1-2'!A$1)),"",'tracking - Table 2-1-2'!F$66)</f>
      </c>
    </row>
    <row r="637" ht="8.75" customHeight="1" hidden="1">
      <c r="A637" s="960">
        <v>44976</v>
      </c>
      <c r="B637" s="961">
        <v>81.90000000000001</v>
      </c>
      <c r="C637" s="965" cm="1">
        <f t="array" ref="C637">IF(ISBLANK(B637),"",B637*2.2046226218)</f>
        <v>180.558592725420</v>
      </c>
      <c r="D637" s="962" cm="1">
        <f t="array" ref="D637">IF(ISBLANK(B637),"",AVERAGE(B631:B637))</f>
        <v>81.73571428571429</v>
      </c>
      <c r="E637" s="962" cm="1">
        <f t="array" ref="E637">IF(ISBLANK(B637),"",AVERAGE(B624:B637))</f>
        <v>81.70625</v>
      </c>
      <c r="F637" s="962" cm="1">
        <f t="array" ref="F637">IF(ISBLANK(B637),"",AVERAGE(B608:B637))</f>
        <v>81.70625</v>
      </c>
      <c r="G637" s="964"/>
      <c r="H637" s="964"/>
      <c r="I637" s="964"/>
      <c r="J637" s="964"/>
      <c r="K637" s="964"/>
      <c r="L637" s="964"/>
      <c r="M637" s="964"/>
      <c r="N637" s="964"/>
      <c r="O637" s="964"/>
      <c r="P637" s="964"/>
      <c r="Q637" s="962"/>
      <c r="R637" t="str" s="964" cm="1">
        <f t="array" ref="R637">IF(OR(ISBLANK($B637),NOT(ISBLANK(B637))),"",'tracking - Table 2-1-2'!C$66)</f>
      </c>
      <c r="S637" t="str" s="964" cm="1">
        <f t="array" ref="S637">IF(OR(ISBLANK($B637),NOT(ISBLANK(B637))),"",'tracking - Table 2-1-2'!D$66)</f>
      </c>
      <c r="T637" t="str" s="964" cm="1">
        <f t="array" ref="T637">IF(OR(ISBLANK($B637),NOT(ISBLANK(B637))),"",'tracking - Table 2-1-2'!E$66)</f>
      </c>
      <c r="U637" t="str" s="969" cm="1">
        <f t="array" ref="U637">IF(OR(ISBLANK($B637),ISBLANK('tracking - Table 2-1-2'!A$1)),"",'tracking - Table 2-1-2'!F$66)</f>
      </c>
    </row>
    <row r="638" ht="8.75" customHeight="1" hidden="1">
      <c r="A638" s="960">
        <v>44977</v>
      </c>
      <c r="B638" s="961">
        <v>81.90000000000001</v>
      </c>
      <c r="C638" s="965" cm="1">
        <f t="array" ref="C638">IF(ISBLANK(B638),"",B638*2.2046226218)</f>
        <v>180.558592725420</v>
      </c>
      <c r="D638" s="962" cm="1">
        <f t="array" ref="D638">IF(ISBLANK(B638),"",AVERAGE(B632:B638))</f>
        <v>81.6857142857143</v>
      </c>
      <c r="E638" s="962" cm="1">
        <f t="array" ref="E638">IF(ISBLANK(B638),"",AVERAGE(B625:B638))</f>
        <v>81.7277777777778</v>
      </c>
      <c r="F638" s="962" cm="1">
        <f t="array" ref="F638">IF(ISBLANK(B638),"",AVERAGE(B609:B638))</f>
        <v>81.7277777777778</v>
      </c>
      <c r="G638" s="964"/>
      <c r="H638" s="964"/>
      <c r="I638" s="964"/>
      <c r="J638" s="964"/>
      <c r="K638" s="964"/>
      <c r="L638" s="964"/>
      <c r="M638" s="964"/>
      <c r="N638" s="964"/>
      <c r="O638" s="964"/>
      <c r="P638" s="964"/>
      <c r="Q638" s="962"/>
      <c r="R638" t="str" s="964" cm="1">
        <f t="array" ref="R638">IF(OR(ISBLANK($B638),NOT(ISBLANK(B638))),"",'tracking - Table 2-1-2'!C$66)</f>
      </c>
      <c r="S638" t="str" s="964" cm="1">
        <f t="array" ref="S638">IF(OR(ISBLANK($B638),NOT(ISBLANK(B638))),"",'tracking - Table 2-1-2'!D$66)</f>
      </c>
      <c r="T638" t="str" s="964" cm="1">
        <f t="array" ref="T638">IF(OR(ISBLANK($B638),NOT(ISBLANK(B638))),"",'tracking - Table 2-1-2'!E$66)</f>
      </c>
      <c r="U638" t="str" s="969" cm="1">
        <f t="array" ref="U638">IF(OR(ISBLANK($B638),ISBLANK('tracking - Table 2-1-2'!A$1)),"",'tracking - Table 2-1-2'!F$66)</f>
      </c>
    </row>
    <row r="639" ht="8.75" customHeight="1" hidden="1">
      <c r="A639" s="960">
        <v>44978</v>
      </c>
      <c r="B639" s="961">
        <v>81.5</v>
      </c>
      <c r="C639" s="965" cm="1">
        <f t="array" ref="C639">IF(ISBLANK(B639),"",B639*2.2046226218)</f>
        <v>179.6767436767</v>
      </c>
      <c r="D639" s="962" cm="1">
        <f t="array" ref="D639">IF(ISBLANK(B639),"",AVERAGE(B633:B639))</f>
        <v>81.6857142857143</v>
      </c>
      <c r="E639" s="962" cm="1">
        <f t="array" ref="E639">IF(ISBLANK(B639),"",AVERAGE(B626:B639))</f>
        <v>81.705</v>
      </c>
      <c r="F639" s="962" cm="1">
        <f t="array" ref="F639">IF(ISBLANK(B639),"",AVERAGE(B610:B639))</f>
        <v>81.705</v>
      </c>
      <c r="G639" s="964"/>
      <c r="H639" s="964"/>
      <c r="I639" s="964"/>
      <c r="J639" s="964"/>
      <c r="K639" s="964"/>
      <c r="L639" s="964"/>
      <c r="M639" s="964"/>
      <c r="N639" s="964"/>
      <c r="O639" s="964"/>
      <c r="P639" s="964"/>
      <c r="Q639" s="962"/>
      <c r="R639" t="str" s="964" cm="1">
        <f t="array" ref="R639">IF(OR(ISBLANK($B639),NOT(ISBLANK(B639))),"",'tracking - Table 2-1-2'!C$66)</f>
      </c>
      <c r="S639" t="str" s="964" cm="1">
        <f t="array" ref="S639">IF(OR(ISBLANK($B639),NOT(ISBLANK(B639))),"",'tracking - Table 2-1-2'!D$66)</f>
      </c>
      <c r="T639" t="str" s="964" cm="1">
        <f t="array" ref="T639">IF(OR(ISBLANK($B639),NOT(ISBLANK(B639))),"",'tracking - Table 2-1-2'!E$66)</f>
      </c>
      <c r="U639" t="str" s="969" cm="1">
        <f t="array" ref="U639">IF(OR(ISBLANK($B639),ISBLANK('tracking - Table 2-1-2'!A$1)),"",'tracking - Table 2-1-2'!F$66)</f>
      </c>
    </row>
    <row r="640" ht="8.75" customHeight="1" hidden="1">
      <c r="A640" s="960">
        <v>44979</v>
      </c>
      <c r="B640" s="961">
        <v>81.5</v>
      </c>
      <c r="C640" s="965" cm="1">
        <f t="array" ref="C640">IF(ISBLANK(B640),"",B640*2.2046226218)</f>
        <v>179.6767436767</v>
      </c>
      <c r="D640" s="962" cm="1">
        <f t="array" ref="D640">IF(ISBLANK(B640),"",AVERAGE(B634:B640))</f>
        <v>81.6857142857143</v>
      </c>
      <c r="E640" s="962" cm="1">
        <f t="array" ref="E640">IF(ISBLANK(B640),"",AVERAGE(B627:B640))</f>
        <v>81.68636363636359</v>
      </c>
      <c r="F640" s="962" cm="1">
        <f t="array" ref="F640">IF(ISBLANK(B640),"",AVERAGE(B611:B640))</f>
        <v>81.68636363636359</v>
      </c>
      <c r="G640" s="964"/>
      <c r="H640" s="964"/>
      <c r="I640" s="964"/>
      <c r="J640" s="964"/>
      <c r="K640" s="964"/>
      <c r="L640" s="964"/>
      <c r="M640" s="964"/>
      <c r="N640" s="964"/>
      <c r="O640" s="964"/>
      <c r="P640" s="964"/>
      <c r="Q640" s="962"/>
      <c r="R640" t="str" s="964" cm="1">
        <f t="array" ref="R640">IF(OR(ISBLANK($B640),NOT(ISBLANK(B640))),"",'tracking - Table 2-1-2'!C$66)</f>
      </c>
      <c r="S640" t="str" s="964" cm="1">
        <f t="array" ref="S640">IF(OR(ISBLANK($B640),NOT(ISBLANK(B640))),"",'tracking - Table 2-1-2'!D$66)</f>
      </c>
      <c r="T640" t="str" s="964" cm="1">
        <f t="array" ref="T640">IF(OR(ISBLANK($B640),NOT(ISBLANK(B640))),"",'tracking - Table 2-1-2'!E$66)</f>
      </c>
      <c r="U640" t="str" s="969" cm="1">
        <f t="array" ref="U640">IF(OR(ISBLANK($B640),ISBLANK('tracking - Table 2-1-2'!A$1)),"",'tracking - Table 2-1-2'!F$66)</f>
      </c>
    </row>
    <row r="641" ht="8.75" customHeight="1" hidden="1">
      <c r="A641" s="960">
        <v>44980</v>
      </c>
      <c r="B641" s="961">
        <v>81.5</v>
      </c>
      <c r="C641" s="965" cm="1">
        <f t="array" ref="C641">IF(ISBLANK(B641),"",B641*2.2046226218)</f>
        <v>179.6767436767</v>
      </c>
      <c r="D641" s="962" cm="1">
        <f t="array" ref="D641">IF(ISBLANK(B641),"",AVERAGE(B635:B641))</f>
        <v>81.7285714285714</v>
      </c>
      <c r="E641" s="962" cm="1">
        <f t="array" ref="E641">IF(ISBLANK(B641),"",AVERAGE(B628:B641))</f>
        <v>81.67083333333331</v>
      </c>
      <c r="F641" s="962" cm="1">
        <f t="array" ref="F641">IF(ISBLANK(B641),"",AVERAGE(B612:B641))</f>
        <v>81.67083333333331</v>
      </c>
      <c r="G641" s="964"/>
      <c r="H641" s="964"/>
      <c r="I641" s="964"/>
      <c r="J641" s="964"/>
      <c r="K641" s="964"/>
      <c r="L641" s="964"/>
      <c r="M641" s="964"/>
      <c r="N641" s="964"/>
      <c r="O641" s="964"/>
      <c r="P641" s="964"/>
      <c r="Q641" s="962"/>
      <c r="R641" t="str" s="964" cm="1">
        <f t="array" ref="R641">IF(OR(ISBLANK($B641),NOT(ISBLANK(B641))),"",'tracking - Table 2-1-2'!C$66)</f>
      </c>
      <c r="S641" t="str" s="964" cm="1">
        <f t="array" ref="S641">IF(OR(ISBLANK($B641),NOT(ISBLANK(B641))),"",'tracking - Table 2-1-2'!D$66)</f>
      </c>
      <c r="T641" t="str" s="964" cm="1">
        <f t="array" ref="T641">IF(OR(ISBLANK($B641),NOT(ISBLANK(B641))),"",'tracking - Table 2-1-2'!E$66)</f>
      </c>
      <c r="U641" t="str" s="969" cm="1">
        <f t="array" ref="U641">IF(OR(ISBLANK($B641),ISBLANK('tracking - Table 2-1-2'!A$1)),"",'tracking - Table 2-1-2'!F$66)</f>
      </c>
    </row>
    <row r="642" ht="8.75" customHeight="1" hidden="1">
      <c r="A642" s="960">
        <v>44981</v>
      </c>
      <c r="B642" s="961">
        <v>81.5</v>
      </c>
      <c r="C642" s="965" cm="1">
        <f t="array" ref="C642">IF(ISBLANK(B642),"",B642*2.2046226218)</f>
        <v>179.6767436767</v>
      </c>
      <c r="D642" s="962" cm="1">
        <f t="array" ref="D642">IF(ISBLANK(B642),"",AVERAGE(B636:B642))</f>
        <v>81.67142857142861</v>
      </c>
      <c r="E642" s="962" cm="1">
        <f t="array" ref="E642">IF(ISBLANK(B642),"",AVERAGE(B629:B642))</f>
        <v>81.6576923076923</v>
      </c>
      <c r="F642" s="962" cm="1">
        <f t="array" ref="F642">IF(ISBLANK(B642),"",AVERAGE(B613:B642))</f>
        <v>81.6576923076923</v>
      </c>
      <c r="G642" s="964"/>
      <c r="H642" s="964"/>
      <c r="I642" s="964"/>
      <c r="J642" s="964"/>
      <c r="K642" s="964"/>
      <c r="L642" s="964"/>
      <c r="M642" s="964"/>
      <c r="N642" s="964"/>
      <c r="O642" s="964"/>
      <c r="P642" s="964"/>
      <c r="Q642" s="962"/>
      <c r="R642" t="str" s="964" cm="1">
        <f t="array" ref="R642">IF(OR(ISBLANK($B642),NOT(ISBLANK(B642))),"",'tracking - Table 2-1-2'!C$66)</f>
      </c>
      <c r="S642" t="str" s="964" cm="1">
        <f t="array" ref="S642">IF(OR(ISBLANK($B642),NOT(ISBLANK(B642))),"",'tracking - Table 2-1-2'!D$66)</f>
      </c>
      <c r="T642" t="str" s="964" cm="1">
        <f t="array" ref="T642">IF(OR(ISBLANK($B642),NOT(ISBLANK(B642))),"",'tracking - Table 2-1-2'!E$66)</f>
      </c>
      <c r="U642" t="str" s="969" cm="1">
        <f t="array" ref="U642">IF(OR(ISBLANK($B642),ISBLANK('tracking - Table 2-1-2'!A$1)),"",'tracking - Table 2-1-2'!F$66)</f>
      </c>
    </row>
    <row r="643" ht="8.75" customHeight="1" hidden="1">
      <c r="A643" s="960">
        <v>44982</v>
      </c>
      <c r="B643" s="961">
        <v>81.5</v>
      </c>
      <c r="C643" s="965" cm="1">
        <f t="array" ref="C643">IF(ISBLANK(B643),"",B643*2.2046226218)</f>
        <v>179.6767436767</v>
      </c>
      <c r="D643" s="962" cm="1">
        <f t="array" ref="D643">IF(ISBLANK(B643),"",AVERAGE(B637:B643))</f>
        <v>81.6142857142857</v>
      </c>
      <c r="E643" s="962" cm="1">
        <f t="array" ref="E643">IF(ISBLANK(B643),"",AVERAGE(B630:B643))</f>
        <v>81.6464285714286</v>
      </c>
      <c r="F643" s="962" cm="1">
        <f t="array" ref="F643">IF(ISBLANK(B643),"",AVERAGE(B614:B643))</f>
        <v>81.6464285714286</v>
      </c>
      <c r="G643" s="964"/>
      <c r="H643" s="964"/>
      <c r="I643" s="964"/>
      <c r="J643" s="964"/>
      <c r="K643" s="964"/>
      <c r="L643" s="964"/>
      <c r="M643" s="964"/>
      <c r="N643" s="964"/>
      <c r="O643" s="964"/>
      <c r="P643" s="964"/>
      <c r="Q643" s="962"/>
      <c r="R643" t="str" s="964" cm="1">
        <f t="array" ref="R643">IF(OR(ISBLANK($B643),NOT(ISBLANK(B643))),"",'tracking - Table 2-1-2'!C$66)</f>
      </c>
      <c r="S643" t="str" s="964" cm="1">
        <f t="array" ref="S643">IF(OR(ISBLANK($B643),NOT(ISBLANK(B643))),"",'tracking - Table 2-1-2'!D$66)</f>
      </c>
      <c r="T643" t="str" s="964" cm="1">
        <f t="array" ref="T643">IF(OR(ISBLANK($B643),NOT(ISBLANK(B643))),"",'tracking - Table 2-1-2'!E$66)</f>
      </c>
      <c r="U643" t="str" s="969" cm="1">
        <f t="array" ref="U643">IF(OR(ISBLANK($B643),ISBLANK('tracking - Table 2-1-2'!A$1)),"",'tracking - Table 2-1-2'!F$66)</f>
      </c>
    </row>
    <row r="644" ht="8.75" customHeight="1" hidden="1">
      <c r="A644" s="960">
        <v>44983</v>
      </c>
      <c r="B644" s="961">
        <v>81.5</v>
      </c>
      <c r="C644" s="965" cm="1">
        <f t="array" ref="C644">IF(ISBLANK(B644),"",B644*2.2046226218)</f>
        <v>179.6767436767</v>
      </c>
      <c r="D644" s="962" cm="1">
        <f t="array" ref="D644">IF(ISBLANK(B644),"",AVERAGE(B638:B644))</f>
        <v>81.55714285714291</v>
      </c>
      <c r="E644" s="962" cm="1">
        <f t="array" ref="E644">IF(ISBLANK(B644),"",AVERAGE(B631:B644))</f>
        <v>81.6464285714286</v>
      </c>
      <c r="F644" s="962" cm="1">
        <f t="array" ref="F644">IF(ISBLANK(B644),"",AVERAGE(B615:B644))</f>
        <v>81.6366666666667</v>
      </c>
      <c r="G644" s="964"/>
      <c r="H644" s="964"/>
      <c r="I644" s="964"/>
      <c r="J644" s="964"/>
      <c r="K644" s="964"/>
      <c r="L644" s="964"/>
      <c r="M644" s="964"/>
      <c r="N644" s="964"/>
      <c r="O644" s="964"/>
      <c r="P644" s="964"/>
      <c r="Q644" s="962"/>
      <c r="R644" t="str" s="964" cm="1">
        <f t="array" ref="R644">IF(OR(ISBLANK($B644),NOT(ISBLANK(B644))),"",'tracking - Table 2-1-2'!C$66)</f>
      </c>
      <c r="S644" t="str" s="964" cm="1">
        <f t="array" ref="S644">IF(OR(ISBLANK($B644),NOT(ISBLANK(B644))),"",'tracking - Table 2-1-2'!D$66)</f>
      </c>
      <c r="T644" t="str" s="964" cm="1">
        <f t="array" ref="T644">IF(OR(ISBLANK($B644),NOT(ISBLANK(B644))),"",'tracking - Table 2-1-2'!E$66)</f>
      </c>
      <c r="U644" t="str" s="969" cm="1">
        <f t="array" ref="U644">IF(OR(ISBLANK($B644),ISBLANK('tracking - Table 2-1-2'!A$1)),"",'tracking - Table 2-1-2'!F$66)</f>
      </c>
    </row>
    <row r="645" ht="8.75" customHeight="1" hidden="1">
      <c r="A645" s="960">
        <v>44984</v>
      </c>
      <c r="B645" s="961">
        <v>81.8</v>
      </c>
      <c r="C645" s="965" cm="1">
        <f t="array" ref="C645">IF(ISBLANK(B645),"",B645*2.2046226218)</f>
        <v>180.338130463240</v>
      </c>
      <c r="D645" s="962" cm="1">
        <f t="array" ref="D645">IF(ISBLANK(B645),"",AVERAGE(B639:B645))</f>
        <v>81.5428571428571</v>
      </c>
      <c r="E645" s="962" cm="1">
        <f t="array" ref="E645">IF(ISBLANK(B645),"",AVERAGE(B632:B645))</f>
        <v>81.6142857142857</v>
      </c>
      <c r="F645" s="962" cm="1">
        <f t="array" ref="F645">IF(ISBLANK(B645),"",AVERAGE(B616:B645))</f>
        <v>81.64687499999999</v>
      </c>
      <c r="G645" s="964"/>
      <c r="H645" s="964"/>
      <c r="I645" s="964"/>
      <c r="J645" s="964"/>
      <c r="K645" s="964"/>
      <c r="L645" s="964"/>
      <c r="M645" s="964"/>
      <c r="N645" s="964"/>
      <c r="O645" s="964"/>
      <c r="P645" s="964"/>
      <c r="Q645" s="962"/>
      <c r="R645" t="str" s="964" cm="1">
        <f t="array" ref="R645">IF(OR(ISBLANK($B645),NOT(ISBLANK(B645))),"",'tracking - Table 2-1-2'!C$66)</f>
      </c>
      <c r="S645" t="str" s="964" cm="1">
        <f t="array" ref="S645">IF(OR(ISBLANK($B645),NOT(ISBLANK(B645))),"",'tracking - Table 2-1-2'!D$66)</f>
      </c>
      <c r="T645" t="str" s="964" cm="1">
        <f t="array" ref="T645">IF(OR(ISBLANK($B645),NOT(ISBLANK(B645))),"",'tracking - Table 2-1-2'!E$66)</f>
      </c>
      <c r="U645" t="str" s="969" cm="1">
        <f t="array" ref="U645">IF(OR(ISBLANK($B645),ISBLANK('tracking - Table 2-1-2'!A$1)),"",'tracking - Table 2-1-2'!F$66)</f>
      </c>
    </row>
    <row r="646" ht="8.75" customHeight="1" hidden="1">
      <c r="A646" s="960">
        <v>44985</v>
      </c>
      <c r="B646" s="961">
        <v>82.40000000000001</v>
      </c>
      <c r="C646" s="965" cm="1">
        <f t="array" ref="C646">IF(ISBLANK(B646),"",B646*2.2046226218)</f>
        <v>181.660904036320</v>
      </c>
      <c r="D646" s="962" cm="1">
        <f t="array" ref="D646">IF(ISBLANK(B646),"",AVERAGE(B640:B646))</f>
        <v>81.67142857142861</v>
      </c>
      <c r="E646" s="962" cm="1">
        <f t="array" ref="E646">IF(ISBLANK(B646),"",AVERAGE(B633:B646))</f>
        <v>81.6785714285714</v>
      </c>
      <c r="F646" s="962" cm="1">
        <f t="array" ref="F646">IF(ISBLANK(B646),"",AVERAGE(B617:B646))</f>
        <v>81.6911764705882</v>
      </c>
      <c r="G646" s="964"/>
      <c r="H646" s="964"/>
      <c r="I646" s="964"/>
      <c r="J646" s="964"/>
      <c r="K646" s="964"/>
      <c r="L646" s="964"/>
      <c r="M646" s="964"/>
      <c r="N646" s="964"/>
      <c r="O646" s="964"/>
      <c r="P646" s="964"/>
      <c r="Q646" s="962"/>
      <c r="R646" t="str" s="964" cm="1">
        <f t="array" ref="R646">IF(OR(ISBLANK($B646),NOT(ISBLANK(B646))),"",'tracking - Table 2-1-2'!C$66)</f>
      </c>
      <c r="S646" t="str" s="964" cm="1">
        <f t="array" ref="S646">IF(OR(ISBLANK($B646),NOT(ISBLANK(B646))),"",'tracking - Table 2-1-2'!D$66)</f>
      </c>
      <c r="T646" t="str" s="964" cm="1">
        <f t="array" ref="T646">IF(OR(ISBLANK($B646),NOT(ISBLANK(B646))),"",'tracking - Table 2-1-2'!E$66)</f>
      </c>
      <c r="U646" t="str" s="969" cm="1">
        <f t="array" ref="U646">IF(OR(ISBLANK($B646),ISBLANK('tracking - Table 2-1-2'!A$1)),"",'tracking - Table 2-1-2'!F$66)</f>
      </c>
    </row>
    <row r="647" ht="8.75" customHeight="1" hidden="1">
      <c r="A647" s="960">
        <v>44986</v>
      </c>
      <c r="B647" s="961">
        <v>81.8</v>
      </c>
      <c r="C647" s="965" cm="1">
        <f t="array" ref="C647">IF(ISBLANK(B647),"",B647*2.2046226218)</f>
        <v>180.338130463240</v>
      </c>
      <c r="D647" s="962" cm="1">
        <f t="array" ref="D647">IF(ISBLANK(B647),"",AVERAGE(B641:B647))</f>
        <v>81.71428571428569</v>
      </c>
      <c r="E647" s="962" cm="1">
        <f t="array" ref="E647">IF(ISBLANK(B647),"",AVERAGE(B634:B647))</f>
        <v>81.7</v>
      </c>
      <c r="F647" s="962" cm="1">
        <f t="array" ref="F647">IF(ISBLANK(B647),"",AVERAGE(B618:B647))</f>
        <v>81.69722222222219</v>
      </c>
      <c r="G647" s="964"/>
      <c r="H647" s="964"/>
      <c r="I647" s="964"/>
      <c r="J647" s="964"/>
      <c r="K647" s="964"/>
      <c r="L647" s="964"/>
      <c r="M647" s="964"/>
      <c r="N647" s="964"/>
      <c r="O647" s="964"/>
      <c r="P647" s="964"/>
      <c r="Q647" s="962"/>
      <c r="R647" t="str" s="964" cm="1">
        <f t="array" ref="R647">IF(OR(ISBLANK($B647),NOT(ISBLANK(B647))),"",'tracking - Table 2-1-2'!C$66)</f>
      </c>
      <c r="S647" t="str" s="964" cm="1">
        <f t="array" ref="S647">IF(OR(ISBLANK($B647),NOT(ISBLANK(B647))),"",'tracking - Table 2-1-2'!D$66)</f>
      </c>
      <c r="T647" t="str" s="964" cm="1">
        <f t="array" ref="T647">IF(OR(ISBLANK($B647),NOT(ISBLANK(B647))),"",'tracking - Table 2-1-2'!E$66)</f>
      </c>
      <c r="U647" t="str" s="969" cm="1">
        <f t="array" ref="U647">IF(OR(ISBLANK($B647),ISBLANK('tracking - Table 2-1-2'!A$1)),"",'tracking - Table 2-1-2'!F$66)</f>
      </c>
    </row>
    <row r="648" ht="8.75" customHeight="1" hidden="1">
      <c r="A648" s="960">
        <v>44987</v>
      </c>
      <c r="B648" s="961">
        <v>82.09999999999999</v>
      </c>
      <c r="C648" s="965" cm="1">
        <f t="array" ref="C648">IF(ISBLANK(B648),"",B648*2.2046226218)</f>
        <v>180.999517249780</v>
      </c>
      <c r="D648" s="962" cm="1">
        <f t="array" ref="D648">IF(ISBLANK(B648),"",AVERAGE(B642:B648))</f>
        <v>81.8</v>
      </c>
      <c r="E648" s="962" cm="1">
        <f t="array" ref="E648">IF(ISBLANK(B648),"",AVERAGE(B635:B648))</f>
        <v>81.76428571428571</v>
      </c>
      <c r="F648" s="962" cm="1">
        <f t="array" ref="F648">IF(ISBLANK(B648),"",AVERAGE(B619:B648))</f>
        <v>81.7184210526316</v>
      </c>
      <c r="G648" s="964"/>
      <c r="H648" s="964"/>
      <c r="I648" s="964"/>
      <c r="J648" s="964"/>
      <c r="K648" s="964"/>
      <c r="L648" s="964"/>
      <c r="M648" s="964"/>
      <c r="N648" s="964"/>
      <c r="O648" s="964"/>
      <c r="P648" s="964"/>
      <c r="Q648" s="962"/>
      <c r="R648" t="str" s="964" cm="1">
        <f t="array" ref="R648">IF(OR(ISBLANK($B648),NOT(ISBLANK(B648))),"",'tracking - Table 2-1-2'!C$66)</f>
      </c>
      <c r="S648" t="str" s="964" cm="1">
        <f t="array" ref="S648">IF(OR(ISBLANK($B648),NOT(ISBLANK(B648))),"",'tracking - Table 2-1-2'!D$66)</f>
      </c>
      <c r="T648" t="str" s="964" cm="1">
        <f t="array" ref="T648">IF(OR(ISBLANK($B648),NOT(ISBLANK(B648))),"",'tracking - Table 2-1-2'!E$66)</f>
      </c>
      <c r="U648" t="str" s="969" cm="1">
        <f t="array" ref="U648">IF(OR(ISBLANK($B648),ISBLANK('tracking - Table 2-1-2'!A$1)),"",'tracking - Table 2-1-2'!F$66)</f>
      </c>
    </row>
    <row r="649" ht="8.75" customHeight="1" hidden="1">
      <c r="A649" s="960">
        <v>44988</v>
      </c>
      <c r="B649" s="961">
        <v>81.8</v>
      </c>
      <c r="C649" s="965" cm="1">
        <f t="array" ref="C649">IF(ISBLANK(B649),"",B649*2.2046226218)</f>
        <v>180.338130463240</v>
      </c>
      <c r="D649" s="962" cm="1">
        <f t="array" ref="D649">IF(ISBLANK(B649),"",AVERAGE(B643:B649))</f>
        <v>81.8428571428571</v>
      </c>
      <c r="E649" s="962" cm="1">
        <f t="array" ref="E649">IF(ISBLANK(B649),"",AVERAGE(B636:B649))</f>
        <v>81.7571428571429</v>
      </c>
      <c r="F649" s="962" cm="1">
        <f t="array" ref="F649">IF(ISBLANK(B649),"",AVERAGE(B620:B649))</f>
        <v>81.7225</v>
      </c>
      <c r="G649" s="964"/>
      <c r="H649" s="964"/>
      <c r="I649" s="964"/>
      <c r="J649" s="964"/>
      <c r="K649" s="964"/>
      <c r="L649" s="964"/>
      <c r="M649" s="964"/>
      <c r="N649" s="964"/>
      <c r="O649" s="964"/>
      <c r="P649" s="964"/>
      <c r="Q649" s="962"/>
      <c r="R649" t="str" s="964" cm="1">
        <f t="array" ref="R649">IF(OR(ISBLANK($B649),NOT(ISBLANK(B649))),"",'tracking - Table 2-1-2'!C$66)</f>
      </c>
      <c r="S649" t="str" s="964" cm="1">
        <f t="array" ref="S649">IF(OR(ISBLANK($B649),NOT(ISBLANK(B649))),"",'tracking - Table 2-1-2'!D$66)</f>
      </c>
      <c r="T649" t="str" s="964" cm="1">
        <f t="array" ref="T649">IF(OR(ISBLANK($B649),NOT(ISBLANK(B649))),"",'tracking - Table 2-1-2'!E$66)</f>
      </c>
      <c r="U649" t="str" s="969" cm="1">
        <f t="array" ref="U649">IF(OR(ISBLANK($B649),ISBLANK('tracking - Table 2-1-2'!A$1)),"",'tracking - Table 2-1-2'!F$66)</f>
      </c>
    </row>
    <row r="650" ht="8.75" customHeight="1" hidden="1">
      <c r="A650" s="960">
        <v>44989</v>
      </c>
      <c r="B650" s="961">
        <v>81.8</v>
      </c>
      <c r="C650" s="965" cm="1">
        <f t="array" ref="C650">IF(ISBLANK(B650),"",B650*2.2046226218)</f>
        <v>180.338130463240</v>
      </c>
      <c r="D650" s="962" cm="1">
        <f t="array" ref="D650">IF(ISBLANK(B650),"",AVERAGE(B644:B650))</f>
        <v>81.8857142857143</v>
      </c>
      <c r="E650" s="962" cm="1">
        <f t="array" ref="E650">IF(ISBLANK(B650),"",AVERAGE(B637:B650))</f>
        <v>81.75</v>
      </c>
      <c r="F650" s="962" cm="1">
        <f t="array" ref="F650">IF(ISBLANK(B650),"",AVERAGE(B621:B650))</f>
        <v>81.7261904761905</v>
      </c>
      <c r="G650" s="964"/>
      <c r="H650" s="964"/>
      <c r="I650" s="964"/>
      <c r="J650" s="964"/>
      <c r="K650" s="964"/>
      <c r="L650" s="964"/>
      <c r="M650" s="964"/>
      <c r="N650" s="964"/>
      <c r="O650" s="964"/>
      <c r="P650" s="964"/>
      <c r="Q650" s="962"/>
      <c r="R650" t="str" s="964" cm="1">
        <f t="array" ref="R650">IF(OR(ISBLANK($B650),NOT(ISBLANK(B650))),"",'tracking - Table 2-1-2'!C$66)</f>
      </c>
      <c r="S650" t="str" s="964" cm="1">
        <f t="array" ref="S650">IF(OR(ISBLANK($B650),NOT(ISBLANK(B650))),"",'tracking - Table 2-1-2'!D$66)</f>
      </c>
      <c r="T650" t="str" s="964" cm="1">
        <f t="array" ref="T650">IF(OR(ISBLANK($B650),NOT(ISBLANK(B650))),"",'tracking - Table 2-1-2'!E$66)</f>
      </c>
      <c r="U650" t="str" s="969" cm="1">
        <f t="array" ref="U650">IF(OR(ISBLANK($B650),ISBLANK('tracking - Table 2-1-2'!A$1)),"",'tracking - Table 2-1-2'!F$66)</f>
      </c>
    </row>
    <row r="651" ht="8.75" customHeight="1" hidden="1">
      <c r="A651" s="960">
        <v>44990</v>
      </c>
      <c r="B651" s="961">
        <v>81.5</v>
      </c>
      <c r="C651" s="965" cm="1">
        <f t="array" ref="C651">IF(ISBLANK(B651),"",B651*2.2046226218)</f>
        <v>179.6767436767</v>
      </c>
      <c r="D651" s="962" cm="1">
        <f t="array" ref="D651">IF(ISBLANK(B651),"",AVERAGE(B645:B651))</f>
        <v>81.8857142857143</v>
      </c>
      <c r="E651" s="962" cm="1">
        <f t="array" ref="E651">IF(ISBLANK(B651),"",AVERAGE(B638:B651))</f>
        <v>81.7214285714286</v>
      </c>
      <c r="F651" s="962" cm="1">
        <f t="array" ref="F651">IF(ISBLANK(B651),"",AVERAGE(B622:B651))</f>
        <v>81.71590909090909</v>
      </c>
      <c r="G651" s="964"/>
      <c r="H651" s="964"/>
      <c r="I651" s="964"/>
      <c r="J651" s="964"/>
      <c r="K651" s="964"/>
      <c r="L651" s="964"/>
      <c r="M651" s="964"/>
      <c r="N651" s="964"/>
      <c r="O651" s="964"/>
      <c r="P651" s="964"/>
      <c r="Q651" s="962"/>
      <c r="R651" t="str" s="964" cm="1">
        <f t="array" ref="R651">IF(OR(ISBLANK($B651),NOT(ISBLANK(B651))),"",'tracking - Table 2-1-2'!C$66)</f>
      </c>
      <c r="S651" t="str" s="964" cm="1">
        <f t="array" ref="S651">IF(OR(ISBLANK($B651),NOT(ISBLANK(B651))),"",'tracking - Table 2-1-2'!D$66)</f>
      </c>
      <c r="T651" t="str" s="964" cm="1">
        <f t="array" ref="T651">IF(OR(ISBLANK($B651),NOT(ISBLANK(B651))),"",'tracking - Table 2-1-2'!E$66)</f>
      </c>
      <c r="U651" t="str" s="969" cm="1">
        <f t="array" ref="U651">IF(OR(ISBLANK($B651),ISBLANK('tracking - Table 2-1-2'!A$1)),"",'tracking - Table 2-1-2'!F$66)</f>
      </c>
    </row>
    <row r="652" ht="8.75" customHeight="1" hidden="1">
      <c r="A652" s="960">
        <v>44991</v>
      </c>
      <c r="B652" s="961">
        <v>81.5</v>
      </c>
      <c r="C652" s="965" cm="1">
        <f t="array" ref="C652">IF(ISBLANK(B652),"",B652*2.2046226218)</f>
        <v>179.6767436767</v>
      </c>
      <c r="D652" s="962" cm="1">
        <f t="array" ref="D652">IF(ISBLANK(B652),"",AVERAGE(B646:B652))</f>
        <v>81.8428571428571</v>
      </c>
      <c r="E652" s="962" cm="1">
        <f t="array" ref="E652">IF(ISBLANK(B652),"",AVERAGE(B639:B652))</f>
        <v>81.69285714285709</v>
      </c>
      <c r="F652" s="962" cm="1">
        <f t="array" ref="F652">IF(ISBLANK(B652),"",AVERAGE(B623:B652))</f>
        <v>81.70652173913039</v>
      </c>
      <c r="G652" s="964"/>
      <c r="H652" s="964"/>
      <c r="I652" s="964"/>
      <c r="J652" s="964"/>
      <c r="K652" s="964"/>
      <c r="L652" s="964"/>
      <c r="M652" s="964"/>
      <c r="N652" s="964"/>
      <c r="O652" s="964"/>
      <c r="P652" s="964"/>
      <c r="Q652" s="962"/>
      <c r="R652" t="str" s="964" cm="1">
        <f t="array" ref="R652">IF(OR(ISBLANK($B652),NOT(ISBLANK(B652))),"",'tracking - Table 2-1-2'!C$66)</f>
      </c>
      <c r="S652" t="str" s="964" cm="1">
        <f t="array" ref="S652">IF(OR(ISBLANK($B652),NOT(ISBLANK(B652))),"",'tracking - Table 2-1-2'!D$66)</f>
      </c>
      <c r="T652" t="str" s="964" cm="1">
        <f t="array" ref="T652">IF(OR(ISBLANK($B652),NOT(ISBLANK(B652))),"",'tracking - Table 2-1-2'!E$66)</f>
      </c>
      <c r="U652" t="str" s="969" cm="1">
        <f t="array" ref="U652">IF(OR(ISBLANK($B652),ISBLANK('tracking - Table 2-1-2'!A$1)),"",'tracking - Table 2-1-2'!F$66)</f>
      </c>
    </row>
    <row r="653" ht="8.75" customHeight="1" hidden="1">
      <c r="A653" s="960">
        <v>44992</v>
      </c>
      <c r="B653" s="961">
        <v>81.5</v>
      </c>
      <c r="C653" s="965" cm="1">
        <f t="array" ref="C653">IF(ISBLANK(B653),"",B653*2.2046226218)</f>
        <v>179.6767436767</v>
      </c>
      <c r="D653" s="962" cm="1">
        <f t="array" ref="D653">IF(ISBLANK(B653),"",AVERAGE(B647:B653))</f>
        <v>81.71428571428569</v>
      </c>
      <c r="E653" s="962" cm="1">
        <f t="array" ref="E653">IF(ISBLANK(B653),"",AVERAGE(B640:B653))</f>
        <v>81.69285714285709</v>
      </c>
      <c r="F653" s="962" cm="1">
        <f t="array" ref="F653">IF(ISBLANK(B653),"",AVERAGE(B624:B653))</f>
        <v>81.6979166666667</v>
      </c>
      <c r="G653" s="964"/>
      <c r="H653" s="964"/>
      <c r="I653" s="964"/>
      <c r="J653" s="964"/>
      <c r="K653" s="964"/>
      <c r="L653" s="964"/>
      <c r="M653" s="964"/>
      <c r="N653" s="964"/>
      <c r="O653" s="964"/>
      <c r="P653" s="964"/>
      <c r="Q653" s="962"/>
      <c r="R653" t="str" s="964" cm="1">
        <f t="array" ref="R653">IF(OR(ISBLANK($B653),NOT(ISBLANK(B653))),"",'tracking - Table 2-1-2'!C$66)</f>
      </c>
      <c r="S653" t="str" s="964" cm="1">
        <f t="array" ref="S653">IF(OR(ISBLANK($B653),NOT(ISBLANK(B653))),"",'tracking - Table 2-1-2'!D$66)</f>
      </c>
      <c r="T653" t="str" s="964" cm="1">
        <f t="array" ref="T653">IF(OR(ISBLANK($B653),NOT(ISBLANK(B653))),"",'tracking - Table 2-1-2'!E$66)</f>
      </c>
      <c r="U653" t="str" s="969" cm="1">
        <f t="array" ref="U653">IF(OR(ISBLANK($B653),ISBLANK('tracking - Table 2-1-2'!A$1)),"",'tracking - Table 2-1-2'!F$66)</f>
      </c>
    </row>
    <row r="654" ht="8.75" customHeight="1" hidden="1">
      <c r="A654" s="960">
        <v>44993</v>
      </c>
      <c r="B654" s="961">
        <v>81.09999999999999</v>
      </c>
      <c r="C654" s="965" cm="1">
        <f t="array" ref="C654">IF(ISBLANK(B654),"",B654*2.2046226218)</f>
        <v>178.794894627980</v>
      </c>
      <c r="D654" s="962" cm="1">
        <f t="array" ref="D654">IF(ISBLANK(B654),"",AVERAGE(B648:B654))</f>
        <v>81.6142857142857</v>
      </c>
      <c r="E654" s="962" cm="1">
        <f t="array" ref="E654">IF(ISBLANK(B654),"",AVERAGE(B641:B654))</f>
        <v>81.6642857142857</v>
      </c>
      <c r="F654" s="962" cm="1">
        <f t="array" ref="F654">IF(ISBLANK(B654),"",AVERAGE(B625:B654))</f>
        <v>81.67400000000001</v>
      </c>
      <c r="G654" s="964"/>
      <c r="H654" s="964"/>
      <c r="I654" s="964"/>
      <c r="J654" s="964"/>
      <c r="K654" s="964"/>
      <c r="L654" s="964"/>
      <c r="M654" s="964"/>
      <c r="N654" s="964"/>
      <c r="O654" s="964"/>
      <c r="P654" s="964"/>
      <c r="Q654" s="962"/>
      <c r="R654" t="str" s="964" cm="1">
        <f t="array" ref="R654">IF(OR(ISBLANK($B654),NOT(ISBLANK(B654))),"",'tracking - Table 2-1-2'!C$66)</f>
      </c>
      <c r="S654" t="str" s="964" cm="1">
        <f t="array" ref="S654">IF(OR(ISBLANK($B654),NOT(ISBLANK(B654))),"",'tracking - Table 2-1-2'!D$66)</f>
      </c>
      <c r="T654" t="str" s="964" cm="1">
        <f t="array" ref="T654">IF(OR(ISBLANK($B654),NOT(ISBLANK(B654))),"",'tracking - Table 2-1-2'!E$66)</f>
      </c>
      <c r="U654" t="str" s="969" cm="1">
        <f t="array" ref="U654">IF(OR(ISBLANK($B654),ISBLANK('tracking - Table 2-1-2'!A$1)),"",'tracking - Table 2-1-2'!F$66)</f>
      </c>
    </row>
    <row r="655" ht="8.75" customHeight="1" hidden="1">
      <c r="A655" s="960">
        <v>44994</v>
      </c>
      <c r="B655" s="961">
        <v>81.09999999999999</v>
      </c>
      <c r="C655" s="965" cm="1">
        <f t="array" ref="C655">IF(ISBLANK(B655),"",B655*2.2046226218)</f>
        <v>178.794894627980</v>
      </c>
      <c r="D655" s="962" cm="1">
        <f t="array" ref="D655">IF(ISBLANK(B655),"",AVERAGE(B649:B655))</f>
        <v>81.4714285714286</v>
      </c>
      <c r="E655" s="962" cm="1">
        <f t="array" ref="E655">IF(ISBLANK(B655),"",AVERAGE(B642:B655))</f>
        <v>81.6357142857143</v>
      </c>
      <c r="F655" s="962" cm="1">
        <f t="array" ref="F655">IF(ISBLANK(B655),"",AVERAGE(B626:B655))</f>
        <v>81.6519230769231</v>
      </c>
      <c r="G655" s="964"/>
      <c r="H655" s="964"/>
      <c r="I655" s="964"/>
      <c r="J655" s="964"/>
      <c r="K655" s="964"/>
      <c r="L655" s="964"/>
      <c r="M655" s="964"/>
      <c r="N655" s="964"/>
      <c r="O655" s="964"/>
      <c r="P655" s="964"/>
      <c r="Q655" s="962"/>
      <c r="R655" t="str" s="964" cm="1">
        <f t="array" ref="R655">IF(OR(ISBLANK($B655),NOT(ISBLANK(B655))),"",'tracking - Table 2-1-2'!C$66)</f>
      </c>
      <c r="S655" t="str" s="964" cm="1">
        <f t="array" ref="S655">IF(OR(ISBLANK($B655),NOT(ISBLANK(B655))),"",'tracking - Table 2-1-2'!D$66)</f>
      </c>
      <c r="T655" t="str" s="964" cm="1">
        <f t="array" ref="T655">IF(OR(ISBLANK($B655),NOT(ISBLANK(B655))),"",'tracking - Table 2-1-2'!E$66)</f>
      </c>
      <c r="U655" t="str" s="969" cm="1">
        <f t="array" ref="U655">IF(OR(ISBLANK($B655),ISBLANK('tracking - Table 2-1-2'!A$1)),"",'tracking - Table 2-1-2'!F$66)</f>
      </c>
    </row>
    <row r="656" ht="8.75" customHeight="1" hidden="1">
      <c r="A656" s="960">
        <v>44995</v>
      </c>
      <c r="B656" s="961">
        <v>80.8</v>
      </c>
      <c r="C656" s="965" cm="1">
        <f t="array" ref="C656">IF(ISBLANK(B656),"",B656*2.2046226218)</f>
        <v>178.133507841440</v>
      </c>
      <c r="D656" s="962" cm="1">
        <f t="array" ref="D656">IF(ISBLANK(B656),"",AVERAGE(B650:B656))</f>
        <v>81.32857142857139</v>
      </c>
      <c r="E656" s="962" cm="1">
        <f t="array" ref="E656">IF(ISBLANK(B656),"",AVERAGE(B643:B656))</f>
        <v>81.5857142857143</v>
      </c>
      <c r="F656" s="962" cm="1">
        <f t="array" ref="F656">IF(ISBLANK(B656),"",AVERAGE(B627:B656))</f>
        <v>81.6203703703704</v>
      </c>
      <c r="G656" s="964"/>
      <c r="H656" s="964"/>
      <c r="I656" s="964"/>
      <c r="J656" s="964"/>
      <c r="K656" s="964"/>
      <c r="L656" s="964"/>
      <c r="M656" s="964"/>
      <c r="N656" s="964"/>
      <c r="O656" s="964"/>
      <c r="P656" s="964"/>
      <c r="Q656" s="962"/>
      <c r="R656" t="str" s="964" cm="1">
        <f t="array" ref="R656">IF(OR(ISBLANK($B656),NOT(ISBLANK(B656))),"",'tracking - Table 2-1-2'!C$66)</f>
      </c>
      <c r="S656" t="str" s="964" cm="1">
        <f t="array" ref="S656">IF(OR(ISBLANK($B656),NOT(ISBLANK(B656))),"",'tracking - Table 2-1-2'!D$66)</f>
      </c>
      <c r="T656" t="str" s="964" cm="1">
        <f t="array" ref="T656">IF(OR(ISBLANK($B656),NOT(ISBLANK(B656))),"",'tracking - Table 2-1-2'!E$66)</f>
      </c>
      <c r="U656" t="str" s="969" cm="1">
        <f t="array" ref="U656">IF(OR(ISBLANK($B656),ISBLANK('tracking - Table 2-1-2'!A$1)),"",'tracking - Table 2-1-2'!F$66)</f>
      </c>
    </row>
    <row r="657" ht="8.75" customHeight="1" hidden="1">
      <c r="A657" s="960">
        <v>44996</v>
      </c>
      <c r="B657" s="961">
        <v>81.09999999999999</v>
      </c>
      <c r="C657" s="965" cm="1">
        <f t="array" ref="C657">IF(ISBLANK(B657),"",B657*2.2046226218)</f>
        <v>178.794894627980</v>
      </c>
      <c r="D657" s="962" cm="1">
        <f t="array" ref="D657">IF(ISBLANK(B657),"",AVERAGE(B651:B657))</f>
        <v>81.2285714285714</v>
      </c>
      <c r="E657" s="962" cm="1">
        <f t="array" ref="E657">IF(ISBLANK(B657),"",AVERAGE(B644:B657))</f>
        <v>81.55714285714291</v>
      </c>
      <c r="F657" s="962" cm="1">
        <f t="array" ref="F657">IF(ISBLANK(B657),"",AVERAGE(B628:B657))</f>
        <v>81.6017857142857</v>
      </c>
      <c r="G657" s="964"/>
      <c r="H657" s="964"/>
      <c r="I657" s="964"/>
      <c r="J657" s="964"/>
      <c r="K657" s="964"/>
      <c r="L657" s="964"/>
      <c r="M657" s="964"/>
      <c r="N657" s="964"/>
      <c r="O657" s="964"/>
      <c r="P657" s="964"/>
      <c r="Q657" s="962"/>
      <c r="R657" t="str" s="964" cm="1">
        <f t="array" ref="R657">IF(OR(ISBLANK($B657),NOT(ISBLANK(B657))),"",'tracking - Table 2-1-2'!C$66)</f>
      </c>
      <c r="S657" t="str" s="964" cm="1">
        <f t="array" ref="S657">IF(OR(ISBLANK($B657),NOT(ISBLANK(B657))),"",'tracking - Table 2-1-2'!D$66)</f>
      </c>
      <c r="T657" t="str" s="964" cm="1">
        <f t="array" ref="T657">IF(OR(ISBLANK($B657),NOT(ISBLANK(B657))),"",'tracking - Table 2-1-2'!E$66)</f>
      </c>
      <c r="U657" t="str" s="969" cm="1">
        <f t="array" ref="U657">IF(OR(ISBLANK($B657),ISBLANK('tracking - Table 2-1-2'!A$1)),"",'tracking - Table 2-1-2'!F$66)</f>
      </c>
    </row>
    <row r="658" ht="8.75" customHeight="1" hidden="1">
      <c r="A658" s="960">
        <v>44997</v>
      </c>
      <c r="B658" s="961">
        <v>80.8</v>
      </c>
      <c r="C658" s="965" cm="1">
        <f t="array" ref="C658">IF(ISBLANK(B658),"",B658*2.2046226218)</f>
        <v>178.133507841440</v>
      </c>
      <c r="D658" s="962" cm="1">
        <f t="array" ref="D658">IF(ISBLANK(B658),"",AVERAGE(B652:B658))</f>
        <v>81.12857142857141</v>
      </c>
      <c r="E658" s="962" cm="1">
        <f t="array" ref="E658">IF(ISBLANK(B658),"",AVERAGE(B645:B658))</f>
        <v>81.5071428571429</v>
      </c>
      <c r="F658" s="962" cm="1">
        <f t="array" ref="F658">IF(ISBLANK(B658),"",AVERAGE(B629:B658))</f>
        <v>81.5741379310345</v>
      </c>
      <c r="G658" s="964"/>
      <c r="H658" s="964"/>
      <c r="I658" s="964"/>
      <c r="J658" s="964"/>
      <c r="K658" s="964"/>
      <c r="L658" s="964"/>
      <c r="M658" s="964"/>
      <c r="N658" s="964"/>
      <c r="O658" s="964"/>
      <c r="P658" s="964"/>
      <c r="Q658" s="962"/>
      <c r="R658" t="str" s="964" cm="1">
        <f t="array" ref="R658">IF(OR(ISBLANK($B658),NOT(ISBLANK(B658))),"",'tracking - Table 2-1-2'!C$66)</f>
      </c>
      <c r="S658" t="str" s="964" cm="1">
        <f t="array" ref="S658">IF(OR(ISBLANK($B658),NOT(ISBLANK(B658))),"",'tracking - Table 2-1-2'!D$66)</f>
      </c>
      <c r="T658" t="str" s="964" cm="1">
        <f t="array" ref="T658">IF(OR(ISBLANK($B658),NOT(ISBLANK(B658))),"",'tracking - Table 2-1-2'!E$66)</f>
      </c>
      <c r="U658" t="str" s="969" cm="1">
        <f t="array" ref="U658">IF(OR(ISBLANK($B658),ISBLANK('tracking - Table 2-1-2'!A$1)),"",'tracking - Table 2-1-2'!F$66)</f>
      </c>
    </row>
    <row r="659" ht="8.75" customHeight="1" hidden="1">
      <c r="A659" s="960">
        <v>44998</v>
      </c>
      <c r="B659" s="961">
        <v>80.8</v>
      </c>
      <c r="C659" s="965" cm="1">
        <f t="array" ref="C659">IF(ISBLANK(B659),"",B659*2.2046226218)</f>
        <v>178.133507841440</v>
      </c>
      <c r="D659" s="962" cm="1">
        <f t="array" ref="D659">IF(ISBLANK(B659),"",AVERAGE(B653:B659))</f>
        <v>81.0285714285714</v>
      </c>
      <c r="E659" s="962" cm="1">
        <f t="array" ref="E659">IF(ISBLANK(B659),"",AVERAGE(B646:B659))</f>
        <v>81.4357142857143</v>
      </c>
      <c r="F659" s="962" cm="1">
        <f t="array" ref="F659">IF(ISBLANK(B659),"",AVERAGE(B630:B659))</f>
        <v>81.5483333333333</v>
      </c>
      <c r="G659" s="964"/>
      <c r="H659" s="964"/>
      <c r="I659" s="964"/>
      <c r="J659" s="964"/>
      <c r="K659" s="964"/>
      <c r="L659" s="964"/>
      <c r="M659" s="964"/>
      <c r="N659" s="964"/>
      <c r="O659" s="964"/>
      <c r="P659" s="964"/>
      <c r="Q659" s="962"/>
      <c r="R659" t="str" s="964" cm="1">
        <f t="array" ref="R659">IF(OR(ISBLANK($B659),NOT(ISBLANK(B659))),"",'tracking - Table 2-1-2'!C$66)</f>
      </c>
      <c r="S659" t="str" s="964" cm="1">
        <f t="array" ref="S659">IF(OR(ISBLANK($B659),NOT(ISBLANK(B659))),"",'tracking - Table 2-1-2'!D$66)</f>
      </c>
      <c r="T659" t="str" s="964" cm="1">
        <f t="array" ref="T659">IF(OR(ISBLANK($B659),NOT(ISBLANK(B659))),"",'tracking - Table 2-1-2'!E$66)</f>
      </c>
      <c r="U659" t="str" s="969" cm="1">
        <f t="array" ref="U659">IF(OR(ISBLANK($B659),ISBLANK('tracking - Table 2-1-2'!A$1)),"",'tracking - Table 2-1-2'!F$66)</f>
      </c>
    </row>
    <row r="660" ht="8.75" customHeight="1" hidden="1">
      <c r="A660" s="960">
        <v>44999</v>
      </c>
      <c r="B660" s="356"/>
      <c r="C660" t="str" s="352" cm="1">
        <f t="array" ref="C660">IF(ISBLANK(B660),"",B660*2.2046226218)</f>
      </c>
      <c r="D660" t="str" s="964" cm="1">
        <f t="array" ref="D660">IF(ISBLANK(B660),"",AVERAGE(B654:B660))</f>
      </c>
      <c r="E660" t="str" s="964" cm="1">
        <f t="array" ref="E660">IF(ISBLANK(B660),"",AVERAGE(B647:B660))</f>
      </c>
      <c r="F660" t="str" s="964" cm="1">
        <f t="array" ref="F660">IF(ISBLANK(B660),"",AVERAGE(B631:B660))</f>
      </c>
      <c r="G660" s="964"/>
      <c r="H660" s="964"/>
      <c r="I660" s="964"/>
      <c r="J660" s="964"/>
      <c r="K660" s="964"/>
      <c r="L660" s="964"/>
      <c r="M660" s="964"/>
      <c r="N660" s="964"/>
      <c r="O660" s="964"/>
      <c r="P660" s="964"/>
      <c r="Q660" s="962"/>
      <c r="R660" t="str" s="964" cm="1">
        <f t="array" ref="R660">IF(OR(ISBLANK($B660),NOT(ISBLANK(B660))),"",'tracking - Table 2-1-2'!C$66)</f>
      </c>
      <c r="S660" t="str" s="964" cm="1">
        <f t="array" ref="S660">IF(OR(ISBLANK($B660),NOT(ISBLANK(B660))),"",'tracking - Table 2-1-2'!D$66)</f>
      </c>
      <c r="T660" t="str" s="964" cm="1">
        <f t="array" ref="T660">IF(OR(ISBLANK($B660),NOT(ISBLANK(B660))),"",'tracking - Table 2-1-2'!E$66)</f>
      </c>
      <c r="U660" t="str" s="969" cm="1">
        <f t="array" ref="U660">IF(OR(ISBLANK($B660),ISBLANK('tracking - Table 2-1-2'!A$1)),"",'tracking - Table 2-1-2'!F$66)</f>
      </c>
    </row>
    <row r="661" ht="8.75" customHeight="1" hidden="1">
      <c r="A661" s="960">
        <v>45000</v>
      </c>
      <c r="B661" s="961">
        <v>79.7</v>
      </c>
      <c r="C661" s="965" cm="1">
        <f t="array" ref="C661">IF(ISBLANK(B661),"",B661*2.2046226218)</f>
        <v>175.708422957460</v>
      </c>
      <c r="D661" s="962" cm="1">
        <f t="array" ref="D661">IF(ISBLANK(B661),"",AVERAGE(B655:B661))</f>
        <v>80.7166666666667</v>
      </c>
      <c r="E661" s="962" cm="1">
        <f t="array" ref="E661">IF(ISBLANK(B661),"",AVERAGE(B648:B661))</f>
        <v>81.2</v>
      </c>
      <c r="F661" s="962" cm="1">
        <f t="array" ref="F661">IF(ISBLANK(B661),"",AVERAGE(B632:B661))</f>
        <v>81.4620689655172</v>
      </c>
      <c r="G661" s="964"/>
      <c r="H661" s="964"/>
      <c r="I661" s="964"/>
      <c r="J661" s="964"/>
      <c r="K661" s="964"/>
      <c r="L661" s="964"/>
      <c r="M661" s="964"/>
      <c r="N661" s="964"/>
      <c r="O661" s="964"/>
      <c r="P661" s="964"/>
      <c r="Q661" s="962"/>
      <c r="R661" t="str" s="964" cm="1">
        <f t="array" ref="R661">IF(OR(ISBLANK($B661),NOT(ISBLANK(B661))),"",'tracking - Table 2-1-2'!C$66)</f>
      </c>
      <c r="S661" t="str" s="964" cm="1">
        <f t="array" ref="S661">IF(OR(ISBLANK($B661),NOT(ISBLANK(B661))),"",'tracking - Table 2-1-2'!D$66)</f>
      </c>
      <c r="T661" t="str" s="964" cm="1">
        <f t="array" ref="T661">IF(OR(ISBLANK($B661),NOT(ISBLANK(B661))),"",'tracking - Table 2-1-2'!E$66)</f>
      </c>
      <c r="U661" t="str" s="969" cm="1">
        <f t="array" ref="U661">IF(OR(ISBLANK($B661),ISBLANK('tracking - Table 2-1-2'!A$1)),"",'tracking - Table 2-1-2'!F$66)</f>
      </c>
    </row>
    <row r="662" ht="8.75" customHeight="1" hidden="1">
      <c r="A662" s="960">
        <v>45001</v>
      </c>
      <c r="B662" s="961">
        <v>80.8</v>
      </c>
      <c r="C662" s="965" cm="1">
        <f t="array" ref="C662">IF(ISBLANK(B662),"",B662*2.2046226218)</f>
        <v>178.133507841440</v>
      </c>
      <c r="D662" s="962" cm="1">
        <f t="array" ref="D662">IF(ISBLANK(B662),"",AVERAGE(B656:B662))</f>
        <v>80.6666666666667</v>
      </c>
      <c r="E662" s="962" cm="1">
        <f t="array" ref="E662">IF(ISBLANK(B662),"",AVERAGE(B649:B662))</f>
        <v>81.09999999999999</v>
      </c>
      <c r="F662" s="962" cm="1">
        <f t="array" ref="F662">IF(ISBLANK(B662),"",AVERAGE(B633:B662))</f>
        <v>81.4379310344828</v>
      </c>
      <c r="G662" s="964"/>
      <c r="H662" s="964"/>
      <c r="I662" s="964"/>
      <c r="J662" s="964"/>
      <c r="K662" s="964"/>
      <c r="L662" s="964"/>
      <c r="M662" s="964"/>
      <c r="N662" s="964"/>
      <c r="O662" s="964"/>
      <c r="P662" s="964"/>
      <c r="Q662" s="962"/>
      <c r="R662" t="str" s="964" cm="1">
        <f t="array" ref="R662">IF(OR(ISBLANK($B662),NOT(ISBLANK(B662))),"",'tracking - Table 2-1-2'!C$66)</f>
      </c>
      <c r="S662" t="str" s="964" cm="1">
        <f t="array" ref="S662">IF(OR(ISBLANK($B662),NOT(ISBLANK(B662))),"",'tracking - Table 2-1-2'!D$66)</f>
      </c>
      <c r="T662" t="str" s="964" cm="1">
        <f t="array" ref="T662">IF(OR(ISBLANK($B662),NOT(ISBLANK(B662))),"",'tracking - Table 2-1-2'!E$66)</f>
      </c>
      <c r="U662" t="str" s="969" cm="1">
        <f t="array" ref="U662">IF(OR(ISBLANK($B662),ISBLANK('tracking - Table 2-1-2'!A$1)),"",'tracking - Table 2-1-2'!F$66)</f>
      </c>
    </row>
    <row r="663" ht="8.75" customHeight="1" hidden="1">
      <c r="A663" s="960">
        <v>45002</v>
      </c>
      <c r="B663" s="961">
        <v>80.40000000000001</v>
      </c>
      <c r="C663" s="965" cm="1">
        <f t="array" ref="C663">IF(ISBLANK(B663),"",B663*2.2046226218)</f>
        <v>177.251658792720</v>
      </c>
      <c r="D663" s="962" cm="1">
        <f t="array" ref="D663">IF(ISBLANK(B663),"",AVERAGE(B657:B663))</f>
        <v>80.59999999999999</v>
      </c>
      <c r="E663" s="962" cm="1">
        <f t="array" ref="E663">IF(ISBLANK(B663),"",AVERAGE(B650:B663))</f>
        <v>80.9923076923077</v>
      </c>
      <c r="F663" s="962" cm="1">
        <f t="array" ref="F663">IF(ISBLANK(B663),"",AVERAGE(B634:B663))</f>
        <v>81.40000000000001</v>
      </c>
      <c r="G663" s="964"/>
      <c r="H663" s="964"/>
      <c r="I663" s="964"/>
      <c r="J663" s="964"/>
      <c r="K663" s="964"/>
      <c r="L663" s="964"/>
      <c r="M663" s="964"/>
      <c r="N663" s="964"/>
      <c r="O663" s="964"/>
      <c r="P663" s="964"/>
      <c r="Q663" s="962"/>
      <c r="R663" t="str" s="964" cm="1">
        <f t="array" ref="R663">IF(OR(ISBLANK($B663),NOT(ISBLANK(B663))),"",'tracking - Table 2-1-2'!C$66)</f>
      </c>
      <c r="S663" t="str" s="964" cm="1">
        <f t="array" ref="S663">IF(OR(ISBLANK($B663),NOT(ISBLANK(B663))),"",'tracking - Table 2-1-2'!D$66)</f>
      </c>
      <c r="T663" t="str" s="964" cm="1">
        <f t="array" ref="T663">IF(OR(ISBLANK($B663),NOT(ISBLANK(B663))),"",'tracking - Table 2-1-2'!E$66)</f>
      </c>
      <c r="U663" t="str" s="969" cm="1">
        <f t="array" ref="U663">IF(OR(ISBLANK($B663),ISBLANK('tracking - Table 2-1-2'!A$1)),"",'tracking - Table 2-1-2'!F$66)</f>
      </c>
    </row>
    <row r="664" ht="8.75" customHeight="1" hidden="1">
      <c r="A664" s="960">
        <v>45003</v>
      </c>
      <c r="B664" s="961">
        <v>80.05</v>
      </c>
      <c r="C664" s="965" cm="1">
        <f t="array" ref="C664">IF(ISBLANK(B664),"",B664*2.2046226218)</f>
        <v>176.480040875090</v>
      </c>
      <c r="D664" s="962" cm="1">
        <f t="array" ref="D664">IF(ISBLANK(B664),"",AVERAGE(B658:B664))</f>
        <v>80.425</v>
      </c>
      <c r="E664" s="962" cm="1">
        <f t="array" ref="E664">IF(ISBLANK(B664),"",AVERAGE(B651:B664))</f>
        <v>80.8576923076923</v>
      </c>
      <c r="F664" s="962" cm="1">
        <f t="array" ref="F664">IF(ISBLANK(B664),"",AVERAGE(B635:B664))</f>
        <v>81.3603448275862</v>
      </c>
      <c r="G664" s="964"/>
      <c r="H664" s="964"/>
      <c r="I664" s="964"/>
      <c r="J664" s="964"/>
      <c r="K664" s="964"/>
      <c r="L664" s="964"/>
      <c r="M664" s="964"/>
      <c r="N664" s="964"/>
      <c r="O664" s="964"/>
      <c r="P664" s="964"/>
      <c r="Q664" s="962"/>
      <c r="R664" t="str" s="964" cm="1">
        <f t="array" ref="R664">IF(OR(ISBLANK($B664),NOT(ISBLANK(B664))),"",'tracking - Table 2-1-2'!C$66)</f>
      </c>
      <c r="S664" t="str" s="964" cm="1">
        <f t="array" ref="S664">IF(OR(ISBLANK($B664),NOT(ISBLANK(B664))),"",'tracking - Table 2-1-2'!D$66)</f>
      </c>
      <c r="T664" t="str" s="964" cm="1">
        <f t="array" ref="T664">IF(OR(ISBLANK($B664),NOT(ISBLANK(B664))),"",'tracking - Table 2-1-2'!E$66)</f>
      </c>
      <c r="U664" t="str" s="969" cm="1">
        <f t="array" ref="U664">IF(OR(ISBLANK($B664),ISBLANK('tracking - Table 2-1-2'!A$1)),"",'tracking - Table 2-1-2'!F$66)</f>
      </c>
    </row>
    <row r="665" ht="8.75" customHeight="1" hidden="1">
      <c r="A665" s="960">
        <v>45004</v>
      </c>
      <c r="B665" s="961">
        <v>80.40000000000001</v>
      </c>
      <c r="C665" s="965" cm="1">
        <f t="array" ref="C665">IF(ISBLANK(B665),"",B665*2.2046226218)</f>
        <v>177.251658792720</v>
      </c>
      <c r="D665" s="962" cm="1">
        <f t="array" ref="D665">IF(ISBLANK(B665),"",AVERAGE(B659:B665))</f>
        <v>80.35833333333331</v>
      </c>
      <c r="E665" s="962" cm="1">
        <f t="array" ref="E665">IF(ISBLANK(B665),"",AVERAGE(B652:B665))</f>
        <v>80.7730769230769</v>
      </c>
      <c r="F665" s="962" cm="1">
        <f t="array" ref="F665">IF(ISBLANK(B665),"",AVERAGE(B636:B665))</f>
        <v>81.3086206896552</v>
      </c>
      <c r="G665" s="964"/>
      <c r="H665" s="964"/>
      <c r="I665" s="964"/>
      <c r="J665" s="964"/>
      <c r="K665" s="964"/>
      <c r="L665" s="964"/>
      <c r="M665" s="964"/>
      <c r="N665" s="964"/>
      <c r="O665" s="964"/>
      <c r="P665" s="964"/>
      <c r="Q665" s="962"/>
      <c r="R665" t="str" s="964" cm="1">
        <f t="array" ref="R665">IF(OR(ISBLANK($B665),NOT(ISBLANK(B665))),"",'tracking - Table 2-1-2'!C$66)</f>
      </c>
      <c r="S665" t="str" s="964" cm="1">
        <f t="array" ref="S665">IF(OR(ISBLANK($B665),NOT(ISBLANK(B665))),"",'tracking - Table 2-1-2'!D$66)</f>
      </c>
      <c r="T665" t="str" s="964" cm="1">
        <f t="array" ref="T665">IF(OR(ISBLANK($B665),NOT(ISBLANK(B665))),"",'tracking - Table 2-1-2'!E$66)</f>
      </c>
      <c r="U665" t="str" s="969" cm="1">
        <f t="array" ref="U665">IF(OR(ISBLANK($B665),ISBLANK('tracking - Table 2-1-2'!A$1)),"",'tracking - Table 2-1-2'!F$66)</f>
      </c>
    </row>
    <row r="666" ht="8.75" customHeight="1" hidden="1">
      <c r="A666" s="960">
        <v>45005</v>
      </c>
      <c r="B666" s="961">
        <v>80.8</v>
      </c>
      <c r="C666" s="965" cm="1">
        <f t="array" ref="C666">IF(ISBLANK(B666),"",B666*2.2046226218)</f>
        <v>178.133507841440</v>
      </c>
      <c r="D666" s="962" cm="1">
        <f t="array" ref="D666">IF(ISBLANK(B666),"",AVERAGE(B660:B666))</f>
        <v>80.35833333333331</v>
      </c>
      <c r="E666" s="962" cm="1">
        <f t="array" ref="E666">IF(ISBLANK(B666),"",AVERAGE(B653:B666))</f>
        <v>80.7192307692308</v>
      </c>
      <c r="F666" s="962" cm="1">
        <f t="array" ref="F666">IF(ISBLANK(B666),"",AVERAGE(B637:B666))</f>
        <v>81.2706896551724</v>
      </c>
      <c r="G666" s="964"/>
      <c r="H666" s="964"/>
      <c r="I666" s="964"/>
      <c r="J666" s="964"/>
      <c r="K666" s="964"/>
      <c r="L666" s="964"/>
      <c r="M666" s="964"/>
      <c r="N666" s="964"/>
      <c r="O666" s="964"/>
      <c r="P666" s="964"/>
      <c r="Q666" s="962"/>
      <c r="R666" t="str" s="964" cm="1">
        <f t="array" ref="R666">IF(OR(ISBLANK($B666),NOT(ISBLANK(B666))),"",'tracking - Table 2-1-2'!C$66)</f>
      </c>
      <c r="S666" t="str" s="964" cm="1">
        <f t="array" ref="S666">IF(OR(ISBLANK($B666),NOT(ISBLANK(B666))),"",'tracking - Table 2-1-2'!D$66)</f>
      </c>
      <c r="T666" t="str" s="964" cm="1">
        <f t="array" ref="T666">IF(OR(ISBLANK($B666),NOT(ISBLANK(B666))),"",'tracking - Table 2-1-2'!E$66)</f>
      </c>
      <c r="U666" t="str" s="969" cm="1">
        <f t="array" ref="U666">IF(OR(ISBLANK($B666),ISBLANK('tracking - Table 2-1-2'!A$1)),"",'tracking - Table 2-1-2'!F$66)</f>
      </c>
    </row>
    <row r="667" ht="8.75" customHeight="1" hidden="1">
      <c r="A667" s="960">
        <v>45006</v>
      </c>
      <c r="B667" s="961">
        <v>80.8</v>
      </c>
      <c r="C667" s="965" cm="1">
        <f t="array" ref="C667">IF(ISBLANK(B667),"",B667*2.2046226218)</f>
        <v>178.133507841440</v>
      </c>
      <c r="D667" s="962" cm="1">
        <f t="array" ref="D667">IF(ISBLANK(B667),"",AVERAGE(B661:B667))</f>
        <v>80.42142857142861</v>
      </c>
      <c r="E667" s="962" cm="1">
        <f t="array" ref="E667">IF(ISBLANK(B667),"",AVERAGE(B654:B667))</f>
        <v>80.6653846153846</v>
      </c>
      <c r="F667" s="962" cm="1">
        <f t="array" ref="F667">IF(ISBLANK(B667),"",AVERAGE(B638:B667))</f>
        <v>81.23275862068969</v>
      </c>
      <c r="G667" s="964"/>
      <c r="H667" s="964"/>
      <c r="I667" s="964"/>
      <c r="J667" s="964"/>
      <c r="K667" s="964"/>
      <c r="L667" s="964"/>
      <c r="M667" s="964"/>
      <c r="N667" s="964"/>
      <c r="O667" s="964"/>
      <c r="P667" s="964"/>
      <c r="Q667" s="962"/>
      <c r="R667" t="str" s="964" cm="1">
        <f t="array" ref="R667">IF(OR(ISBLANK($B667),NOT(ISBLANK(B667))),"",'tracking - Table 2-1-2'!C$66)</f>
      </c>
      <c r="S667" t="str" s="964" cm="1">
        <f t="array" ref="S667">IF(OR(ISBLANK($B667),NOT(ISBLANK(B667))),"",'tracking - Table 2-1-2'!D$66)</f>
      </c>
      <c r="T667" t="str" s="964" cm="1">
        <f t="array" ref="T667">IF(OR(ISBLANK($B667),NOT(ISBLANK(B667))),"",'tracking - Table 2-1-2'!E$66)</f>
      </c>
      <c r="U667" t="str" s="969" cm="1">
        <f t="array" ref="U667">IF(OR(ISBLANK($B667),ISBLANK('tracking - Table 2-1-2'!A$1)),"",'tracking - Table 2-1-2'!F$66)</f>
      </c>
    </row>
    <row r="668" ht="8.75" customHeight="1" hidden="1">
      <c r="A668" s="960">
        <v>45007</v>
      </c>
      <c r="B668" s="961">
        <v>81.2</v>
      </c>
      <c r="C668" s="965" cm="1">
        <f t="array" ref="C668">IF(ISBLANK(B668),"",B668*2.2046226218)</f>
        <v>179.015356890160</v>
      </c>
      <c r="D668" s="962" cm="1">
        <f t="array" ref="D668">IF(ISBLANK(B668),"",AVERAGE(B662:B668))</f>
        <v>80.6357142857143</v>
      </c>
      <c r="E668" s="962" cm="1">
        <f t="array" ref="E668">IF(ISBLANK(B668),"",AVERAGE(B655:B668))</f>
        <v>80.67307692307691</v>
      </c>
      <c r="F668" s="962" cm="1">
        <f t="array" ref="F668">IF(ISBLANK(B668),"",AVERAGE(B639:B668))</f>
        <v>81.20862068965521</v>
      </c>
      <c r="G668" s="964"/>
      <c r="H668" s="964"/>
      <c r="I668" s="964"/>
      <c r="J668" s="964"/>
      <c r="K668" s="964"/>
      <c r="L668" s="964"/>
      <c r="M668" s="964"/>
      <c r="N668" s="964"/>
      <c r="O668" s="964"/>
      <c r="P668" s="964"/>
      <c r="Q668" s="962"/>
      <c r="R668" t="str" s="964" cm="1">
        <f t="array" ref="R668">IF(OR(ISBLANK($B668),NOT(ISBLANK(B668))),"",'tracking - Table 2-1-2'!C$66)</f>
      </c>
      <c r="S668" t="str" s="964" cm="1">
        <f t="array" ref="S668">IF(OR(ISBLANK($B668),NOT(ISBLANK(B668))),"",'tracking - Table 2-1-2'!D$66)</f>
      </c>
      <c r="T668" t="str" s="964" cm="1">
        <f t="array" ref="T668">IF(OR(ISBLANK($B668),NOT(ISBLANK(B668))),"",'tracking - Table 2-1-2'!E$66)</f>
      </c>
      <c r="U668" t="str" s="969" cm="1">
        <f t="array" ref="U668">IF(OR(ISBLANK($B668),ISBLANK('tracking - Table 2-1-2'!A$1)),"",'tracking - Table 2-1-2'!F$66)</f>
      </c>
    </row>
    <row r="669" ht="8.75" customHeight="1" hidden="1">
      <c r="A669" s="960">
        <v>45008</v>
      </c>
      <c r="B669" s="961">
        <v>81.2</v>
      </c>
      <c r="C669" s="965" cm="1">
        <f t="array" ref="C669">IF(ISBLANK(B669),"",B669*2.2046226218)</f>
        <v>179.015356890160</v>
      </c>
      <c r="D669" s="962" cm="1">
        <f t="array" ref="D669">IF(ISBLANK(B669),"",AVERAGE(B663:B669))</f>
        <v>80.69285714285709</v>
      </c>
      <c r="E669" s="962" cm="1">
        <f t="array" ref="E669">IF(ISBLANK(B669),"",AVERAGE(B656:B669))</f>
        <v>80.6807692307692</v>
      </c>
      <c r="F669" s="962" cm="1">
        <f t="array" ref="F669">IF(ISBLANK(B669),"",AVERAGE(B640:B669))</f>
        <v>81.198275862069</v>
      </c>
      <c r="G669" s="964"/>
      <c r="H669" s="964"/>
      <c r="I669" s="964"/>
      <c r="J669" s="964"/>
      <c r="K669" s="964"/>
      <c r="L669" s="964"/>
      <c r="M669" s="964"/>
      <c r="N669" s="964"/>
      <c r="O669" s="964"/>
      <c r="P669" s="964"/>
      <c r="Q669" s="962"/>
      <c r="R669" t="str" s="964" cm="1">
        <f t="array" ref="R669">IF(OR(ISBLANK($B669),NOT(ISBLANK(B669))),"",'tracking - Table 2-1-2'!C$66)</f>
      </c>
      <c r="S669" t="str" s="964" cm="1">
        <f t="array" ref="S669">IF(OR(ISBLANK($B669),NOT(ISBLANK(B669))),"",'tracking - Table 2-1-2'!D$66)</f>
      </c>
      <c r="T669" t="str" s="964" cm="1">
        <f t="array" ref="T669">IF(OR(ISBLANK($B669),NOT(ISBLANK(B669))),"",'tracking - Table 2-1-2'!E$66)</f>
      </c>
      <c r="U669" t="str" s="969" cm="1">
        <f t="array" ref="U669">IF(OR(ISBLANK($B669),ISBLANK('tracking - Table 2-1-2'!A$1)),"",'tracking - Table 2-1-2'!F$66)</f>
      </c>
    </row>
    <row r="670" ht="8.75" customHeight="1" hidden="1">
      <c r="A670" s="960">
        <v>45009</v>
      </c>
      <c r="B670" s="961">
        <v>80.45</v>
      </c>
      <c r="C670" s="965" cm="1">
        <f t="array" ref="C670">IF(ISBLANK(B670),"",B670*2.2046226218)</f>
        <v>177.361889923810</v>
      </c>
      <c r="D670" s="962" cm="1">
        <f t="array" ref="D670">IF(ISBLANK(B670),"",AVERAGE(B664:B670))</f>
        <v>80.7</v>
      </c>
      <c r="E670" s="962" cm="1">
        <f t="array" ref="E670">IF(ISBLANK(B670),"",AVERAGE(B657:B670))</f>
        <v>80.6538461538462</v>
      </c>
      <c r="F670" s="962" cm="1">
        <f t="array" ref="F670">IF(ISBLANK(B670),"",AVERAGE(B641:B670))</f>
        <v>81.16206896551719</v>
      </c>
      <c r="G670" s="964"/>
      <c r="H670" s="964"/>
      <c r="I670" s="964"/>
      <c r="J670" s="964"/>
      <c r="K670" s="964"/>
      <c r="L670" s="964"/>
      <c r="M670" s="964"/>
      <c r="N670" s="964"/>
      <c r="O670" s="964"/>
      <c r="P670" s="964"/>
      <c r="Q670" s="962"/>
      <c r="R670" t="str" s="964" cm="1">
        <f t="array" ref="R670">IF(OR(ISBLANK($B670),NOT(ISBLANK(B670))),"",'tracking - Table 2-1-2'!C$66)</f>
      </c>
      <c r="S670" t="str" s="964" cm="1">
        <f t="array" ref="S670">IF(OR(ISBLANK($B670),NOT(ISBLANK(B670))),"",'tracking - Table 2-1-2'!D$66)</f>
      </c>
      <c r="T670" t="str" s="964" cm="1">
        <f t="array" ref="T670">IF(OR(ISBLANK($B670),NOT(ISBLANK(B670))),"",'tracking - Table 2-1-2'!E$66)</f>
      </c>
      <c r="U670" t="str" s="969" cm="1">
        <f t="array" ref="U670">IF(OR(ISBLANK($B670),ISBLANK('tracking - Table 2-1-2'!A$1)),"",'tracking - Table 2-1-2'!F$66)</f>
      </c>
    </row>
    <row r="671" ht="8.75" customHeight="1" hidden="1">
      <c r="A671" s="960">
        <v>45010</v>
      </c>
      <c r="B671" s="961">
        <v>80.45</v>
      </c>
      <c r="C671" s="965" cm="1">
        <f t="array" ref="C671">IF(ISBLANK(B671),"",B671*2.2046226218)</f>
        <v>177.361889923810</v>
      </c>
      <c r="D671" s="962" cm="1">
        <f t="array" ref="D671">IF(ISBLANK(B671),"",AVERAGE(B665:B671))</f>
        <v>80.7571428571429</v>
      </c>
      <c r="E671" s="962" cm="1">
        <f t="array" ref="E671">IF(ISBLANK(B671),"",AVERAGE(B658:B671))</f>
        <v>80.60384615384621</v>
      </c>
      <c r="F671" s="962" cm="1">
        <f t="array" ref="F671">IF(ISBLANK(B671),"",AVERAGE(B642:B671))</f>
        <v>81.1258620689655</v>
      </c>
      <c r="G671" s="964"/>
      <c r="H671" s="964"/>
      <c r="I671" s="964"/>
      <c r="J671" s="964"/>
      <c r="K671" s="964"/>
      <c r="L671" s="964"/>
      <c r="M671" s="964"/>
      <c r="N671" s="964"/>
      <c r="O671" s="964"/>
      <c r="P671" s="964"/>
      <c r="Q671" s="962"/>
      <c r="R671" t="str" s="964" cm="1">
        <f t="array" ref="R671">IF(OR(ISBLANK($B671),NOT(ISBLANK(B671))),"",'tracking - Table 2-1-2'!C$66)</f>
      </c>
      <c r="S671" t="str" s="964" cm="1">
        <f t="array" ref="S671">IF(OR(ISBLANK($B671),NOT(ISBLANK(B671))),"",'tracking - Table 2-1-2'!D$66)</f>
      </c>
      <c r="T671" t="str" s="964" cm="1">
        <f t="array" ref="T671">IF(OR(ISBLANK($B671),NOT(ISBLANK(B671))),"",'tracking - Table 2-1-2'!E$66)</f>
      </c>
      <c r="U671" t="str" s="969" cm="1">
        <f t="array" ref="U671">IF(OR(ISBLANK($B671),ISBLANK('tracking - Table 2-1-2'!A$1)),"",'tracking - Table 2-1-2'!F$66)</f>
      </c>
    </row>
    <row r="672" ht="8.75" customHeight="1" hidden="1">
      <c r="A672" s="960">
        <v>45011</v>
      </c>
      <c r="B672" s="961">
        <v>80</v>
      </c>
      <c r="C672" s="965" cm="1">
        <f t="array" ref="C672">IF(ISBLANK(B672),"",B672*2.2046226218)</f>
        <v>176.369809744</v>
      </c>
      <c r="D672" s="962" cm="1">
        <f t="array" ref="D672">IF(ISBLANK(B672),"",AVERAGE(B666:B672))</f>
        <v>80.7</v>
      </c>
      <c r="E672" s="962" cm="1">
        <f t="array" ref="E672">IF(ISBLANK(B672),"",AVERAGE(B659:B672))</f>
        <v>80.5423076923077</v>
      </c>
      <c r="F672" s="962" cm="1">
        <f t="array" ref="F672">IF(ISBLANK(B672),"",AVERAGE(B643:B672))</f>
        <v>81.0741379310345</v>
      </c>
      <c r="G672" s="964"/>
      <c r="H672" s="964"/>
      <c r="I672" s="964"/>
      <c r="J672" s="964"/>
      <c r="K672" s="964"/>
      <c r="L672" s="964"/>
      <c r="M672" s="964"/>
      <c r="N672" s="964"/>
      <c r="O672" s="964"/>
      <c r="P672" s="964"/>
      <c r="Q672" s="962"/>
      <c r="R672" t="str" s="964" cm="1">
        <f t="array" ref="R672">IF(OR(ISBLANK($B672),NOT(ISBLANK(B672))),"",'tracking - Table 2-1-2'!C$66)</f>
      </c>
      <c r="S672" t="str" s="964" cm="1">
        <f t="array" ref="S672">IF(OR(ISBLANK($B672),NOT(ISBLANK(B672))),"",'tracking - Table 2-1-2'!D$66)</f>
      </c>
      <c r="T672" t="str" s="964" cm="1">
        <f t="array" ref="T672">IF(OR(ISBLANK($B672),NOT(ISBLANK(B672))),"",'tracking - Table 2-1-2'!E$66)</f>
      </c>
      <c r="U672" t="str" s="969" cm="1">
        <f t="array" ref="U672">IF(OR(ISBLANK($B672),ISBLANK('tracking - Table 2-1-2'!A$1)),"",'tracking - Table 2-1-2'!F$66)</f>
      </c>
    </row>
    <row r="673" ht="8.75" customHeight="1" hidden="1">
      <c r="A673" s="960">
        <v>45012</v>
      </c>
      <c r="B673" s="961">
        <v>80.8</v>
      </c>
      <c r="C673" s="965" cm="1">
        <f t="array" ref="C673">IF(ISBLANK(B673),"",B673*2.2046226218)</f>
        <v>178.133507841440</v>
      </c>
      <c r="D673" s="962" cm="1">
        <f t="array" ref="D673">IF(ISBLANK(B673),"",AVERAGE(B667:B673))</f>
        <v>80.7</v>
      </c>
      <c r="E673" s="962" cm="1">
        <f t="array" ref="E673">IF(ISBLANK(B673),"",AVERAGE(B660:B673))</f>
        <v>80.5423076923077</v>
      </c>
      <c r="F673" s="962" cm="1">
        <f t="array" ref="F673">IF(ISBLANK(B673),"",AVERAGE(B644:B673))</f>
        <v>81.05</v>
      </c>
      <c r="G673" s="964"/>
      <c r="H673" s="964"/>
      <c r="I673" s="964"/>
      <c r="J673" s="964"/>
      <c r="K673" s="964"/>
      <c r="L673" s="964"/>
      <c r="M673" s="964"/>
      <c r="N673" s="964"/>
      <c r="O673" s="964"/>
      <c r="P673" s="964"/>
      <c r="Q673" s="962"/>
      <c r="R673" t="str" s="964" cm="1">
        <f t="array" ref="R673">IF(OR(ISBLANK($B673),NOT(ISBLANK(B673))),"",'tracking - Table 2-1-2'!C$66)</f>
      </c>
      <c r="S673" t="str" s="964" cm="1">
        <f t="array" ref="S673">IF(OR(ISBLANK($B673),NOT(ISBLANK(B673))),"",'tracking - Table 2-1-2'!D$66)</f>
      </c>
      <c r="T673" t="str" s="964" cm="1">
        <f t="array" ref="T673">IF(OR(ISBLANK($B673),NOT(ISBLANK(B673))),"",'tracking - Table 2-1-2'!E$66)</f>
      </c>
      <c r="U673" t="str" s="969" cm="1">
        <f t="array" ref="U673">IF(OR(ISBLANK($B673),ISBLANK('tracking - Table 2-1-2'!A$1)),"",'tracking - Table 2-1-2'!F$66)</f>
      </c>
    </row>
    <row r="674" ht="8.75" customHeight="1" hidden="1">
      <c r="A674" s="960">
        <v>45013</v>
      </c>
      <c r="B674" s="356"/>
      <c r="C674" t="str" s="352" cm="1">
        <f t="array" ref="C674">IF(ISBLANK(B674),"",B674*2.2046226218)</f>
      </c>
      <c r="D674" t="str" s="964" cm="1">
        <f t="array" ref="D674">IF(ISBLANK(B674),"",AVERAGE(B668:B674))</f>
      </c>
      <c r="E674" t="str" s="964" cm="1">
        <f t="array" ref="E674">IF(ISBLANK(B674),"",AVERAGE(B661:B674))</f>
      </c>
      <c r="F674" t="str" s="964" cm="1">
        <f t="array" ref="F674">IF(ISBLANK(B674),"",AVERAGE(B645:B674))</f>
      </c>
      <c r="G674" s="964"/>
      <c r="H674" s="964"/>
      <c r="I674" s="964"/>
      <c r="J674" s="964"/>
      <c r="K674" s="964"/>
      <c r="L674" s="964"/>
      <c r="M674" s="964"/>
      <c r="N674" s="964"/>
      <c r="O674" s="964"/>
      <c r="P674" s="964"/>
      <c r="Q674" s="962"/>
      <c r="R674" t="str" s="964" cm="1">
        <f t="array" ref="R674">IF(OR(ISBLANK($B674),NOT(ISBLANK(B674))),"",'tracking - Table 2-1-2'!C$66)</f>
      </c>
      <c r="S674" t="str" s="964" cm="1">
        <f t="array" ref="S674">IF(OR(ISBLANK($B674),NOT(ISBLANK(B674))),"",'tracking - Table 2-1-2'!D$66)</f>
      </c>
      <c r="T674" t="str" s="964" cm="1">
        <f t="array" ref="T674">IF(OR(ISBLANK($B674),NOT(ISBLANK(B674))),"",'tracking - Table 2-1-2'!E$66)</f>
      </c>
      <c r="U674" t="str" s="969" cm="1">
        <f t="array" ref="U674">IF(OR(ISBLANK($B674),ISBLANK('tracking - Table 2-1-2'!A$1)),"",'tracking - Table 2-1-2'!F$66)</f>
      </c>
    </row>
    <row r="675" ht="8.75" customHeight="1" hidden="1">
      <c r="A675" s="960">
        <v>45014</v>
      </c>
      <c r="B675" s="961">
        <v>80</v>
      </c>
      <c r="C675" s="965" cm="1">
        <f t="array" ref="C675">IF(ISBLANK(B675),"",B675*2.2046226218)</f>
        <v>176.369809744</v>
      </c>
      <c r="D675" s="962" cm="1">
        <f t="array" ref="D675">IF(ISBLANK(B675),"",AVERAGE(B669:B675))</f>
        <v>80.48333333333331</v>
      </c>
      <c r="E675" s="962" cm="1">
        <f t="array" ref="E675">IF(ISBLANK(B675),"",AVERAGE(B662:B675))</f>
        <v>80.5653846153846</v>
      </c>
      <c r="F675" s="962" cm="1">
        <f t="array" ref="F675">IF(ISBLANK(B675),"",AVERAGE(B646:B675))</f>
        <v>80.9696428571429</v>
      </c>
      <c r="G675" s="964"/>
      <c r="H675" s="964"/>
      <c r="I675" s="964"/>
      <c r="J675" s="964"/>
      <c r="K675" s="964"/>
      <c r="L675" s="964"/>
      <c r="M675" s="964"/>
      <c r="N675" s="964"/>
      <c r="O675" s="964"/>
      <c r="P675" s="964"/>
      <c r="Q675" s="962"/>
      <c r="R675" t="str" s="964" cm="1">
        <f t="array" ref="R675">IF(OR(ISBLANK($B675),NOT(ISBLANK(B675))),"",'tracking - Table 2-1-2'!C$66)</f>
      </c>
      <c r="S675" t="str" s="964" cm="1">
        <f t="array" ref="S675">IF(OR(ISBLANK($B675),NOT(ISBLANK(B675))),"",'tracking - Table 2-1-2'!D$66)</f>
      </c>
      <c r="T675" t="str" s="964" cm="1">
        <f t="array" ref="T675">IF(OR(ISBLANK($B675),NOT(ISBLANK(B675))),"",'tracking - Table 2-1-2'!E$66)</f>
      </c>
      <c r="U675" t="str" s="969" cm="1">
        <f t="array" ref="U675">IF(OR(ISBLANK($B675),ISBLANK('tracking - Table 2-1-2'!A$1)),"",'tracking - Table 2-1-2'!F$66)</f>
      </c>
    </row>
    <row r="676" ht="8.75" customHeight="1" hidden="1">
      <c r="A676" s="960">
        <v>45015</v>
      </c>
      <c r="B676" s="961">
        <v>80.34999999999999</v>
      </c>
      <c r="C676" s="965" cm="1">
        <f t="array" ref="C676">IF(ISBLANK(B676),"",B676*2.2046226218)</f>
        <v>177.141427661630</v>
      </c>
      <c r="D676" s="962" cm="1">
        <f t="array" ref="D676">IF(ISBLANK(B676),"",AVERAGE(B670:B676))</f>
        <v>80.3416666666667</v>
      </c>
      <c r="E676" s="962" cm="1">
        <f t="array" ref="E676">IF(ISBLANK(B676),"",AVERAGE(B663:B676))</f>
        <v>80.5307692307692</v>
      </c>
      <c r="F676" s="962" cm="1">
        <f t="array" ref="F676">IF(ISBLANK(B676),"",AVERAGE(B647:B676))</f>
        <v>80.8964285714286</v>
      </c>
      <c r="G676" s="964"/>
      <c r="H676" s="964"/>
      <c r="I676" s="964"/>
      <c r="J676" s="964"/>
      <c r="K676" s="964"/>
      <c r="L676" s="964"/>
      <c r="M676" s="964"/>
      <c r="N676" s="964"/>
      <c r="O676" s="964"/>
      <c r="P676" s="964"/>
      <c r="Q676" s="962"/>
      <c r="R676" t="str" s="964" cm="1">
        <f t="array" ref="R676">IF(OR(ISBLANK($B676),NOT(ISBLANK(B676))),"",'tracking - Table 2-1-2'!C$66)</f>
      </c>
      <c r="S676" t="str" s="964" cm="1">
        <f t="array" ref="S676">IF(OR(ISBLANK($B676),NOT(ISBLANK(B676))),"",'tracking - Table 2-1-2'!D$66)</f>
      </c>
      <c r="T676" t="str" s="964" cm="1">
        <f t="array" ref="T676">IF(OR(ISBLANK($B676),NOT(ISBLANK(B676))),"",'tracking - Table 2-1-2'!E$66)</f>
      </c>
      <c r="U676" t="str" s="969" cm="1">
        <f t="array" ref="U676">IF(OR(ISBLANK($B676),ISBLANK('tracking - Table 2-1-2'!A$1)),"",'tracking - Table 2-1-2'!F$66)</f>
      </c>
    </row>
    <row r="677" ht="8.75" customHeight="1" hidden="1">
      <c r="A677" s="960">
        <v>45016</v>
      </c>
      <c r="B677" s="356"/>
      <c r="C677" t="str" s="352" cm="1">
        <f t="array" ref="C677">IF(ISBLANK(B677),"",B677*2.2046226218)</f>
      </c>
      <c r="D677" t="str" s="964" cm="1">
        <f t="array" ref="D677">IF(ISBLANK(B677),"",AVERAGE(B671:B677))</f>
      </c>
      <c r="E677" t="str" s="964" cm="1">
        <f t="array" ref="E677">IF(ISBLANK(B677),"",AVERAGE(B664:B677))</f>
      </c>
      <c r="F677" t="str" s="964" cm="1">
        <f t="array" ref="F677">IF(ISBLANK(B677),"",AVERAGE(B648:B677))</f>
      </c>
      <c r="G677" s="964"/>
      <c r="H677" s="964"/>
      <c r="I677" s="964"/>
      <c r="J677" s="964"/>
      <c r="K677" s="964"/>
      <c r="L677" s="964"/>
      <c r="M677" s="964"/>
      <c r="N677" s="964"/>
      <c r="O677" s="964"/>
      <c r="P677" s="964"/>
      <c r="Q677" s="962"/>
      <c r="R677" t="str" s="964" cm="1">
        <f t="array" ref="R677">IF(OR(ISBLANK($B677),NOT(ISBLANK(B677))),"",'tracking - Table 2-1-2'!C$66)</f>
      </c>
      <c r="S677" t="str" s="964" cm="1">
        <f t="array" ref="S677">IF(OR(ISBLANK($B677),NOT(ISBLANK(B677))),"",'tracking - Table 2-1-2'!D$66)</f>
      </c>
      <c r="T677" t="str" s="964" cm="1">
        <f t="array" ref="T677">IF(OR(ISBLANK($B677),NOT(ISBLANK(B677))),"",'tracking - Table 2-1-2'!E$66)</f>
      </c>
      <c r="U677" t="str" s="969" cm="1">
        <f t="array" ref="U677">IF(OR(ISBLANK($B677),ISBLANK('tracking - Table 2-1-2'!A$1)),"",'tracking - Table 2-1-2'!F$66)</f>
      </c>
    </row>
    <row r="678" ht="8.75" customHeight="1" hidden="1">
      <c r="A678" s="960">
        <v>45017</v>
      </c>
      <c r="B678" s="961">
        <v>80.34999999999999</v>
      </c>
      <c r="C678" s="965" cm="1">
        <f t="array" ref="C678">IF(ISBLANK(B678),"",B678*2.2046226218)</f>
        <v>177.141427661630</v>
      </c>
      <c r="D678" s="962" cm="1">
        <f t="array" ref="D678">IF(ISBLANK(B678),"",AVERAGE(B672:B678))</f>
        <v>80.3</v>
      </c>
      <c r="E678" s="962" cm="1">
        <f t="array" ref="E678">IF(ISBLANK(B678),"",AVERAGE(B665:B678))</f>
        <v>80.56666666666671</v>
      </c>
      <c r="F678" s="962" cm="1">
        <f t="array" ref="F678">IF(ISBLANK(B678),"",AVERAGE(B649:B678))</f>
        <v>80.7981481481481</v>
      </c>
      <c r="G678" s="964"/>
      <c r="H678" s="964"/>
      <c r="I678" s="964"/>
      <c r="J678" s="964"/>
      <c r="K678" s="964"/>
      <c r="L678" s="964"/>
      <c r="M678" s="964"/>
      <c r="N678" s="964"/>
      <c r="O678" s="964"/>
      <c r="P678" s="964"/>
      <c r="Q678" s="962"/>
      <c r="R678" t="str" s="964" cm="1">
        <f t="array" ref="R678">IF(OR(ISBLANK($B678),NOT(ISBLANK(B678))),"",'tracking - Table 2-1-2'!C$66)</f>
      </c>
      <c r="S678" t="str" s="964" cm="1">
        <f t="array" ref="S678">IF(OR(ISBLANK($B678),NOT(ISBLANK(B678))),"",'tracking - Table 2-1-2'!D$66)</f>
      </c>
      <c r="T678" t="str" s="964" cm="1">
        <f t="array" ref="T678">IF(OR(ISBLANK($B678),NOT(ISBLANK(B678))),"",'tracking - Table 2-1-2'!E$66)</f>
      </c>
      <c r="U678" t="str" s="969" cm="1">
        <f t="array" ref="U678">IF(OR(ISBLANK($B678),ISBLANK('tracking - Table 2-1-2'!A$1)),"",'tracking - Table 2-1-2'!F$66)</f>
      </c>
    </row>
    <row r="679" ht="8.75" customHeight="1" hidden="1">
      <c r="A679" s="960">
        <v>45018</v>
      </c>
      <c r="B679" s="961">
        <v>80.90000000000001</v>
      </c>
      <c r="C679" s="965" cm="1">
        <f t="array" ref="C679">IF(ISBLANK(B679),"",B679*2.2046226218)</f>
        <v>178.353970103620</v>
      </c>
      <c r="D679" s="962" cm="1">
        <f t="array" ref="D679">IF(ISBLANK(B679),"",AVERAGE(B673:B679))</f>
        <v>80.48</v>
      </c>
      <c r="E679" s="962" cm="1">
        <f t="array" ref="E679">IF(ISBLANK(B679),"",AVERAGE(B666:B679))</f>
        <v>80.60833333333331</v>
      </c>
      <c r="F679" s="962" cm="1">
        <f t="array" ref="F679">IF(ISBLANK(B679),"",AVERAGE(B650:B679))</f>
        <v>80.7648148148148</v>
      </c>
      <c r="G679" s="964"/>
      <c r="H679" s="964"/>
      <c r="I679" s="964"/>
      <c r="J679" s="964"/>
      <c r="K679" s="964"/>
      <c r="L679" s="964"/>
      <c r="M679" s="964"/>
      <c r="N679" s="964"/>
      <c r="O679" s="964"/>
      <c r="P679" s="964"/>
      <c r="Q679" s="962"/>
      <c r="R679" t="str" s="964" cm="1">
        <f t="array" ref="R679">IF(OR(ISBLANK($B679),NOT(ISBLANK(B679))),"",'tracking - Table 2-1-2'!C$66)</f>
      </c>
      <c r="S679" t="str" s="964" cm="1">
        <f t="array" ref="S679">IF(OR(ISBLANK($B679),NOT(ISBLANK(B679))),"",'tracking - Table 2-1-2'!D$66)</f>
      </c>
      <c r="T679" t="str" s="964" cm="1">
        <f t="array" ref="T679">IF(OR(ISBLANK($B679),NOT(ISBLANK(B679))),"",'tracking - Table 2-1-2'!E$66)</f>
      </c>
      <c r="U679" t="str" s="969" cm="1">
        <f t="array" ref="U679">IF(OR(ISBLANK($B679),ISBLANK('tracking - Table 2-1-2'!A$1)),"",'tracking - Table 2-1-2'!F$66)</f>
      </c>
    </row>
    <row r="680" ht="8.75" customHeight="1" hidden="1">
      <c r="A680" s="960">
        <v>45019</v>
      </c>
      <c r="B680" s="961">
        <v>80.90000000000001</v>
      </c>
      <c r="C680" s="965" cm="1">
        <f t="array" ref="C680">IF(ISBLANK(B680),"",B680*2.2046226218)</f>
        <v>178.353970103620</v>
      </c>
      <c r="D680" s="962" cm="1">
        <f t="array" ref="D680">IF(ISBLANK(B680),"",AVERAGE(B674:B680))</f>
        <v>80.5</v>
      </c>
      <c r="E680" s="962" cm="1">
        <f t="array" ref="E680">IF(ISBLANK(B680),"",AVERAGE(B667:B680))</f>
        <v>80.6166666666667</v>
      </c>
      <c r="F680" s="962" cm="1">
        <f t="array" ref="F680">IF(ISBLANK(B680),"",AVERAGE(B651:B680))</f>
        <v>80.7314814814815</v>
      </c>
      <c r="G680" s="964"/>
      <c r="H680" s="964"/>
      <c r="I680" s="964"/>
      <c r="J680" s="964"/>
      <c r="K680" s="964"/>
      <c r="L680" s="964"/>
      <c r="M680" s="964"/>
      <c r="N680" s="964"/>
      <c r="O680" s="964"/>
      <c r="P680" s="964"/>
      <c r="Q680" s="962"/>
      <c r="R680" t="str" s="964" cm="1">
        <f t="array" ref="R680">IF(OR(ISBLANK($B680),NOT(ISBLANK(B680))),"",'tracking - Table 2-1-2'!C$66)</f>
      </c>
      <c r="S680" t="str" s="964" cm="1">
        <f t="array" ref="S680">IF(OR(ISBLANK($B680),NOT(ISBLANK(B680))),"",'tracking - Table 2-1-2'!D$66)</f>
      </c>
      <c r="T680" t="str" s="964" cm="1">
        <f t="array" ref="T680">IF(OR(ISBLANK($B680),NOT(ISBLANK(B680))),"",'tracking - Table 2-1-2'!E$66)</f>
      </c>
      <c r="U680" t="str" s="969" cm="1">
        <f t="array" ref="U680">IF(OR(ISBLANK($B680),ISBLANK('tracking - Table 2-1-2'!A$1)),"",'tracking - Table 2-1-2'!F$66)</f>
      </c>
    </row>
    <row r="681" ht="8.75" customHeight="1" hidden="1">
      <c r="A681" s="960">
        <v>45020</v>
      </c>
      <c r="B681" s="961">
        <v>80.34999999999999</v>
      </c>
      <c r="C681" s="965" cm="1">
        <f t="array" ref="C681">IF(ISBLANK(B681),"",B681*2.2046226218)</f>
        <v>177.141427661630</v>
      </c>
      <c r="D681" s="962" cm="1">
        <f t="array" ref="D681">IF(ISBLANK(B681),"",AVERAGE(B675:B681))</f>
        <v>80.47499999999999</v>
      </c>
      <c r="E681" s="962" cm="1">
        <f t="array" ref="E681">IF(ISBLANK(B681),"",AVERAGE(B668:B681))</f>
        <v>80.57916666666669</v>
      </c>
      <c r="F681" s="962" cm="1">
        <f t="array" ref="F681">IF(ISBLANK(B681),"",AVERAGE(B652:B681))</f>
        <v>80.6888888888889</v>
      </c>
      <c r="G681" s="964"/>
      <c r="H681" s="964"/>
      <c r="I681" s="964"/>
      <c r="J681" s="964"/>
      <c r="K681" s="964"/>
      <c r="L681" s="964"/>
      <c r="M681" s="964"/>
      <c r="N681" s="964"/>
      <c r="O681" s="964"/>
      <c r="P681" s="964"/>
      <c r="Q681" s="962"/>
      <c r="R681" t="str" s="964" cm="1">
        <f t="array" ref="R681">IF(OR(ISBLANK($B681),NOT(ISBLANK(B681))),"",'tracking - Table 2-1-2'!C$66)</f>
      </c>
      <c r="S681" t="str" s="964" cm="1">
        <f t="array" ref="S681">IF(OR(ISBLANK($B681),NOT(ISBLANK(B681))),"",'tracking - Table 2-1-2'!D$66)</f>
      </c>
      <c r="T681" t="str" s="964" cm="1">
        <f t="array" ref="T681">IF(OR(ISBLANK($B681),NOT(ISBLANK(B681))),"",'tracking - Table 2-1-2'!E$66)</f>
      </c>
      <c r="U681" t="str" s="969" cm="1">
        <f t="array" ref="U681">IF(OR(ISBLANK($B681),ISBLANK('tracking - Table 2-1-2'!A$1)),"",'tracking - Table 2-1-2'!F$66)</f>
      </c>
    </row>
    <row r="682" ht="8.75" customHeight="1" hidden="1">
      <c r="A682" s="960">
        <v>45021</v>
      </c>
      <c r="B682" s="961">
        <v>81.2</v>
      </c>
      <c r="C682" s="965" cm="1">
        <f t="array" ref="C682">IF(ISBLANK(B682),"",B682*2.2046226218)</f>
        <v>179.015356890160</v>
      </c>
      <c r="D682" s="962" cm="1">
        <f t="array" ref="D682">IF(ISBLANK(B682),"",AVERAGE(B676:B682))</f>
        <v>80.675</v>
      </c>
      <c r="E682" s="962" cm="1">
        <f t="array" ref="E682">IF(ISBLANK(B682),"",AVERAGE(B669:B682))</f>
        <v>80.57916666666669</v>
      </c>
      <c r="F682" s="962" cm="1">
        <f t="array" ref="F682">IF(ISBLANK(B682),"",AVERAGE(B653:B682))</f>
        <v>80.67777777777781</v>
      </c>
      <c r="G682" s="964"/>
      <c r="H682" s="964"/>
      <c r="I682" s="964"/>
      <c r="J682" s="964"/>
      <c r="K682" s="964"/>
      <c r="L682" s="964"/>
      <c r="M682" s="964"/>
      <c r="N682" s="964"/>
      <c r="O682" s="964"/>
      <c r="P682" s="964"/>
      <c r="Q682" s="962"/>
      <c r="R682" t="str" s="964" cm="1">
        <f t="array" ref="R682">IF(OR(ISBLANK($B682),NOT(ISBLANK(B682))),"",'tracking - Table 2-1-2'!C$66)</f>
      </c>
      <c r="S682" t="str" s="964" cm="1">
        <f t="array" ref="S682">IF(OR(ISBLANK($B682),NOT(ISBLANK(B682))),"",'tracking - Table 2-1-2'!D$66)</f>
      </c>
      <c r="T682" t="str" s="964" cm="1">
        <f t="array" ref="T682">IF(OR(ISBLANK($B682),NOT(ISBLANK(B682))),"",'tracking - Table 2-1-2'!E$66)</f>
      </c>
      <c r="U682" t="str" s="969" cm="1">
        <f t="array" ref="U682">IF(OR(ISBLANK($B682),ISBLANK('tracking - Table 2-1-2'!A$1)),"",'tracking - Table 2-1-2'!F$66)</f>
      </c>
    </row>
    <row r="683" ht="8.75" customHeight="1" hidden="1">
      <c r="A683" s="960">
        <v>45022</v>
      </c>
      <c r="B683" s="961">
        <v>80.84999999999999</v>
      </c>
      <c r="C683" s="965" cm="1">
        <f t="array" ref="C683">IF(ISBLANK(B683),"",B683*2.2046226218)</f>
        <v>178.243738972530</v>
      </c>
      <c r="D683" s="962" cm="1">
        <f t="array" ref="D683">IF(ISBLANK(B683),"",AVERAGE(B677:B683))</f>
        <v>80.7583333333333</v>
      </c>
      <c r="E683" s="962" cm="1">
        <f t="array" ref="E683">IF(ISBLANK(B683),"",AVERAGE(B670:B683))</f>
        <v>80.55</v>
      </c>
      <c r="F683" s="962" cm="1">
        <f t="array" ref="F683">IF(ISBLANK(B683),"",AVERAGE(B654:B683))</f>
        <v>80.6537037037037</v>
      </c>
      <c r="G683" s="964"/>
      <c r="H683" s="964"/>
      <c r="I683" s="964"/>
      <c r="J683" s="964"/>
      <c r="K683" s="964"/>
      <c r="L683" s="964"/>
      <c r="M683" s="964"/>
      <c r="N683" s="964"/>
      <c r="O683" s="964"/>
      <c r="P683" s="964"/>
      <c r="Q683" s="962"/>
      <c r="R683" t="str" s="964" cm="1">
        <f t="array" ref="R683">IF(OR(ISBLANK($B683),NOT(ISBLANK(B683))),"",'tracking - Table 2-1-2'!C$66)</f>
      </c>
      <c r="S683" t="str" s="964" cm="1">
        <f t="array" ref="S683">IF(OR(ISBLANK($B683),NOT(ISBLANK(B683))),"",'tracking - Table 2-1-2'!D$66)</f>
      </c>
      <c r="T683" t="str" s="964" cm="1">
        <f t="array" ref="T683">IF(OR(ISBLANK($B683),NOT(ISBLANK(B683))),"",'tracking - Table 2-1-2'!E$66)</f>
      </c>
      <c r="U683" t="str" s="969" cm="1">
        <f t="array" ref="U683">IF(OR(ISBLANK($B683),ISBLANK('tracking - Table 2-1-2'!A$1)),"",'tracking - Table 2-1-2'!F$66)</f>
      </c>
    </row>
    <row r="684" ht="8.75" customHeight="1" hidden="1">
      <c r="A684" s="960">
        <v>45023</v>
      </c>
      <c r="B684" s="961">
        <v>80.34999999999999</v>
      </c>
      <c r="C684" s="965" cm="1">
        <f t="array" ref="C684">IF(ISBLANK(B684),"",B684*2.2046226218)</f>
        <v>177.141427661630</v>
      </c>
      <c r="D684" s="962" cm="1">
        <f t="array" ref="D684">IF(ISBLANK(B684),"",AVERAGE(B678:B684))</f>
        <v>80.7</v>
      </c>
      <c r="E684" s="962" cm="1">
        <f t="array" ref="E684">IF(ISBLANK(B684),"",AVERAGE(B671:B684))</f>
        <v>80.5416666666667</v>
      </c>
      <c r="F684" s="962" cm="1">
        <f t="array" ref="F684">IF(ISBLANK(B684),"",AVERAGE(B655:B684))</f>
        <v>80.6259259259259</v>
      </c>
      <c r="G684" s="964"/>
      <c r="H684" s="964"/>
      <c r="I684" s="964"/>
      <c r="J684" s="964"/>
      <c r="K684" s="964"/>
      <c r="L684" s="964"/>
      <c r="M684" s="964"/>
      <c r="N684" s="964"/>
      <c r="O684" s="964"/>
      <c r="P684" s="964"/>
      <c r="Q684" s="962"/>
      <c r="R684" t="str" s="964" cm="1">
        <f t="array" ref="R684">IF(OR(ISBLANK($B684),NOT(ISBLANK(B684))),"",'tracking - Table 2-1-2'!C$66)</f>
      </c>
      <c r="S684" t="str" s="964" cm="1">
        <f t="array" ref="S684">IF(OR(ISBLANK($B684),NOT(ISBLANK(B684))),"",'tracking - Table 2-1-2'!D$66)</f>
      </c>
      <c r="T684" t="str" s="964" cm="1">
        <f t="array" ref="T684">IF(OR(ISBLANK($B684),NOT(ISBLANK(B684))),"",'tracking - Table 2-1-2'!E$66)</f>
      </c>
      <c r="U684" t="str" s="969" cm="1">
        <f t="array" ref="U684">IF(OR(ISBLANK($B684),ISBLANK('tracking - Table 2-1-2'!A$1)),"",'tracking - Table 2-1-2'!F$66)</f>
      </c>
    </row>
    <row r="685" ht="8.75" customHeight="1" hidden="1">
      <c r="A685" s="960">
        <v>45024</v>
      </c>
      <c r="B685" s="961">
        <v>80.34999999999999</v>
      </c>
      <c r="C685" s="965" cm="1">
        <f t="array" ref="C685">IF(ISBLANK(B685),"",B685*2.2046226218)</f>
        <v>177.141427661630</v>
      </c>
      <c r="D685" s="962" cm="1">
        <f t="array" ref="D685">IF(ISBLANK(B685),"",AVERAGE(B679:B685))</f>
        <v>80.7</v>
      </c>
      <c r="E685" s="962" cm="1">
        <f t="array" ref="E685">IF(ISBLANK(B685),"",AVERAGE(B672:B685))</f>
        <v>80.5333333333333</v>
      </c>
      <c r="F685" s="962" cm="1">
        <f t="array" ref="F685">IF(ISBLANK(B685),"",AVERAGE(B656:B685))</f>
        <v>80.5981481481481</v>
      </c>
      <c r="G685" s="964"/>
      <c r="H685" s="964"/>
      <c r="I685" s="964"/>
      <c r="J685" s="964"/>
      <c r="K685" s="964"/>
      <c r="L685" s="964"/>
      <c r="M685" s="964"/>
      <c r="N685" s="964"/>
      <c r="O685" s="964"/>
      <c r="P685" s="964"/>
      <c r="Q685" s="962"/>
      <c r="R685" t="str" s="964" cm="1">
        <f t="array" ref="R685">IF(OR(ISBLANK($B685),NOT(ISBLANK(B685))),"",'tracking - Table 2-1-2'!C$66)</f>
      </c>
      <c r="S685" t="str" s="964" cm="1">
        <f t="array" ref="S685">IF(OR(ISBLANK($B685),NOT(ISBLANK(B685))),"",'tracking - Table 2-1-2'!D$66)</f>
      </c>
      <c r="T685" t="str" s="964" cm="1">
        <f t="array" ref="T685">IF(OR(ISBLANK($B685),NOT(ISBLANK(B685))),"",'tracking - Table 2-1-2'!E$66)</f>
      </c>
      <c r="U685" t="str" s="969" cm="1">
        <f t="array" ref="U685">IF(OR(ISBLANK($B685),ISBLANK('tracking - Table 2-1-2'!A$1)),"",'tracking - Table 2-1-2'!F$66)</f>
      </c>
    </row>
    <row r="686" ht="8.75" customHeight="1" hidden="1">
      <c r="A686" s="960">
        <v>45025</v>
      </c>
      <c r="B686" s="961">
        <v>80.5</v>
      </c>
      <c r="C686" s="965" cm="1">
        <f t="array" ref="C686">IF(ISBLANK(B686),"",B686*2.2046226218)</f>
        <v>177.4721210549</v>
      </c>
      <c r="D686" s="962" cm="1">
        <f t="array" ref="D686">IF(ISBLANK(B686),"",AVERAGE(B680:B686))</f>
        <v>80.6428571428571</v>
      </c>
      <c r="E686" s="962" cm="1">
        <f t="array" ref="E686">IF(ISBLANK(B686),"",AVERAGE(B673:B686))</f>
        <v>80.575</v>
      </c>
      <c r="F686" s="962" cm="1">
        <f t="array" ref="F686">IF(ISBLANK(B686),"",AVERAGE(B657:B686))</f>
        <v>80.58703703703701</v>
      </c>
      <c r="G686" s="964"/>
      <c r="H686" s="964"/>
      <c r="I686" s="964"/>
      <c r="J686" s="964"/>
      <c r="K686" s="964"/>
      <c r="L686" s="964"/>
      <c r="M686" s="964"/>
      <c r="N686" s="964"/>
      <c r="O686" s="964"/>
      <c r="P686" s="964"/>
      <c r="Q686" s="962"/>
      <c r="R686" t="str" s="964" cm="1">
        <f t="array" ref="R686">IF(OR(ISBLANK($B686),NOT(ISBLANK(B686))),"",'tracking - Table 2-1-2'!C$66)</f>
      </c>
      <c r="S686" t="str" s="964" cm="1">
        <f t="array" ref="S686">IF(OR(ISBLANK($B686),NOT(ISBLANK(B686))),"",'tracking - Table 2-1-2'!D$66)</f>
      </c>
      <c r="T686" t="str" s="964" cm="1">
        <f t="array" ref="T686">IF(OR(ISBLANK($B686),NOT(ISBLANK(B686))),"",'tracking - Table 2-1-2'!E$66)</f>
      </c>
      <c r="U686" t="str" s="969" cm="1">
        <f t="array" ref="U686">IF(OR(ISBLANK($B686),ISBLANK('tracking - Table 2-1-2'!A$1)),"",'tracking - Table 2-1-2'!F$66)</f>
      </c>
    </row>
    <row r="687" ht="8.75" customHeight="1" hidden="1">
      <c r="A687" s="960">
        <v>45026</v>
      </c>
      <c r="B687" s="961">
        <v>80.34999999999999</v>
      </c>
      <c r="C687" s="965" cm="1">
        <f t="array" ref="C687">IF(ISBLANK(B687),"",B687*2.2046226218)</f>
        <v>177.141427661630</v>
      </c>
      <c r="D687" s="962" cm="1">
        <f t="array" ref="D687">IF(ISBLANK(B687),"",AVERAGE(B681:B687))</f>
        <v>80.5642857142857</v>
      </c>
      <c r="E687" s="962" cm="1">
        <f t="array" ref="E687">IF(ISBLANK(B687),"",AVERAGE(B674:B687))</f>
        <v>80.53749999999999</v>
      </c>
      <c r="F687" s="962" cm="1">
        <f t="array" ref="F687">IF(ISBLANK(B687),"",AVERAGE(B658:B687))</f>
        <v>80.55925925925931</v>
      </c>
      <c r="G687" s="964"/>
      <c r="H687" s="964"/>
      <c r="I687" s="964"/>
      <c r="J687" s="964"/>
      <c r="K687" s="964"/>
      <c r="L687" s="964"/>
      <c r="M687" s="964"/>
      <c r="N687" s="964"/>
      <c r="O687" s="964"/>
      <c r="P687" s="964"/>
      <c r="Q687" s="962"/>
      <c r="R687" t="str" s="964" cm="1">
        <f t="array" ref="R687">IF(OR(ISBLANK($B687),NOT(ISBLANK(B687))),"",'tracking - Table 2-1-2'!C$66)</f>
      </c>
      <c r="S687" t="str" s="964" cm="1">
        <f t="array" ref="S687">IF(OR(ISBLANK($B687),NOT(ISBLANK(B687))),"",'tracking - Table 2-1-2'!D$66)</f>
      </c>
      <c r="T687" t="str" s="964" cm="1">
        <f t="array" ref="T687">IF(OR(ISBLANK($B687),NOT(ISBLANK(B687))),"",'tracking - Table 2-1-2'!E$66)</f>
      </c>
      <c r="U687" t="str" s="969" cm="1">
        <f t="array" ref="U687">IF(OR(ISBLANK($B687),ISBLANK('tracking - Table 2-1-2'!A$1)),"",'tracking - Table 2-1-2'!F$66)</f>
      </c>
    </row>
    <row r="688" ht="8.75" customHeight="1" hidden="1">
      <c r="A688" s="960">
        <v>45027</v>
      </c>
      <c r="B688" s="961">
        <v>80.34999999999999</v>
      </c>
      <c r="C688" s="965" cm="1">
        <f t="array" ref="C688">IF(ISBLANK(B688),"",B688*2.2046226218)</f>
        <v>177.141427661630</v>
      </c>
      <c r="D688" s="962" cm="1">
        <f t="array" ref="D688">IF(ISBLANK(B688),"",AVERAGE(B682:B688))</f>
        <v>80.5642857142857</v>
      </c>
      <c r="E688" s="962" cm="1">
        <f t="array" ref="E688">IF(ISBLANK(B688),"",AVERAGE(B675:B688))</f>
        <v>80.5230769230769</v>
      </c>
      <c r="F688" s="962" cm="1">
        <f t="array" ref="F688">IF(ISBLANK(B688),"",AVERAGE(B659:B688))</f>
        <v>80.5425925925926</v>
      </c>
      <c r="G688" s="964"/>
      <c r="H688" s="964"/>
      <c r="I688" s="964"/>
      <c r="J688" s="964"/>
      <c r="K688" s="964"/>
      <c r="L688" s="964"/>
      <c r="M688" s="964"/>
      <c r="N688" s="964"/>
      <c r="O688" s="964"/>
      <c r="P688" s="964"/>
      <c r="Q688" s="962"/>
      <c r="R688" t="str" s="964" cm="1">
        <f t="array" ref="R688">IF(OR(ISBLANK($B688),NOT(ISBLANK(B688))),"",'tracking - Table 2-1-2'!C$66)</f>
      </c>
      <c r="S688" t="str" s="964" cm="1">
        <f t="array" ref="S688">IF(OR(ISBLANK($B688),NOT(ISBLANK(B688))),"",'tracking - Table 2-1-2'!D$66)</f>
      </c>
      <c r="T688" t="str" s="964" cm="1">
        <f t="array" ref="T688">IF(OR(ISBLANK($B688),NOT(ISBLANK(B688))),"",'tracking - Table 2-1-2'!E$66)</f>
      </c>
      <c r="U688" t="str" s="969" cm="1">
        <f t="array" ref="U688">IF(OR(ISBLANK($B688),ISBLANK('tracking - Table 2-1-2'!A$1)),"",'tracking - Table 2-1-2'!F$66)</f>
      </c>
    </row>
    <row r="689" ht="8.75" customHeight="1" hidden="1">
      <c r="A689" s="960">
        <v>45028</v>
      </c>
      <c r="B689" s="961">
        <v>80.25</v>
      </c>
      <c r="C689" s="965" cm="1">
        <f t="array" ref="C689">IF(ISBLANK(B689),"",B689*2.2046226218)</f>
        <v>176.920965399450</v>
      </c>
      <c r="D689" s="962" cm="1">
        <f t="array" ref="D689">IF(ISBLANK(B689),"",AVERAGE(B683:B689))</f>
        <v>80.4285714285714</v>
      </c>
      <c r="E689" s="962" cm="1">
        <f t="array" ref="E689">IF(ISBLANK(B689),"",AVERAGE(B676:B689))</f>
        <v>80.5423076923077</v>
      </c>
      <c r="F689" s="962" cm="1">
        <f t="array" ref="F689">IF(ISBLANK(B689),"",AVERAGE(B660:B689))</f>
        <v>80.5222222222222</v>
      </c>
      <c r="G689" s="964"/>
      <c r="H689" s="964"/>
      <c r="I689" s="964"/>
      <c r="J689" s="964"/>
      <c r="K689" s="964"/>
      <c r="L689" s="964"/>
      <c r="M689" s="964"/>
      <c r="N689" s="964"/>
      <c r="O689" s="964"/>
      <c r="P689" s="964"/>
      <c r="Q689" s="962"/>
      <c r="R689" t="str" s="964" cm="1">
        <f t="array" ref="R689">IF(OR(ISBLANK($B689),NOT(ISBLANK(B689))),"",'tracking - Table 2-1-2'!C$66)</f>
      </c>
      <c r="S689" t="str" s="964" cm="1">
        <f t="array" ref="S689">IF(OR(ISBLANK($B689),NOT(ISBLANK(B689))),"",'tracking - Table 2-1-2'!D$66)</f>
      </c>
      <c r="T689" t="str" s="964" cm="1">
        <f t="array" ref="T689">IF(OR(ISBLANK($B689),NOT(ISBLANK(B689))),"",'tracking - Table 2-1-2'!E$66)</f>
      </c>
      <c r="U689" t="str" s="969" cm="1">
        <f t="array" ref="U689">IF(OR(ISBLANK($B689),ISBLANK('tracking - Table 2-1-2'!A$1)),"",'tracking - Table 2-1-2'!F$66)</f>
      </c>
    </row>
    <row r="690" ht="8.75" customHeight="1" hidden="1">
      <c r="A690" s="960">
        <v>45029</v>
      </c>
      <c r="B690" s="961">
        <v>80.25</v>
      </c>
      <c r="C690" s="965" cm="1">
        <f t="array" ref="C690">IF(ISBLANK(B690),"",B690*2.2046226218)</f>
        <v>176.920965399450</v>
      </c>
      <c r="D690" s="962" cm="1">
        <f t="array" ref="D690">IF(ISBLANK(B690),"",AVERAGE(B684:B690))</f>
        <v>80.3428571428571</v>
      </c>
      <c r="E690" s="962" cm="1">
        <f t="array" ref="E690">IF(ISBLANK(B690),"",AVERAGE(B677:B690))</f>
        <v>80.53461538461541</v>
      </c>
      <c r="F690" s="962" cm="1">
        <f t="array" ref="F690">IF(ISBLANK(B690),"",AVERAGE(B661:B690))</f>
        <v>80.5125</v>
      </c>
      <c r="G690" s="964"/>
      <c r="H690" s="964"/>
      <c r="I690" s="964"/>
      <c r="J690" s="964"/>
      <c r="K690" s="964"/>
      <c r="L690" s="964"/>
      <c r="M690" s="964"/>
      <c r="N690" s="964"/>
      <c r="O690" s="964"/>
      <c r="P690" s="964"/>
      <c r="Q690" s="962"/>
      <c r="R690" t="str" s="964" cm="1">
        <f t="array" ref="R690">IF(OR(ISBLANK($B690),NOT(ISBLANK(B690))),"",'tracking - Table 2-1-2'!C$66)</f>
      </c>
      <c r="S690" t="str" s="964" cm="1">
        <f t="array" ref="S690">IF(OR(ISBLANK($B690),NOT(ISBLANK(B690))),"",'tracking - Table 2-1-2'!D$66)</f>
      </c>
      <c r="T690" t="str" s="964" cm="1">
        <f t="array" ref="T690">IF(OR(ISBLANK($B690),NOT(ISBLANK(B690))),"",'tracking - Table 2-1-2'!E$66)</f>
      </c>
      <c r="U690" t="str" s="969" cm="1">
        <f t="array" ref="U690">IF(OR(ISBLANK($B690),ISBLANK('tracking - Table 2-1-2'!A$1)),"",'tracking - Table 2-1-2'!F$66)</f>
      </c>
    </row>
    <row r="691" ht="8.75" customHeight="1" hidden="1">
      <c r="A691" s="960">
        <v>45030</v>
      </c>
      <c r="B691" s="961">
        <v>80.25</v>
      </c>
      <c r="C691" s="965" cm="1">
        <f t="array" ref="C691">IF(ISBLANK(B691),"",B691*2.2046226218)</f>
        <v>176.920965399450</v>
      </c>
      <c r="D691" s="962" cm="1">
        <f t="array" ref="D691">IF(ISBLANK(B691),"",AVERAGE(B685:B691))</f>
        <v>80.32857142857139</v>
      </c>
      <c r="E691" s="962" cm="1">
        <f t="array" ref="E691">IF(ISBLANK(B691),"",AVERAGE(B678:B691))</f>
        <v>80.51428571428571</v>
      </c>
      <c r="F691" s="962" cm="1">
        <f t="array" ref="F691">IF(ISBLANK(B691),"",AVERAGE(B662:B691))</f>
        <v>80.5321428571429</v>
      </c>
      <c r="G691" s="964"/>
      <c r="H691" s="964"/>
      <c r="I691" s="964"/>
      <c r="J691" s="964"/>
      <c r="K691" s="964"/>
      <c r="L691" s="964"/>
      <c r="M691" s="964"/>
      <c r="N691" s="964"/>
      <c r="O691" s="964"/>
      <c r="P691" s="964"/>
      <c r="Q691" s="962"/>
      <c r="R691" t="str" s="964" cm="1">
        <f t="array" ref="R691">IF(OR(ISBLANK($B691),NOT(ISBLANK(B691))),"",'tracking - Table 2-1-2'!C$66)</f>
      </c>
      <c r="S691" t="str" s="964" cm="1">
        <f t="array" ref="S691">IF(OR(ISBLANK($B691),NOT(ISBLANK(B691))),"",'tracking - Table 2-1-2'!D$66)</f>
      </c>
      <c r="T691" t="str" s="964" cm="1">
        <f t="array" ref="T691">IF(OR(ISBLANK($B691),NOT(ISBLANK(B691))),"",'tracking - Table 2-1-2'!E$66)</f>
      </c>
      <c r="U691" t="str" s="969" cm="1">
        <f t="array" ref="U691">IF(OR(ISBLANK($B691),ISBLANK('tracking - Table 2-1-2'!A$1)),"",'tracking - Table 2-1-2'!F$66)</f>
      </c>
    </row>
    <row r="692" ht="8.75" customHeight="1" hidden="1">
      <c r="A692" s="960">
        <v>45031</v>
      </c>
      <c r="B692" s="356"/>
      <c r="C692" t="str" s="352" cm="1">
        <f t="array" ref="C692">IF(ISBLANK(B692),"",B692*2.2046226218)</f>
      </c>
      <c r="D692" t="str" s="964" cm="1">
        <f t="array" ref="D692">IF(ISBLANK(B692),"",AVERAGE(B686:B692))</f>
      </c>
      <c r="E692" t="str" s="964" cm="1">
        <f t="array" ref="E692">IF(ISBLANK(B692),"",AVERAGE(B679:B692))</f>
      </c>
      <c r="F692" t="str" s="964" cm="1">
        <f t="array" ref="F692">IF(ISBLANK(B692),"",AVERAGE(B663:B692))</f>
      </c>
      <c r="G692" s="964"/>
      <c r="H692" s="964"/>
      <c r="I692" s="964"/>
      <c r="J692" s="964"/>
      <c r="K692" s="964"/>
      <c r="L692" s="964"/>
      <c r="M692" s="964"/>
      <c r="N692" s="964"/>
      <c r="O692" s="964"/>
      <c r="P692" s="964"/>
      <c r="Q692" s="962"/>
      <c r="R692" t="str" s="964" cm="1">
        <f t="array" ref="R692">IF(OR(ISBLANK($B692),NOT(ISBLANK(B692))),"",'tracking - Table 2-1-2'!C$66)</f>
      </c>
      <c r="S692" t="str" s="964" cm="1">
        <f t="array" ref="S692">IF(OR(ISBLANK($B692),NOT(ISBLANK(B692))),"",'tracking - Table 2-1-2'!D$66)</f>
      </c>
      <c r="T692" t="str" s="964" cm="1">
        <f t="array" ref="T692">IF(OR(ISBLANK($B692),NOT(ISBLANK(B692))),"",'tracking - Table 2-1-2'!E$66)</f>
      </c>
      <c r="U692" t="str" s="969" cm="1">
        <f t="array" ref="U692">IF(OR(ISBLANK($B692),ISBLANK('tracking - Table 2-1-2'!A$1)),"",'tracking - Table 2-1-2'!F$66)</f>
      </c>
    </row>
    <row r="693" ht="8.75" customHeight="1" hidden="1">
      <c r="A693" s="960">
        <v>45032</v>
      </c>
      <c r="B693" s="356"/>
      <c r="C693" t="str" s="352" cm="1">
        <f t="array" ref="C693">IF(ISBLANK(B693),"",B693*2.2046226218)</f>
      </c>
      <c r="D693" t="str" s="964" cm="1">
        <f t="array" ref="D693">IF(ISBLANK(B693),"",AVERAGE(B687:B693))</f>
      </c>
      <c r="E693" t="str" s="964" cm="1">
        <f t="array" ref="E693">IF(ISBLANK(B693),"",AVERAGE(B680:B693))</f>
      </c>
      <c r="F693" t="str" s="964" cm="1">
        <f t="array" ref="F693">IF(ISBLANK(B693),"",AVERAGE(B664:B693))</f>
      </c>
      <c r="G693" s="964"/>
      <c r="H693" s="964"/>
      <c r="I693" s="964"/>
      <c r="J693" s="964"/>
      <c r="K693" s="964"/>
      <c r="L693" s="964"/>
      <c r="M693" s="964"/>
      <c r="N693" s="964"/>
      <c r="O693" s="964"/>
      <c r="P693" s="964"/>
      <c r="Q693" s="962"/>
      <c r="R693" t="str" s="964" cm="1">
        <f t="array" ref="R693">IF(OR(ISBLANK($B693),NOT(ISBLANK(B693))),"",'tracking - Table 2-1-2'!C$66)</f>
      </c>
      <c r="S693" t="str" s="964" cm="1">
        <f t="array" ref="S693">IF(OR(ISBLANK($B693),NOT(ISBLANK(B693))),"",'tracking - Table 2-1-2'!D$66)</f>
      </c>
      <c r="T693" t="str" s="964" cm="1">
        <f t="array" ref="T693">IF(OR(ISBLANK($B693),NOT(ISBLANK(B693))),"",'tracking - Table 2-1-2'!E$66)</f>
      </c>
      <c r="U693" t="str" s="969" cm="1">
        <f t="array" ref="U693">IF(OR(ISBLANK($B693),ISBLANK('tracking - Table 2-1-2'!A$1)),"",'tracking - Table 2-1-2'!F$66)</f>
      </c>
    </row>
    <row r="694" ht="8.75" customHeight="1" hidden="1">
      <c r="A694" s="960">
        <v>45033</v>
      </c>
      <c r="B694" s="961">
        <v>80.55</v>
      </c>
      <c r="C694" s="965" cm="1">
        <f t="array" ref="C694">IF(ISBLANK(B694),"",B694*2.2046226218)</f>
        <v>177.582352185990</v>
      </c>
      <c r="D694" s="962" cm="1">
        <f t="array" ref="D694">IF(ISBLANK(B694),"",AVERAGE(B688:B694))</f>
        <v>80.33</v>
      </c>
      <c r="E694" s="962" cm="1">
        <f t="array" ref="E694">IF(ISBLANK(B694),"",AVERAGE(B681:B694))</f>
        <v>80.4666666666667</v>
      </c>
      <c r="F694" s="962" cm="1">
        <f t="array" ref="F694">IF(ISBLANK(B694),"",AVERAGE(B665:B694))</f>
        <v>80.5461538461538</v>
      </c>
      <c r="G694" s="964"/>
      <c r="H694" s="964"/>
      <c r="I694" s="964"/>
      <c r="J694" s="964"/>
      <c r="K694" s="964"/>
      <c r="L694" s="964"/>
      <c r="M694" s="964"/>
      <c r="N694" s="964"/>
      <c r="O694" s="964"/>
      <c r="P694" s="964"/>
      <c r="Q694" s="962"/>
      <c r="R694" t="str" s="964" cm="1">
        <f t="array" ref="R694">IF(OR(ISBLANK($B694),NOT(ISBLANK(B694))),"",'tracking - Table 2-1-2'!C$66)</f>
      </c>
      <c r="S694" t="str" s="964" cm="1">
        <f t="array" ref="S694">IF(OR(ISBLANK($B694),NOT(ISBLANK(B694))),"",'tracking - Table 2-1-2'!D$66)</f>
      </c>
      <c r="T694" t="str" s="964" cm="1">
        <f t="array" ref="T694">IF(OR(ISBLANK($B694),NOT(ISBLANK(B694))),"",'tracking - Table 2-1-2'!E$66)</f>
      </c>
      <c r="U694" t="str" s="969" cm="1">
        <f t="array" ref="U694">IF(OR(ISBLANK($B694),ISBLANK('tracking - Table 2-1-2'!A$1)),"",'tracking - Table 2-1-2'!F$66)</f>
      </c>
    </row>
    <row r="695" ht="8.75" customHeight="1" hidden="1">
      <c r="A695" s="960">
        <v>45034</v>
      </c>
      <c r="B695" s="961">
        <v>80.55</v>
      </c>
      <c r="C695" s="965" cm="1">
        <f t="array" ref="C695">IF(ISBLANK(B695),"",B695*2.2046226218)</f>
        <v>177.582352185990</v>
      </c>
      <c r="D695" s="962" cm="1">
        <f t="array" ref="D695">IF(ISBLANK(B695),"",AVERAGE(B689:B695))</f>
        <v>80.37</v>
      </c>
      <c r="E695" s="962" cm="1">
        <f t="array" ref="E695">IF(ISBLANK(B695),"",AVERAGE(B682:B695))</f>
        <v>80.48333333333331</v>
      </c>
      <c r="F695" s="962" cm="1">
        <f t="array" ref="F695">IF(ISBLANK(B695),"",AVERAGE(B666:B695))</f>
        <v>80.5519230769231</v>
      </c>
      <c r="G695" s="964"/>
      <c r="H695" s="964"/>
      <c r="I695" s="964"/>
      <c r="J695" s="964"/>
      <c r="K695" s="964"/>
      <c r="L695" s="964"/>
      <c r="M695" s="964"/>
      <c r="N695" s="964"/>
      <c r="O695" s="964"/>
      <c r="P695" s="964"/>
      <c r="Q695" s="962"/>
      <c r="R695" t="str" s="964" cm="1">
        <f t="array" ref="R695">IF(OR(ISBLANK($B695),NOT(ISBLANK(B695))),"",'tracking - Table 2-1-2'!C$66)</f>
      </c>
      <c r="S695" t="str" s="964" cm="1">
        <f t="array" ref="S695">IF(OR(ISBLANK($B695),NOT(ISBLANK(B695))),"",'tracking - Table 2-1-2'!D$66)</f>
      </c>
      <c r="T695" t="str" s="964" cm="1">
        <f t="array" ref="T695">IF(OR(ISBLANK($B695),NOT(ISBLANK(B695))),"",'tracking - Table 2-1-2'!E$66)</f>
      </c>
      <c r="U695" t="str" s="969" cm="1">
        <f t="array" ref="U695">IF(OR(ISBLANK($B695),ISBLANK('tracking - Table 2-1-2'!A$1)),"",'tracking - Table 2-1-2'!F$66)</f>
      </c>
    </row>
    <row r="696" ht="8.75" customHeight="1" hidden="1">
      <c r="A696" s="960">
        <v>45035</v>
      </c>
      <c r="B696" s="961">
        <v>80.55</v>
      </c>
      <c r="C696" s="965" cm="1">
        <f t="array" ref="C696">IF(ISBLANK(B696),"",B696*2.2046226218)</f>
        <v>177.582352185990</v>
      </c>
      <c r="D696" s="962" cm="1">
        <f t="array" ref="D696">IF(ISBLANK(B696),"",AVERAGE(B690:B696))</f>
        <v>80.43000000000001</v>
      </c>
      <c r="E696" s="962" cm="1">
        <f t="array" ref="E696">IF(ISBLANK(B696),"",AVERAGE(B683:B696))</f>
        <v>80.4291666666667</v>
      </c>
      <c r="F696" s="962" cm="1">
        <f t="array" ref="F696">IF(ISBLANK(B696),"",AVERAGE(B667:B696))</f>
        <v>80.5423076923077</v>
      </c>
      <c r="G696" s="964"/>
      <c r="H696" s="964"/>
      <c r="I696" s="964"/>
      <c r="J696" s="964"/>
      <c r="K696" s="964"/>
      <c r="L696" s="964"/>
      <c r="M696" s="964"/>
      <c r="N696" s="964"/>
      <c r="O696" s="964"/>
      <c r="P696" s="964"/>
      <c r="Q696" s="962"/>
      <c r="R696" t="str" s="964" cm="1">
        <f t="array" ref="R696">IF(OR(ISBLANK($B696),NOT(ISBLANK(B696))),"",'tracking - Table 2-1-2'!C$66)</f>
      </c>
      <c r="S696" t="str" s="964" cm="1">
        <f t="array" ref="S696">IF(OR(ISBLANK($B696),NOT(ISBLANK(B696))),"",'tracking - Table 2-1-2'!D$66)</f>
      </c>
      <c r="T696" t="str" s="964" cm="1">
        <f t="array" ref="T696">IF(OR(ISBLANK($B696),NOT(ISBLANK(B696))),"",'tracking - Table 2-1-2'!E$66)</f>
      </c>
      <c r="U696" t="str" s="969" cm="1">
        <f t="array" ref="U696">IF(OR(ISBLANK($B696),ISBLANK('tracking - Table 2-1-2'!A$1)),"",'tracking - Table 2-1-2'!F$66)</f>
      </c>
    </row>
    <row r="697" ht="8.75" customHeight="1" hidden="1">
      <c r="A697" s="960">
        <v>45036</v>
      </c>
      <c r="B697" s="961">
        <v>80</v>
      </c>
      <c r="C697" s="965" cm="1">
        <f t="array" ref="C697">IF(ISBLANK(B697),"",B697*2.2046226218)</f>
        <v>176.369809744</v>
      </c>
      <c r="D697" s="962" cm="1">
        <f t="array" ref="D697">IF(ISBLANK(B697),"",AVERAGE(B691:B697))</f>
        <v>80.38</v>
      </c>
      <c r="E697" s="962" cm="1">
        <f t="array" ref="E697">IF(ISBLANK(B697),"",AVERAGE(B684:B697))</f>
        <v>80.35833333333331</v>
      </c>
      <c r="F697" s="962" cm="1">
        <f t="array" ref="F697">IF(ISBLANK(B697),"",AVERAGE(B668:B697))</f>
        <v>80.51153846153851</v>
      </c>
      <c r="G697" s="964"/>
      <c r="H697" s="964"/>
      <c r="I697" s="964"/>
      <c r="J697" s="964"/>
      <c r="K697" s="964"/>
      <c r="L697" s="964"/>
      <c r="M697" s="964"/>
      <c r="N697" s="964"/>
      <c r="O697" s="964"/>
      <c r="P697" s="964"/>
      <c r="Q697" s="962"/>
      <c r="R697" t="str" s="964" cm="1">
        <f t="array" ref="R697">IF(OR(ISBLANK($B697),NOT(ISBLANK(B697))),"",'tracking - Table 2-1-2'!C$66)</f>
      </c>
      <c r="S697" t="str" s="964" cm="1">
        <f t="array" ref="S697">IF(OR(ISBLANK($B697),NOT(ISBLANK(B697))),"",'tracking - Table 2-1-2'!D$66)</f>
      </c>
      <c r="T697" t="str" s="964" cm="1">
        <f t="array" ref="T697">IF(OR(ISBLANK($B697),NOT(ISBLANK(B697))),"",'tracking - Table 2-1-2'!E$66)</f>
      </c>
      <c r="U697" t="str" s="969" cm="1">
        <f t="array" ref="U697">IF(OR(ISBLANK($B697),ISBLANK('tracking - Table 2-1-2'!A$1)),"",'tracking - Table 2-1-2'!F$66)</f>
      </c>
    </row>
    <row r="698" ht="8.75" customHeight="1" hidden="1">
      <c r="A698" s="960">
        <v>45037</v>
      </c>
      <c r="B698" s="961">
        <v>80.05</v>
      </c>
      <c r="C698" s="965" cm="1">
        <f t="array" ref="C698">IF(ISBLANK(B698),"",B698*2.2046226218)</f>
        <v>176.480040875090</v>
      </c>
      <c r="D698" s="962" cm="1">
        <f t="array" ref="D698">IF(ISBLANK(B698),"",AVERAGE(B692:B698))</f>
        <v>80.34</v>
      </c>
      <c r="E698" s="962" cm="1">
        <f t="array" ref="E698">IF(ISBLANK(B698),"",AVERAGE(B685:B698))</f>
        <v>80.3333333333333</v>
      </c>
      <c r="F698" s="962" cm="1">
        <f t="array" ref="F698">IF(ISBLANK(B698),"",AVERAGE(B669:B698))</f>
        <v>80.4673076923077</v>
      </c>
      <c r="G698" s="964"/>
      <c r="H698" s="964"/>
      <c r="I698" s="964"/>
      <c r="J698" s="964"/>
      <c r="K698" s="964"/>
      <c r="L698" s="964"/>
      <c r="M698" s="964"/>
      <c r="N698" s="964"/>
      <c r="O698" s="964"/>
      <c r="P698" s="964"/>
      <c r="Q698" s="962"/>
      <c r="R698" t="str" s="964" cm="1">
        <f t="array" ref="R698">IF(OR(ISBLANK($B698),NOT(ISBLANK(B698))),"",'tracking - Table 2-1-2'!C$66)</f>
      </c>
      <c r="S698" t="str" s="964" cm="1">
        <f t="array" ref="S698">IF(OR(ISBLANK($B698),NOT(ISBLANK(B698))),"",'tracking - Table 2-1-2'!D$66)</f>
      </c>
      <c r="T698" t="str" s="964" cm="1">
        <f t="array" ref="T698">IF(OR(ISBLANK($B698),NOT(ISBLANK(B698))),"",'tracking - Table 2-1-2'!E$66)</f>
      </c>
      <c r="U698" t="str" s="969" cm="1">
        <f t="array" ref="U698">IF(OR(ISBLANK($B698),ISBLANK('tracking - Table 2-1-2'!A$1)),"",'tracking - Table 2-1-2'!F$66)</f>
      </c>
    </row>
    <row r="699" ht="8.75" customHeight="1" hidden="1">
      <c r="A699" s="960">
        <v>45038</v>
      </c>
      <c r="B699" s="356"/>
      <c r="C699" t="str" s="352" cm="1">
        <f t="array" ref="C699">IF(ISBLANK(B699),"",B699*2.2046226218)</f>
      </c>
      <c r="D699" t="str" s="964" cm="1">
        <f t="array" ref="D699">IF(ISBLANK(B699),"",AVERAGE(B693:B699))</f>
      </c>
      <c r="E699" t="str" s="964" cm="1">
        <f t="array" ref="E699">IF(ISBLANK(B699),"",AVERAGE(B686:B699))</f>
      </c>
      <c r="F699" t="str" s="964" cm="1">
        <f t="array" ref="F699">IF(ISBLANK(B699),"",AVERAGE(B670:B699))</f>
      </c>
      <c r="G699" s="964"/>
      <c r="H699" s="964"/>
      <c r="I699" s="964"/>
      <c r="J699" s="964"/>
      <c r="K699" s="964"/>
      <c r="L699" s="964"/>
      <c r="M699" s="964"/>
      <c r="N699" s="964"/>
      <c r="O699" s="964"/>
      <c r="P699" s="964"/>
      <c r="Q699" s="962"/>
      <c r="R699" t="str" s="964" cm="1">
        <f t="array" ref="R699">IF(OR(ISBLANK($B699),NOT(ISBLANK(B699))),"",'tracking - Table 2-1-2'!C$66)</f>
      </c>
      <c r="S699" t="str" s="964" cm="1">
        <f t="array" ref="S699">IF(OR(ISBLANK($B699),NOT(ISBLANK(B699))),"",'tracking - Table 2-1-2'!D$66)</f>
      </c>
      <c r="T699" t="str" s="964" cm="1">
        <f t="array" ref="T699">IF(OR(ISBLANK($B699),NOT(ISBLANK(B699))),"",'tracking - Table 2-1-2'!E$66)</f>
      </c>
      <c r="U699" t="str" s="969" cm="1">
        <f t="array" ref="U699">IF(OR(ISBLANK($B699),ISBLANK('tracking - Table 2-1-2'!A$1)),"",'tracking - Table 2-1-2'!F$66)</f>
      </c>
    </row>
    <row r="700" ht="8.75" customHeight="1" hidden="1">
      <c r="A700" s="960">
        <v>45039</v>
      </c>
      <c r="B700" s="961">
        <v>80.05</v>
      </c>
      <c r="C700" s="965" cm="1">
        <f t="array" ref="C700">IF(ISBLANK(B700),"",B700*2.2046226218)</f>
        <v>176.480040875090</v>
      </c>
      <c r="D700" s="962" cm="1">
        <f t="array" ref="D700">IF(ISBLANK(B700),"",AVERAGE(B694:B700))</f>
        <v>80.2916666666667</v>
      </c>
      <c r="E700" s="962" cm="1">
        <f t="array" ref="E700">IF(ISBLANK(B700),"",AVERAGE(B687:B700))</f>
        <v>80.2909090909091</v>
      </c>
      <c r="F700" s="962" cm="1">
        <f t="array" ref="F700">IF(ISBLANK(B700),"",AVERAGE(B671:B700))</f>
        <v>80.422</v>
      </c>
      <c r="G700" s="964"/>
      <c r="H700" s="964"/>
      <c r="I700" s="964"/>
      <c r="J700" s="964"/>
      <c r="K700" s="964"/>
      <c r="L700" s="964"/>
      <c r="M700" s="964"/>
      <c r="N700" s="964"/>
      <c r="O700" s="964"/>
      <c r="P700" s="964"/>
      <c r="Q700" s="962"/>
      <c r="R700" t="str" s="964" cm="1">
        <f t="array" ref="R700">IF(OR(ISBLANK($B700),NOT(ISBLANK(B700))),"",'tracking - Table 2-1-2'!C$66)</f>
      </c>
      <c r="S700" t="str" s="964" cm="1">
        <f t="array" ref="S700">IF(OR(ISBLANK($B700),NOT(ISBLANK(B700))),"",'tracking - Table 2-1-2'!D$66)</f>
      </c>
      <c r="T700" t="str" s="964" cm="1">
        <f t="array" ref="T700">IF(OR(ISBLANK($B700),NOT(ISBLANK(B700))),"",'tracking - Table 2-1-2'!E$66)</f>
      </c>
      <c r="U700" t="str" s="969" cm="1">
        <f t="array" ref="U700">IF(OR(ISBLANK($B700),ISBLANK('tracking - Table 2-1-2'!A$1)),"",'tracking - Table 2-1-2'!F$66)</f>
      </c>
    </row>
    <row r="701" ht="8.75" customHeight="1" hidden="1">
      <c r="A701" s="960">
        <v>45040</v>
      </c>
      <c r="B701" s="961">
        <v>80.59999999999999</v>
      </c>
      <c r="C701" s="965" cm="1">
        <f t="array" ref="C701">IF(ISBLANK(B701),"",B701*2.2046226218)</f>
        <v>177.692583317080</v>
      </c>
      <c r="D701" s="962" cm="1">
        <f t="array" ref="D701">IF(ISBLANK(B701),"",AVERAGE(B695:B701))</f>
        <v>80.3</v>
      </c>
      <c r="E701" s="962" cm="1">
        <f t="array" ref="E701">IF(ISBLANK(B701),"",AVERAGE(B688:B701))</f>
        <v>80.31363636363641</v>
      </c>
      <c r="F701" s="962" cm="1">
        <f t="array" ref="F701">IF(ISBLANK(B701),"",AVERAGE(B672:B701))</f>
        <v>80.428</v>
      </c>
      <c r="G701" s="964"/>
      <c r="H701" s="964"/>
      <c r="I701" s="964"/>
      <c r="J701" s="964"/>
      <c r="K701" s="964"/>
      <c r="L701" s="964"/>
      <c r="M701" s="964"/>
      <c r="N701" s="964"/>
      <c r="O701" s="964"/>
      <c r="P701" s="964"/>
      <c r="Q701" s="962"/>
      <c r="R701" t="str" s="964" cm="1">
        <f t="array" ref="R701">IF(OR(ISBLANK($B701),NOT(ISBLANK(B701))),"",'tracking - Table 2-1-2'!C$66)</f>
      </c>
      <c r="S701" t="str" s="964" cm="1">
        <f t="array" ref="S701">IF(OR(ISBLANK($B701),NOT(ISBLANK(B701))),"",'tracking - Table 2-1-2'!D$66)</f>
      </c>
      <c r="T701" t="str" s="964" cm="1">
        <f t="array" ref="T701">IF(OR(ISBLANK($B701),NOT(ISBLANK(B701))),"",'tracking - Table 2-1-2'!E$66)</f>
      </c>
      <c r="U701" t="str" s="969" cm="1">
        <f t="array" ref="U701">IF(OR(ISBLANK($B701),ISBLANK('tracking - Table 2-1-2'!A$1)),"",'tracking - Table 2-1-2'!F$66)</f>
      </c>
    </row>
    <row r="702" ht="8.75" customHeight="1" hidden="1">
      <c r="A702" s="960">
        <v>45041</v>
      </c>
      <c r="B702" s="961">
        <v>80.59999999999999</v>
      </c>
      <c r="C702" s="965" cm="1">
        <f t="array" ref="C702">IF(ISBLANK(B702),"",B702*2.2046226218)</f>
        <v>177.692583317080</v>
      </c>
      <c r="D702" s="962" cm="1">
        <f t="array" ref="D702">IF(ISBLANK(B702),"",AVERAGE(B696:B702))</f>
        <v>80.30833333333329</v>
      </c>
      <c r="E702" s="962" cm="1">
        <f t="array" ref="E702">IF(ISBLANK(B702),"",AVERAGE(B689:B702))</f>
        <v>80.3363636363636</v>
      </c>
      <c r="F702" s="962" cm="1">
        <f t="array" ref="F702">IF(ISBLANK(B702),"",AVERAGE(B673:B702))</f>
        <v>80.452</v>
      </c>
      <c r="G702" s="964"/>
      <c r="H702" s="964"/>
      <c r="I702" s="964"/>
      <c r="J702" s="964"/>
      <c r="K702" s="964"/>
      <c r="L702" s="964"/>
      <c r="M702" s="964"/>
      <c r="N702" s="964"/>
      <c r="O702" s="964"/>
      <c r="P702" s="964"/>
      <c r="Q702" s="962"/>
      <c r="R702" t="str" s="964" cm="1">
        <f t="array" ref="R702">IF(OR(ISBLANK($B702),NOT(ISBLANK(B702))),"",'tracking - Table 2-1-2'!C$66)</f>
      </c>
      <c r="S702" t="str" s="964" cm="1">
        <f t="array" ref="S702">IF(OR(ISBLANK($B702),NOT(ISBLANK(B702))),"",'tracking - Table 2-1-2'!D$66)</f>
      </c>
      <c r="T702" t="str" s="964" cm="1">
        <f t="array" ref="T702">IF(OR(ISBLANK($B702),NOT(ISBLANK(B702))),"",'tracking - Table 2-1-2'!E$66)</f>
      </c>
      <c r="U702" t="str" s="969" cm="1">
        <f t="array" ref="U702">IF(OR(ISBLANK($B702),ISBLANK('tracking - Table 2-1-2'!A$1)),"",'tracking - Table 2-1-2'!F$66)</f>
      </c>
    </row>
    <row r="703" ht="8.75" customHeight="1" hidden="1">
      <c r="A703" s="960">
        <v>45042</v>
      </c>
      <c r="B703" s="961">
        <v>80.59999999999999</v>
      </c>
      <c r="C703" s="965" cm="1">
        <f t="array" ref="C703">IF(ISBLANK(B703),"",B703*2.2046226218)</f>
        <v>177.692583317080</v>
      </c>
      <c r="D703" s="962" cm="1">
        <f t="array" ref="D703">IF(ISBLANK(B703),"",AVERAGE(B697:B703))</f>
        <v>80.31666666666671</v>
      </c>
      <c r="E703" s="962" cm="1">
        <f t="array" ref="E703">IF(ISBLANK(B703),"",AVERAGE(B690:B703))</f>
        <v>80.3681818181818</v>
      </c>
      <c r="F703" s="962" cm="1">
        <f t="array" ref="F703">IF(ISBLANK(B703),"",AVERAGE(B674:B703))</f>
        <v>80.444</v>
      </c>
      <c r="G703" s="964"/>
      <c r="H703" s="964"/>
      <c r="I703" s="964"/>
      <c r="J703" s="964"/>
      <c r="K703" s="964"/>
      <c r="L703" s="964"/>
      <c r="M703" s="964"/>
      <c r="N703" s="964"/>
      <c r="O703" s="964"/>
      <c r="P703" s="964"/>
      <c r="Q703" s="962"/>
      <c r="R703" t="str" s="964" cm="1">
        <f t="array" ref="R703">IF(OR(ISBLANK($B703),NOT(ISBLANK(B703))),"",'tracking - Table 2-1-2'!C$66)</f>
      </c>
      <c r="S703" t="str" s="964" cm="1">
        <f t="array" ref="S703">IF(OR(ISBLANK($B703),NOT(ISBLANK(B703))),"",'tracking - Table 2-1-2'!D$66)</f>
      </c>
      <c r="T703" t="str" s="964" cm="1">
        <f t="array" ref="T703">IF(OR(ISBLANK($B703),NOT(ISBLANK(B703))),"",'tracking - Table 2-1-2'!E$66)</f>
      </c>
      <c r="U703" t="str" s="969" cm="1">
        <f t="array" ref="U703">IF(OR(ISBLANK($B703),ISBLANK('tracking - Table 2-1-2'!A$1)),"",'tracking - Table 2-1-2'!F$66)</f>
      </c>
    </row>
    <row r="704" ht="8.75" customHeight="1" hidden="1">
      <c r="A704" s="960">
        <v>45043</v>
      </c>
      <c r="B704" s="961">
        <v>80.59999999999999</v>
      </c>
      <c r="C704" s="965" cm="1">
        <f t="array" ref="C704">IF(ISBLANK(B704),"",B704*2.2046226218)</f>
        <v>177.692583317080</v>
      </c>
      <c r="D704" s="962" cm="1">
        <f t="array" ref="D704">IF(ISBLANK(B704),"",AVERAGE(B698:B704))</f>
        <v>80.4166666666667</v>
      </c>
      <c r="E704" s="962" cm="1">
        <f t="array" ref="E704">IF(ISBLANK(B704),"",AVERAGE(B691:B704))</f>
        <v>80.40000000000001</v>
      </c>
      <c r="F704" s="962" cm="1">
        <f t="array" ref="F704">IF(ISBLANK(B704),"",AVERAGE(B675:B704))</f>
        <v>80.45</v>
      </c>
      <c r="G704" s="964"/>
      <c r="H704" s="964"/>
      <c r="I704" s="964"/>
      <c r="J704" s="964"/>
      <c r="K704" s="964"/>
      <c r="L704" s="964"/>
      <c r="M704" s="964"/>
      <c r="N704" s="964"/>
      <c r="O704" s="964"/>
      <c r="P704" s="964"/>
      <c r="Q704" s="962"/>
      <c r="R704" t="str" s="964" cm="1">
        <f t="array" ref="R704">IF(OR(ISBLANK($B704),NOT(ISBLANK(B704))),"",'tracking - Table 2-1-2'!C$66)</f>
      </c>
      <c r="S704" t="str" s="964" cm="1">
        <f t="array" ref="S704">IF(OR(ISBLANK($B704),NOT(ISBLANK(B704))),"",'tracking - Table 2-1-2'!D$66)</f>
      </c>
      <c r="T704" t="str" s="964" cm="1">
        <f t="array" ref="T704">IF(OR(ISBLANK($B704),NOT(ISBLANK(B704))),"",'tracking - Table 2-1-2'!E$66)</f>
      </c>
      <c r="U704" t="str" s="969" cm="1">
        <f t="array" ref="U704">IF(OR(ISBLANK($B704),ISBLANK('tracking - Table 2-1-2'!A$1)),"",'tracking - Table 2-1-2'!F$66)</f>
      </c>
    </row>
    <row r="705" ht="8.75" customHeight="1" hidden="1">
      <c r="A705" s="960">
        <v>45044</v>
      </c>
      <c r="B705" s="961">
        <v>80.2</v>
      </c>
      <c r="C705" s="965" cm="1">
        <f t="array" ref="C705">IF(ISBLANK(B705),"",B705*2.2046226218)</f>
        <v>176.810734268360</v>
      </c>
      <c r="D705" s="962" cm="1">
        <f t="array" ref="D705">IF(ISBLANK(B705),"",AVERAGE(B699:B705))</f>
        <v>80.44166666666671</v>
      </c>
      <c r="E705" s="962" cm="1">
        <f t="array" ref="E705">IF(ISBLANK(B705),"",AVERAGE(B692:B705))</f>
        <v>80.3954545454545</v>
      </c>
      <c r="F705" s="962" cm="1">
        <f t="array" ref="F705">IF(ISBLANK(B705),"",AVERAGE(B676:B705))</f>
        <v>80.4576923076923</v>
      </c>
      <c r="G705" s="964"/>
      <c r="H705" s="964"/>
      <c r="I705" s="964"/>
      <c r="J705" s="964"/>
      <c r="K705" s="964"/>
      <c r="L705" s="964"/>
      <c r="M705" s="964"/>
      <c r="N705" s="964"/>
      <c r="O705" s="964"/>
      <c r="P705" s="964"/>
      <c r="Q705" s="962"/>
      <c r="R705" t="str" s="964" cm="1">
        <f t="array" ref="R705">IF(OR(ISBLANK($B705),NOT(ISBLANK(B705))),"",'tracking - Table 2-1-2'!C$66)</f>
      </c>
      <c r="S705" t="str" s="964" cm="1">
        <f t="array" ref="S705">IF(OR(ISBLANK($B705),NOT(ISBLANK(B705))),"",'tracking - Table 2-1-2'!D$66)</f>
      </c>
      <c r="T705" t="str" s="964" cm="1">
        <f t="array" ref="T705">IF(OR(ISBLANK($B705),NOT(ISBLANK(B705))),"",'tracking - Table 2-1-2'!E$66)</f>
      </c>
      <c r="U705" t="str" s="969" cm="1">
        <f t="array" ref="U705">IF(OR(ISBLANK($B705),ISBLANK('tracking - Table 2-1-2'!A$1)),"",'tracking - Table 2-1-2'!F$66)</f>
      </c>
    </row>
    <row r="706" ht="8.75" customHeight="1" hidden="1">
      <c r="A706" s="960">
        <v>45045</v>
      </c>
      <c r="B706" s="961">
        <v>80.90000000000001</v>
      </c>
      <c r="C706" s="965" cm="1">
        <f t="array" ref="C706">IF(ISBLANK(B706),"",B706*2.2046226218)</f>
        <v>178.353970103620</v>
      </c>
      <c r="D706" s="962" cm="1">
        <f t="array" ref="D706">IF(ISBLANK(B706),"",AVERAGE(B700:B706))</f>
        <v>80.5071428571429</v>
      </c>
      <c r="E706" s="962" cm="1">
        <f t="array" ref="E706">IF(ISBLANK(B706),"",AVERAGE(B693:B706))</f>
        <v>80.4375</v>
      </c>
      <c r="F706" s="962" cm="1">
        <f t="array" ref="F706">IF(ISBLANK(B706),"",AVERAGE(B677:B706))</f>
        <v>80.47884615384621</v>
      </c>
      <c r="G706" s="964"/>
      <c r="H706" s="964"/>
      <c r="I706" s="964"/>
      <c r="J706" s="964"/>
      <c r="K706" s="964"/>
      <c r="L706" s="964"/>
      <c r="M706" s="964"/>
      <c r="N706" s="964"/>
      <c r="O706" s="964"/>
      <c r="P706" s="964"/>
      <c r="Q706" s="962"/>
      <c r="R706" t="str" s="964" cm="1">
        <f t="array" ref="R706">IF(OR(ISBLANK($B706),NOT(ISBLANK(B706))),"",'tracking - Table 2-1-2'!C$66)</f>
      </c>
      <c r="S706" t="str" s="964" cm="1">
        <f t="array" ref="S706">IF(OR(ISBLANK($B706),NOT(ISBLANK(B706))),"",'tracking - Table 2-1-2'!D$66)</f>
      </c>
      <c r="T706" t="str" s="964" cm="1">
        <f t="array" ref="T706">IF(OR(ISBLANK($B706),NOT(ISBLANK(B706))),"",'tracking - Table 2-1-2'!E$66)</f>
      </c>
      <c r="U706" t="str" s="969" cm="1">
        <f t="array" ref="U706">IF(OR(ISBLANK($B706),ISBLANK('tracking - Table 2-1-2'!A$1)),"",'tracking - Table 2-1-2'!F$66)</f>
      </c>
    </row>
    <row r="707" ht="8.75" customHeight="1" hidden="1">
      <c r="A707" s="960">
        <v>45046</v>
      </c>
      <c r="B707" s="961">
        <v>81.3</v>
      </c>
      <c r="C707" s="965" cm="1">
        <f t="array" ref="C707">IF(ISBLANK(B707),"",B707*2.2046226218)</f>
        <v>179.235819152340</v>
      </c>
      <c r="D707" s="962" cm="1">
        <f t="array" ref="D707">IF(ISBLANK(B707),"",AVERAGE(B701:B707))</f>
        <v>80.6857142857143</v>
      </c>
      <c r="E707" s="962" cm="1">
        <f t="array" ref="E707">IF(ISBLANK(B707),"",AVERAGE(B694:B707))</f>
        <v>80.5038461538462</v>
      </c>
      <c r="F707" s="962" cm="1">
        <f t="array" ref="F707">IF(ISBLANK(B707),"",AVERAGE(B678:B707))</f>
        <v>80.5092592592593</v>
      </c>
      <c r="G707" s="964"/>
      <c r="H707" s="964"/>
      <c r="I707" s="964"/>
      <c r="J707" s="964"/>
      <c r="K707" s="964"/>
      <c r="L707" s="964"/>
      <c r="M707" s="964"/>
      <c r="N707" s="964"/>
      <c r="O707" s="964"/>
      <c r="P707" s="964"/>
      <c r="Q707" s="962"/>
      <c r="R707" t="str" s="964" cm="1">
        <f t="array" ref="R707">IF(OR(ISBLANK($B707),NOT(ISBLANK(B707))),"",'tracking - Table 2-1-2'!C$66)</f>
      </c>
      <c r="S707" t="str" s="964" cm="1">
        <f t="array" ref="S707">IF(OR(ISBLANK($B707),NOT(ISBLANK(B707))),"",'tracking - Table 2-1-2'!D$66)</f>
      </c>
      <c r="T707" t="str" s="964" cm="1">
        <f t="array" ref="T707">IF(OR(ISBLANK($B707),NOT(ISBLANK(B707))),"",'tracking - Table 2-1-2'!E$66)</f>
      </c>
      <c r="U707" t="str" s="969" cm="1">
        <f t="array" ref="U707">IF(OR(ISBLANK($B707),ISBLANK('tracking - Table 2-1-2'!A$1)),"",'tracking - Table 2-1-2'!F$66)</f>
      </c>
    </row>
    <row r="708" ht="8.75" customHeight="1" hidden="1">
      <c r="A708" s="960">
        <v>45047</v>
      </c>
      <c r="B708" s="961">
        <v>80.8</v>
      </c>
      <c r="C708" s="965" cm="1">
        <f t="array" ref="C708">IF(ISBLANK(B708),"",B708*2.2046226218)</f>
        <v>178.133507841440</v>
      </c>
      <c r="D708" s="962" cm="1">
        <f t="array" ref="D708">IF(ISBLANK(B708),"",AVERAGE(B702:B708))</f>
        <v>80.71428571428569</v>
      </c>
      <c r="E708" s="962" cm="1">
        <f t="array" ref="E708">IF(ISBLANK(B708),"",AVERAGE(B695:B708))</f>
        <v>80.5230769230769</v>
      </c>
      <c r="F708" s="962" cm="1">
        <f t="array" ref="F708">IF(ISBLANK(B708),"",AVERAGE(B679:B708))</f>
        <v>80.5259259259259</v>
      </c>
      <c r="G708" s="964"/>
      <c r="H708" s="964"/>
      <c r="I708" s="964"/>
      <c r="J708" s="964"/>
      <c r="K708" s="964"/>
      <c r="L708" s="964"/>
      <c r="M708" s="964"/>
      <c r="N708" s="964"/>
      <c r="O708" s="964"/>
      <c r="P708" s="964"/>
      <c r="Q708" s="962"/>
      <c r="R708" t="str" s="964" cm="1">
        <f t="array" ref="R708">IF(OR(ISBLANK($B708),NOT(ISBLANK(B708))),"",'tracking - Table 2-1-2'!C$66)</f>
      </c>
      <c r="S708" t="str" s="964" cm="1">
        <f t="array" ref="S708">IF(OR(ISBLANK($B708),NOT(ISBLANK(B708))),"",'tracking - Table 2-1-2'!D$66)</f>
      </c>
      <c r="T708" t="str" s="964" cm="1">
        <f t="array" ref="T708">IF(OR(ISBLANK($B708),NOT(ISBLANK(B708))),"",'tracking - Table 2-1-2'!E$66)</f>
      </c>
      <c r="U708" t="str" s="969" cm="1">
        <f t="array" ref="U708">IF(OR(ISBLANK($B708),ISBLANK('tracking - Table 2-1-2'!A$1)),"",'tracking - Table 2-1-2'!F$66)</f>
      </c>
    </row>
    <row r="709" ht="8.75" customHeight="1" hidden="1">
      <c r="A709" s="960">
        <v>45048</v>
      </c>
      <c r="B709" s="961">
        <v>80.8</v>
      </c>
      <c r="C709" s="965" cm="1">
        <f t="array" ref="C709">IF(ISBLANK(B709),"",B709*2.2046226218)</f>
        <v>178.133507841440</v>
      </c>
      <c r="D709" s="962" cm="1">
        <f t="array" ref="D709">IF(ISBLANK(B709),"",AVERAGE(B703:B709))</f>
        <v>80.7428571428571</v>
      </c>
      <c r="E709" s="962" cm="1">
        <f t="array" ref="E709">IF(ISBLANK(B709),"",AVERAGE(B696:B709))</f>
        <v>80.5423076923077</v>
      </c>
      <c r="F709" s="962" cm="1">
        <f t="array" ref="F709">IF(ISBLANK(B709),"",AVERAGE(B680:B709))</f>
        <v>80.5222222222222</v>
      </c>
      <c r="G709" s="964"/>
      <c r="H709" s="964"/>
      <c r="I709" s="964"/>
      <c r="J709" s="964"/>
      <c r="K709" s="964"/>
      <c r="L709" s="964"/>
      <c r="M709" s="964"/>
      <c r="N709" s="964"/>
      <c r="O709" s="964"/>
      <c r="P709" s="964"/>
      <c r="Q709" s="962"/>
      <c r="R709" t="str" s="964" cm="1">
        <f t="array" ref="R709">IF(OR(ISBLANK($B709),NOT(ISBLANK(B709))),"",'tracking - Table 2-1-2'!C$66)</f>
      </c>
      <c r="S709" t="str" s="964" cm="1">
        <f t="array" ref="S709">IF(OR(ISBLANK($B709),NOT(ISBLANK(B709))),"",'tracking - Table 2-1-2'!D$66)</f>
      </c>
      <c r="T709" t="str" s="964" cm="1">
        <f t="array" ref="T709">IF(OR(ISBLANK($B709),NOT(ISBLANK(B709))),"",'tracking - Table 2-1-2'!E$66)</f>
      </c>
      <c r="U709" t="str" s="969" cm="1">
        <f t="array" ref="U709">IF(OR(ISBLANK($B709),ISBLANK('tracking - Table 2-1-2'!A$1)),"",'tracking - Table 2-1-2'!F$66)</f>
      </c>
    </row>
    <row r="710" ht="8.75" customHeight="1" hidden="1">
      <c r="A710" s="960">
        <v>45049</v>
      </c>
      <c r="B710" s="961">
        <v>80.5</v>
      </c>
      <c r="C710" s="965" cm="1">
        <f t="array" ref="C710">IF(ISBLANK(B710),"",B710*2.2046226218)</f>
        <v>177.4721210549</v>
      </c>
      <c r="D710" s="962" cm="1">
        <f t="array" ref="D710">IF(ISBLANK(B710),"",AVERAGE(B704:B710))</f>
        <v>80.7285714285714</v>
      </c>
      <c r="E710" s="962" cm="1">
        <f t="array" ref="E710">IF(ISBLANK(B710),"",AVERAGE(B697:B710))</f>
        <v>80.5384615384615</v>
      </c>
      <c r="F710" s="962" cm="1">
        <f t="array" ref="F710">IF(ISBLANK(B710),"",AVERAGE(B681:B710))</f>
        <v>80.5074074074074</v>
      </c>
      <c r="G710" s="964"/>
      <c r="H710" s="964"/>
      <c r="I710" s="964"/>
      <c r="J710" s="964"/>
      <c r="K710" s="964"/>
      <c r="L710" s="964"/>
      <c r="M710" s="964"/>
      <c r="N710" s="964"/>
      <c r="O710" s="964"/>
      <c r="P710" s="964"/>
      <c r="Q710" s="962"/>
      <c r="R710" t="str" s="964" cm="1">
        <f t="array" ref="R710">IF(OR(ISBLANK($B710),NOT(ISBLANK(B710))),"",'tracking - Table 2-1-2'!C$66)</f>
      </c>
      <c r="S710" t="str" s="964" cm="1">
        <f t="array" ref="S710">IF(OR(ISBLANK($B710),NOT(ISBLANK(B710))),"",'tracking - Table 2-1-2'!D$66)</f>
      </c>
      <c r="T710" t="str" s="964" cm="1">
        <f t="array" ref="T710">IF(OR(ISBLANK($B710),NOT(ISBLANK(B710))),"",'tracking - Table 2-1-2'!E$66)</f>
      </c>
      <c r="U710" t="str" s="969" cm="1">
        <f t="array" ref="U710">IF(OR(ISBLANK($B710),ISBLANK('tracking - Table 2-1-2'!A$1)),"",'tracking - Table 2-1-2'!F$66)</f>
      </c>
    </row>
    <row r="711" ht="8.75" customHeight="1" hidden="1">
      <c r="A711" s="960">
        <v>45050</v>
      </c>
      <c r="B711" s="961">
        <v>80.5</v>
      </c>
      <c r="C711" s="965" cm="1">
        <f t="array" ref="C711">IF(ISBLANK(B711),"",B711*2.2046226218)</f>
        <v>177.4721210549</v>
      </c>
      <c r="D711" s="962" cm="1">
        <f t="array" ref="D711">IF(ISBLANK(B711),"",AVERAGE(B705:B711))</f>
        <v>80.71428571428569</v>
      </c>
      <c r="E711" s="962" cm="1">
        <f t="array" ref="E711">IF(ISBLANK(B711),"",AVERAGE(B698:B711))</f>
        <v>80.57692307692309</v>
      </c>
      <c r="F711" s="962" cm="1">
        <f t="array" ref="F711">IF(ISBLANK(B711),"",AVERAGE(B682:B711))</f>
        <v>80.512962962963</v>
      </c>
      <c r="G711" s="964"/>
      <c r="H711" s="964"/>
      <c r="I711" s="964"/>
      <c r="J711" s="964"/>
      <c r="K711" s="964"/>
      <c r="L711" s="964"/>
      <c r="M711" s="964"/>
      <c r="N711" s="964"/>
      <c r="O711" s="964"/>
      <c r="P711" s="964"/>
      <c r="Q711" s="962"/>
      <c r="R711" t="str" s="964" cm="1">
        <f t="array" ref="R711">IF(OR(ISBLANK($B711),NOT(ISBLANK(B711))),"",'tracking - Table 2-1-2'!C$66)</f>
      </c>
      <c r="S711" t="str" s="964" cm="1">
        <f t="array" ref="S711">IF(OR(ISBLANK($B711),NOT(ISBLANK(B711))),"",'tracking - Table 2-1-2'!D$66)</f>
      </c>
      <c r="T711" t="str" s="964" cm="1">
        <f t="array" ref="T711">IF(OR(ISBLANK($B711),NOT(ISBLANK(B711))),"",'tracking - Table 2-1-2'!E$66)</f>
      </c>
      <c r="U711" t="str" s="969" cm="1">
        <f t="array" ref="U711">IF(OR(ISBLANK($B711),ISBLANK('tracking - Table 2-1-2'!A$1)),"",'tracking - Table 2-1-2'!F$66)</f>
      </c>
    </row>
    <row r="712" ht="8.75" customHeight="1" hidden="1">
      <c r="A712" s="960">
        <v>45051</v>
      </c>
      <c r="B712" s="961">
        <v>81.2</v>
      </c>
      <c r="C712" s="965" cm="1">
        <f t="array" ref="C712">IF(ISBLANK(B712),"",B712*2.2046226218)</f>
        <v>179.015356890160</v>
      </c>
      <c r="D712" s="962" cm="1">
        <f t="array" ref="D712">IF(ISBLANK(B712),"",AVERAGE(B706:B712))</f>
        <v>80.8571428571429</v>
      </c>
      <c r="E712" s="962" cm="1">
        <f t="array" ref="E712">IF(ISBLANK(B712),"",AVERAGE(B699:B712))</f>
        <v>80.6653846153846</v>
      </c>
      <c r="F712" s="962" cm="1">
        <f t="array" ref="F712">IF(ISBLANK(B712),"",AVERAGE(B683:B712))</f>
        <v>80.512962962963</v>
      </c>
      <c r="G712" s="964"/>
      <c r="H712" s="964"/>
      <c r="I712" s="964"/>
      <c r="J712" s="964"/>
      <c r="K712" s="964"/>
      <c r="L712" s="964"/>
      <c r="M712" s="964"/>
      <c r="N712" s="964"/>
      <c r="O712" s="964"/>
      <c r="P712" s="964"/>
      <c r="Q712" s="962"/>
      <c r="R712" t="str" s="964" cm="1">
        <f t="array" ref="R712">IF(OR(ISBLANK($B712),NOT(ISBLANK(B712))),"",'tracking - Table 2-1-2'!C$66)</f>
      </c>
      <c r="S712" t="str" s="964" cm="1">
        <f t="array" ref="S712">IF(OR(ISBLANK($B712),NOT(ISBLANK(B712))),"",'tracking - Table 2-1-2'!D$66)</f>
      </c>
      <c r="T712" t="str" s="964" cm="1">
        <f t="array" ref="T712">IF(OR(ISBLANK($B712),NOT(ISBLANK(B712))),"",'tracking - Table 2-1-2'!E$66)</f>
      </c>
      <c r="U712" t="str" s="969" cm="1">
        <f t="array" ref="U712">IF(OR(ISBLANK($B712),ISBLANK('tracking - Table 2-1-2'!A$1)),"",'tracking - Table 2-1-2'!F$66)</f>
      </c>
    </row>
    <row r="713" ht="8.75" customHeight="1" hidden="1">
      <c r="A713" s="960">
        <v>45052</v>
      </c>
      <c r="B713" s="356"/>
      <c r="C713" t="str" s="352" cm="1">
        <f t="array" ref="C713">IF(ISBLANK(B713),"",B713*2.2046226218)</f>
      </c>
      <c r="D713" t="str" s="964" cm="1">
        <f t="array" ref="D713">IF(ISBLANK(B713),"",AVERAGE(B707:B713))</f>
      </c>
      <c r="E713" t="str" s="964" cm="1">
        <f t="array" ref="E713">IF(ISBLANK(B713),"",AVERAGE(B700:B713))</f>
      </c>
      <c r="F713" t="str" s="964" cm="1">
        <f t="array" ref="F713">IF(ISBLANK(B713),"",AVERAGE(B684:B713))</f>
      </c>
      <c r="G713" s="964"/>
      <c r="H713" s="964"/>
      <c r="I713" s="964"/>
      <c r="J713" s="964"/>
      <c r="K713" s="964"/>
      <c r="L713" s="964"/>
      <c r="M713" s="964"/>
      <c r="N713" s="964"/>
      <c r="O713" s="964"/>
      <c r="P713" s="964"/>
      <c r="Q713" s="962"/>
      <c r="R713" t="str" s="964" cm="1">
        <f t="array" ref="R713">IF(OR(ISBLANK($B713),NOT(ISBLANK(B713))),"",'tracking - Table 2-1-2'!C$66)</f>
      </c>
      <c r="S713" t="str" s="964" cm="1">
        <f t="array" ref="S713">IF(OR(ISBLANK($B713),NOT(ISBLANK(B713))),"",'tracking - Table 2-1-2'!D$66)</f>
      </c>
      <c r="T713" t="str" s="964" cm="1">
        <f t="array" ref="T713">IF(OR(ISBLANK($B713),NOT(ISBLANK(B713))),"",'tracking - Table 2-1-2'!E$66)</f>
      </c>
      <c r="U713" t="str" s="969" cm="1">
        <f t="array" ref="U713">IF(OR(ISBLANK($B713),ISBLANK('tracking - Table 2-1-2'!A$1)),"",'tracking - Table 2-1-2'!F$66)</f>
      </c>
    </row>
    <row r="714" ht="8.75" customHeight="1" hidden="1">
      <c r="A714" s="960">
        <v>45053</v>
      </c>
      <c r="B714" s="961">
        <v>80.90000000000001</v>
      </c>
      <c r="C714" s="965" cm="1">
        <f t="array" ref="C714">IF(ISBLANK(B714),"",B714*2.2046226218)</f>
        <v>178.353970103620</v>
      </c>
      <c r="D714" s="962" cm="1">
        <f t="array" ref="D714">IF(ISBLANK(B714),"",AVERAGE(B708:B714))</f>
        <v>80.7833333333333</v>
      </c>
      <c r="E714" s="962" cm="1">
        <f t="array" ref="E714">IF(ISBLANK(B714),"",AVERAGE(B701:B714))</f>
        <v>80.7307692307692</v>
      </c>
      <c r="F714" s="962" cm="1">
        <f t="array" ref="F714">IF(ISBLANK(B714),"",AVERAGE(B685:B714))</f>
        <v>80.52115384615379</v>
      </c>
      <c r="G714" s="964"/>
      <c r="H714" s="964"/>
      <c r="I714" s="964"/>
      <c r="J714" s="964"/>
      <c r="K714" s="964"/>
      <c r="L714" s="964"/>
      <c r="M714" s="964"/>
      <c r="N714" s="964"/>
      <c r="O714" s="964"/>
      <c r="P714" s="964"/>
      <c r="Q714" s="962"/>
      <c r="R714" t="str" s="964" cm="1">
        <f t="array" ref="R714">IF(OR(ISBLANK($B714),NOT(ISBLANK(B714))),"",'tracking - Table 2-1-2'!C$66)</f>
      </c>
      <c r="S714" t="str" s="964" cm="1">
        <f t="array" ref="S714">IF(OR(ISBLANK($B714),NOT(ISBLANK(B714))),"",'tracking - Table 2-1-2'!D$66)</f>
      </c>
      <c r="T714" t="str" s="964" cm="1">
        <f t="array" ref="T714">IF(OR(ISBLANK($B714),NOT(ISBLANK(B714))),"",'tracking - Table 2-1-2'!E$66)</f>
      </c>
      <c r="U714" t="str" s="969" cm="1">
        <f t="array" ref="U714">IF(OR(ISBLANK($B714),ISBLANK('tracking - Table 2-1-2'!A$1)),"",'tracking - Table 2-1-2'!F$66)</f>
      </c>
    </row>
    <row r="715" ht="8.75" customHeight="1" hidden="1">
      <c r="A715" s="960">
        <v>45054</v>
      </c>
      <c r="B715" s="961">
        <v>81.75</v>
      </c>
      <c r="C715" s="965" cm="1">
        <f t="array" ref="C715">IF(ISBLANK(B715),"",B715*2.2046226218)</f>
        <v>180.227899332150</v>
      </c>
      <c r="D715" s="962" cm="1">
        <f t="array" ref="D715">IF(ISBLANK(B715),"",AVERAGE(B709:B715))</f>
        <v>80.94166666666671</v>
      </c>
      <c r="E715" s="962" cm="1">
        <f t="array" ref="E715">IF(ISBLANK(B715),"",AVERAGE(B702:B715))</f>
        <v>80.8192307692308</v>
      </c>
      <c r="F715" s="962" cm="1">
        <f t="array" ref="F715">IF(ISBLANK(B715),"",AVERAGE(B686:B715))</f>
        <v>80.575</v>
      </c>
      <c r="G715" s="964"/>
      <c r="H715" s="964"/>
      <c r="I715" s="964"/>
      <c r="J715" s="964"/>
      <c r="K715" s="964"/>
      <c r="L715" s="964"/>
      <c r="M715" s="964"/>
      <c r="N715" s="964"/>
      <c r="O715" s="964"/>
      <c r="P715" s="964"/>
      <c r="Q715" s="962"/>
      <c r="R715" t="str" s="964" cm="1">
        <f t="array" ref="R715">IF(OR(ISBLANK($B715),NOT(ISBLANK(B715))),"",'tracking - Table 2-1-2'!C$66)</f>
      </c>
      <c r="S715" t="str" s="964" cm="1">
        <f t="array" ref="S715">IF(OR(ISBLANK($B715),NOT(ISBLANK(B715))),"",'tracking - Table 2-1-2'!D$66)</f>
      </c>
      <c r="T715" t="str" s="964" cm="1">
        <f t="array" ref="T715">IF(OR(ISBLANK($B715),NOT(ISBLANK(B715))),"",'tracking - Table 2-1-2'!E$66)</f>
      </c>
      <c r="U715" t="str" s="969" cm="1">
        <f t="array" ref="U715">IF(OR(ISBLANK($B715),ISBLANK('tracking - Table 2-1-2'!A$1)),"",'tracking - Table 2-1-2'!F$66)</f>
      </c>
    </row>
    <row r="716" ht="8.75" customHeight="1" hidden="1">
      <c r="A716" s="960">
        <v>45055</v>
      </c>
      <c r="B716" s="961">
        <v>81.45</v>
      </c>
      <c r="C716" s="965" cm="1">
        <f t="array" ref="C716">IF(ISBLANK(B716),"",B716*2.2046226218)</f>
        <v>179.566512545610</v>
      </c>
      <c r="D716" s="962" cm="1">
        <f t="array" ref="D716">IF(ISBLANK(B716),"",AVERAGE(B710:B716))</f>
        <v>81.05</v>
      </c>
      <c r="E716" s="962" cm="1">
        <f t="array" ref="E716">IF(ISBLANK(B716),"",AVERAGE(B703:B716))</f>
        <v>80.8846153846154</v>
      </c>
      <c r="F716" s="962" cm="1">
        <f t="array" ref="F716">IF(ISBLANK(B716),"",AVERAGE(B687:B716))</f>
        <v>80.6115384615385</v>
      </c>
      <c r="G716" s="964"/>
      <c r="H716" s="964"/>
      <c r="I716" s="964"/>
      <c r="J716" s="964"/>
      <c r="K716" s="964"/>
      <c r="L716" s="964"/>
      <c r="M716" s="964"/>
      <c r="N716" s="964"/>
      <c r="O716" s="964"/>
      <c r="P716" s="964"/>
      <c r="Q716" s="962"/>
      <c r="R716" t="str" s="964" cm="1">
        <f t="array" ref="R716">IF(OR(ISBLANK($B716),NOT(ISBLANK(B716))),"",'tracking - Table 2-1-2'!C$66)</f>
      </c>
      <c r="S716" t="str" s="964" cm="1">
        <f t="array" ref="S716">IF(OR(ISBLANK($B716),NOT(ISBLANK(B716))),"",'tracking - Table 2-1-2'!D$66)</f>
      </c>
      <c r="T716" t="str" s="964" cm="1">
        <f t="array" ref="T716">IF(OR(ISBLANK($B716),NOT(ISBLANK(B716))),"",'tracking - Table 2-1-2'!E$66)</f>
      </c>
      <c r="U716" t="str" s="969" cm="1">
        <f t="array" ref="U716">IF(OR(ISBLANK($B716),ISBLANK('tracking - Table 2-1-2'!A$1)),"",'tracking - Table 2-1-2'!F$66)</f>
      </c>
    </row>
    <row r="717" ht="8.75" customHeight="1" hidden="1">
      <c r="A717" s="960">
        <v>45056</v>
      </c>
      <c r="B717" s="961">
        <v>80.40000000000001</v>
      </c>
      <c r="C717" s="965" cm="1">
        <f t="array" ref="C717">IF(ISBLANK(B717),"",B717*2.2046226218)</f>
        <v>177.251658792720</v>
      </c>
      <c r="D717" s="962" cm="1">
        <f t="array" ref="D717">IF(ISBLANK(B717),"",AVERAGE(B711:B717))</f>
        <v>81.0333333333333</v>
      </c>
      <c r="E717" s="962" cm="1">
        <f t="array" ref="E717">IF(ISBLANK(B717),"",AVERAGE(B704:B717))</f>
        <v>80.8692307692308</v>
      </c>
      <c r="F717" s="962" cm="1">
        <f t="array" ref="F717">IF(ISBLANK(B717),"",AVERAGE(B688:B717))</f>
        <v>80.61346153846149</v>
      </c>
      <c r="G717" s="964"/>
      <c r="H717" s="964"/>
      <c r="I717" s="964"/>
      <c r="J717" s="964"/>
      <c r="K717" s="964"/>
      <c r="L717" s="964"/>
      <c r="M717" s="964"/>
      <c r="N717" s="964"/>
      <c r="O717" s="964"/>
      <c r="P717" s="964"/>
      <c r="Q717" s="962"/>
      <c r="R717" t="str" s="964" cm="1">
        <f t="array" ref="R717">IF(OR(ISBLANK($B717),NOT(ISBLANK(B717))),"",'tracking - Table 2-1-2'!C$66)</f>
      </c>
      <c r="S717" t="str" s="964" cm="1">
        <f t="array" ref="S717">IF(OR(ISBLANK($B717),NOT(ISBLANK(B717))),"",'tracking - Table 2-1-2'!D$66)</f>
      </c>
      <c r="T717" t="str" s="964" cm="1">
        <f t="array" ref="T717">IF(OR(ISBLANK($B717),NOT(ISBLANK(B717))),"",'tracking - Table 2-1-2'!E$66)</f>
      </c>
      <c r="U717" t="str" s="969" cm="1">
        <f t="array" ref="U717">IF(OR(ISBLANK($B717),ISBLANK('tracking - Table 2-1-2'!A$1)),"",'tracking - Table 2-1-2'!F$66)</f>
      </c>
    </row>
    <row r="718" ht="8.75" customHeight="1" hidden="1">
      <c r="A718" s="960">
        <v>45057</v>
      </c>
      <c r="B718" s="961">
        <v>80.95</v>
      </c>
      <c r="C718" s="965" cm="1">
        <f t="array" ref="C718">IF(ISBLANK(B718),"",B718*2.2046226218)</f>
        <v>178.464201234710</v>
      </c>
      <c r="D718" s="962" cm="1">
        <f t="array" ref="D718">IF(ISBLANK(B718),"",AVERAGE(B712:B718))</f>
        <v>81.10833333333331</v>
      </c>
      <c r="E718" s="962" cm="1">
        <f t="array" ref="E718">IF(ISBLANK(B718),"",AVERAGE(B705:B718))</f>
        <v>80.89615384615379</v>
      </c>
      <c r="F718" s="962" cm="1">
        <f t="array" ref="F718">IF(ISBLANK(B718),"",AVERAGE(B689:B718))</f>
        <v>80.63653846153851</v>
      </c>
      <c r="G718" s="964"/>
      <c r="H718" s="964"/>
      <c r="I718" s="964"/>
      <c r="J718" s="964"/>
      <c r="K718" s="964"/>
      <c r="L718" s="964"/>
      <c r="M718" s="964"/>
      <c r="N718" s="964"/>
      <c r="O718" s="964"/>
      <c r="P718" s="964"/>
      <c r="Q718" s="962"/>
      <c r="R718" t="str" s="964" cm="1">
        <f t="array" ref="R718">IF(OR(ISBLANK($B718),NOT(ISBLANK(B718))),"",'tracking - Table 2-1-2'!C$66)</f>
      </c>
      <c r="S718" t="str" s="964" cm="1">
        <f t="array" ref="S718">IF(OR(ISBLANK($B718),NOT(ISBLANK(B718))),"",'tracking - Table 2-1-2'!D$66)</f>
      </c>
      <c r="T718" t="str" s="964" cm="1">
        <f t="array" ref="T718">IF(OR(ISBLANK($B718),NOT(ISBLANK(B718))),"",'tracking - Table 2-1-2'!E$66)</f>
      </c>
      <c r="U718" t="str" s="969" cm="1">
        <f t="array" ref="U718">IF(OR(ISBLANK($B718),ISBLANK('tracking - Table 2-1-2'!A$1)),"",'tracking - Table 2-1-2'!F$66)</f>
      </c>
    </row>
    <row r="719" ht="8.75" customHeight="1" hidden="1">
      <c r="A719" s="960">
        <v>45058</v>
      </c>
      <c r="B719" s="961">
        <v>82.34999999999999</v>
      </c>
      <c r="C719" s="965" cm="1">
        <f t="array" ref="C719">IF(ISBLANK(B719),"",B719*2.2046226218)</f>
        <v>181.550672905230</v>
      </c>
      <c r="D719" s="962" cm="1">
        <f t="array" ref="D719">IF(ISBLANK(B719),"",AVERAGE(B713:B719))</f>
        <v>81.3</v>
      </c>
      <c r="E719" s="962" cm="1">
        <f t="array" ref="E719">IF(ISBLANK(B719),"",AVERAGE(B706:B719))</f>
        <v>81.0615384615385</v>
      </c>
      <c r="F719" s="962" cm="1">
        <f t="array" ref="F719">IF(ISBLANK(B719),"",AVERAGE(B690:B719))</f>
        <v>80.7173076923077</v>
      </c>
      <c r="G719" s="964"/>
      <c r="H719" s="964"/>
      <c r="I719" s="964"/>
      <c r="J719" s="964"/>
      <c r="K719" s="964"/>
      <c r="L719" s="964"/>
      <c r="M719" s="964"/>
      <c r="N719" s="964"/>
      <c r="O719" s="964"/>
      <c r="P719" s="964"/>
      <c r="Q719" s="962"/>
      <c r="R719" t="str" s="964" cm="1">
        <f t="array" ref="R719">IF(OR(ISBLANK($B719),NOT(ISBLANK(B719))),"",'tracking - Table 2-1-2'!C$66)</f>
      </c>
      <c r="S719" t="str" s="964" cm="1">
        <f t="array" ref="S719">IF(OR(ISBLANK($B719),NOT(ISBLANK(B719))),"",'tracking - Table 2-1-2'!D$66)</f>
      </c>
      <c r="T719" t="str" s="964" cm="1">
        <f t="array" ref="T719">IF(OR(ISBLANK($B719),NOT(ISBLANK(B719))),"",'tracking - Table 2-1-2'!E$66)</f>
      </c>
      <c r="U719" t="str" s="969" cm="1">
        <f t="array" ref="U719">IF(OR(ISBLANK($B719),ISBLANK('tracking - Table 2-1-2'!A$1)),"",'tracking - Table 2-1-2'!F$66)</f>
      </c>
    </row>
    <row r="720" ht="8.75" customHeight="1" hidden="1">
      <c r="A720" s="960">
        <v>45059</v>
      </c>
      <c r="B720" s="961">
        <v>81.59999999999999</v>
      </c>
      <c r="C720" s="965" cm="1">
        <f t="array" ref="C720">IF(ISBLANK(B720),"",B720*2.2046226218)</f>
        <v>179.897205938880</v>
      </c>
      <c r="D720" s="962" cm="1">
        <f t="array" ref="D720">IF(ISBLANK(B720),"",AVERAGE(B714:B720))</f>
        <v>81.3428571428571</v>
      </c>
      <c r="E720" s="962" cm="1">
        <f t="array" ref="E720">IF(ISBLANK(B720),"",AVERAGE(B707:B720))</f>
        <v>81.1153846153846</v>
      </c>
      <c r="F720" s="962" cm="1">
        <f t="array" ref="F720">IF(ISBLANK(B720),"",AVERAGE(B691:B720))</f>
        <v>80.7692307692308</v>
      </c>
      <c r="G720" s="964"/>
      <c r="H720" s="964"/>
      <c r="I720" s="964"/>
      <c r="J720" s="964"/>
      <c r="K720" s="964"/>
      <c r="L720" s="964"/>
      <c r="M720" s="964"/>
      <c r="N720" s="964"/>
      <c r="O720" s="964"/>
      <c r="P720" s="964"/>
      <c r="Q720" s="962"/>
      <c r="R720" t="str" s="964" cm="1">
        <f t="array" ref="R720">IF(OR(ISBLANK($B720),NOT(ISBLANK(B720))),"",'tracking - Table 2-1-2'!C$66)</f>
      </c>
      <c r="S720" t="str" s="964" cm="1">
        <f t="array" ref="S720">IF(OR(ISBLANK($B720),NOT(ISBLANK(B720))),"",'tracking - Table 2-1-2'!D$66)</f>
      </c>
      <c r="T720" t="str" s="964" cm="1">
        <f t="array" ref="T720">IF(OR(ISBLANK($B720),NOT(ISBLANK(B720))),"",'tracking - Table 2-1-2'!E$66)</f>
      </c>
      <c r="U720" t="str" s="969" cm="1">
        <f t="array" ref="U720">IF(OR(ISBLANK($B720),ISBLANK('tracking - Table 2-1-2'!A$1)),"",'tracking - Table 2-1-2'!F$66)</f>
      </c>
    </row>
    <row r="721" ht="8.75" customHeight="1" hidden="1">
      <c r="A721" s="960">
        <v>45060</v>
      </c>
      <c r="B721" s="961">
        <v>81.59999999999999</v>
      </c>
      <c r="C721" s="965" cm="1">
        <f t="array" ref="C721">IF(ISBLANK(B721),"",B721*2.2046226218)</f>
        <v>179.897205938880</v>
      </c>
      <c r="D721" s="962" cm="1">
        <f t="array" ref="D721">IF(ISBLANK(B721),"",AVERAGE(B715:B721))</f>
        <v>81.44285714285709</v>
      </c>
      <c r="E721" s="962" cm="1">
        <f t="array" ref="E721">IF(ISBLANK(B721),"",AVERAGE(B708:B721))</f>
        <v>81.1384615384615</v>
      </c>
      <c r="F721" s="962" cm="1">
        <f t="array" ref="F721">IF(ISBLANK(B721),"",AVERAGE(B692:B721))</f>
        <v>80.82115384615381</v>
      </c>
      <c r="G721" s="964"/>
      <c r="H721" s="964"/>
      <c r="I721" s="964"/>
      <c r="J721" s="964"/>
      <c r="K721" s="964"/>
      <c r="L721" s="964"/>
      <c r="M721" s="964"/>
      <c r="N721" s="964"/>
      <c r="O721" s="964"/>
      <c r="P721" s="964"/>
      <c r="Q721" s="962"/>
      <c r="R721" t="str" s="964" cm="1">
        <f t="array" ref="R721">IF(OR(ISBLANK($B721),NOT(ISBLANK(B721))),"",'tracking - Table 2-1-2'!C$66)</f>
      </c>
      <c r="S721" t="str" s="964" cm="1">
        <f t="array" ref="S721">IF(OR(ISBLANK($B721),NOT(ISBLANK(B721))),"",'tracking - Table 2-1-2'!D$66)</f>
      </c>
      <c r="T721" t="str" s="964" cm="1">
        <f t="array" ref="T721">IF(OR(ISBLANK($B721),NOT(ISBLANK(B721))),"",'tracking - Table 2-1-2'!E$66)</f>
      </c>
      <c r="U721" t="str" s="969" cm="1">
        <f t="array" ref="U721">IF(OR(ISBLANK($B721),ISBLANK('tracking - Table 2-1-2'!A$1)),"",'tracking - Table 2-1-2'!F$66)</f>
      </c>
    </row>
    <row r="722" ht="8.75" customHeight="1" hidden="1">
      <c r="A722" s="960">
        <v>45061</v>
      </c>
      <c r="B722" s="961">
        <v>81.59999999999999</v>
      </c>
      <c r="C722" s="965" cm="1">
        <f t="array" ref="C722">IF(ISBLANK(B722),"",B722*2.2046226218)</f>
        <v>179.897205938880</v>
      </c>
      <c r="D722" s="962" cm="1">
        <f t="array" ref="D722">IF(ISBLANK(B722),"",AVERAGE(B716:B722))</f>
        <v>81.42142857142861</v>
      </c>
      <c r="E722" s="962" cm="1">
        <f t="array" ref="E722">IF(ISBLANK(B722),"",AVERAGE(B709:B722))</f>
        <v>81.2</v>
      </c>
      <c r="F722" s="962" cm="1">
        <f t="array" ref="F722">IF(ISBLANK(B722),"",AVERAGE(B693:B722))</f>
        <v>80.84999999999999</v>
      </c>
      <c r="G722" s="964"/>
      <c r="H722" s="964"/>
      <c r="I722" s="964"/>
      <c r="J722" s="964"/>
      <c r="K722" s="964"/>
      <c r="L722" s="964"/>
      <c r="M722" s="964"/>
      <c r="N722" s="964"/>
      <c r="O722" s="964"/>
      <c r="P722" s="964"/>
      <c r="Q722" s="962"/>
      <c r="R722" t="str" s="964" cm="1">
        <f t="array" ref="R722">IF(OR(ISBLANK($B722),NOT(ISBLANK(B722))),"",'tracking - Table 2-1-2'!C$66)</f>
      </c>
      <c r="S722" t="str" s="964" cm="1">
        <f t="array" ref="S722">IF(OR(ISBLANK($B722),NOT(ISBLANK(B722))),"",'tracking - Table 2-1-2'!D$66)</f>
      </c>
      <c r="T722" t="str" s="964" cm="1">
        <f t="array" ref="T722">IF(OR(ISBLANK($B722),NOT(ISBLANK(B722))),"",'tracking - Table 2-1-2'!E$66)</f>
      </c>
      <c r="U722" t="str" s="969" cm="1">
        <f t="array" ref="U722">IF(OR(ISBLANK($B722),ISBLANK('tracking - Table 2-1-2'!A$1)),"",'tracking - Table 2-1-2'!F$66)</f>
      </c>
    </row>
    <row r="723" ht="8.75" customHeight="1" hidden="1">
      <c r="A723" s="960">
        <v>45062</v>
      </c>
      <c r="B723" s="961">
        <v>81.05</v>
      </c>
      <c r="C723" s="965" cm="1">
        <f t="array" ref="C723">IF(ISBLANK(B723),"",B723*2.2046226218)</f>
        <v>178.684663496890</v>
      </c>
      <c r="D723" s="962" cm="1">
        <f t="array" ref="D723">IF(ISBLANK(B723),"",AVERAGE(B717:B723))</f>
        <v>81.3642857142857</v>
      </c>
      <c r="E723" s="962" cm="1">
        <f t="array" ref="E723">IF(ISBLANK(B723),"",AVERAGE(B710:B723))</f>
        <v>81.2192307692308</v>
      </c>
      <c r="F723" s="962" cm="1">
        <f t="array" ref="F723">IF(ISBLANK(B723),"",AVERAGE(B694:B723))</f>
        <v>80.8571428571429</v>
      </c>
      <c r="G723" s="964"/>
      <c r="H723" s="964"/>
      <c r="I723" s="964"/>
      <c r="J723" s="964"/>
      <c r="K723" s="964"/>
      <c r="L723" s="964"/>
      <c r="M723" s="964"/>
      <c r="N723" s="964"/>
      <c r="O723" s="964"/>
      <c r="P723" s="964"/>
      <c r="Q723" s="962"/>
      <c r="R723" t="str" s="964" cm="1">
        <f t="array" ref="R723">IF(OR(ISBLANK($B723),NOT(ISBLANK(B723))),"",'tracking - Table 2-1-2'!C$66)</f>
      </c>
      <c r="S723" t="str" s="964" cm="1">
        <f t="array" ref="S723">IF(OR(ISBLANK($B723),NOT(ISBLANK(B723))),"",'tracking - Table 2-1-2'!D$66)</f>
      </c>
      <c r="T723" t="str" s="964" cm="1">
        <f t="array" ref="T723">IF(OR(ISBLANK($B723),NOT(ISBLANK(B723))),"",'tracking - Table 2-1-2'!E$66)</f>
      </c>
      <c r="U723" t="str" s="969" cm="1">
        <f t="array" ref="U723">IF(OR(ISBLANK($B723),ISBLANK('tracking - Table 2-1-2'!A$1)),"",'tracking - Table 2-1-2'!F$66)</f>
      </c>
    </row>
    <row r="724" ht="8.75" customHeight="1" hidden="1">
      <c r="A724" s="960">
        <v>45063</v>
      </c>
      <c r="B724" s="961">
        <v>80.65000000000001</v>
      </c>
      <c r="C724" s="965" cm="1">
        <f t="array" ref="C724">IF(ISBLANK(B724),"",B724*2.2046226218)</f>
        <v>177.802814448170</v>
      </c>
      <c r="D724" s="962" cm="1">
        <f t="array" ref="D724">IF(ISBLANK(B724),"",AVERAGE(B718:B724))</f>
        <v>81.40000000000001</v>
      </c>
      <c r="E724" s="962" cm="1">
        <f t="array" ref="E724">IF(ISBLANK(B724),"",AVERAGE(B711:B724))</f>
        <v>81.2307692307692</v>
      </c>
      <c r="F724" s="962" cm="1">
        <f t="array" ref="F724">IF(ISBLANK(B724),"",AVERAGE(B695:B724))</f>
        <v>80.86071428571429</v>
      </c>
      <c r="G724" s="964"/>
      <c r="H724" s="964"/>
      <c r="I724" s="964"/>
      <c r="J724" s="964"/>
      <c r="K724" s="964"/>
      <c r="L724" s="964"/>
      <c r="M724" s="964"/>
      <c r="N724" s="964"/>
      <c r="O724" s="964"/>
      <c r="P724" s="964"/>
      <c r="Q724" s="962"/>
      <c r="R724" t="str" s="964" cm="1">
        <f t="array" ref="R724">IF(OR(ISBLANK($B724),NOT(ISBLANK(B724))),"",'tracking - Table 2-1-2'!C$66)</f>
      </c>
      <c r="S724" t="str" s="964" cm="1">
        <f t="array" ref="S724">IF(OR(ISBLANK($B724),NOT(ISBLANK(B724))),"",'tracking - Table 2-1-2'!D$66)</f>
      </c>
      <c r="T724" t="str" s="964" cm="1">
        <f t="array" ref="T724">IF(OR(ISBLANK($B724),NOT(ISBLANK(B724))),"",'tracking - Table 2-1-2'!E$66)</f>
      </c>
      <c r="U724" t="str" s="969" cm="1">
        <f t="array" ref="U724">IF(OR(ISBLANK($B724),ISBLANK('tracking - Table 2-1-2'!A$1)),"",'tracking - Table 2-1-2'!F$66)</f>
      </c>
    </row>
    <row r="725" ht="8.75" customHeight="1" hidden="1">
      <c r="A725" s="960">
        <v>45064</v>
      </c>
      <c r="B725" s="961">
        <v>80.65000000000001</v>
      </c>
      <c r="C725" s="965" cm="1">
        <f t="array" ref="C725">IF(ISBLANK(B725),"",B725*2.2046226218)</f>
        <v>177.802814448170</v>
      </c>
      <c r="D725" s="962" cm="1">
        <f t="array" ref="D725">IF(ISBLANK(B725),"",AVERAGE(B719:B725))</f>
        <v>81.3571428571429</v>
      </c>
      <c r="E725" s="962" cm="1">
        <f t="array" ref="E725">IF(ISBLANK(B725),"",AVERAGE(B712:B725))</f>
        <v>81.2423076923077</v>
      </c>
      <c r="F725" s="962" cm="1">
        <f t="array" ref="F725">IF(ISBLANK(B725),"",AVERAGE(B696:B725))</f>
        <v>80.8642857142857</v>
      </c>
      <c r="G725" s="964"/>
      <c r="H725" s="964"/>
      <c r="I725" s="964"/>
      <c r="J725" s="964"/>
      <c r="K725" s="964"/>
      <c r="L725" s="964"/>
      <c r="M725" s="964"/>
      <c r="N725" s="964"/>
      <c r="O725" s="964"/>
      <c r="P725" s="964"/>
      <c r="Q725" s="962"/>
      <c r="R725" t="str" s="964" cm="1">
        <f t="array" ref="R725">IF(OR(ISBLANK($B725),NOT(ISBLANK(B725))),"",'tracking - Table 2-1-2'!C$66)</f>
      </c>
      <c r="S725" t="str" s="964" cm="1">
        <f t="array" ref="S725">IF(OR(ISBLANK($B725),NOT(ISBLANK(B725))),"",'tracking - Table 2-1-2'!D$66)</f>
      </c>
      <c r="T725" t="str" s="964" cm="1">
        <f t="array" ref="T725">IF(OR(ISBLANK($B725),NOT(ISBLANK(B725))),"",'tracking - Table 2-1-2'!E$66)</f>
      </c>
      <c r="U725" t="str" s="969" cm="1">
        <f t="array" ref="U725">IF(OR(ISBLANK($B725),ISBLANK('tracking - Table 2-1-2'!A$1)),"",'tracking - Table 2-1-2'!F$66)</f>
      </c>
    </row>
    <row r="726" ht="8.75" customHeight="1" hidden="1">
      <c r="A726" s="960">
        <v>45065</v>
      </c>
      <c r="B726" s="961">
        <v>80.65000000000001</v>
      </c>
      <c r="C726" s="965" cm="1">
        <f t="array" ref="C726">IF(ISBLANK(B726),"",B726*2.2046226218)</f>
        <v>177.802814448170</v>
      </c>
      <c r="D726" s="962" cm="1">
        <f t="array" ref="D726">IF(ISBLANK(B726),"",AVERAGE(B720:B726))</f>
        <v>81.1142857142857</v>
      </c>
      <c r="E726" s="962" cm="1">
        <f t="array" ref="E726">IF(ISBLANK(B726),"",AVERAGE(B713:B726))</f>
        <v>81.2</v>
      </c>
      <c r="F726" s="962" cm="1">
        <f t="array" ref="F726">IF(ISBLANK(B726),"",AVERAGE(B697:B726))</f>
        <v>80.8678571428571</v>
      </c>
      <c r="G726" s="964"/>
      <c r="H726" s="964"/>
      <c r="I726" s="964"/>
      <c r="J726" s="964"/>
      <c r="K726" s="964"/>
      <c r="L726" s="964"/>
      <c r="M726" s="964"/>
      <c r="N726" s="964"/>
      <c r="O726" s="964"/>
      <c r="P726" s="964"/>
      <c r="Q726" s="962"/>
      <c r="R726" t="str" s="964" cm="1">
        <f t="array" ref="R726">IF(OR(ISBLANK($B726),NOT(ISBLANK(B726))),"",'tracking - Table 2-1-2'!C$66)</f>
      </c>
      <c r="S726" t="str" s="964" cm="1">
        <f t="array" ref="S726">IF(OR(ISBLANK($B726),NOT(ISBLANK(B726))),"",'tracking - Table 2-1-2'!D$66)</f>
      </c>
      <c r="T726" t="str" s="964" cm="1">
        <f t="array" ref="T726">IF(OR(ISBLANK($B726),NOT(ISBLANK(B726))),"",'tracking - Table 2-1-2'!E$66)</f>
      </c>
      <c r="U726" t="str" s="969" cm="1">
        <f t="array" ref="U726">IF(OR(ISBLANK($B726),ISBLANK('tracking - Table 2-1-2'!A$1)),"",'tracking - Table 2-1-2'!F$66)</f>
      </c>
    </row>
    <row r="727" ht="8.75" customHeight="1" hidden="1">
      <c r="A727" s="960">
        <v>45066</v>
      </c>
      <c r="B727" s="961">
        <v>80.65000000000001</v>
      </c>
      <c r="C727" s="965" cm="1">
        <f t="array" ref="C727">IF(ISBLANK(B727),"",B727*2.2046226218)</f>
        <v>177.802814448170</v>
      </c>
      <c r="D727" s="962" cm="1">
        <f t="array" ref="D727">IF(ISBLANK(B727),"",AVERAGE(B721:B727))</f>
        <v>80.9785714285714</v>
      </c>
      <c r="E727" s="962" cm="1">
        <f t="array" ref="E727">IF(ISBLANK(B727),"",AVERAGE(B714:B727))</f>
        <v>81.16071428571431</v>
      </c>
      <c r="F727" s="962" cm="1">
        <f t="array" ref="F727">IF(ISBLANK(B727),"",AVERAGE(B698:B727))</f>
        <v>80.89107142857139</v>
      </c>
      <c r="G727" s="964"/>
      <c r="H727" s="964"/>
      <c r="I727" s="964"/>
      <c r="J727" s="964"/>
      <c r="K727" s="964"/>
      <c r="L727" s="964"/>
      <c r="M727" s="964"/>
      <c r="N727" s="964"/>
      <c r="O727" s="964"/>
      <c r="P727" s="964"/>
      <c r="Q727" s="962"/>
      <c r="R727" t="str" s="964" cm="1">
        <f t="array" ref="R727">IF(OR(ISBLANK($B727),NOT(ISBLANK(B727))),"",'tracking - Table 2-1-2'!C$66)</f>
      </c>
      <c r="S727" t="str" s="964" cm="1">
        <f t="array" ref="S727">IF(OR(ISBLANK($B727),NOT(ISBLANK(B727))),"",'tracking - Table 2-1-2'!D$66)</f>
      </c>
      <c r="T727" t="str" s="964" cm="1">
        <f t="array" ref="T727">IF(OR(ISBLANK($B727),NOT(ISBLANK(B727))),"",'tracking - Table 2-1-2'!E$66)</f>
      </c>
      <c r="U727" t="str" s="969" cm="1">
        <f t="array" ref="U727">IF(OR(ISBLANK($B727),ISBLANK('tracking - Table 2-1-2'!A$1)),"",'tracking - Table 2-1-2'!F$66)</f>
      </c>
    </row>
    <row r="728" ht="8.75" customHeight="1" hidden="1">
      <c r="A728" s="960">
        <v>45067</v>
      </c>
      <c r="B728" s="961">
        <v>80.15000000000001</v>
      </c>
      <c r="C728" s="965" cm="1">
        <f t="array" ref="C728">IF(ISBLANK(B728),"",B728*2.2046226218)</f>
        <v>176.700503137270</v>
      </c>
      <c r="D728" s="962" cm="1">
        <f t="array" ref="D728">IF(ISBLANK(B728),"",AVERAGE(B722:B728))</f>
        <v>80.7714285714286</v>
      </c>
      <c r="E728" s="962" cm="1">
        <f t="array" ref="E728">IF(ISBLANK(B728),"",AVERAGE(B715:B728))</f>
        <v>81.1071428571429</v>
      </c>
      <c r="F728" s="962" cm="1">
        <f t="array" ref="F728">IF(ISBLANK(B728),"",AVERAGE(B699:B728))</f>
        <v>80.8946428571429</v>
      </c>
      <c r="G728" s="964"/>
      <c r="H728" s="964"/>
      <c r="I728" s="964"/>
      <c r="J728" s="964"/>
      <c r="K728" s="964"/>
      <c r="L728" s="964"/>
      <c r="M728" s="964"/>
      <c r="N728" s="964"/>
      <c r="O728" s="964"/>
      <c r="P728" s="964"/>
      <c r="Q728" s="962"/>
      <c r="R728" t="str" s="964" cm="1">
        <f t="array" ref="R728">IF(OR(ISBLANK($B728),NOT(ISBLANK(B728))),"",'tracking - Table 2-1-2'!C$66)</f>
      </c>
      <c r="S728" t="str" s="964" cm="1">
        <f t="array" ref="S728">IF(OR(ISBLANK($B728),NOT(ISBLANK(B728))),"",'tracking - Table 2-1-2'!D$66)</f>
      </c>
      <c r="T728" t="str" s="964" cm="1">
        <f t="array" ref="T728">IF(OR(ISBLANK($B728),NOT(ISBLANK(B728))),"",'tracking - Table 2-1-2'!E$66)</f>
      </c>
      <c r="U728" t="str" s="969" cm="1">
        <f t="array" ref="U728">IF(OR(ISBLANK($B728),ISBLANK('tracking - Table 2-1-2'!A$1)),"",'tracking - Table 2-1-2'!F$66)</f>
      </c>
    </row>
    <row r="729" ht="8.75" customHeight="1" hidden="1">
      <c r="A729" s="960">
        <v>45068</v>
      </c>
      <c r="B729" s="961">
        <v>80.15000000000001</v>
      </c>
      <c r="C729" s="965" cm="1">
        <f t="array" ref="C729">IF(ISBLANK(B729),"",B729*2.2046226218)</f>
        <v>176.700503137270</v>
      </c>
      <c r="D729" s="962" cm="1">
        <f t="array" ref="D729">IF(ISBLANK(B729),"",AVERAGE(B723:B729))</f>
        <v>80.5642857142857</v>
      </c>
      <c r="E729" s="962" cm="1">
        <f t="array" ref="E729">IF(ISBLANK(B729),"",AVERAGE(B716:B729))</f>
        <v>80.9928571428571</v>
      </c>
      <c r="F729" s="962" cm="1">
        <f t="array" ref="F729">IF(ISBLANK(B729),"",AVERAGE(B700:B729))</f>
        <v>80.86896551724141</v>
      </c>
      <c r="G729" s="964"/>
      <c r="H729" s="964"/>
      <c r="I729" s="964"/>
      <c r="J729" s="964"/>
      <c r="K729" s="964"/>
      <c r="L729" s="964"/>
      <c r="M729" s="964"/>
      <c r="N729" s="964"/>
      <c r="O729" s="964"/>
      <c r="P729" s="964"/>
      <c r="Q729" s="962"/>
      <c r="R729" t="str" s="964" cm="1">
        <f t="array" ref="R729">IF(OR(ISBLANK($B729),NOT(ISBLANK(B729))),"",'tracking - Table 2-1-2'!C$66)</f>
      </c>
      <c r="S729" t="str" s="964" cm="1">
        <f t="array" ref="S729">IF(OR(ISBLANK($B729),NOT(ISBLANK(B729))),"",'tracking - Table 2-1-2'!D$66)</f>
      </c>
      <c r="T729" t="str" s="964" cm="1">
        <f t="array" ref="T729">IF(OR(ISBLANK($B729),NOT(ISBLANK(B729))),"",'tracking - Table 2-1-2'!E$66)</f>
      </c>
      <c r="U729" t="str" s="969" cm="1">
        <f t="array" ref="U729">IF(OR(ISBLANK($B729),ISBLANK('tracking - Table 2-1-2'!A$1)),"",'tracking - Table 2-1-2'!F$66)</f>
      </c>
    </row>
    <row r="730" ht="8.75" customHeight="1" hidden="1">
      <c r="A730" s="960">
        <v>45069</v>
      </c>
      <c r="B730" s="961">
        <v>80.15000000000001</v>
      </c>
      <c r="C730" s="965" cm="1">
        <f t="array" ref="C730">IF(ISBLANK(B730),"",B730*2.2046226218)</f>
        <v>176.700503137270</v>
      </c>
      <c r="D730" s="962" cm="1">
        <f t="array" ref="D730">IF(ISBLANK(B730),"",AVERAGE(B724:B730))</f>
        <v>80.4357142857143</v>
      </c>
      <c r="E730" s="962" cm="1">
        <f t="array" ref="E730">IF(ISBLANK(B730),"",AVERAGE(B717:B730))</f>
        <v>80.90000000000001</v>
      </c>
      <c r="F730" s="962" cm="1">
        <f t="array" ref="F730">IF(ISBLANK(B730),"",AVERAGE(B701:B730))</f>
        <v>80.87241379310341</v>
      </c>
      <c r="G730" s="964"/>
      <c r="H730" s="964"/>
      <c r="I730" s="964"/>
      <c r="J730" s="964"/>
      <c r="K730" s="964"/>
      <c r="L730" s="964"/>
      <c r="M730" s="964"/>
      <c r="N730" s="964"/>
      <c r="O730" s="964"/>
      <c r="P730" s="964"/>
      <c r="Q730" s="962"/>
      <c r="R730" t="str" s="964" cm="1">
        <f t="array" ref="R730">IF(OR(ISBLANK($B730),NOT(ISBLANK(B730))),"",'tracking - Table 2-1-2'!C$66)</f>
      </c>
      <c r="S730" t="str" s="964" cm="1">
        <f t="array" ref="S730">IF(OR(ISBLANK($B730),NOT(ISBLANK(B730))),"",'tracking - Table 2-1-2'!D$66)</f>
      </c>
      <c r="T730" t="str" s="964" cm="1">
        <f t="array" ref="T730">IF(OR(ISBLANK($B730),NOT(ISBLANK(B730))),"",'tracking - Table 2-1-2'!E$66)</f>
      </c>
      <c r="U730" t="str" s="969" cm="1">
        <f t="array" ref="U730">IF(OR(ISBLANK($B730),ISBLANK('tracking - Table 2-1-2'!A$1)),"",'tracking - Table 2-1-2'!F$66)</f>
      </c>
    </row>
    <row r="731" ht="8.75" customHeight="1" hidden="1">
      <c r="A731" s="960">
        <v>45070</v>
      </c>
      <c r="B731" s="961">
        <v>80.84999999999999</v>
      </c>
      <c r="C731" s="965" cm="1">
        <f t="array" ref="C731">IF(ISBLANK(B731),"",B731*2.2046226218)</f>
        <v>178.243738972530</v>
      </c>
      <c r="D731" s="962" cm="1">
        <f t="array" ref="D731">IF(ISBLANK(B731),"",AVERAGE(B725:B731))</f>
        <v>80.46428571428569</v>
      </c>
      <c r="E731" s="962" cm="1">
        <f t="array" ref="E731">IF(ISBLANK(B731),"",AVERAGE(B718:B731))</f>
        <v>80.93214285714291</v>
      </c>
      <c r="F731" s="962" cm="1">
        <f t="array" ref="F731">IF(ISBLANK(B731),"",AVERAGE(B702:B731))</f>
        <v>80.88103448275859</v>
      </c>
      <c r="G731" s="964"/>
      <c r="H731" s="964"/>
      <c r="I731" s="964"/>
      <c r="J731" s="964"/>
      <c r="K731" s="964"/>
      <c r="L731" s="964"/>
      <c r="M731" s="964"/>
      <c r="N731" s="964"/>
      <c r="O731" s="964"/>
      <c r="P731" s="964"/>
      <c r="Q731" s="962"/>
      <c r="R731" t="str" s="964" cm="1">
        <f t="array" ref="R731">IF(OR(ISBLANK($B731),NOT(ISBLANK(B731))),"",'tracking - Table 2-1-2'!C$66)</f>
      </c>
      <c r="S731" t="str" s="964" cm="1">
        <f t="array" ref="S731">IF(OR(ISBLANK($B731),NOT(ISBLANK(B731))),"",'tracking - Table 2-1-2'!D$66)</f>
      </c>
      <c r="T731" t="str" s="964" cm="1">
        <f t="array" ref="T731">IF(OR(ISBLANK($B731),NOT(ISBLANK(B731))),"",'tracking - Table 2-1-2'!E$66)</f>
      </c>
      <c r="U731" t="str" s="969" cm="1">
        <f t="array" ref="U731">IF(OR(ISBLANK($B731),ISBLANK('tracking - Table 2-1-2'!A$1)),"",'tracking - Table 2-1-2'!F$66)</f>
      </c>
    </row>
    <row r="732" ht="8.75" customHeight="1" hidden="1">
      <c r="A732" s="960">
        <v>45071</v>
      </c>
      <c r="B732" s="961">
        <v>80.84999999999999</v>
      </c>
      <c r="C732" s="965" cm="1">
        <f t="array" ref="C732">IF(ISBLANK(B732),"",B732*2.2046226218)</f>
        <v>178.243738972530</v>
      </c>
      <c r="D732" s="962" cm="1">
        <f t="array" ref="D732">IF(ISBLANK(B732),"",AVERAGE(B726:B732))</f>
        <v>80.4928571428571</v>
      </c>
      <c r="E732" s="962" cm="1">
        <f t="array" ref="E732">IF(ISBLANK(B732),"",AVERAGE(B719:B732))</f>
        <v>80.925</v>
      </c>
      <c r="F732" s="962" cm="1">
        <f t="array" ref="F732">IF(ISBLANK(B732),"",AVERAGE(B703:B732))</f>
        <v>80.8896551724138</v>
      </c>
      <c r="G732" s="964"/>
      <c r="H732" s="964"/>
      <c r="I732" s="964"/>
      <c r="J732" s="964"/>
      <c r="K732" s="964"/>
      <c r="L732" s="964"/>
      <c r="M732" s="964"/>
      <c r="N732" s="964"/>
      <c r="O732" s="964"/>
      <c r="P732" s="964"/>
      <c r="Q732" s="962"/>
      <c r="R732" t="str" s="964" cm="1">
        <f t="array" ref="R732">IF(OR(ISBLANK($B732),NOT(ISBLANK(B732))),"",'tracking - Table 2-1-2'!C$66)</f>
      </c>
      <c r="S732" t="str" s="964" cm="1">
        <f t="array" ref="S732">IF(OR(ISBLANK($B732),NOT(ISBLANK(B732))),"",'tracking - Table 2-1-2'!D$66)</f>
      </c>
      <c r="T732" t="str" s="964" cm="1">
        <f t="array" ref="T732">IF(OR(ISBLANK($B732),NOT(ISBLANK(B732))),"",'tracking - Table 2-1-2'!E$66)</f>
      </c>
      <c r="U732" t="str" s="969" cm="1">
        <f t="array" ref="U732">IF(OR(ISBLANK($B732),ISBLANK('tracking - Table 2-1-2'!A$1)),"",'tracking - Table 2-1-2'!F$66)</f>
      </c>
    </row>
    <row r="733" ht="8.75" customHeight="1" hidden="1">
      <c r="A733" s="960">
        <v>45072</v>
      </c>
      <c r="B733" s="961">
        <v>81.3</v>
      </c>
      <c r="C733" s="965" cm="1">
        <f t="array" ref="C733">IF(ISBLANK(B733),"",B733*2.2046226218)</f>
        <v>179.235819152340</v>
      </c>
      <c r="D733" s="962" cm="1">
        <f t="array" ref="D733">IF(ISBLANK(B733),"",AVERAGE(B727:B733))</f>
        <v>80.5857142857143</v>
      </c>
      <c r="E733" s="962" cm="1">
        <f t="array" ref="E733">IF(ISBLANK(B733),"",AVERAGE(B720:B733))</f>
        <v>80.84999999999999</v>
      </c>
      <c r="F733" s="962" cm="1">
        <f t="array" ref="F733">IF(ISBLANK(B733),"",AVERAGE(B704:B733))</f>
        <v>80.9137931034483</v>
      </c>
      <c r="G733" s="964"/>
      <c r="H733" s="964"/>
      <c r="I733" s="964"/>
      <c r="J733" s="964"/>
      <c r="K733" s="964"/>
      <c r="L733" s="964"/>
      <c r="M733" s="964"/>
      <c r="N733" s="964"/>
      <c r="O733" s="964"/>
      <c r="P733" s="964"/>
      <c r="Q733" s="962"/>
      <c r="R733" t="str" s="964" cm="1">
        <f t="array" ref="R733">IF(OR(ISBLANK($B733),NOT(ISBLANK(B733))),"",'tracking - Table 2-1-2'!C$66)</f>
      </c>
      <c r="S733" t="str" s="964" cm="1">
        <f t="array" ref="S733">IF(OR(ISBLANK($B733),NOT(ISBLANK(B733))),"",'tracking - Table 2-1-2'!D$66)</f>
      </c>
      <c r="T733" t="str" s="964" cm="1">
        <f t="array" ref="T733">IF(OR(ISBLANK($B733),NOT(ISBLANK(B733))),"",'tracking - Table 2-1-2'!E$66)</f>
      </c>
      <c r="U733" t="str" s="969" cm="1">
        <f t="array" ref="U733">IF(OR(ISBLANK($B733),ISBLANK('tracking - Table 2-1-2'!A$1)),"",'tracking - Table 2-1-2'!F$66)</f>
      </c>
    </row>
    <row r="734" ht="8.75" customHeight="1" hidden="1">
      <c r="A734" s="960">
        <v>45073</v>
      </c>
      <c r="B734" s="961">
        <v>80.84999999999999</v>
      </c>
      <c r="C734" s="965" cm="1">
        <f t="array" ref="C734">IF(ISBLANK(B734),"",B734*2.2046226218)</f>
        <v>178.243738972530</v>
      </c>
      <c r="D734" s="962" cm="1">
        <f t="array" ref="D734">IF(ISBLANK(B734),"",AVERAGE(B728:B734))</f>
        <v>80.6142857142857</v>
      </c>
      <c r="E734" s="962" cm="1">
        <f t="array" ref="E734">IF(ISBLANK(B734),"",AVERAGE(B721:B734))</f>
        <v>80.79642857142861</v>
      </c>
      <c r="F734" s="962" cm="1">
        <f t="array" ref="F734">IF(ISBLANK(B734),"",AVERAGE(B705:B734))</f>
        <v>80.9224137931034</v>
      </c>
      <c r="G734" s="964"/>
      <c r="H734" s="964"/>
      <c r="I734" s="964"/>
      <c r="J734" s="964"/>
      <c r="K734" s="964"/>
      <c r="L734" s="964"/>
      <c r="M734" s="964"/>
      <c r="N734" s="964"/>
      <c r="O734" s="964"/>
      <c r="P734" s="964"/>
      <c r="Q734" s="962"/>
      <c r="R734" t="str" s="964" cm="1">
        <f t="array" ref="R734">IF(OR(ISBLANK($B734),NOT(ISBLANK(B734))),"",'tracking - Table 2-1-2'!C$66)</f>
      </c>
      <c r="S734" t="str" s="964" cm="1">
        <f t="array" ref="S734">IF(OR(ISBLANK($B734),NOT(ISBLANK(B734))),"",'tracking - Table 2-1-2'!D$66)</f>
      </c>
      <c r="T734" t="str" s="964" cm="1">
        <f t="array" ref="T734">IF(OR(ISBLANK($B734),NOT(ISBLANK(B734))),"",'tracking - Table 2-1-2'!E$66)</f>
      </c>
      <c r="U734" t="str" s="969" cm="1">
        <f t="array" ref="U734">IF(OR(ISBLANK($B734),ISBLANK('tracking - Table 2-1-2'!A$1)),"",'tracking - Table 2-1-2'!F$66)</f>
      </c>
    </row>
    <row r="735" ht="8.75" customHeight="1" hidden="1">
      <c r="A735" s="960">
        <v>45074</v>
      </c>
      <c r="B735" s="356"/>
      <c r="C735" t="str" s="352" cm="1">
        <f t="array" ref="C735">IF(ISBLANK(B735),"",B735*2.2046226218)</f>
      </c>
      <c r="D735" t="str" s="964" cm="1">
        <f t="array" ref="D735">IF(ISBLANK(B735),"",AVERAGE(B729:B735))</f>
      </c>
      <c r="E735" t="str" s="964" cm="1">
        <f t="array" ref="E735">IF(ISBLANK(B735),"",AVERAGE(B722:B735))</f>
      </c>
      <c r="F735" t="str" s="964" cm="1">
        <f t="array" ref="F735">IF(ISBLANK(B735),"",AVERAGE(B706:B735))</f>
      </c>
      <c r="G735" s="964"/>
      <c r="H735" s="964"/>
      <c r="I735" s="964"/>
      <c r="J735" s="964"/>
      <c r="K735" s="964"/>
      <c r="L735" s="964"/>
      <c r="M735" s="964"/>
      <c r="N735" s="964"/>
      <c r="O735" s="964"/>
      <c r="P735" s="964"/>
      <c r="Q735" s="962"/>
      <c r="R735" t="str" s="964" cm="1">
        <f t="array" ref="R735">IF(OR(ISBLANK($B735),NOT(ISBLANK(B735))),"",'tracking - Table 2-1-2'!C$66)</f>
      </c>
      <c r="S735" t="str" s="964" cm="1">
        <f t="array" ref="S735">IF(OR(ISBLANK($B735),NOT(ISBLANK(B735))),"",'tracking - Table 2-1-2'!D$66)</f>
      </c>
      <c r="T735" t="str" s="964" cm="1">
        <f t="array" ref="T735">IF(OR(ISBLANK($B735),NOT(ISBLANK(B735))),"",'tracking - Table 2-1-2'!E$66)</f>
      </c>
      <c r="U735" t="str" s="969" cm="1">
        <f t="array" ref="U735">IF(OR(ISBLANK($B735),ISBLANK('tracking - Table 2-1-2'!A$1)),"",'tracking - Table 2-1-2'!F$66)</f>
      </c>
    </row>
    <row r="736" ht="8.75" customHeight="1" hidden="1">
      <c r="A736" s="960">
        <v>45075</v>
      </c>
      <c r="B736" s="961">
        <v>80.40000000000001</v>
      </c>
      <c r="C736" s="965" cm="1">
        <f t="array" ref="C736">IF(ISBLANK(B736),"",B736*2.2046226218)</f>
        <v>177.251658792720</v>
      </c>
      <c r="D736" s="962" cm="1">
        <f t="array" ref="D736">IF(ISBLANK(B736),"",AVERAGE(B730:B736))</f>
        <v>80.73333333333331</v>
      </c>
      <c r="E736" s="962" cm="1">
        <f t="array" ref="E736">IF(ISBLANK(B736),"",AVERAGE(B723:B736))</f>
        <v>80.6423076923077</v>
      </c>
      <c r="F736" s="962" cm="1">
        <f t="array" ref="F736">IF(ISBLANK(B736),"",AVERAGE(B707:B736))</f>
        <v>80.9303571428571</v>
      </c>
      <c r="G736" s="964"/>
      <c r="H736" s="964"/>
      <c r="I736" s="964"/>
      <c r="J736" s="964"/>
      <c r="K736" s="964"/>
      <c r="L736" s="964"/>
      <c r="M736" s="964"/>
      <c r="N736" s="964"/>
      <c r="O736" s="964"/>
      <c r="P736" s="964"/>
      <c r="Q736" s="962"/>
      <c r="R736" t="str" s="964" cm="1">
        <f t="array" ref="R736">IF(OR(ISBLANK($B736),NOT(ISBLANK(B736))),"",'tracking - Table 2-1-2'!C$66)</f>
      </c>
      <c r="S736" t="str" s="964" cm="1">
        <f t="array" ref="S736">IF(OR(ISBLANK($B736),NOT(ISBLANK(B736))),"",'tracking - Table 2-1-2'!D$66)</f>
      </c>
      <c r="T736" t="str" s="964" cm="1">
        <f t="array" ref="T736">IF(OR(ISBLANK($B736),NOT(ISBLANK(B736))),"",'tracking - Table 2-1-2'!E$66)</f>
      </c>
      <c r="U736" t="str" s="969" cm="1">
        <f t="array" ref="U736">IF(OR(ISBLANK($B736),ISBLANK('tracking - Table 2-1-2'!A$1)),"",'tracking - Table 2-1-2'!F$66)</f>
      </c>
    </row>
    <row r="737" ht="8.75" customHeight="1" hidden="1">
      <c r="A737" s="960">
        <v>45076</v>
      </c>
      <c r="B737" s="961">
        <v>80.84999999999999</v>
      </c>
      <c r="C737" s="965" cm="1">
        <f t="array" ref="C737">IF(ISBLANK(B737),"",B737*2.2046226218)</f>
        <v>178.243738972530</v>
      </c>
      <c r="D737" s="962" cm="1">
        <f t="array" ref="D737">IF(ISBLANK(B737),"",AVERAGE(B731:B737))</f>
        <v>80.84999999999999</v>
      </c>
      <c r="E737" s="962" cm="1">
        <f t="array" ref="E737">IF(ISBLANK(B737),"",AVERAGE(B724:B737))</f>
        <v>80.62692307692311</v>
      </c>
      <c r="F737" s="962" cm="1">
        <f t="array" ref="F737">IF(ISBLANK(B737),"",AVERAGE(B708:B737))</f>
        <v>80.9142857142857</v>
      </c>
      <c r="G737" s="964"/>
      <c r="H737" s="964"/>
      <c r="I737" s="964"/>
      <c r="J737" s="964"/>
      <c r="K737" s="964"/>
      <c r="L737" s="964"/>
      <c r="M737" s="964"/>
      <c r="N737" s="964"/>
      <c r="O737" s="964"/>
      <c r="P737" s="964"/>
      <c r="Q737" s="962"/>
      <c r="R737" t="str" s="964" cm="1">
        <f t="array" ref="R737">IF(OR(ISBLANK($B737),NOT(ISBLANK(B737))),"",'tracking - Table 2-1-2'!C$66)</f>
      </c>
      <c r="S737" t="str" s="964" cm="1">
        <f t="array" ref="S737">IF(OR(ISBLANK($B737),NOT(ISBLANK(B737))),"",'tracking - Table 2-1-2'!D$66)</f>
      </c>
      <c r="T737" t="str" s="964" cm="1">
        <f t="array" ref="T737">IF(OR(ISBLANK($B737),NOT(ISBLANK(B737))),"",'tracking - Table 2-1-2'!E$66)</f>
      </c>
      <c r="U737" t="str" s="969" cm="1">
        <f t="array" ref="U737">IF(OR(ISBLANK($B737),ISBLANK('tracking - Table 2-1-2'!A$1)),"",'tracking - Table 2-1-2'!F$66)</f>
      </c>
    </row>
    <row r="738" ht="8.75" customHeight="1" hidden="1">
      <c r="A738" s="960">
        <v>45077</v>
      </c>
      <c r="B738" s="961">
        <v>80.84999999999999</v>
      </c>
      <c r="C738" s="965" cm="1">
        <f t="array" ref="C738">IF(ISBLANK(B738),"",B738*2.2046226218)</f>
        <v>178.243738972530</v>
      </c>
      <c r="D738" s="962" cm="1">
        <f t="array" ref="D738">IF(ISBLANK(B738),"",AVERAGE(B732:B738))</f>
        <v>80.84999999999999</v>
      </c>
      <c r="E738" s="962" cm="1">
        <f t="array" ref="E738">IF(ISBLANK(B738),"",AVERAGE(B725:B738))</f>
        <v>80.6423076923077</v>
      </c>
      <c r="F738" s="962" cm="1">
        <f t="array" ref="F738">IF(ISBLANK(B738),"",AVERAGE(B709:B738))</f>
        <v>80.9160714285714</v>
      </c>
      <c r="G738" s="964"/>
      <c r="H738" s="964"/>
      <c r="I738" s="964"/>
      <c r="J738" s="964"/>
      <c r="K738" s="964"/>
      <c r="L738" s="964"/>
      <c r="M738" s="964"/>
      <c r="N738" s="964"/>
      <c r="O738" s="964"/>
      <c r="P738" s="964"/>
      <c r="Q738" s="962"/>
      <c r="R738" t="str" s="964" cm="1">
        <f t="array" ref="R738">IF(OR(ISBLANK($B738),NOT(ISBLANK(B738))),"",'tracking - Table 2-1-2'!C$66)</f>
      </c>
      <c r="S738" t="str" s="964" cm="1">
        <f t="array" ref="S738">IF(OR(ISBLANK($B738),NOT(ISBLANK(B738))),"",'tracking - Table 2-1-2'!D$66)</f>
      </c>
      <c r="T738" t="str" s="964" cm="1">
        <f t="array" ref="T738">IF(OR(ISBLANK($B738),NOT(ISBLANK(B738))),"",'tracking - Table 2-1-2'!E$66)</f>
      </c>
      <c r="U738" t="str" s="969" cm="1">
        <f t="array" ref="U738">IF(OR(ISBLANK($B738),ISBLANK('tracking - Table 2-1-2'!A$1)),"",'tracking - Table 2-1-2'!F$66)</f>
      </c>
    </row>
    <row r="739" ht="8.75" customHeight="1" hidden="1">
      <c r="A739" s="960">
        <v>45078</v>
      </c>
      <c r="B739" s="961">
        <v>80.84999999999999</v>
      </c>
      <c r="C739" s="965" cm="1">
        <f t="array" ref="C739">IF(ISBLANK(B739),"",B739*2.2046226218)</f>
        <v>178.243738972530</v>
      </c>
      <c r="D739" s="962" cm="1">
        <f t="array" ref="D739">IF(ISBLANK(B739),"",AVERAGE(B733:B739))</f>
        <v>80.84999999999999</v>
      </c>
      <c r="E739" s="962" cm="1">
        <f t="array" ref="E739">IF(ISBLANK(B739),"",AVERAGE(B726:B739))</f>
        <v>80.6576923076923</v>
      </c>
      <c r="F739" s="962" cm="1">
        <f t="array" ref="F739">IF(ISBLANK(B739),"",AVERAGE(B710:B739))</f>
        <v>80.9178571428571</v>
      </c>
      <c r="G739" s="964"/>
      <c r="H739" s="964"/>
      <c r="I739" s="964"/>
      <c r="J739" s="964"/>
      <c r="K739" s="964"/>
      <c r="L739" s="964"/>
      <c r="M739" s="964"/>
      <c r="N739" s="964"/>
      <c r="O739" s="964"/>
      <c r="P739" s="964"/>
      <c r="Q739" s="962"/>
      <c r="R739" t="str" s="964" cm="1">
        <f t="array" ref="R739">IF(OR(ISBLANK($B739),NOT(ISBLANK(B739))),"",'tracking - Table 2-1-2'!C$66)</f>
      </c>
      <c r="S739" t="str" s="964" cm="1">
        <f t="array" ref="S739">IF(OR(ISBLANK($B739),NOT(ISBLANK(B739))),"",'tracking - Table 2-1-2'!D$66)</f>
      </c>
      <c r="T739" t="str" s="964" cm="1">
        <f t="array" ref="T739">IF(OR(ISBLANK($B739),NOT(ISBLANK(B739))),"",'tracking - Table 2-1-2'!E$66)</f>
      </c>
      <c r="U739" t="str" s="969" cm="1">
        <f t="array" ref="U739">IF(OR(ISBLANK($B739),ISBLANK('tracking - Table 2-1-2'!A$1)),"",'tracking - Table 2-1-2'!F$66)</f>
      </c>
    </row>
    <row r="740" ht="8.75" customHeight="1" hidden="1">
      <c r="A740" s="960">
        <v>45079</v>
      </c>
      <c r="B740" s="961">
        <v>80.84999999999999</v>
      </c>
      <c r="C740" s="965" cm="1">
        <f t="array" ref="C740">IF(ISBLANK(B740),"",B740*2.2046226218)</f>
        <v>178.243738972530</v>
      </c>
      <c r="D740" s="962" cm="1">
        <f t="array" ref="D740">IF(ISBLANK(B740),"",AVERAGE(B734:B740))</f>
        <v>80.77500000000001</v>
      </c>
      <c r="E740" s="962" cm="1">
        <f t="array" ref="E740">IF(ISBLANK(B740),"",AVERAGE(B727:B740))</f>
        <v>80.67307692307691</v>
      </c>
      <c r="F740" s="962" cm="1">
        <f t="array" ref="F740">IF(ISBLANK(B740),"",AVERAGE(B711:B740))</f>
        <v>80.9303571428571</v>
      </c>
      <c r="G740" s="964"/>
      <c r="H740" s="964"/>
      <c r="I740" s="964"/>
      <c r="J740" s="964"/>
      <c r="K740" s="964"/>
      <c r="L740" s="964"/>
      <c r="M740" s="964"/>
      <c r="N740" s="964"/>
      <c r="O740" s="964"/>
      <c r="P740" s="964"/>
      <c r="Q740" s="962"/>
      <c r="R740" t="str" s="964" cm="1">
        <f t="array" ref="R740">IF(OR(ISBLANK($B740),NOT(ISBLANK(B740))),"",'tracking - Table 2-1-2'!C$66)</f>
      </c>
      <c r="S740" t="str" s="964" cm="1">
        <f t="array" ref="S740">IF(OR(ISBLANK($B740),NOT(ISBLANK(B740))),"",'tracking - Table 2-1-2'!D$66)</f>
      </c>
      <c r="T740" t="str" s="964" cm="1">
        <f t="array" ref="T740">IF(OR(ISBLANK($B740),NOT(ISBLANK(B740))),"",'tracking - Table 2-1-2'!E$66)</f>
      </c>
      <c r="U740" t="str" s="969" cm="1">
        <f t="array" ref="U740">IF(OR(ISBLANK($B740),ISBLANK('tracking - Table 2-1-2'!A$1)),"",'tracking - Table 2-1-2'!F$66)</f>
      </c>
    </row>
    <row r="741" ht="8.75" customHeight="1" hidden="1">
      <c r="A741" s="960">
        <v>45080</v>
      </c>
      <c r="B741" s="961">
        <v>80.84999999999999</v>
      </c>
      <c r="C741" s="965" cm="1">
        <f t="array" ref="C741">IF(ISBLANK(B741),"",B741*2.2046226218)</f>
        <v>178.243738972530</v>
      </c>
      <c r="D741" s="962" cm="1">
        <f t="array" ref="D741">IF(ISBLANK(B741),"",AVERAGE(B735:B741))</f>
        <v>80.77500000000001</v>
      </c>
      <c r="E741" s="962" cm="1">
        <f t="array" ref="E741">IF(ISBLANK(B741),"",AVERAGE(B728:B741))</f>
        <v>80.6884615384615</v>
      </c>
      <c r="F741" s="962" cm="1">
        <f t="array" ref="F741">IF(ISBLANK(B741),"",AVERAGE(B712:B741))</f>
        <v>80.94285714285709</v>
      </c>
      <c r="G741" s="964"/>
      <c r="H741" s="964"/>
      <c r="I741" s="964"/>
      <c r="J741" s="964"/>
      <c r="K741" s="964"/>
      <c r="L741" s="964"/>
      <c r="M741" s="964"/>
      <c r="N741" s="964"/>
      <c r="O741" s="964"/>
      <c r="P741" s="964"/>
      <c r="Q741" s="962"/>
      <c r="R741" t="str" s="964" cm="1">
        <f t="array" ref="R741">IF(OR(ISBLANK($B741),NOT(ISBLANK(B741))),"",'tracking - Table 2-1-2'!C$66)</f>
      </c>
      <c r="S741" t="str" s="964" cm="1">
        <f t="array" ref="S741">IF(OR(ISBLANK($B741),NOT(ISBLANK(B741))),"",'tracking - Table 2-1-2'!D$66)</f>
      </c>
      <c r="T741" t="str" s="964" cm="1">
        <f t="array" ref="T741">IF(OR(ISBLANK($B741),NOT(ISBLANK(B741))),"",'tracking - Table 2-1-2'!E$66)</f>
      </c>
      <c r="U741" t="str" s="969" cm="1">
        <f t="array" ref="U741">IF(OR(ISBLANK($B741),ISBLANK('tracking - Table 2-1-2'!A$1)),"",'tracking - Table 2-1-2'!F$66)</f>
      </c>
    </row>
    <row r="742" ht="8.75" customHeight="1" hidden="1">
      <c r="A742" s="960">
        <v>45081</v>
      </c>
      <c r="B742" s="961">
        <v>80</v>
      </c>
      <c r="C742" s="965" cm="1">
        <f t="array" ref="C742">IF(ISBLANK(B742),"",B742*2.2046226218)</f>
        <v>176.369809744</v>
      </c>
      <c r="D742" s="962" cm="1">
        <f t="array" ref="D742">IF(ISBLANK(B742),"",AVERAGE(B736:B742))</f>
        <v>80.6642857142857</v>
      </c>
      <c r="E742" s="962" cm="1">
        <f t="array" ref="E742">IF(ISBLANK(B742),"",AVERAGE(B729:B742))</f>
        <v>80.6769230769231</v>
      </c>
      <c r="F742" s="962" cm="1">
        <f t="array" ref="F742">IF(ISBLANK(B742),"",AVERAGE(B713:B742))</f>
        <v>80.90000000000001</v>
      </c>
      <c r="G742" s="964"/>
      <c r="H742" s="964"/>
      <c r="I742" s="964"/>
      <c r="J742" s="964"/>
      <c r="K742" s="964"/>
      <c r="L742" s="964"/>
      <c r="M742" s="964"/>
      <c r="N742" s="964"/>
      <c r="O742" s="964"/>
      <c r="P742" s="964"/>
      <c r="Q742" s="962"/>
      <c r="R742" t="str" s="964" cm="1">
        <f t="array" ref="R742">IF(OR(ISBLANK($B742),NOT(ISBLANK(B742))),"",'tracking - Table 2-1-2'!C$66)</f>
      </c>
      <c r="S742" t="str" s="964" cm="1">
        <f t="array" ref="S742">IF(OR(ISBLANK($B742),NOT(ISBLANK(B742))),"",'tracking - Table 2-1-2'!D$66)</f>
      </c>
      <c r="T742" t="str" s="964" cm="1">
        <f t="array" ref="T742">IF(OR(ISBLANK($B742),NOT(ISBLANK(B742))),"",'tracking - Table 2-1-2'!E$66)</f>
      </c>
      <c r="U742" t="str" s="969" cm="1">
        <f t="array" ref="U742">IF(OR(ISBLANK($B742),ISBLANK('tracking - Table 2-1-2'!A$1)),"",'tracking - Table 2-1-2'!F$66)</f>
      </c>
    </row>
    <row r="743" ht="8.75" customHeight="1" hidden="1">
      <c r="A743" s="960">
        <v>45082</v>
      </c>
      <c r="B743" s="961">
        <v>80.75</v>
      </c>
      <c r="C743" s="965" cm="1">
        <f t="array" ref="C743">IF(ISBLANK(B743),"",B743*2.2046226218)</f>
        <v>178.023276710350</v>
      </c>
      <c r="D743" s="962" cm="1">
        <f t="array" ref="D743">IF(ISBLANK(B743),"",AVERAGE(B737:B743))</f>
        <v>80.71428571428569</v>
      </c>
      <c r="E743" s="962" cm="1">
        <f t="array" ref="E743">IF(ISBLANK(B743),"",AVERAGE(B730:B743))</f>
        <v>80.7230769230769</v>
      </c>
      <c r="F743" s="962" cm="1">
        <f t="array" ref="F743">IF(ISBLANK(B743),"",AVERAGE(B714:B743))</f>
        <v>80.8948275862069</v>
      </c>
      <c r="G743" s="964"/>
      <c r="H743" s="964"/>
      <c r="I743" s="964"/>
      <c r="J743" s="964"/>
      <c r="K743" s="964"/>
      <c r="L743" s="964"/>
      <c r="M743" s="964"/>
      <c r="N743" s="964"/>
      <c r="O743" s="964"/>
      <c r="P743" s="964"/>
      <c r="Q743" s="962"/>
      <c r="R743" t="str" s="964" cm="1">
        <f t="array" ref="R743">IF(OR(ISBLANK($B743),NOT(ISBLANK(B743))),"",'tracking - Table 2-1-2'!C$66)</f>
      </c>
      <c r="S743" t="str" s="964" cm="1">
        <f t="array" ref="S743">IF(OR(ISBLANK($B743),NOT(ISBLANK(B743))),"",'tracking - Table 2-1-2'!D$66)</f>
      </c>
      <c r="T743" t="str" s="964" cm="1">
        <f t="array" ref="T743">IF(OR(ISBLANK($B743),NOT(ISBLANK(B743))),"",'tracking - Table 2-1-2'!E$66)</f>
      </c>
      <c r="U743" t="str" s="969" cm="1">
        <f t="array" ref="U743">IF(OR(ISBLANK($B743),ISBLANK('tracking - Table 2-1-2'!A$1)),"",'tracking - Table 2-1-2'!F$66)</f>
      </c>
    </row>
    <row r="744" ht="8.75" customHeight="1" hidden="1">
      <c r="A744" s="960">
        <v>45083</v>
      </c>
      <c r="B744" s="961">
        <v>81.25</v>
      </c>
      <c r="C744" s="965" cm="1">
        <f t="array" ref="C744">IF(ISBLANK(B744),"",B744*2.2046226218)</f>
        <v>179.125588021250</v>
      </c>
      <c r="D744" s="962" cm="1">
        <f t="array" ref="D744">IF(ISBLANK(B744),"",AVERAGE(B738:B744))</f>
        <v>80.7714285714286</v>
      </c>
      <c r="E744" s="962" cm="1">
        <f t="array" ref="E744">IF(ISBLANK(B744),"",AVERAGE(B731:B744))</f>
        <v>80.80769230769231</v>
      </c>
      <c r="F744" s="962" cm="1">
        <f t="array" ref="F744">IF(ISBLANK(B744),"",AVERAGE(B715:B744))</f>
        <v>80.9068965517241</v>
      </c>
      <c r="G744" s="964"/>
      <c r="H744" s="964"/>
      <c r="I744" s="964"/>
      <c r="J744" s="964"/>
      <c r="K744" s="964"/>
      <c r="L744" s="964"/>
      <c r="M744" s="964"/>
      <c r="N744" s="964"/>
      <c r="O744" s="964"/>
      <c r="P744" s="964"/>
      <c r="Q744" s="962"/>
      <c r="R744" t="str" s="964" cm="1">
        <f t="array" ref="R744">IF(OR(ISBLANK($B744),NOT(ISBLANK(B744))),"",'tracking - Table 2-1-2'!C$66)</f>
      </c>
      <c r="S744" t="str" s="964" cm="1">
        <f t="array" ref="S744">IF(OR(ISBLANK($B744),NOT(ISBLANK(B744))),"",'tracking - Table 2-1-2'!D$66)</f>
      </c>
      <c r="T744" t="str" s="964" cm="1">
        <f t="array" ref="T744">IF(OR(ISBLANK($B744),NOT(ISBLANK(B744))),"",'tracking - Table 2-1-2'!E$66)</f>
      </c>
      <c r="U744" t="str" s="969" cm="1">
        <f t="array" ref="U744">IF(OR(ISBLANK($B744),ISBLANK('tracking - Table 2-1-2'!A$1)),"",'tracking - Table 2-1-2'!F$66)</f>
      </c>
    </row>
    <row r="745" ht="8.75" customHeight="1" hidden="1">
      <c r="A745" s="960">
        <v>45084</v>
      </c>
      <c r="B745" s="961">
        <v>81.3</v>
      </c>
      <c r="C745" s="965" cm="1">
        <f t="array" ref="C745">IF(ISBLANK(B745),"",B745*2.2046226218)</f>
        <v>179.235819152340</v>
      </c>
      <c r="D745" s="962" cm="1">
        <f t="array" ref="D745">IF(ISBLANK(B745),"",AVERAGE(B739:B745))</f>
        <v>80.8357142857143</v>
      </c>
      <c r="E745" s="962" cm="1">
        <f t="array" ref="E745">IF(ISBLANK(B745),"",AVERAGE(B732:B745))</f>
        <v>80.8423076923077</v>
      </c>
      <c r="F745" s="962" cm="1">
        <f t="array" ref="F745">IF(ISBLANK(B745),"",AVERAGE(B716:B745))</f>
        <v>80.8913793103448</v>
      </c>
      <c r="G745" s="964"/>
      <c r="H745" s="964"/>
      <c r="I745" s="964"/>
      <c r="J745" s="964"/>
      <c r="K745" s="964"/>
      <c r="L745" s="964"/>
      <c r="M745" s="964"/>
      <c r="N745" s="964"/>
      <c r="O745" s="964"/>
      <c r="P745" s="964"/>
      <c r="Q745" s="962"/>
      <c r="R745" t="str" s="964" cm="1">
        <f t="array" ref="R745">IF(OR(ISBLANK($B745),NOT(ISBLANK(B745))),"",'tracking - Table 2-1-2'!C$66)</f>
      </c>
      <c r="S745" t="str" s="964" cm="1">
        <f t="array" ref="S745">IF(OR(ISBLANK($B745),NOT(ISBLANK(B745))),"",'tracking - Table 2-1-2'!D$66)</f>
      </c>
      <c r="T745" t="str" s="964" cm="1">
        <f t="array" ref="T745">IF(OR(ISBLANK($B745),NOT(ISBLANK(B745))),"",'tracking - Table 2-1-2'!E$66)</f>
      </c>
      <c r="U745" t="str" s="969" cm="1">
        <f t="array" ref="U745">IF(OR(ISBLANK($B745),ISBLANK('tracking - Table 2-1-2'!A$1)),"",'tracking - Table 2-1-2'!F$66)</f>
      </c>
    </row>
    <row r="746" ht="8.75" customHeight="1" hidden="1">
      <c r="A746" s="960">
        <v>45085</v>
      </c>
      <c r="B746" s="961">
        <v>81.3</v>
      </c>
      <c r="C746" s="965" cm="1">
        <f t="array" ref="C746">IF(ISBLANK(B746),"",B746*2.2046226218)</f>
        <v>179.235819152340</v>
      </c>
      <c r="D746" s="962" cm="1">
        <f t="array" ref="D746">IF(ISBLANK(B746),"",AVERAGE(B740:B746))</f>
        <v>80.90000000000001</v>
      </c>
      <c r="E746" s="962" cm="1">
        <f t="array" ref="E746">IF(ISBLANK(B746),"",AVERAGE(B733:B746))</f>
        <v>80.87692307692311</v>
      </c>
      <c r="F746" s="962" cm="1">
        <f t="array" ref="F746">IF(ISBLANK(B746),"",AVERAGE(B717:B746))</f>
        <v>80.8862068965517</v>
      </c>
      <c r="G746" s="964"/>
      <c r="H746" s="964"/>
      <c r="I746" s="964"/>
      <c r="J746" s="964"/>
      <c r="K746" s="964"/>
      <c r="L746" s="964"/>
      <c r="M746" s="964"/>
      <c r="N746" s="964"/>
      <c r="O746" s="964"/>
      <c r="P746" s="964"/>
      <c r="Q746" s="962"/>
      <c r="R746" t="str" s="964" cm="1">
        <f t="array" ref="R746">IF(OR(ISBLANK($B746),NOT(ISBLANK(B746))),"",'tracking - Table 2-1-2'!C$66)</f>
      </c>
      <c r="S746" t="str" s="964" cm="1">
        <f t="array" ref="S746">IF(OR(ISBLANK($B746),NOT(ISBLANK(B746))),"",'tracking - Table 2-1-2'!D$66)</f>
      </c>
      <c r="T746" t="str" s="964" cm="1">
        <f t="array" ref="T746">IF(OR(ISBLANK($B746),NOT(ISBLANK(B746))),"",'tracking - Table 2-1-2'!E$66)</f>
      </c>
      <c r="U746" t="str" s="969" cm="1">
        <f t="array" ref="U746">IF(OR(ISBLANK($B746),ISBLANK('tracking - Table 2-1-2'!A$1)),"",'tracking - Table 2-1-2'!F$66)</f>
      </c>
    </row>
    <row r="747" ht="8.75" customHeight="1" hidden="1">
      <c r="A747" s="960">
        <v>45086</v>
      </c>
      <c r="B747" s="961">
        <v>81.3</v>
      </c>
      <c r="C747" s="965" cm="1">
        <f t="array" ref="C747">IF(ISBLANK(B747),"",B747*2.2046226218)</f>
        <v>179.235819152340</v>
      </c>
      <c r="D747" s="962" cm="1">
        <f t="array" ref="D747">IF(ISBLANK(B747),"",AVERAGE(B741:B747))</f>
        <v>80.96428571428569</v>
      </c>
      <c r="E747" s="962" cm="1">
        <f t="array" ref="E747">IF(ISBLANK(B747),"",AVERAGE(B734:B747))</f>
        <v>80.87692307692311</v>
      </c>
      <c r="F747" s="962" cm="1">
        <f t="array" ref="F747">IF(ISBLANK(B747),"",AVERAGE(B718:B747))</f>
        <v>80.9172413793103</v>
      </c>
      <c r="G747" s="964"/>
      <c r="H747" s="964"/>
      <c r="I747" s="964"/>
      <c r="J747" s="964"/>
      <c r="K747" s="964"/>
      <c r="L747" s="964"/>
      <c r="M747" s="964"/>
      <c r="N747" s="964"/>
      <c r="O747" s="964"/>
      <c r="P747" s="964"/>
      <c r="Q747" s="962"/>
      <c r="R747" t="str" s="964" cm="1">
        <f t="array" ref="R747">IF(OR(ISBLANK($B747),NOT(ISBLANK(B747))),"",'tracking - Table 2-1-2'!C$66)</f>
      </c>
      <c r="S747" t="str" s="964" cm="1">
        <f t="array" ref="S747">IF(OR(ISBLANK($B747),NOT(ISBLANK(B747))),"",'tracking - Table 2-1-2'!D$66)</f>
      </c>
      <c r="T747" t="str" s="964" cm="1">
        <f t="array" ref="T747">IF(OR(ISBLANK($B747),NOT(ISBLANK(B747))),"",'tracking - Table 2-1-2'!E$66)</f>
      </c>
      <c r="U747" t="str" s="969" cm="1">
        <f t="array" ref="U747">IF(OR(ISBLANK($B747),ISBLANK('tracking - Table 2-1-2'!A$1)),"",'tracking - Table 2-1-2'!F$66)</f>
      </c>
    </row>
    <row r="748" ht="8.75" customHeight="1" hidden="1">
      <c r="A748" s="960">
        <v>45087</v>
      </c>
      <c r="B748" s="961">
        <v>81.3</v>
      </c>
      <c r="C748" s="965" cm="1">
        <f t="array" ref="C748">IF(ISBLANK(B748),"",B748*2.2046226218)</f>
        <v>179.235819152340</v>
      </c>
      <c r="D748" s="962" cm="1">
        <f t="array" ref="D748">IF(ISBLANK(B748),"",AVERAGE(B742:B748))</f>
        <v>81.0285714285714</v>
      </c>
      <c r="E748" s="962" cm="1">
        <f t="array" ref="E748">IF(ISBLANK(B748),"",AVERAGE(B735:B748))</f>
        <v>80.9115384615385</v>
      </c>
      <c r="F748" s="962" cm="1">
        <f t="array" ref="F748">IF(ISBLANK(B748),"",AVERAGE(B719:B748))</f>
        <v>80.9293103448276</v>
      </c>
      <c r="G748" s="964"/>
      <c r="H748" s="964"/>
      <c r="I748" s="964"/>
      <c r="J748" s="964"/>
      <c r="K748" s="964"/>
      <c r="L748" s="964"/>
      <c r="M748" s="964"/>
      <c r="N748" s="964"/>
      <c r="O748" s="964"/>
      <c r="P748" s="964"/>
      <c r="Q748" s="962"/>
      <c r="R748" t="str" s="964" cm="1">
        <f t="array" ref="R748">IF(OR(ISBLANK($B748),NOT(ISBLANK(B748))),"",'tracking - Table 2-1-2'!C$66)</f>
      </c>
      <c r="S748" t="str" s="964" cm="1">
        <f t="array" ref="S748">IF(OR(ISBLANK($B748),NOT(ISBLANK(B748))),"",'tracking - Table 2-1-2'!D$66)</f>
      </c>
      <c r="T748" t="str" s="964" cm="1">
        <f t="array" ref="T748">IF(OR(ISBLANK($B748),NOT(ISBLANK(B748))),"",'tracking - Table 2-1-2'!E$66)</f>
      </c>
      <c r="U748" t="str" s="969" cm="1">
        <f t="array" ref="U748">IF(OR(ISBLANK($B748),ISBLANK('tracking - Table 2-1-2'!A$1)),"",'tracking - Table 2-1-2'!F$66)</f>
      </c>
    </row>
    <row r="749" ht="8.75" customHeight="1" hidden="1">
      <c r="A749" s="960">
        <v>45088</v>
      </c>
      <c r="B749" s="356"/>
      <c r="C749" t="str" s="352" cm="1">
        <f t="array" ref="C749">IF(ISBLANK(B749),"",B749*2.2046226218)</f>
      </c>
      <c r="D749" t="str" s="964" cm="1">
        <f t="array" ref="D749">IF(ISBLANK(B749),"",AVERAGE(B743:B749))</f>
      </c>
      <c r="E749" t="str" s="964" cm="1">
        <f t="array" ref="E749">IF(ISBLANK(B749),"",AVERAGE(B736:B749))</f>
      </c>
      <c r="F749" t="str" s="964" cm="1">
        <f t="array" ref="F749">IF(ISBLANK(B749),"",AVERAGE(B720:B749))</f>
      </c>
      <c r="G749" s="964"/>
      <c r="H749" s="964"/>
      <c r="I749" s="964"/>
      <c r="J749" s="964"/>
      <c r="K749" s="964"/>
      <c r="L749" s="964"/>
      <c r="M749" s="964"/>
      <c r="N749" s="964"/>
      <c r="O749" s="964"/>
      <c r="P749" s="964"/>
      <c r="Q749" s="962"/>
      <c r="R749" t="str" s="964" cm="1">
        <f t="array" ref="R749">IF(OR(ISBLANK($B749),NOT(ISBLANK(B749))),"",'tracking - Table 2-1-2'!C$66)</f>
      </c>
      <c r="S749" t="str" s="964" cm="1">
        <f t="array" ref="S749">IF(OR(ISBLANK($B749),NOT(ISBLANK(B749))),"",'tracking - Table 2-1-2'!D$66)</f>
      </c>
      <c r="T749" t="str" s="964" cm="1">
        <f t="array" ref="T749">IF(OR(ISBLANK($B749),NOT(ISBLANK(B749))),"",'tracking - Table 2-1-2'!E$66)</f>
      </c>
      <c r="U749" t="str" s="969" cm="1">
        <f t="array" ref="U749">IF(OR(ISBLANK($B749),ISBLANK('tracking - Table 2-1-2'!A$1)),"",'tracking - Table 2-1-2'!F$66)</f>
      </c>
    </row>
    <row r="750" ht="8.75" customHeight="1" hidden="1">
      <c r="A750" s="960">
        <v>45089</v>
      </c>
      <c r="B750" s="961">
        <v>81.3</v>
      </c>
      <c r="C750" s="965" cm="1">
        <f t="array" ref="C750">IF(ISBLANK(B750),"",B750*2.2046226218)</f>
        <v>179.235819152340</v>
      </c>
      <c r="D750" s="962" cm="1">
        <f t="array" ref="D750">IF(ISBLANK(B750),"",AVERAGE(B744:B750))</f>
        <v>81.2916666666667</v>
      </c>
      <c r="E750" s="962" cm="1">
        <f t="array" ref="E750">IF(ISBLANK(B750),"",AVERAGE(B737:B750))</f>
        <v>80.9807692307692</v>
      </c>
      <c r="F750" s="962" cm="1">
        <f t="array" ref="F750">IF(ISBLANK(B750),"",AVERAGE(B721:B750))</f>
        <v>80.8678571428571</v>
      </c>
      <c r="G750" s="964"/>
      <c r="H750" s="964"/>
      <c r="I750" s="964"/>
      <c r="J750" s="964"/>
      <c r="K750" s="964"/>
      <c r="L750" s="964"/>
      <c r="M750" s="964"/>
      <c r="N750" s="964"/>
      <c r="O750" s="964"/>
      <c r="P750" s="964"/>
      <c r="Q750" s="962"/>
      <c r="R750" t="str" s="964" cm="1">
        <f t="array" ref="R750">IF(OR(ISBLANK($B750),NOT(ISBLANK(B750))),"",'tracking - Table 2-1-2'!C$66)</f>
      </c>
      <c r="S750" t="str" s="964" cm="1">
        <f t="array" ref="S750">IF(OR(ISBLANK($B750),NOT(ISBLANK(B750))),"",'tracking - Table 2-1-2'!D$66)</f>
      </c>
      <c r="T750" t="str" s="964" cm="1">
        <f t="array" ref="T750">IF(OR(ISBLANK($B750),NOT(ISBLANK(B750))),"",'tracking - Table 2-1-2'!E$66)</f>
      </c>
      <c r="U750" t="str" s="969" cm="1">
        <f t="array" ref="U750">IF(OR(ISBLANK($B750),ISBLANK('tracking - Table 2-1-2'!A$1)),"",'tracking - Table 2-1-2'!F$66)</f>
      </c>
    </row>
    <row r="751" ht="8.75" customHeight="1" hidden="1">
      <c r="A751" s="960">
        <v>45090</v>
      </c>
      <c r="B751" s="961">
        <v>81</v>
      </c>
      <c r="C751" s="965" cm="1">
        <f t="array" ref="C751">IF(ISBLANK(B751),"",B751*2.2046226218)</f>
        <v>178.5744323658</v>
      </c>
      <c r="D751" s="962" cm="1">
        <f t="array" ref="D751">IF(ISBLANK(B751),"",AVERAGE(B745:B751))</f>
        <v>81.25</v>
      </c>
      <c r="E751" s="962" cm="1">
        <f t="array" ref="E751">IF(ISBLANK(B751),"",AVERAGE(B738:B751))</f>
        <v>80.9923076923077</v>
      </c>
      <c r="F751" s="962" cm="1">
        <f t="array" ref="F751">IF(ISBLANK(B751),"",AVERAGE(B722:B751))</f>
        <v>80.8464285714286</v>
      </c>
      <c r="G751" s="964"/>
      <c r="H751" s="964"/>
      <c r="I751" s="964"/>
      <c r="J751" s="964"/>
      <c r="K751" s="964"/>
      <c r="L751" s="964"/>
      <c r="M751" s="964"/>
      <c r="N751" s="964"/>
      <c r="O751" s="964"/>
      <c r="P751" s="964"/>
      <c r="Q751" s="962"/>
      <c r="R751" t="str" s="964" cm="1">
        <f t="array" ref="R751">IF(OR(ISBLANK($B751),NOT(ISBLANK(B751))),"",'tracking - Table 2-1-2'!C$66)</f>
      </c>
      <c r="S751" t="str" s="964" cm="1">
        <f t="array" ref="S751">IF(OR(ISBLANK($B751),NOT(ISBLANK(B751))),"",'tracking - Table 2-1-2'!D$66)</f>
      </c>
      <c r="T751" t="str" s="964" cm="1">
        <f t="array" ref="T751">IF(OR(ISBLANK($B751),NOT(ISBLANK(B751))),"",'tracking - Table 2-1-2'!E$66)</f>
      </c>
      <c r="U751" t="str" s="969" cm="1">
        <f t="array" ref="U751">IF(OR(ISBLANK($B751),ISBLANK('tracking - Table 2-1-2'!A$1)),"",'tracking - Table 2-1-2'!F$66)</f>
      </c>
    </row>
    <row r="752" ht="8.75" customHeight="1" hidden="1">
      <c r="A752" s="960">
        <v>45091</v>
      </c>
      <c r="B752" s="961">
        <v>81.59999999999999</v>
      </c>
      <c r="C752" s="965" cm="1">
        <f t="array" ref="C752">IF(ISBLANK(B752),"",B752*2.2046226218)</f>
        <v>179.897205938880</v>
      </c>
      <c r="D752" s="962" cm="1">
        <f t="array" ref="D752">IF(ISBLANK(B752),"",AVERAGE(B746:B752))</f>
        <v>81.3</v>
      </c>
      <c r="E752" s="962" cm="1">
        <f t="array" ref="E752">IF(ISBLANK(B752),"",AVERAGE(B739:B752))</f>
        <v>81.05</v>
      </c>
      <c r="F752" s="962" cm="1">
        <f t="array" ref="F752">IF(ISBLANK(B752),"",AVERAGE(B723:B752))</f>
        <v>80.8464285714286</v>
      </c>
      <c r="G752" s="964"/>
      <c r="H752" s="964"/>
      <c r="I752" s="964"/>
      <c r="J752" s="964"/>
      <c r="K752" s="964"/>
      <c r="L752" s="964"/>
      <c r="M752" s="964"/>
      <c r="N752" s="964"/>
      <c r="O752" s="964"/>
      <c r="P752" s="964"/>
      <c r="Q752" s="962"/>
      <c r="R752" t="str" s="964" cm="1">
        <f t="array" ref="R752">IF(OR(ISBLANK($B752),NOT(ISBLANK(B752))),"",'tracking - Table 2-1-2'!C$66)</f>
      </c>
      <c r="S752" t="str" s="964" cm="1">
        <f t="array" ref="S752">IF(OR(ISBLANK($B752),NOT(ISBLANK(B752))),"",'tracking - Table 2-1-2'!D$66)</f>
      </c>
      <c r="T752" t="str" s="964" cm="1">
        <f t="array" ref="T752">IF(OR(ISBLANK($B752),NOT(ISBLANK(B752))),"",'tracking - Table 2-1-2'!E$66)</f>
      </c>
      <c r="U752" t="str" s="969" cm="1">
        <f t="array" ref="U752">IF(OR(ISBLANK($B752),ISBLANK('tracking - Table 2-1-2'!A$1)),"",'tracking - Table 2-1-2'!F$66)</f>
      </c>
    </row>
    <row r="753" ht="8.75" customHeight="1" hidden="1">
      <c r="A753" s="960">
        <v>45092</v>
      </c>
      <c r="B753" s="961">
        <v>81.59999999999999</v>
      </c>
      <c r="C753" s="965" cm="1">
        <f t="array" ref="C753">IF(ISBLANK(B753),"",B753*2.2046226218)</f>
        <v>179.897205938880</v>
      </c>
      <c r="D753" s="962" cm="1">
        <f t="array" ref="D753">IF(ISBLANK(B753),"",AVERAGE(B747:B753))</f>
        <v>81.34999999999999</v>
      </c>
      <c r="E753" s="962" cm="1">
        <f t="array" ref="E753">IF(ISBLANK(B753),"",AVERAGE(B740:B753))</f>
        <v>81.1076923076923</v>
      </c>
      <c r="F753" s="962" cm="1">
        <f t="array" ref="F753">IF(ISBLANK(B753),"",AVERAGE(B724:B753))</f>
        <v>80.8660714285714</v>
      </c>
      <c r="G753" s="964"/>
      <c r="H753" s="964"/>
      <c r="I753" s="964"/>
      <c r="J753" s="964"/>
      <c r="K753" s="964"/>
      <c r="L753" s="964"/>
      <c r="M753" s="964"/>
      <c r="N753" s="964"/>
      <c r="O753" s="964"/>
      <c r="P753" s="964"/>
      <c r="Q753" s="962"/>
      <c r="R753" t="str" s="964" cm="1">
        <f t="array" ref="R753">IF(OR(ISBLANK($B753),NOT(ISBLANK(B753))),"",'tracking - Table 2-1-2'!C$66)</f>
      </c>
      <c r="S753" t="str" s="964" cm="1">
        <f t="array" ref="S753">IF(OR(ISBLANK($B753),NOT(ISBLANK(B753))),"",'tracking - Table 2-1-2'!D$66)</f>
      </c>
      <c r="T753" t="str" s="964" cm="1">
        <f t="array" ref="T753">IF(OR(ISBLANK($B753),NOT(ISBLANK(B753))),"",'tracking - Table 2-1-2'!E$66)</f>
      </c>
      <c r="U753" t="str" s="969" cm="1">
        <f t="array" ref="U753">IF(OR(ISBLANK($B753),ISBLANK('tracking - Table 2-1-2'!A$1)),"",'tracking - Table 2-1-2'!F$66)</f>
      </c>
    </row>
    <row r="754" ht="8.75" customHeight="1" hidden="1">
      <c r="A754" s="960">
        <v>45093</v>
      </c>
      <c r="B754" s="961">
        <v>81.59999999999999</v>
      </c>
      <c r="C754" s="965" cm="1">
        <f t="array" ref="C754">IF(ISBLANK(B754),"",B754*2.2046226218)</f>
        <v>179.897205938880</v>
      </c>
      <c r="D754" s="962" cm="1">
        <f t="array" ref="D754">IF(ISBLANK(B754),"",AVERAGE(B748:B754))</f>
        <v>81.40000000000001</v>
      </c>
      <c r="E754" s="962" cm="1">
        <f t="array" ref="E754">IF(ISBLANK(B754),"",AVERAGE(B741:B754))</f>
        <v>81.1653846153846</v>
      </c>
      <c r="F754" s="962" cm="1">
        <f t="array" ref="F754">IF(ISBLANK(B754),"",AVERAGE(B725:B754))</f>
        <v>80.90000000000001</v>
      </c>
      <c r="G754" s="964"/>
      <c r="H754" s="964"/>
      <c r="I754" s="964"/>
      <c r="J754" s="964"/>
      <c r="K754" s="964"/>
      <c r="L754" s="964"/>
      <c r="M754" s="964"/>
      <c r="N754" s="964"/>
      <c r="O754" s="964"/>
      <c r="P754" s="964"/>
      <c r="Q754" s="962"/>
      <c r="R754" t="str" s="964" cm="1">
        <f t="array" ref="R754">IF(OR(ISBLANK($B754),NOT(ISBLANK(B754))),"",'tracking - Table 2-1-2'!C$66)</f>
      </c>
      <c r="S754" t="str" s="964" cm="1">
        <f t="array" ref="S754">IF(OR(ISBLANK($B754),NOT(ISBLANK(B754))),"",'tracking - Table 2-1-2'!D$66)</f>
      </c>
      <c r="T754" t="str" s="964" cm="1">
        <f t="array" ref="T754">IF(OR(ISBLANK($B754),NOT(ISBLANK(B754))),"",'tracking - Table 2-1-2'!E$66)</f>
      </c>
      <c r="U754" t="str" s="969" cm="1">
        <f t="array" ref="U754">IF(OR(ISBLANK($B754),ISBLANK('tracking - Table 2-1-2'!A$1)),"",'tracking - Table 2-1-2'!F$66)</f>
      </c>
    </row>
    <row r="755" ht="8.75" customHeight="1" hidden="1">
      <c r="A755" s="960">
        <v>45094</v>
      </c>
      <c r="B755" s="961">
        <v>81</v>
      </c>
      <c r="C755" s="965" cm="1">
        <f t="array" ref="C755">IF(ISBLANK(B755),"",B755*2.2046226218)</f>
        <v>178.5744323658</v>
      </c>
      <c r="D755" s="962" cm="1">
        <f t="array" ref="D755">IF(ISBLANK(B755),"",AVERAGE(B749:B755))</f>
        <v>81.34999999999999</v>
      </c>
      <c r="E755" s="962" cm="1">
        <f t="array" ref="E755">IF(ISBLANK(B755),"",AVERAGE(B742:B755))</f>
        <v>81.1769230769231</v>
      </c>
      <c r="F755" s="962" cm="1">
        <f t="array" ref="F755">IF(ISBLANK(B755),"",AVERAGE(B726:B755))</f>
        <v>80.91249999999999</v>
      </c>
      <c r="G755" s="964"/>
      <c r="H755" s="964"/>
      <c r="I755" s="964"/>
      <c r="J755" s="964"/>
      <c r="K755" s="964"/>
      <c r="L755" s="964"/>
      <c r="M755" s="964"/>
      <c r="N755" s="964"/>
      <c r="O755" s="964"/>
      <c r="P755" s="964"/>
      <c r="Q755" s="962"/>
      <c r="R755" t="str" s="964" cm="1">
        <f t="array" ref="R755">IF(OR(ISBLANK($B755),NOT(ISBLANK(B755))),"",'tracking - Table 2-1-2'!C$66)</f>
      </c>
      <c r="S755" t="str" s="964" cm="1">
        <f t="array" ref="S755">IF(OR(ISBLANK($B755),NOT(ISBLANK(B755))),"",'tracking - Table 2-1-2'!D$66)</f>
      </c>
      <c r="T755" t="str" s="964" cm="1">
        <f t="array" ref="T755">IF(OR(ISBLANK($B755),NOT(ISBLANK(B755))),"",'tracking - Table 2-1-2'!E$66)</f>
      </c>
      <c r="U755" t="str" s="969" cm="1">
        <f t="array" ref="U755">IF(OR(ISBLANK($B755),ISBLANK('tracking - Table 2-1-2'!A$1)),"",'tracking - Table 2-1-2'!F$66)</f>
      </c>
    </row>
    <row r="756" ht="8.75" customHeight="1" hidden="1">
      <c r="A756" s="960">
        <v>45095</v>
      </c>
      <c r="B756" s="961">
        <v>81</v>
      </c>
      <c r="C756" s="965" cm="1">
        <f t="array" ref="C756">IF(ISBLANK(B756),"",B756*2.2046226218)</f>
        <v>178.5744323658</v>
      </c>
      <c r="D756" s="962" cm="1">
        <f t="array" ref="D756">IF(ISBLANK(B756),"",AVERAGE(B750:B756))</f>
        <v>81.3</v>
      </c>
      <c r="E756" s="962" cm="1">
        <f t="array" ref="E756">IF(ISBLANK(B756),"",AVERAGE(B743:B756))</f>
        <v>81.2538461538462</v>
      </c>
      <c r="F756" s="962" cm="1">
        <f t="array" ref="F756">IF(ISBLANK(B756),"",AVERAGE(B727:B756))</f>
        <v>80.925</v>
      </c>
      <c r="G756" s="964"/>
      <c r="H756" s="964"/>
      <c r="I756" s="964"/>
      <c r="J756" s="964"/>
      <c r="K756" s="964"/>
      <c r="L756" s="964"/>
      <c r="M756" s="964"/>
      <c r="N756" s="964"/>
      <c r="O756" s="964"/>
      <c r="P756" s="964"/>
      <c r="Q756" s="962"/>
      <c r="R756" t="str" s="964" cm="1">
        <f t="array" ref="R756">IF(OR(ISBLANK($B756),NOT(ISBLANK(B756))),"",'tracking - Table 2-1-2'!C$66)</f>
      </c>
      <c r="S756" t="str" s="964" cm="1">
        <f t="array" ref="S756">IF(OR(ISBLANK($B756),NOT(ISBLANK(B756))),"",'tracking - Table 2-1-2'!D$66)</f>
      </c>
      <c r="T756" t="str" s="964" cm="1">
        <f t="array" ref="T756">IF(OR(ISBLANK($B756),NOT(ISBLANK(B756))),"",'tracking - Table 2-1-2'!E$66)</f>
      </c>
      <c r="U756" t="str" s="969" cm="1">
        <f t="array" ref="U756">IF(OR(ISBLANK($B756),ISBLANK('tracking - Table 2-1-2'!A$1)),"",'tracking - Table 2-1-2'!F$66)</f>
      </c>
    </row>
    <row r="757" ht="8.75" customHeight="1" hidden="1">
      <c r="A757" s="960">
        <v>45096</v>
      </c>
      <c r="B757" s="961">
        <v>81</v>
      </c>
      <c r="C757" s="965" cm="1">
        <f t="array" ref="C757">IF(ISBLANK(B757),"",B757*2.2046226218)</f>
        <v>178.5744323658</v>
      </c>
      <c r="D757" s="962" cm="1">
        <f t="array" ref="D757">IF(ISBLANK(B757),"",AVERAGE(B751:B757))</f>
        <v>81.2571428571429</v>
      </c>
      <c r="E757" s="962" cm="1">
        <f t="array" ref="E757">IF(ISBLANK(B757),"",AVERAGE(B744:B757))</f>
        <v>81.2730769230769</v>
      </c>
      <c r="F757" s="962" cm="1">
        <f t="array" ref="F757">IF(ISBLANK(B757),"",AVERAGE(B728:B757))</f>
        <v>80.9375</v>
      </c>
      <c r="G757" s="964"/>
      <c r="H757" s="964"/>
      <c r="I757" s="964"/>
      <c r="J757" s="964"/>
      <c r="K757" s="964"/>
      <c r="L757" s="964"/>
      <c r="M757" s="964"/>
      <c r="N757" s="964"/>
      <c r="O757" s="964"/>
      <c r="P757" s="964"/>
      <c r="Q757" s="962"/>
      <c r="R757" t="str" s="964" cm="1">
        <f t="array" ref="R757">IF(OR(ISBLANK($B757),NOT(ISBLANK(B757))),"",'tracking - Table 2-1-2'!C$66)</f>
      </c>
      <c r="S757" t="str" s="964" cm="1">
        <f t="array" ref="S757">IF(OR(ISBLANK($B757),NOT(ISBLANK(B757))),"",'tracking - Table 2-1-2'!D$66)</f>
      </c>
      <c r="T757" t="str" s="964" cm="1">
        <f t="array" ref="T757">IF(OR(ISBLANK($B757),NOT(ISBLANK(B757))),"",'tracking - Table 2-1-2'!E$66)</f>
      </c>
      <c r="U757" t="str" s="969" cm="1">
        <f t="array" ref="U757">IF(OR(ISBLANK($B757),ISBLANK('tracking - Table 2-1-2'!A$1)),"",'tracking - Table 2-1-2'!F$66)</f>
      </c>
    </row>
    <row r="758" ht="8.75" customHeight="1" hidden="1">
      <c r="A758" s="960">
        <v>45097</v>
      </c>
      <c r="B758" s="961">
        <v>80.65000000000001</v>
      </c>
      <c r="C758" s="965" cm="1">
        <f t="array" ref="C758">IF(ISBLANK(B758),"",B758*2.2046226218)</f>
        <v>177.802814448170</v>
      </c>
      <c r="D758" s="962" cm="1">
        <f t="array" ref="D758">IF(ISBLANK(B758),"",AVERAGE(B752:B758))</f>
        <v>81.2071428571429</v>
      </c>
      <c r="E758" s="962" cm="1">
        <f t="array" ref="E758">IF(ISBLANK(B758),"",AVERAGE(B745:B758))</f>
        <v>81.2269230769231</v>
      </c>
      <c r="F758" s="962" cm="1">
        <f t="array" ref="F758">IF(ISBLANK(B758),"",AVERAGE(B729:B758))</f>
        <v>80.9553571428571</v>
      </c>
      <c r="G758" s="964"/>
      <c r="H758" s="964"/>
      <c r="I758" s="964"/>
      <c r="J758" s="964"/>
      <c r="K758" s="964"/>
      <c r="L758" s="964"/>
      <c r="M758" s="964"/>
      <c r="N758" s="964"/>
      <c r="O758" s="964"/>
      <c r="P758" s="964"/>
      <c r="Q758" s="962"/>
      <c r="R758" t="str" s="964" cm="1">
        <f t="array" ref="R758">IF(OR(ISBLANK($B758),NOT(ISBLANK(B758))),"",'tracking - Table 2-1-2'!C$66)</f>
      </c>
      <c r="S758" t="str" s="964" cm="1">
        <f t="array" ref="S758">IF(OR(ISBLANK($B758),NOT(ISBLANK(B758))),"",'tracking - Table 2-1-2'!D$66)</f>
      </c>
      <c r="T758" t="str" s="964" cm="1">
        <f t="array" ref="T758">IF(OR(ISBLANK($B758),NOT(ISBLANK(B758))),"",'tracking - Table 2-1-2'!E$66)</f>
      </c>
      <c r="U758" t="str" s="969" cm="1">
        <f t="array" ref="U758">IF(OR(ISBLANK($B758),ISBLANK('tracking - Table 2-1-2'!A$1)),"",'tracking - Table 2-1-2'!F$66)</f>
      </c>
    </row>
    <row r="759" ht="8.75" customHeight="1" hidden="1">
      <c r="A759" s="960">
        <v>45098</v>
      </c>
      <c r="B759" s="356"/>
      <c r="C759" t="str" s="352" cm="1">
        <f t="array" ref="C759">IF(ISBLANK(B759),"",B759*2.2046226218)</f>
      </c>
      <c r="D759" t="str" s="964" cm="1">
        <f t="array" ref="D759">IF(ISBLANK(B759),"",AVERAGE(B753:B759))</f>
      </c>
      <c r="E759" t="str" s="964" cm="1">
        <f t="array" ref="E759">IF(ISBLANK(B759),"",AVERAGE(B746:B759))</f>
      </c>
      <c r="F759" t="str" s="964" cm="1">
        <f t="array" ref="F759">IF(ISBLANK(B759),"",AVERAGE(B730:B759))</f>
      </c>
      <c r="G759" s="964"/>
      <c r="H759" s="964"/>
      <c r="I759" s="964"/>
      <c r="J759" s="964"/>
      <c r="K759" s="964"/>
      <c r="L759" s="964"/>
      <c r="M759" s="964"/>
      <c r="N759" s="964"/>
      <c r="O759" s="964"/>
      <c r="P759" s="964"/>
      <c r="Q759" s="962"/>
      <c r="R759" t="str" s="964" cm="1">
        <f t="array" ref="R759">IF(OR(ISBLANK($B759),NOT(ISBLANK(B759))),"",'tracking - Table 2-1-2'!C$66)</f>
      </c>
      <c r="S759" t="str" s="964" cm="1">
        <f t="array" ref="S759">IF(OR(ISBLANK($B759),NOT(ISBLANK(B759))),"",'tracking - Table 2-1-2'!D$66)</f>
      </c>
      <c r="T759" t="str" s="964" cm="1">
        <f t="array" ref="T759">IF(OR(ISBLANK($B759),NOT(ISBLANK(B759))),"",'tracking - Table 2-1-2'!E$66)</f>
      </c>
      <c r="U759" t="str" s="969" cm="1">
        <f t="array" ref="U759">IF(OR(ISBLANK($B759),ISBLANK('tracking - Table 2-1-2'!A$1)),"",'tracking - Table 2-1-2'!F$66)</f>
      </c>
    </row>
    <row r="760" ht="8.75" customHeight="1" hidden="1">
      <c r="A760" s="960">
        <v>45099</v>
      </c>
      <c r="B760" s="356"/>
      <c r="C760" t="str" s="352" cm="1">
        <f t="array" ref="C760">IF(ISBLANK(B760),"",B760*2.2046226218)</f>
      </c>
      <c r="D760" t="str" s="964" cm="1">
        <f t="array" ref="D760">IF(ISBLANK(B760),"",AVERAGE(B754:B760))</f>
      </c>
      <c r="E760" t="str" s="964" cm="1">
        <f t="array" ref="E760">IF(ISBLANK(B760),"",AVERAGE(B747:B760))</f>
      </c>
      <c r="F760" t="str" s="964" cm="1">
        <f t="array" ref="F760">IF(ISBLANK(B760),"",AVERAGE(B731:B760))</f>
      </c>
      <c r="G760" s="964"/>
      <c r="H760" s="964"/>
      <c r="I760" s="964"/>
      <c r="J760" s="964"/>
      <c r="K760" s="964"/>
      <c r="L760" s="964"/>
      <c r="M760" s="964"/>
      <c r="N760" s="964"/>
      <c r="O760" s="964"/>
      <c r="P760" s="964"/>
      <c r="Q760" s="962"/>
      <c r="R760" t="str" s="964" cm="1">
        <f t="array" ref="R760">IF(OR(ISBLANK($B760),NOT(ISBLANK(B760))),"",'tracking - Table 2-1-2'!C$66)</f>
      </c>
      <c r="S760" t="str" s="964" cm="1">
        <f t="array" ref="S760">IF(OR(ISBLANK($B760),NOT(ISBLANK(B760))),"",'tracking - Table 2-1-2'!D$66)</f>
      </c>
      <c r="T760" t="str" s="964" cm="1">
        <f t="array" ref="T760">IF(OR(ISBLANK($B760),NOT(ISBLANK(B760))),"",'tracking - Table 2-1-2'!E$66)</f>
      </c>
      <c r="U760" t="str" s="969" cm="1">
        <f t="array" ref="U760">IF(OR(ISBLANK($B760),ISBLANK('tracking - Table 2-1-2'!A$1)),"",'tracking - Table 2-1-2'!F$66)</f>
      </c>
    </row>
    <row r="761" ht="8.75" customHeight="1" hidden="1">
      <c r="A761" s="960">
        <v>45100</v>
      </c>
      <c r="B761" s="961">
        <v>80.65000000000001</v>
      </c>
      <c r="C761" s="965" cm="1">
        <f t="array" ref="C761">IF(ISBLANK(B761),"",B761*2.2046226218)</f>
        <v>177.802814448170</v>
      </c>
      <c r="D761" s="962" cm="1">
        <f t="array" ref="D761">IF(ISBLANK(B761),"",AVERAGE(B755:B761))</f>
        <v>80.86</v>
      </c>
      <c r="E761" s="962" cm="1">
        <f t="array" ref="E761">IF(ISBLANK(B761),"",AVERAGE(B748:B761))</f>
        <v>81.1545454545455</v>
      </c>
      <c r="F761" s="962" cm="1">
        <f t="array" ref="F761">IF(ISBLANK(B761),"",AVERAGE(B732:B761))</f>
        <v>81.0096153846154</v>
      </c>
      <c r="G761" s="964"/>
      <c r="H761" s="964"/>
      <c r="I761" s="964"/>
      <c r="J761" s="964"/>
      <c r="K761" s="964"/>
      <c r="L761" s="964"/>
      <c r="M761" s="964"/>
      <c r="N761" s="964"/>
      <c r="O761" s="964"/>
      <c r="P761" s="964"/>
      <c r="Q761" s="962"/>
      <c r="R761" t="str" s="964" cm="1">
        <f t="array" ref="R761">IF(OR(ISBLANK($B761),NOT(ISBLANK(B761))),"",'tracking - Table 2-1-2'!C$66)</f>
      </c>
      <c r="S761" t="str" s="964" cm="1">
        <f t="array" ref="S761">IF(OR(ISBLANK($B761),NOT(ISBLANK(B761))),"",'tracking - Table 2-1-2'!D$66)</f>
      </c>
      <c r="T761" t="str" s="964" cm="1">
        <f t="array" ref="T761">IF(OR(ISBLANK($B761),NOT(ISBLANK(B761))),"",'tracking - Table 2-1-2'!E$66)</f>
      </c>
      <c r="U761" t="str" s="969" cm="1">
        <f t="array" ref="U761">IF(OR(ISBLANK($B761),ISBLANK('tracking - Table 2-1-2'!A$1)),"",'tracking - Table 2-1-2'!F$66)</f>
      </c>
    </row>
    <row r="762" ht="8.75" customHeight="1" hidden="1">
      <c r="A762" s="960">
        <v>45101</v>
      </c>
      <c r="B762" s="961">
        <v>81</v>
      </c>
      <c r="C762" s="965" cm="1">
        <f t="array" ref="C762">IF(ISBLANK(B762),"",B762*2.2046226218)</f>
        <v>178.5744323658</v>
      </c>
      <c r="D762" s="962" cm="1">
        <f t="array" ref="D762">IF(ISBLANK(B762),"",AVERAGE(B756:B762))</f>
        <v>80.86</v>
      </c>
      <c r="E762" s="962" cm="1">
        <f t="array" ref="E762">IF(ISBLANK(B762),"",AVERAGE(B749:B762))</f>
        <v>81.1272727272727</v>
      </c>
      <c r="F762" s="962" cm="1">
        <f t="array" ref="F762">IF(ISBLANK(B762),"",AVERAGE(B733:B762))</f>
        <v>81.0153846153846</v>
      </c>
      <c r="G762" s="964"/>
      <c r="H762" s="964"/>
      <c r="I762" s="964"/>
      <c r="J762" s="964"/>
      <c r="K762" s="964"/>
      <c r="L762" s="964"/>
      <c r="M762" s="964"/>
      <c r="N762" s="964"/>
      <c r="O762" s="964"/>
      <c r="P762" s="964"/>
      <c r="Q762" s="962"/>
      <c r="R762" t="str" s="964" cm="1">
        <f t="array" ref="R762">IF(OR(ISBLANK($B762),NOT(ISBLANK(B762))),"",'tracking - Table 2-1-2'!C$66)</f>
      </c>
      <c r="S762" t="str" s="964" cm="1">
        <f t="array" ref="S762">IF(OR(ISBLANK($B762),NOT(ISBLANK(B762))),"",'tracking - Table 2-1-2'!D$66)</f>
      </c>
      <c r="T762" t="str" s="964" cm="1">
        <f t="array" ref="T762">IF(OR(ISBLANK($B762),NOT(ISBLANK(B762))),"",'tracking - Table 2-1-2'!E$66)</f>
      </c>
      <c r="U762" t="str" s="969" cm="1">
        <f t="array" ref="U762">IF(OR(ISBLANK($B762),ISBLANK('tracking - Table 2-1-2'!A$1)),"",'tracking - Table 2-1-2'!F$66)</f>
      </c>
    </row>
    <row r="763" ht="8.75" customHeight="1" hidden="1">
      <c r="A763" s="960">
        <v>45102</v>
      </c>
      <c r="B763" s="356"/>
      <c r="C763" t="str" s="352" cm="1">
        <f t="array" ref="C763">IF(ISBLANK(B763),"",B763*2.2046226218)</f>
      </c>
      <c r="D763" t="str" s="964" cm="1">
        <f t="array" ref="D763">IF(ISBLANK(B763),"",AVERAGE(B757:B763))</f>
      </c>
      <c r="E763" t="str" s="964" cm="1">
        <f t="array" ref="E763">IF(ISBLANK(B763),"",AVERAGE(B750:B763))</f>
      </c>
      <c r="F763" t="str" s="964" cm="1">
        <f t="array" ref="F763">IF(ISBLANK(B763),"",AVERAGE(B734:B763))</f>
      </c>
      <c r="G763" s="964"/>
      <c r="H763" s="964"/>
      <c r="I763" s="964"/>
      <c r="J763" s="964"/>
      <c r="K763" s="964"/>
      <c r="L763" s="964"/>
      <c r="M763" s="964"/>
      <c r="N763" s="964"/>
      <c r="O763" s="964"/>
      <c r="P763" s="964"/>
      <c r="Q763" s="962"/>
      <c r="R763" t="str" s="964" cm="1">
        <f t="array" ref="R763">IF(OR(ISBLANK($B763),NOT(ISBLANK(B763))),"",'tracking - Table 2-1-2'!C$66)</f>
      </c>
      <c r="S763" t="str" s="964" cm="1">
        <f t="array" ref="S763">IF(OR(ISBLANK($B763),NOT(ISBLANK(B763))),"",'tracking - Table 2-1-2'!D$66)</f>
      </c>
      <c r="T763" t="str" s="964" cm="1">
        <f t="array" ref="T763">IF(OR(ISBLANK($B763),NOT(ISBLANK(B763))),"",'tracking - Table 2-1-2'!E$66)</f>
      </c>
      <c r="U763" t="str" s="969" cm="1">
        <f t="array" ref="U763">IF(OR(ISBLANK($B763),ISBLANK('tracking - Table 2-1-2'!A$1)),"",'tracking - Table 2-1-2'!F$66)</f>
      </c>
    </row>
    <row r="764" ht="8.75" customHeight="1" hidden="1">
      <c r="A764" s="960">
        <v>45103</v>
      </c>
      <c r="B764" s="356"/>
      <c r="C764" t="str" s="352" cm="1">
        <f t="array" ref="C764">IF(ISBLANK(B764),"",B764*2.2046226218)</f>
      </c>
      <c r="D764" t="str" s="964" cm="1">
        <f t="array" ref="D764">IF(ISBLANK(B764),"",AVERAGE(B758:B764))</f>
      </c>
      <c r="E764" t="str" s="964" cm="1">
        <f t="array" ref="E764">IF(ISBLANK(B764),"",AVERAGE(B751:B764))</f>
      </c>
      <c r="F764" t="str" s="964" cm="1">
        <f t="array" ref="F764">IF(ISBLANK(B764),"",AVERAGE(B735:B764))</f>
      </c>
      <c r="G764" s="964"/>
      <c r="H764" s="964"/>
      <c r="I764" s="964"/>
      <c r="J764" s="964"/>
      <c r="K764" s="964"/>
      <c r="L764" s="964"/>
      <c r="M764" s="964"/>
      <c r="N764" s="964"/>
      <c r="O764" s="964"/>
      <c r="P764" s="964"/>
      <c r="Q764" s="962"/>
      <c r="R764" t="str" s="964" cm="1">
        <f t="array" ref="R764">IF(OR(ISBLANK($B764),NOT(ISBLANK(B764))),"",'tracking - Table 2-1-2'!C$66)</f>
      </c>
      <c r="S764" t="str" s="964" cm="1">
        <f t="array" ref="S764">IF(OR(ISBLANK($B764),NOT(ISBLANK(B764))),"",'tracking - Table 2-1-2'!D$66)</f>
      </c>
      <c r="T764" t="str" s="964" cm="1">
        <f t="array" ref="T764">IF(OR(ISBLANK($B764),NOT(ISBLANK(B764))),"",'tracking - Table 2-1-2'!E$66)</f>
      </c>
      <c r="U764" t="str" s="969" cm="1">
        <f t="array" ref="U764">IF(OR(ISBLANK($B764),ISBLANK('tracking - Table 2-1-2'!A$1)),"",'tracking - Table 2-1-2'!F$66)</f>
      </c>
    </row>
    <row r="765" ht="8.75" customHeight="1" hidden="1">
      <c r="A765" s="960">
        <v>45104</v>
      </c>
      <c r="B765" s="961">
        <v>81</v>
      </c>
      <c r="C765" s="965" cm="1">
        <f t="array" ref="C765">IF(ISBLANK(B765),"",B765*2.2046226218)</f>
        <v>178.5744323658</v>
      </c>
      <c r="D765" s="962" cm="1">
        <f t="array" ref="D765">IF(ISBLANK(B765),"",AVERAGE(B759:B765))</f>
        <v>80.8833333333333</v>
      </c>
      <c r="E765" s="962" cm="1">
        <f t="array" ref="E765">IF(ISBLANK(B765),"",AVERAGE(B752:B765))</f>
        <v>81.11</v>
      </c>
      <c r="F765" s="962" cm="1">
        <f t="array" ref="F765">IF(ISBLANK(B765),"",AVERAGE(B736:B765))</f>
        <v>81.01000000000001</v>
      </c>
      <c r="G765" s="964"/>
      <c r="H765" s="964"/>
      <c r="I765" s="964"/>
      <c r="J765" s="964"/>
      <c r="K765" s="964"/>
      <c r="L765" s="964"/>
      <c r="M765" s="964"/>
      <c r="N765" s="964"/>
      <c r="O765" s="964"/>
      <c r="P765" s="964"/>
      <c r="Q765" s="962"/>
      <c r="R765" t="str" s="964" cm="1">
        <f t="array" ref="R765">IF(OR(ISBLANK($B765),NOT(ISBLANK(B765))),"",'tracking - Table 2-1-2'!C$66)</f>
      </c>
      <c r="S765" t="str" s="964" cm="1">
        <f t="array" ref="S765">IF(OR(ISBLANK($B765),NOT(ISBLANK(B765))),"",'tracking - Table 2-1-2'!D$66)</f>
      </c>
      <c r="T765" t="str" s="964" cm="1">
        <f t="array" ref="T765">IF(OR(ISBLANK($B765),NOT(ISBLANK(B765))),"",'tracking - Table 2-1-2'!E$66)</f>
      </c>
      <c r="U765" t="str" s="969" cm="1">
        <f t="array" ref="U765">IF(OR(ISBLANK($B765),ISBLANK('tracking - Table 2-1-2'!A$1)),"",'tracking - Table 2-1-2'!F$66)</f>
      </c>
    </row>
    <row r="766" ht="8.75" customHeight="1" hidden="1">
      <c r="A766" s="960">
        <v>45105</v>
      </c>
      <c r="B766" s="961">
        <v>80.65000000000001</v>
      </c>
      <c r="C766" s="965" cm="1">
        <f t="array" ref="C766">IF(ISBLANK(B766),"",B766*2.2046226218)</f>
        <v>177.802814448170</v>
      </c>
      <c r="D766" s="962" cm="1">
        <f t="array" ref="D766">IF(ISBLANK(B766),"",AVERAGE(B760:B766))</f>
        <v>80.825</v>
      </c>
      <c r="E766" s="962" cm="1">
        <f t="array" ref="E766">IF(ISBLANK(B766),"",AVERAGE(B753:B766))</f>
        <v>81.015</v>
      </c>
      <c r="F766" s="962" cm="1">
        <f t="array" ref="F766">IF(ISBLANK(B766),"",AVERAGE(B737:B766))</f>
        <v>81.02</v>
      </c>
      <c r="G766" s="964"/>
      <c r="H766" s="964"/>
      <c r="I766" s="964"/>
      <c r="J766" s="964"/>
      <c r="K766" s="964"/>
      <c r="L766" s="964"/>
      <c r="M766" s="964"/>
      <c r="N766" s="964"/>
      <c r="O766" s="964"/>
      <c r="P766" s="964"/>
      <c r="Q766" s="962"/>
      <c r="R766" t="str" s="964" cm="1">
        <f t="array" ref="R766">IF(OR(ISBLANK($B766),NOT(ISBLANK(B766))),"",'tracking - Table 2-1-2'!C$66)</f>
      </c>
      <c r="S766" t="str" s="964" cm="1">
        <f t="array" ref="S766">IF(OR(ISBLANK($B766),NOT(ISBLANK(B766))),"",'tracking - Table 2-1-2'!D$66)</f>
      </c>
      <c r="T766" t="str" s="964" cm="1">
        <f t="array" ref="T766">IF(OR(ISBLANK($B766),NOT(ISBLANK(B766))),"",'tracking - Table 2-1-2'!E$66)</f>
      </c>
      <c r="U766" t="str" s="969" cm="1">
        <f t="array" ref="U766">IF(OR(ISBLANK($B766),ISBLANK('tracking - Table 2-1-2'!A$1)),"",'tracking - Table 2-1-2'!F$66)</f>
      </c>
    </row>
    <row r="767" ht="8.75" customHeight="1" hidden="1">
      <c r="A767" s="960">
        <v>45106</v>
      </c>
      <c r="B767" s="961">
        <v>81</v>
      </c>
      <c r="C767" s="965" cm="1">
        <f t="array" ref="C767">IF(ISBLANK(B767),"",B767*2.2046226218)</f>
        <v>178.5744323658</v>
      </c>
      <c r="D767" s="962" cm="1">
        <f t="array" ref="D767">IF(ISBLANK(B767),"",AVERAGE(B761:B767))</f>
        <v>80.86</v>
      </c>
      <c r="E767" s="962" cm="1">
        <f t="array" ref="E767">IF(ISBLANK(B767),"",AVERAGE(B754:B767))</f>
        <v>80.955</v>
      </c>
      <c r="F767" s="962" cm="1">
        <f t="array" ref="F767">IF(ISBLANK(B767),"",AVERAGE(B738:B767))</f>
        <v>81.026</v>
      </c>
      <c r="G767" s="964"/>
      <c r="H767" s="964"/>
      <c r="I767" s="964"/>
      <c r="J767" s="964"/>
      <c r="K767" s="964"/>
      <c r="L767" s="964"/>
      <c r="M767" s="964"/>
      <c r="N767" s="964"/>
      <c r="O767" s="964"/>
      <c r="P767" s="964"/>
      <c r="Q767" s="962"/>
      <c r="R767" t="str" s="964" cm="1">
        <f t="array" ref="R767">IF(OR(ISBLANK($B767),NOT(ISBLANK(B767))),"",'tracking - Table 2-1-2'!C$66)</f>
      </c>
      <c r="S767" t="str" s="964" cm="1">
        <f t="array" ref="S767">IF(OR(ISBLANK($B767),NOT(ISBLANK(B767))),"",'tracking - Table 2-1-2'!D$66)</f>
      </c>
      <c r="T767" t="str" s="964" cm="1">
        <f t="array" ref="T767">IF(OR(ISBLANK($B767),NOT(ISBLANK(B767))),"",'tracking - Table 2-1-2'!E$66)</f>
      </c>
      <c r="U767" t="str" s="969" cm="1">
        <f t="array" ref="U767">IF(OR(ISBLANK($B767),ISBLANK('tracking - Table 2-1-2'!A$1)),"",'tracking - Table 2-1-2'!F$66)</f>
      </c>
    </row>
    <row r="768" ht="8.75" customHeight="1" hidden="1">
      <c r="A768" s="960">
        <v>45107</v>
      </c>
      <c r="B768" s="961">
        <v>81</v>
      </c>
      <c r="C768" s="965" cm="1">
        <f t="array" ref="C768">IF(ISBLANK(B768),"",B768*2.2046226218)</f>
        <v>178.5744323658</v>
      </c>
      <c r="D768" s="962" cm="1">
        <f t="array" ref="D768">IF(ISBLANK(B768),"",AVERAGE(B762:B768))</f>
        <v>80.93000000000001</v>
      </c>
      <c r="E768" s="962" cm="1">
        <f t="array" ref="E768">IF(ISBLANK(B768),"",AVERAGE(B755:B768))</f>
        <v>80.895</v>
      </c>
      <c r="F768" s="962" cm="1">
        <f t="array" ref="F768">IF(ISBLANK(B768),"",AVERAGE(B739:B768))</f>
        <v>81.032</v>
      </c>
      <c r="G768" s="964"/>
      <c r="H768" s="964"/>
      <c r="I768" s="964"/>
      <c r="J768" s="964"/>
      <c r="K768" s="964"/>
      <c r="L768" s="964"/>
      <c r="M768" s="964"/>
      <c r="N768" s="964"/>
      <c r="O768" s="964"/>
      <c r="P768" s="964"/>
      <c r="Q768" s="962"/>
      <c r="R768" t="str" s="964" cm="1">
        <f t="array" ref="R768">IF(OR(ISBLANK($B768),NOT(ISBLANK(B768))),"",'tracking - Table 2-1-2'!C$66)</f>
      </c>
      <c r="S768" t="str" s="964" cm="1">
        <f t="array" ref="S768">IF(OR(ISBLANK($B768),NOT(ISBLANK(B768))),"",'tracking - Table 2-1-2'!D$66)</f>
      </c>
      <c r="T768" t="str" s="964" cm="1">
        <f t="array" ref="T768">IF(OR(ISBLANK($B768),NOT(ISBLANK(B768))),"",'tracking - Table 2-1-2'!E$66)</f>
      </c>
      <c r="U768" t="str" s="969" cm="1">
        <f t="array" ref="U768">IF(OR(ISBLANK($B768),ISBLANK('tracking - Table 2-1-2'!A$1)),"",'tracking - Table 2-1-2'!F$66)</f>
      </c>
    </row>
    <row r="769" ht="8.75" customHeight="1" hidden="1">
      <c r="A769" s="960">
        <v>45108</v>
      </c>
      <c r="B769" s="961">
        <v>81.59999999999999</v>
      </c>
      <c r="C769" s="965" cm="1">
        <f t="array" ref="C769">IF(ISBLANK(B769),"",B769*2.2046226218)</f>
        <v>179.897205938880</v>
      </c>
      <c r="D769" s="962" cm="1">
        <f t="array" ref="D769">IF(ISBLANK(B769),"",AVERAGE(B763:B769))</f>
        <v>81.05</v>
      </c>
      <c r="E769" s="962" cm="1">
        <f t="array" ref="E769">IF(ISBLANK(B769),"",AVERAGE(B756:B769))</f>
        <v>80.955</v>
      </c>
      <c r="F769" s="962" cm="1">
        <f t="array" ref="F769">IF(ISBLANK(B769),"",AVERAGE(B740:B769))</f>
        <v>81.062</v>
      </c>
      <c r="G769" s="964"/>
      <c r="H769" s="964"/>
      <c r="I769" s="964"/>
      <c r="J769" s="964"/>
      <c r="K769" s="964"/>
      <c r="L769" s="964"/>
      <c r="M769" s="964"/>
      <c r="N769" s="964"/>
      <c r="O769" s="964"/>
      <c r="P769" s="964"/>
      <c r="Q769" s="962"/>
      <c r="R769" t="str" s="964" cm="1">
        <f t="array" ref="R769">IF(OR(ISBLANK($B769),NOT(ISBLANK(B769))),"",'tracking - Table 2-1-2'!C$66)</f>
      </c>
      <c r="S769" t="str" s="964" cm="1">
        <f t="array" ref="S769">IF(OR(ISBLANK($B769),NOT(ISBLANK(B769))),"",'tracking - Table 2-1-2'!D$66)</f>
      </c>
      <c r="T769" t="str" s="964" cm="1">
        <f t="array" ref="T769">IF(OR(ISBLANK($B769),NOT(ISBLANK(B769))),"",'tracking - Table 2-1-2'!E$66)</f>
      </c>
      <c r="U769" t="str" s="969" cm="1">
        <f t="array" ref="U769">IF(OR(ISBLANK($B769),ISBLANK('tracking - Table 2-1-2'!A$1)),"",'tracking - Table 2-1-2'!F$66)</f>
      </c>
    </row>
    <row r="770" ht="8.75" customHeight="1" hidden="1">
      <c r="A770" s="960">
        <v>45109</v>
      </c>
      <c r="B770" s="961">
        <v>81.59999999999999</v>
      </c>
      <c r="C770" s="965" cm="1">
        <f t="array" ref="C770">IF(ISBLANK(B770),"",B770*2.2046226218)</f>
        <v>179.897205938880</v>
      </c>
      <c r="D770" s="962" cm="1">
        <f t="array" ref="D770">IF(ISBLANK(B770),"",AVERAGE(B764:B770))</f>
        <v>81.14166666666669</v>
      </c>
      <c r="E770" s="962" cm="1">
        <f t="array" ref="E770">IF(ISBLANK(B770),"",AVERAGE(B757:B770))</f>
        <v>81.015</v>
      </c>
      <c r="F770" s="962" cm="1">
        <f t="array" ref="F770">IF(ISBLANK(B770),"",AVERAGE(B741:B770))</f>
        <v>81.092</v>
      </c>
      <c r="G770" s="964"/>
      <c r="H770" s="964"/>
      <c r="I770" s="964"/>
      <c r="J770" s="964"/>
      <c r="K770" s="964"/>
      <c r="L770" s="964"/>
      <c r="M770" s="964"/>
      <c r="N770" s="964"/>
      <c r="O770" s="964"/>
      <c r="P770" s="964"/>
      <c r="Q770" s="962"/>
      <c r="R770" t="str" s="964" cm="1">
        <f t="array" ref="R770">IF(OR(ISBLANK($B770),NOT(ISBLANK(B770))),"",'tracking - Table 2-1-2'!C$66)</f>
      </c>
      <c r="S770" t="str" s="964" cm="1">
        <f t="array" ref="S770">IF(OR(ISBLANK($B770),NOT(ISBLANK(B770))),"",'tracking - Table 2-1-2'!D$66)</f>
      </c>
      <c r="T770" t="str" s="964" cm="1">
        <f t="array" ref="T770">IF(OR(ISBLANK($B770),NOT(ISBLANK(B770))),"",'tracking - Table 2-1-2'!E$66)</f>
      </c>
      <c r="U770" t="str" s="969" cm="1">
        <f t="array" ref="U770">IF(OR(ISBLANK($B770),ISBLANK('tracking - Table 2-1-2'!A$1)),"",'tracking - Table 2-1-2'!F$66)</f>
      </c>
    </row>
    <row r="771" ht="8.75" customHeight="1" hidden="1">
      <c r="A771" s="960">
        <v>45110</v>
      </c>
      <c r="B771" s="356"/>
      <c r="C771" t="str" s="352" cm="1">
        <f t="array" ref="C771">IF(ISBLANK(B771),"",B771*2.2046226218)</f>
      </c>
      <c r="D771" t="str" s="964" cm="1">
        <f t="array" ref="D771">IF(ISBLANK(B771),"",AVERAGE(B765:B771))</f>
      </c>
      <c r="E771" t="str" s="964" cm="1">
        <f t="array" ref="E771">IF(ISBLANK(B771),"",AVERAGE(B758:B771))</f>
      </c>
      <c r="F771" t="str" s="964" cm="1">
        <f t="array" ref="F771">IF(ISBLANK(B771),"",AVERAGE(B742:B771))</f>
      </c>
      <c r="G771" s="964"/>
      <c r="H771" s="964"/>
      <c r="I771" s="964"/>
      <c r="J771" s="964"/>
      <c r="K771" s="964"/>
      <c r="L771" s="964"/>
      <c r="M771" s="964"/>
      <c r="N771" s="964"/>
      <c r="O771" s="964"/>
      <c r="P771" s="964"/>
      <c r="Q771" s="962"/>
      <c r="R771" t="str" s="964" cm="1">
        <f t="array" ref="R771">IF(OR(ISBLANK($B771),NOT(ISBLANK(B771))),"",'tracking - Table 2-1-2'!C$66)</f>
      </c>
      <c r="S771" t="str" s="964" cm="1">
        <f t="array" ref="S771">IF(OR(ISBLANK($B771),NOT(ISBLANK(B771))),"",'tracking - Table 2-1-2'!D$66)</f>
      </c>
      <c r="T771" t="str" s="964" cm="1">
        <f t="array" ref="T771">IF(OR(ISBLANK($B771),NOT(ISBLANK(B771))),"",'tracking - Table 2-1-2'!E$66)</f>
      </c>
      <c r="U771" t="str" s="969" cm="1">
        <f t="array" ref="U771">IF(OR(ISBLANK($B771),ISBLANK('tracking - Table 2-1-2'!A$1)),"",'tracking - Table 2-1-2'!F$66)</f>
      </c>
    </row>
    <row r="772" ht="8.75" customHeight="1" hidden="1">
      <c r="A772" s="960">
        <v>45111</v>
      </c>
      <c r="B772" s="961">
        <v>81.59999999999999</v>
      </c>
      <c r="C772" s="965" cm="1">
        <f t="array" ref="C772">IF(ISBLANK(B772),"",B772*2.2046226218)</f>
        <v>179.897205938880</v>
      </c>
      <c r="D772" s="962" cm="1">
        <f t="array" ref="D772">IF(ISBLANK(B772),"",AVERAGE(B766:B772))</f>
        <v>81.2416666666667</v>
      </c>
      <c r="E772" s="962" cm="1">
        <f t="array" ref="E772">IF(ISBLANK(B772),"",AVERAGE(B759:B772))</f>
        <v>81.12222222222221</v>
      </c>
      <c r="F772" s="962" cm="1">
        <f t="array" ref="F772">IF(ISBLANK(B772),"",AVERAGE(B743:B772))</f>
        <v>81.16875</v>
      </c>
      <c r="G772" s="964"/>
      <c r="H772" s="964"/>
      <c r="I772" s="964"/>
      <c r="J772" s="964"/>
      <c r="K772" s="964"/>
      <c r="L772" s="964"/>
      <c r="M772" s="964"/>
      <c r="N772" s="964"/>
      <c r="O772" s="964"/>
      <c r="P772" s="964"/>
      <c r="Q772" s="962"/>
      <c r="R772" t="str" s="964" cm="1">
        <f t="array" ref="R772">IF(OR(ISBLANK($B772),NOT(ISBLANK(B772))),"",'tracking - Table 2-1-2'!C$66)</f>
      </c>
      <c r="S772" t="str" s="964" cm="1">
        <f t="array" ref="S772">IF(OR(ISBLANK($B772),NOT(ISBLANK(B772))),"",'tracking - Table 2-1-2'!D$66)</f>
      </c>
      <c r="T772" t="str" s="964" cm="1">
        <f t="array" ref="T772">IF(OR(ISBLANK($B772),NOT(ISBLANK(B772))),"",'tracking - Table 2-1-2'!E$66)</f>
      </c>
      <c r="U772" t="str" s="969" cm="1">
        <f t="array" ref="U772">IF(OR(ISBLANK($B772),ISBLANK('tracking - Table 2-1-2'!A$1)),"",'tracking - Table 2-1-2'!F$66)</f>
      </c>
    </row>
    <row r="773" ht="8.75" customHeight="1" hidden="1">
      <c r="A773" s="960">
        <v>45112</v>
      </c>
      <c r="B773" s="961">
        <v>81.59999999999999</v>
      </c>
      <c r="C773" s="965" cm="1">
        <f t="array" ref="C773">IF(ISBLANK(B773),"",B773*2.2046226218)</f>
        <v>179.897205938880</v>
      </c>
      <c r="D773" s="962" cm="1">
        <f t="array" ref="D773">IF(ISBLANK(B773),"",AVERAGE(B767:B773))</f>
        <v>81.40000000000001</v>
      </c>
      <c r="E773" s="962" cm="1">
        <f t="array" ref="E773">IF(ISBLANK(B773),"",AVERAGE(B760:B773))</f>
        <v>81.17</v>
      </c>
      <c r="F773" s="962" cm="1">
        <f t="array" ref="F773">IF(ISBLANK(B773),"",AVERAGE(B744:B773))</f>
        <v>81.20416666666669</v>
      </c>
      <c r="G773" s="964"/>
      <c r="H773" s="964"/>
      <c r="I773" s="964"/>
      <c r="J773" s="964"/>
      <c r="K773" s="964"/>
      <c r="L773" s="964"/>
      <c r="M773" s="964"/>
      <c r="N773" s="964"/>
      <c r="O773" s="964"/>
      <c r="P773" s="964"/>
      <c r="Q773" s="962"/>
      <c r="R773" t="str" s="964" cm="1">
        <f t="array" ref="R773">IF(OR(ISBLANK($B773),NOT(ISBLANK(B773))),"",'tracking - Table 2-1-2'!C$66)</f>
      </c>
      <c r="S773" t="str" s="964" cm="1">
        <f t="array" ref="S773">IF(OR(ISBLANK($B773),NOT(ISBLANK(B773))),"",'tracking - Table 2-1-2'!D$66)</f>
      </c>
      <c r="T773" t="str" s="964" cm="1">
        <f t="array" ref="T773">IF(OR(ISBLANK($B773),NOT(ISBLANK(B773))),"",'tracking - Table 2-1-2'!E$66)</f>
      </c>
      <c r="U773" t="str" s="969" cm="1">
        <f t="array" ref="U773">IF(OR(ISBLANK($B773),ISBLANK('tracking - Table 2-1-2'!A$1)),"",'tracking - Table 2-1-2'!F$66)</f>
      </c>
    </row>
    <row r="774" ht="8.75" customHeight="1" hidden="1">
      <c r="A774" s="960">
        <v>45113</v>
      </c>
      <c r="B774" s="961">
        <v>81.95</v>
      </c>
      <c r="C774" s="965" cm="1">
        <f t="array" ref="C774">IF(ISBLANK(B774),"",B774*2.2046226218)</f>
        <v>180.668823856510</v>
      </c>
      <c r="D774" s="962" cm="1">
        <f t="array" ref="D774">IF(ISBLANK(B774),"",AVERAGE(B768:B774))</f>
        <v>81.55833333333329</v>
      </c>
      <c r="E774" s="962" cm="1">
        <f t="array" ref="E774">IF(ISBLANK(B774),"",AVERAGE(B761:B774))</f>
        <v>81.2409090909091</v>
      </c>
      <c r="F774" s="962" cm="1">
        <f t="array" ref="F774">IF(ISBLANK(B774),"",AVERAGE(B745:B774))</f>
        <v>81.23333333333331</v>
      </c>
      <c r="G774" s="964"/>
      <c r="H774" s="964"/>
      <c r="I774" s="964"/>
      <c r="J774" s="964"/>
      <c r="K774" s="964"/>
      <c r="L774" s="964"/>
      <c r="M774" s="964"/>
      <c r="N774" s="964"/>
      <c r="O774" s="964"/>
      <c r="P774" s="964"/>
      <c r="Q774" s="962"/>
      <c r="R774" t="str" s="964" cm="1">
        <f t="array" ref="R774">IF(OR(ISBLANK($B774),NOT(ISBLANK(B774))),"",'tracking - Table 2-1-2'!C$66)</f>
      </c>
      <c r="S774" t="str" s="964" cm="1">
        <f t="array" ref="S774">IF(OR(ISBLANK($B774),NOT(ISBLANK(B774))),"",'tracking - Table 2-1-2'!D$66)</f>
      </c>
      <c r="T774" t="str" s="964" cm="1">
        <f t="array" ref="T774">IF(OR(ISBLANK($B774),NOT(ISBLANK(B774))),"",'tracking - Table 2-1-2'!E$66)</f>
      </c>
      <c r="U774" t="str" s="969" cm="1">
        <f t="array" ref="U774">IF(OR(ISBLANK($B774),ISBLANK('tracking - Table 2-1-2'!A$1)),"",'tracking - Table 2-1-2'!F$66)</f>
      </c>
    </row>
    <row r="775" ht="8.75" customHeight="1" hidden="1">
      <c r="A775" s="960">
        <v>45114</v>
      </c>
      <c r="B775" s="961">
        <v>81.95</v>
      </c>
      <c r="C775" s="965" cm="1">
        <f t="array" ref="C775">IF(ISBLANK(B775),"",B775*2.2046226218)</f>
        <v>180.668823856510</v>
      </c>
      <c r="D775" s="962" cm="1">
        <f t="array" ref="D775">IF(ISBLANK(B775),"",AVERAGE(B769:B775))</f>
        <v>81.7166666666667</v>
      </c>
      <c r="E775" s="962" cm="1">
        <f t="array" ref="E775">IF(ISBLANK(B775),"",AVERAGE(B762:B775))</f>
        <v>81.3590909090909</v>
      </c>
      <c r="F775" s="962" cm="1">
        <f t="array" ref="F775">IF(ISBLANK(B775),"",AVERAGE(B746:B775))</f>
        <v>81.2604166666667</v>
      </c>
      <c r="G775" s="964"/>
      <c r="H775" s="964"/>
      <c r="I775" s="964"/>
      <c r="J775" s="964"/>
      <c r="K775" s="964"/>
      <c r="L775" s="964"/>
      <c r="M775" s="964"/>
      <c r="N775" s="964"/>
      <c r="O775" s="964"/>
      <c r="P775" s="964"/>
      <c r="Q775" s="962"/>
      <c r="R775" t="str" s="964" cm="1">
        <f t="array" ref="R775">IF(OR(ISBLANK($B775),NOT(ISBLANK(B775))),"",'tracking - Table 2-1-2'!C$66)</f>
      </c>
      <c r="S775" t="str" s="964" cm="1">
        <f t="array" ref="S775">IF(OR(ISBLANK($B775),NOT(ISBLANK(B775))),"",'tracking - Table 2-1-2'!D$66)</f>
      </c>
      <c r="T775" t="str" s="964" cm="1">
        <f t="array" ref="T775">IF(OR(ISBLANK($B775),NOT(ISBLANK(B775))),"",'tracking - Table 2-1-2'!E$66)</f>
      </c>
      <c r="U775" t="str" s="969" cm="1">
        <f t="array" ref="U775">IF(OR(ISBLANK($B775),ISBLANK('tracking - Table 2-1-2'!A$1)),"",'tracking - Table 2-1-2'!F$66)</f>
      </c>
    </row>
    <row r="776" ht="8.75" customHeight="1" hidden="1">
      <c r="A776" s="960">
        <v>45115</v>
      </c>
      <c r="B776" s="961">
        <v>81.95</v>
      </c>
      <c r="C776" s="965" cm="1">
        <f t="array" ref="C776">IF(ISBLANK(B776),"",B776*2.2046226218)</f>
        <v>180.668823856510</v>
      </c>
      <c r="D776" s="962" cm="1">
        <f t="array" ref="D776">IF(ISBLANK(B776),"",AVERAGE(B770:B776))</f>
        <v>81.77500000000001</v>
      </c>
      <c r="E776" s="962" cm="1">
        <f t="array" ref="E776">IF(ISBLANK(B776),"",AVERAGE(B763:B776))</f>
        <v>81.4454545454545</v>
      </c>
      <c r="F776" s="962" cm="1">
        <f t="array" ref="F776">IF(ISBLANK(B776),"",AVERAGE(B747:B776))</f>
        <v>81.28749999999999</v>
      </c>
      <c r="G776" s="964"/>
      <c r="H776" s="964"/>
      <c r="I776" s="964"/>
      <c r="J776" s="964"/>
      <c r="K776" s="964"/>
      <c r="L776" s="964"/>
      <c r="M776" s="964"/>
      <c r="N776" s="964"/>
      <c r="O776" s="964"/>
      <c r="P776" s="964"/>
      <c r="Q776" s="962"/>
      <c r="R776" t="str" s="964" cm="1">
        <f t="array" ref="R776">IF(OR(ISBLANK($B776),NOT(ISBLANK(B776))),"",'tracking - Table 2-1-2'!C$66)</f>
      </c>
      <c r="S776" t="str" s="964" cm="1">
        <f t="array" ref="S776">IF(OR(ISBLANK($B776),NOT(ISBLANK(B776))),"",'tracking - Table 2-1-2'!D$66)</f>
      </c>
      <c r="T776" t="str" s="964" cm="1">
        <f t="array" ref="T776">IF(OR(ISBLANK($B776),NOT(ISBLANK(B776))),"",'tracking - Table 2-1-2'!E$66)</f>
      </c>
      <c r="U776" t="str" s="969" cm="1">
        <f t="array" ref="U776">IF(OR(ISBLANK($B776),ISBLANK('tracking - Table 2-1-2'!A$1)),"",'tracking - Table 2-1-2'!F$66)</f>
      </c>
    </row>
    <row r="777" ht="8.75" customHeight="1" hidden="1">
      <c r="A777" s="960">
        <v>45116</v>
      </c>
      <c r="B777" s="961">
        <v>81.59999999999999</v>
      </c>
      <c r="C777" s="965" cm="1">
        <f t="array" ref="C777">IF(ISBLANK(B777),"",B777*2.2046226218)</f>
        <v>179.897205938880</v>
      </c>
      <c r="D777" s="962" cm="1">
        <f t="array" ref="D777">IF(ISBLANK(B777),"",AVERAGE(B771:B777))</f>
        <v>81.77500000000001</v>
      </c>
      <c r="E777" s="962" cm="1">
        <f t="array" ref="E777">IF(ISBLANK(B777),"",AVERAGE(B764:B777))</f>
        <v>81.4583333333333</v>
      </c>
      <c r="F777" s="962" cm="1">
        <f t="array" ref="F777">IF(ISBLANK(B777),"",AVERAGE(B748:B777))</f>
        <v>81.3</v>
      </c>
      <c r="G777" s="964"/>
      <c r="H777" s="964"/>
      <c r="I777" s="964"/>
      <c r="J777" s="964"/>
      <c r="K777" s="964"/>
      <c r="L777" s="964"/>
      <c r="M777" s="964"/>
      <c r="N777" s="964"/>
      <c r="O777" s="964"/>
      <c r="P777" s="964"/>
      <c r="Q777" s="962"/>
      <c r="R777" t="str" s="964" cm="1">
        <f t="array" ref="R777">IF(OR(ISBLANK($B777),NOT(ISBLANK(B777))),"",'tracking - Table 2-1-2'!C$66)</f>
      </c>
      <c r="S777" t="str" s="964" cm="1">
        <f t="array" ref="S777">IF(OR(ISBLANK($B777),NOT(ISBLANK(B777))),"",'tracking - Table 2-1-2'!D$66)</f>
      </c>
      <c r="T777" t="str" s="964" cm="1">
        <f t="array" ref="T777">IF(OR(ISBLANK($B777),NOT(ISBLANK(B777))),"",'tracking - Table 2-1-2'!E$66)</f>
      </c>
      <c r="U777" t="str" s="969" cm="1">
        <f t="array" ref="U777">IF(OR(ISBLANK($B777),ISBLANK('tracking - Table 2-1-2'!A$1)),"",'tracking - Table 2-1-2'!F$66)</f>
      </c>
    </row>
    <row r="778" ht="8.75" customHeight="1" hidden="1">
      <c r="A778" s="960">
        <v>45117</v>
      </c>
      <c r="B778" s="961">
        <v>82</v>
      </c>
      <c r="C778" s="965" cm="1">
        <f t="array" ref="C778">IF(ISBLANK(B778),"",B778*2.2046226218)</f>
        <v>180.7790549876</v>
      </c>
      <c r="D778" s="962" cm="1">
        <f t="array" ref="D778">IF(ISBLANK(B778),"",AVERAGE(B772:B778))</f>
        <v>81.80714285714291</v>
      </c>
      <c r="E778" s="962" cm="1">
        <f t="array" ref="E778">IF(ISBLANK(B778),"",AVERAGE(B765:B778))</f>
        <v>81.5</v>
      </c>
      <c r="F778" s="962" cm="1">
        <f t="array" ref="F778">IF(ISBLANK(B778),"",AVERAGE(B749:B778))</f>
        <v>81.32916666666669</v>
      </c>
      <c r="G778" s="964"/>
      <c r="H778" s="964"/>
      <c r="I778" s="964"/>
      <c r="J778" s="964"/>
      <c r="K778" s="964"/>
      <c r="L778" s="964"/>
      <c r="M778" s="964"/>
      <c r="N778" s="964"/>
      <c r="O778" s="964"/>
      <c r="P778" s="964"/>
      <c r="Q778" s="962"/>
      <c r="R778" t="str" s="964" cm="1">
        <f t="array" ref="R778">IF(OR(ISBLANK($B778),NOT(ISBLANK(B778))),"",'tracking - Table 2-1-2'!C$66)</f>
      </c>
      <c r="S778" t="str" s="964" cm="1">
        <f t="array" ref="S778">IF(OR(ISBLANK($B778),NOT(ISBLANK(B778))),"",'tracking - Table 2-1-2'!D$66)</f>
      </c>
      <c r="T778" t="str" s="964" cm="1">
        <f t="array" ref="T778">IF(OR(ISBLANK($B778),NOT(ISBLANK(B778))),"",'tracking - Table 2-1-2'!E$66)</f>
      </c>
      <c r="U778" t="str" s="969" cm="1">
        <f t="array" ref="U778">IF(OR(ISBLANK($B778),ISBLANK('tracking - Table 2-1-2'!A$1)),"",'tracking - Table 2-1-2'!F$66)</f>
      </c>
    </row>
    <row r="779" ht="8.75" customHeight="1" hidden="1">
      <c r="A779" s="960">
        <v>45118</v>
      </c>
      <c r="B779" s="961">
        <v>81.59999999999999</v>
      </c>
      <c r="C779" s="965" cm="1">
        <f t="array" ref="C779">IF(ISBLANK(B779),"",B779*2.2046226218)</f>
        <v>179.897205938880</v>
      </c>
      <c r="D779" s="962" cm="1">
        <f t="array" ref="D779">IF(ISBLANK(B779),"",AVERAGE(B773:B779))</f>
        <v>81.80714285714291</v>
      </c>
      <c r="E779" s="962" cm="1">
        <f t="array" ref="E779">IF(ISBLANK(B779),"",AVERAGE(B766:B779))</f>
        <v>81.5461538461538</v>
      </c>
      <c r="F779" s="962" cm="1">
        <f t="array" ref="F779">IF(ISBLANK(B779),"",AVERAGE(B750:B779))</f>
        <v>81.34</v>
      </c>
      <c r="G779" s="964"/>
      <c r="H779" s="964"/>
      <c r="I779" s="964"/>
      <c r="J779" s="964"/>
      <c r="K779" s="964"/>
      <c r="L779" s="964"/>
      <c r="M779" s="964"/>
      <c r="N779" s="964"/>
      <c r="O779" s="964"/>
      <c r="P779" s="964"/>
      <c r="Q779" s="962"/>
      <c r="R779" t="str" s="964" cm="1">
        <f t="array" ref="R779">IF(OR(ISBLANK($B779),NOT(ISBLANK(B779))),"",'tracking - Table 2-1-2'!C$66)</f>
      </c>
      <c r="S779" t="str" s="964" cm="1">
        <f t="array" ref="S779">IF(OR(ISBLANK($B779),NOT(ISBLANK(B779))),"",'tracking - Table 2-1-2'!D$66)</f>
      </c>
      <c r="T779" t="str" s="964" cm="1">
        <f t="array" ref="T779">IF(OR(ISBLANK($B779),NOT(ISBLANK(B779))),"",'tracking - Table 2-1-2'!E$66)</f>
      </c>
      <c r="U779" t="str" s="969" cm="1">
        <f t="array" ref="U779">IF(OR(ISBLANK($B779),ISBLANK('tracking - Table 2-1-2'!A$1)),"",'tracking - Table 2-1-2'!F$66)</f>
      </c>
    </row>
    <row r="780" ht="8.75" customHeight="1" hidden="1">
      <c r="A780" s="960">
        <v>45119</v>
      </c>
      <c r="B780" s="961">
        <v>81.95</v>
      </c>
      <c r="C780" s="965" cm="1">
        <f t="array" ref="C780">IF(ISBLANK(B780),"",B780*2.2046226218)</f>
        <v>180.668823856510</v>
      </c>
      <c r="D780" s="962" cm="1">
        <f t="array" ref="D780">IF(ISBLANK(B780),"",AVERAGE(B774:B780))</f>
        <v>81.8571428571429</v>
      </c>
      <c r="E780" s="962" cm="1">
        <f t="array" ref="E780">IF(ISBLANK(B780),"",AVERAGE(B767:B780))</f>
        <v>81.64615384615379</v>
      </c>
      <c r="F780" s="962" cm="1">
        <f t="array" ref="F780">IF(ISBLANK(B780),"",AVERAGE(B751:B780))</f>
        <v>81.366</v>
      </c>
      <c r="G780" s="964"/>
      <c r="H780" s="964"/>
      <c r="I780" s="964"/>
      <c r="J780" s="964"/>
      <c r="K780" s="964"/>
      <c r="L780" s="964"/>
      <c r="M780" s="964"/>
      <c r="N780" s="964"/>
      <c r="O780" s="964"/>
      <c r="P780" s="964"/>
      <c r="Q780" s="962"/>
      <c r="R780" t="str" s="964" cm="1">
        <f t="array" ref="R780">IF(OR(ISBLANK($B780),NOT(ISBLANK(B780))),"",'tracking - Table 2-1-2'!C$66)</f>
      </c>
      <c r="S780" t="str" s="964" cm="1">
        <f t="array" ref="S780">IF(OR(ISBLANK($B780),NOT(ISBLANK(B780))),"",'tracking - Table 2-1-2'!D$66)</f>
      </c>
      <c r="T780" t="str" s="964" cm="1">
        <f t="array" ref="T780">IF(OR(ISBLANK($B780),NOT(ISBLANK(B780))),"",'tracking - Table 2-1-2'!E$66)</f>
      </c>
      <c r="U780" t="str" s="969" cm="1">
        <f t="array" ref="U780">IF(OR(ISBLANK($B780),ISBLANK('tracking - Table 2-1-2'!A$1)),"",'tracking - Table 2-1-2'!F$66)</f>
      </c>
    </row>
    <row r="781" ht="8.75" customHeight="1" hidden="1">
      <c r="A781" s="960">
        <v>45120</v>
      </c>
      <c r="B781" s="961">
        <v>81.95</v>
      </c>
      <c r="C781" s="965" cm="1">
        <f t="array" ref="C781">IF(ISBLANK(B781),"",B781*2.2046226218)</f>
        <v>180.668823856510</v>
      </c>
      <c r="D781" s="962" cm="1">
        <f t="array" ref="D781">IF(ISBLANK(B781),"",AVERAGE(B775:B781))</f>
        <v>81.8571428571429</v>
      </c>
      <c r="E781" s="962" cm="1">
        <f t="array" ref="E781">IF(ISBLANK(B781),"",AVERAGE(B768:B781))</f>
        <v>81.7192307692308</v>
      </c>
      <c r="F781" s="962" cm="1">
        <f t="array" ref="F781">IF(ISBLANK(B781),"",AVERAGE(B752:B781))</f>
        <v>81.404</v>
      </c>
      <c r="G781" s="964"/>
      <c r="H781" s="964"/>
      <c r="I781" s="964"/>
      <c r="J781" s="964"/>
      <c r="K781" s="964"/>
      <c r="L781" s="964"/>
      <c r="M781" s="964"/>
      <c r="N781" s="964"/>
      <c r="O781" s="964"/>
      <c r="P781" s="964"/>
      <c r="Q781" s="962"/>
      <c r="R781" t="str" s="964" cm="1">
        <f t="array" ref="R781">IF(OR(ISBLANK($B781),NOT(ISBLANK(B781))),"",'tracking - Table 2-1-2'!C$66)</f>
      </c>
      <c r="S781" t="str" s="964" cm="1">
        <f t="array" ref="S781">IF(OR(ISBLANK($B781),NOT(ISBLANK(B781))),"",'tracking - Table 2-1-2'!D$66)</f>
      </c>
      <c r="T781" t="str" s="964" cm="1">
        <f t="array" ref="T781">IF(OR(ISBLANK($B781),NOT(ISBLANK(B781))),"",'tracking - Table 2-1-2'!E$66)</f>
      </c>
      <c r="U781" t="str" s="969" cm="1">
        <f t="array" ref="U781">IF(OR(ISBLANK($B781),ISBLANK('tracking - Table 2-1-2'!A$1)),"",'tracking - Table 2-1-2'!F$66)</f>
      </c>
    </row>
    <row r="782" ht="8.75" customHeight="1" hidden="1">
      <c r="A782" s="960">
        <v>45121</v>
      </c>
      <c r="B782" s="961">
        <v>81.95</v>
      </c>
      <c r="C782" s="965" cm="1">
        <f t="array" ref="C782">IF(ISBLANK(B782),"",B782*2.2046226218)</f>
        <v>180.668823856510</v>
      </c>
      <c r="D782" s="962" cm="1">
        <f t="array" ref="D782">IF(ISBLANK(B782),"",AVERAGE(B776:B782))</f>
        <v>81.8571428571429</v>
      </c>
      <c r="E782" s="962" cm="1">
        <f t="array" ref="E782">IF(ISBLANK(B782),"",AVERAGE(B769:B782))</f>
        <v>81.7923076923077</v>
      </c>
      <c r="F782" s="962" cm="1">
        <f t="array" ref="F782">IF(ISBLANK(B782),"",AVERAGE(B753:B782))</f>
        <v>81.41800000000001</v>
      </c>
      <c r="G782" s="964"/>
      <c r="H782" s="964"/>
      <c r="I782" s="964"/>
      <c r="J782" s="964"/>
      <c r="K782" s="964"/>
      <c r="L782" s="964"/>
      <c r="M782" s="964"/>
      <c r="N782" s="964"/>
      <c r="O782" s="964"/>
      <c r="P782" s="964"/>
      <c r="Q782" s="962"/>
      <c r="R782" t="str" s="964" cm="1">
        <f t="array" ref="R782">IF(OR(ISBLANK($B782),NOT(ISBLANK(B782))),"",'tracking - Table 2-1-2'!C$66)</f>
      </c>
      <c r="S782" t="str" s="964" cm="1">
        <f t="array" ref="S782">IF(OR(ISBLANK($B782),NOT(ISBLANK(B782))),"",'tracking - Table 2-1-2'!D$66)</f>
      </c>
      <c r="T782" t="str" s="964" cm="1">
        <f t="array" ref="T782">IF(OR(ISBLANK($B782),NOT(ISBLANK(B782))),"",'tracking - Table 2-1-2'!E$66)</f>
      </c>
      <c r="U782" t="str" s="969" cm="1">
        <f t="array" ref="U782">IF(OR(ISBLANK($B782),ISBLANK('tracking - Table 2-1-2'!A$1)),"",'tracking - Table 2-1-2'!F$66)</f>
      </c>
    </row>
    <row r="783" ht="8.75" customHeight="1" hidden="1">
      <c r="A783" s="960">
        <v>45122</v>
      </c>
      <c r="B783" s="961">
        <v>81.59999999999999</v>
      </c>
      <c r="C783" s="965" cm="1">
        <f t="array" ref="C783">IF(ISBLANK(B783),"",B783*2.2046226218)</f>
        <v>179.897205938880</v>
      </c>
      <c r="D783" s="962" cm="1">
        <f t="array" ref="D783">IF(ISBLANK(B783),"",AVERAGE(B777:B783))</f>
        <v>81.80714285714291</v>
      </c>
      <c r="E783" s="962" cm="1">
        <f t="array" ref="E783">IF(ISBLANK(B783),"",AVERAGE(B770:B783))</f>
        <v>81.7923076923077</v>
      </c>
      <c r="F783" s="962" cm="1">
        <f t="array" ref="F783">IF(ISBLANK(B783),"",AVERAGE(B754:B783))</f>
        <v>81.41800000000001</v>
      </c>
      <c r="G783" s="964"/>
      <c r="H783" s="964"/>
      <c r="I783" s="964"/>
      <c r="J783" s="964"/>
      <c r="K783" s="964"/>
      <c r="L783" s="964"/>
      <c r="M783" s="964"/>
      <c r="N783" s="964"/>
      <c r="O783" s="964"/>
      <c r="P783" s="964"/>
      <c r="Q783" s="962"/>
      <c r="R783" t="str" s="964" cm="1">
        <f t="array" ref="R783">IF(OR(ISBLANK($B783),NOT(ISBLANK(B783))),"",'tracking - Table 2-1-2'!C$66)</f>
      </c>
      <c r="S783" t="str" s="964" cm="1">
        <f t="array" ref="S783">IF(OR(ISBLANK($B783),NOT(ISBLANK(B783))),"",'tracking - Table 2-1-2'!D$66)</f>
      </c>
      <c r="T783" t="str" s="964" cm="1">
        <f t="array" ref="T783">IF(OR(ISBLANK($B783),NOT(ISBLANK(B783))),"",'tracking - Table 2-1-2'!E$66)</f>
      </c>
      <c r="U783" t="str" s="969" cm="1">
        <f t="array" ref="U783">IF(OR(ISBLANK($B783),ISBLANK('tracking - Table 2-1-2'!A$1)),"",'tracking - Table 2-1-2'!F$66)</f>
      </c>
    </row>
    <row r="784" ht="8.75" customHeight="1" hidden="1">
      <c r="A784" s="960">
        <v>45123</v>
      </c>
      <c r="B784" s="961">
        <v>81.95</v>
      </c>
      <c r="C784" s="965" cm="1">
        <f t="array" ref="C784">IF(ISBLANK(B784),"",B784*2.2046226218)</f>
        <v>180.668823856510</v>
      </c>
      <c r="D784" s="962" cm="1">
        <f t="array" ref="D784">IF(ISBLANK(B784),"",AVERAGE(B778:B784))</f>
        <v>81.8571428571429</v>
      </c>
      <c r="E784" s="962" cm="1">
        <f t="array" ref="E784">IF(ISBLANK(B784),"",AVERAGE(B771:B784))</f>
        <v>81.8192307692308</v>
      </c>
      <c r="F784" s="962" cm="1">
        <f t="array" ref="F784">IF(ISBLANK(B784),"",AVERAGE(B755:B784))</f>
        <v>81.432</v>
      </c>
      <c r="G784" s="964"/>
      <c r="H784" s="964"/>
      <c r="I784" s="964"/>
      <c r="J784" s="964"/>
      <c r="K784" s="964"/>
      <c r="L784" s="964"/>
      <c r="M784" s="964"/>
      <c r="N784" s="964"/>
      <c r="O784" s="964"/>
      <c r="P784" s="964"/>
      <c r="Q784" s="962"/>
      <c r="R784" t="str" s="964" cm="1">
        <f t="array" ref="R784">IF(OR(ISBLANK($B784),NOT(ISBLANK(B784))),"",'tracking - Table 2-1-2'!C$66)</f>
      </c>
      <c r="S784" t="str" s="964" cm="1">
        <f t="array" ref="S784">IF(OR(ISBLANK($B784),NOT(ISBLANK(B784))),"",'tracking - Table 2-1-2'!D$66)</f>
      </c>
      <c r="T784" t="str" s="964" cm="1">
        <f t="array" ref="T784">IF(OR(ISBLANK($B784),NOT(ISBLANK(B784))),"",'tracking - Table 2-1-2'!E$66)</f>
      </c>
      <c r="U784" t="str" s="969" cm="1">
        <f t="array" ref="U784">IF(OR(ISBLANK($B784),ISBLANK('tracking - Table 2-1-2'!A$1)),"",'tracking - Table 2-1-2'!F$66)</f>
      </c>
    </row>
    <row r="785" ht="8.75" customHeight="1" hidden="1">
      <c r="A785" s="960">
        <v>45124</v>
      </c>
      <c r="B785" s="961">
        <v>81.59999999999999</v>
      </c>
      <c r="C785" s="965" cm="1">
        <f t="array" ref="C785">IF(ISBLANK(B785),"",B785*2.2046226218)</f>
        <v>179.897205938880</v>
      </c>
      <c r="D785" s="962" cm="1">
        <f t="array" ref="D785">IF(ISBLANK(B785),"",AVERAGE(B779:B785))</f>
        <v>81.8</v>
      </c>
      <c r="E785" s="962" cm="1">
        <f t="array" ref="E785">IF(ISBLANK(B785),"",AVERAGE(B772:B785))</f>
        <v>81.8035714285714</v>
      </c>
      <c r="F785" s="962" cm="1">
        <f t="array" ref="F785">IF(ISBLANK(B785),"",AVERAGE(B756:B785))</f>
        <v>81.456</v>
      </c>
      <c r="G785" s="964"/>
      <c r="H785" s="964"/>
      <c r="I785" s="964"/>
      <c r="J785" s="964"/>
      <c r="K785" s="964"/>
      <c r="L785" s="964"/>
      <c r="M785" s="964"/>
      <c r="N785" s="964"/>
      <c r="O785" s="964"/>
      <c r="P785" s="964"/>
      <c r="Q785" s="962"/>
      <c r="R785" t="str" s="964" cm="1">
        <f t="array" ref="R785">IF(OR(ISBLANK($B785),NOT(ISBLANK(B785))),"",'tracking - Table 2-1-2'!C$66)</f>
      </c>
      <c r="S785" t="str" s="964" cm="1">
        <f t="array" ref="S785">IF(OR(ISBLANK($B785),NOT(ISBLANK(B785))),"",'tracking - Table 2-1-2'!D$66)</f>
      </c>
      <c r="T785" t="str" s="964" cm="1">
        <f t="array" ref="T785">IF(OR(ISBLANK($B785),NOT(ISBLANK(B785))),"",'tracking - Table 2-1-2'!E$66)</f>
      </c>
      <c r="U785" t="str" s="969" cm="1">
        <f t="array" ref="U785">IF(OR(ISBLANK($B785),ISBLANK('tracking - Table 2-1-2'!A$1)),"",'tracking - Table 2-1-2'!F$66)</f>
      </c>
    </row>
    <row r="786" ht="8.75" customHeight="1" hidden="1">
      <c r="A786" s="960">
        <v>45125</v>
      </c>
      <c r="B786" s="961">
        <v>81.95</v>
      </c>
      <c r="C786" s="965" cm="1">
        <f t="array" ref="C786">IF(ISBLANK(B786),"",B786*2.2046226218)</f>
        <v>180.668823856510</v>
      </c>
      <c r="D786" s="962" cm="1">
        <f t="array" ref="D786">IF(ISBLANK(B786),"",AVERAGE(B780:B786))</f>
        <v>81.84999999999999</v>
      </c>
      <c r="E786" s="962" cm="1">
        <f t="array" ref="E786">IF(ISBLANK(B786),"",AVERAGE(B773:B786))</f>
        <v>81.82857142857139</v>
      </c>
      <c r="F786" s="962" cm="1">
        <f t="array" ref="F786">IF(ISBLANK(B786),"",AVERAGE(B757:B786))</f>
        <v>81.494</v>
      </c>
      <c r="G786" s="964"/>
      <c r="H786" s="964"/>
      <c r="I786" s="964"/>
      <c r="J786" s="964"/>
      <c r="K786" s="964"/>
      <c r="L786" s="964"/>
      <c r="M786" s="964"/>
      <c r="N786" s="964"/>
      <c r="O786" s="964"/>
      <c r="P786" s="964"/>
      <c r="Q786" s="962"/>
      <c r="R786" t="str" s="964" cm="1">
        <f t="array" ref="R786">IF(OR(ISBLANK($B786),NOT(ISBLANK(B786))),"",'tracking - Table 2-1-2'!C$66)</f>
      </c>
      <c r="S786" t="str" s="964" cm="1">
        <f t="array" ref="S786">IF(OR(ISBLANK($B786),NOT(ISBLANK(B786))),"",'tracking - Table 2-1-2'!D$66)</f>
      </c>
      <c r="T786" t="str" s="964" cm="1">
        <f t="array" ref="T786">IF(OR(ISBLANK($B786),NOT(ISBLANK(B786))),"",'tracking - Table 2-1-2'!E$66)</f>
      </c>
      <c r="U786" t="str" s="969" cm="1">
        <f t="array" ref="U786">IF(OR(ISBLANK($B786),ISBLANK('tracking - Table 2-1-2'!A$1)),"",'tracking - Table 2-1-2'!F$66)</f>
      </c>
    </row>
    <row r="787" ht="8.75" customHeight="1" hidden="1">
      <c r="A787" s="960">
        <v>45126</v>
      </c>
      <c r="B787" s="961">
        <v>81.95</v>
      </c>
      <c r="C787" s="965" cm="1">
        <f t="array" ref="C787">IF(ISBLANK(B787),"",B787*2.2046226218)</f>
        <v>180.668823856510</v>
      </c>
      <c r="D787" s="962" cm="1">
        <f t="array" ref="D787">IF(ISBLANK(B787),"",AVERAGE(B781:B787))</f>
        <v>81.84999999999999</v>
      </c>
      <c r="E787" s="962" cm="1">
        <f t="array" ref="E787">IF(ISBLANK(B787),"",AVERAGE(B774:B787))</f>
        <v>81.8535714285714</v>
      </c>
      <c r="F787" s="962" cm="1">
        <f t="array" ref="F787">IF(ISBLANK(B787),"",AVERAGE(B758:B787))</f>
        <v>81.532</v>
      </c>
      <c r="G787" s="964"/>
      <c r="H787" s="964"/>
      <c r="I787" s="964"/>
      <c r="J787" s="964"/>
      <c r="K787" s="964"/>
      <c r="L787" s="964"/>
      <c r="M787" s="964"/>
      <c r="N787" s="964"/>
      <c r="O787" s="964"/>
      <c r="P787" s="964"/>
      <c r="Q787" s="962"/>
      <c r="R787" t="str" s="964" cm="1">
        <f t="array" ref="R787">IF(OR(ISBLANK($B787),NOT(ISBLANK(B787))),"",'tracking - Table 2-1-2'!C$66)</f>
      </c>
      <c r="S787" t="str" s="964" cm="1">
        <f t="array" ref="S787">IF(OR(ISBLANK($B787),NOT(ISBLANK(B787))),"",'tracking - Table 2-1-2'!D$66)</f>
      </c>
      <c r="T787" t="str" s="964" cm="1">
        <f t="array" ref="T787">IF(OR(ISBLANK($B787),NOT(ISBLANK(B787))),"",'tracking - Table 2-1-2'!E$66)</f>
      </c>
      <c r="U787" t="str" s="969" cm="1">
        <f t="array" ref="U787">IF(OR(ISBLANK($B787),ISBLANK('tracking - Table 2-1-2'!A$1)),"",'tracking - Table 2-1-2'!F$66)</f>
      </c>
    </row>
    <row r="788" ht="8.75" customHeight="1" hidden="1">
      <c r="A788" s="960">
        <v>45127</v>
      </c>
      <c r="B788" s="961">
        <v>82.5</v>
      </c>
      <c r="C788" s="965" cm="1">
        <f t="array" ref="C788">IF(ISBLANK(B788),"",B788*2.2046226218)</f>
        <v>181.8813662985</v>
      </c>
      <c r="D788" s="962" cm="1">
        <f t="array" ref="D788">IF(ISBLANK(B788),"",AVERAGE(B782:B788))</f>
        <v>81.9285714285714</v>
      </c>
      <c r="E788" s="962" cm="1">
        <f t="array" ref="E788">IF(ISBLANK(B788),"",AVERAGE(B775:B788))</f>
        <v>81.8928571428571</v>
      </c>
      <c r="F788" s="962" cm="1">
        <f t="array" ref="F788">IF(ISBLANK(B788),"",AVERAGE(B759:B788))</f>
        <v>81.60599999999999</v>
      </c>
      <c r="G788" s="964"/>
      <c r="H788" s="964"/>
      <c r="I788" s="964"/>
      <c r="J788" s="964"/>
      <c r="K788" s="964"/>
      <c r="L788" s="964"/>
      <c r="M788" s="964"/>
      <c r="N788" s="964"/>
      <c r="O788" s="964"/>
      <c r="P788" s="964"/>
      <c r="Q788" s="962"/>
      <c r="R788" t="str" s="964" cm="1">
        <f t="array" ref="R788">IF(OR(ISBLANK($B788),NOT(ISBLANK(B788))),"",'tracking - Table 2-1-2'!C$66)</f>
      </c>
      <c r="S788" t="str" s="964" cm="1">
        <f t="array" ref="S788">IF(OR(ISBLANK($B788),NOT(ISBLANK(B788))),"",'tracking - Table 2-1-2'!D$66)</f>
      </c>
      <c r="T788" t="str" s="964" cm="1">
        <f t="array" ref="T788">IF(OR(ISBLANK($B788),NOT(ISBLANK(B788))),"",'tracking - Table 2-1-2'!E$66)</f>
      </c>
      <c r="U788" t="str" s="969" cm="1">
        <f t="array" ref="U788">IF(OR(ISBLANK($B788),ISBLANK('tracking - Table 2-1-2'!A$1)),"",'tracking - Table 2-1-2'!F$66)</f>
      </c>
    </row>
    <row r="789" ht="8.75" customHeight="1" hidden="1">
      <c r="A789" s="960">
        <v>45128</v>
      </c>
      <c r="B789" s="961">
        <v>81.95</v>
      </c>
      <c r="C789" s="965" cm="1">
        <f t="array" ref="C789">IF(ISBLANK(B789),"",B789*2.2046226218)</f>
        <v>180.668823856510</v>
      </c>
      <c r="D789" s="962" cm="1">
        <f t="array" ref="D789">IF(ISBLANK(B789),"",AVERAGE(B783:B789))</f>
        <v>81.9285714285714</v>
      </c>
      <c r="E789" s="962" cm="1">
        <f t="array" ref="E789">IF(ISBLANK(B789),"",AVERAGE(B776:B789))</f>
        <v>81.8928571428571</v>
      </c>
      <c r="F789" s="962" cm="1">
        <f t="array" ref="F789">IF(ISBLANK(B789),"",AVERAGE(B760:B789))</f>
        <v>81.6192307692308</v>
      </c>
      <c r="G789" s="964"/>
      <c r="H789" s="964"/>
      <c r="I789" s="964"/>
      <c r="J789" s="964"/>
      <c r="K789" s="964"/>
      <c r="L789" s="964"/>
      <c r="M789" s="964"/>
      <c r="N789" s="964"/>
      <c r="O789" s="964"/>
      <c r="P789" s="964"/>
      <c r="Q789" s="962"/>
      <c r="R789" t="str" s="964" cm="1">
        <f t="array" ref="R789">IF(OR(ISBLANK($B789),NOT(ISBLANK(B789))),"",'tracking - Table 2-1-2'!C$66)</f>
      </c>
      <c r="S789" t="str" s="964" cm="1">
        <f t="array" ref="S789">IF(OR(ISBLANK($B789),NOT(ISBLANK(B789))),"",'tracking - Table 2-1-2'!D$66)</f>
      </c>
      <c r="T789" t="str" s="964" cm="1">
        <f t="array" ref="T789">IF(OR(ISBLANK($B789),NOT(ISBLANK(B789))),"",'tracking - Table 2-1-2'!E$66)</f>
      </c>
      <c r="U789" t="str" s="969" cm="1">
        <f t="array" ref="U789">IF(OR(ISBLANK($B789),ISBLANK('tracking - Table 2-1-2'!A$1)),"",'tracking - Table 2-1-2'!F$66)</f>
      </c>
    </row>
    <row r="790" ht="8.75" customHeight="1" hidden="1">
      <c r="A790" s="960">
        <v>45129</v>
      </c>
      <c r="B790" s="961">
        <v>82.45</v>
      </c>
      <c r="C790" s="965" cm="1">
        <f t="array" ref="C790">IF(ISBLANK(B790),"",B790*2.2046226218)</f>
        <v>181.771135167410</v>
      </c>
      <c r="D790" s="962" cm="1">
        <f t="array" ref="D790">IF(ISBLANK(B790),"",AVERAGE(B784:B790))</f>
        <v>82.05</v>
      </c>
      <c r="E790" s="962" cm="1">
        <f t="array" ref="E790">IF(ISBLANK(B790),"",AVERAGE(B777:B790))</f>
        <v>81.9285714285714</v>
      </c>
      <c r="F790" s="962" cm="1">
        <f t="array" ref="F790">IF(ISBLANK(B790),"",AVERAGE(B761:B790))</f>
        <v>81.65000000000001</v>
      </c>
      <c r="G790" s="964"/>
      <c r="H790" s="964"/>
      <c r="I790" s="964"/>
      <c r="J790" s="964"/>
      <c r="K790" s="964"/>
      <c r="L790" s="964"/>
      <c r="M790" s="964"/>
      <c r="N790" s="964"/>
      <c r="O790" s="964"/>
      <c r="P790" s="964"/>
      <c r="Q790" s="962"/>
      <c r="R790" t="str" s="964" cm="1">
        <f t="array" ref="R790">IF(OR(ISBLANK($B790),NOT(ISBLANK(B790))),"",'tracking - Table 2-1-2'!C$66)</f>
      </c>
      <c r="S790" t="str" s="964" cm="1">
        <f t="array" ref="S790">IF(OR(ISBLANK($B790),NOT(ISBLANK(B790))),"",'tracking - Table 2-1-2'!D$66)</f>
      </c>
      <c r="T790" t="str" s="964" cm="1">
        <f t="array" ref="T790">IF(OR(ISBLANK($B790),NOT(ISBLANK(B790))),"",'tracking - Table 2-1-2'!E$66)</f>
      </c>
      <c r="U790" t="str" s="969" cm="1">
        <f t="array" ref="U790">IF(OR(ISBLANK($B790),ISBLANK('tracking - Table 2-1-2'!A$1)),"",'tracking - Table 2-1-2'!F$66)</f>
      </c>
    </row>
    <row r="791" ht="8.75" customHeight="1" hidden="1">
      <c r="A791" s="960">
        <v>45130</v>
      </c>
      <c r="B791" s="961">
        <v>82.84999999999999</v>
      </c>
      <c r="C791" s="965" cm="1">
        <f t="array" ref="C791">IF(ISBLANK(B791),"",B791*2.2046226218)</f>
        <v>182.652984216130</v>
      </c>
      <c r="D791" s="962" cm="1">
        <f t="array" ref="D791">IF(ISBLANK(B791),"",AVERAGE(B785:B791))</f>
        <v>82.1785714285714</v>
      </c>
      <c r="E791" s="962" cm="1">
        <f t="array" ref="E791">IF(ISBLANK(B791),"",AVERAGE(B778:B791))</f>
        <v>82.0178571428571</v>
      </c>
      <c r="F791" s="962" cm="1">
        <f t="array" ref="F791">IF(ISBLANK(B791),"",AVERAGE(B762:B791))</f>
        <v>81.7314814814815</v>
      </c>
      <c r="G791" s="964"/>
      <c r="H791" s="964"/>
      <c r="I791" s="964"/>
      <c r="J791" s="964"/>
      <c r="K791" s="964"/>
      <c r="L791" s="964"/>
      <c r="M791" s="964"/>
      <c r="N791" s="964"/>
      <c r="O791" s="964"/>
      <c r="P791" s="964"/>
      <c r="Q791" s="962"/>
      <c r="R791" t="str" s="964" cm="1">
        <f t="array" ref="R791">IF(OR(ISBLANK($B791),NOT(ISBLANK(B791))),"",'tracking - Table 2-1-2'!C$66)</f>
      </c>
      <c r="S791" t="str" s="964" cm="1">
        <f t="array" ref="S791">IF(OR(ISBLANK($B791),NOT(ISBLANK(B791))),"",'tracking - Table 2-1-2'!D$66)</f>
      </c>
      <c r="T791" t="str" s="964" cm="1">
        <f t="array" ref="T791">IF(OR(ISBLANK($B791),NOT(ISBLANK(B791))),"",'tracking - Table 2-1-2'!E$66)</f>
      </c>
      <c r="U791" t="str" s="969" cm="1">
        <f t="array" ref="U791">IF(OR(ISBLANK($B791),ISBLANK('tracking - Table 2-1-2'!A$1)),"",'tracking - Table 2-1-2'!F$66)</f>
      </c>
    </row>
    <row r="792" ht="8.75" customHeight="1" hidden="1">
      <c r="A792" s="960">
        <v>45131</v>
      </c>
      <c r="B792" s="961">
        <v>82.8</v>
      </c>
      <c r="C792" s="965" cm="1">
        <f t="array" ref="C792">IF(ISBLANK(B792),"",B792*2.2046226218)</f>
        <v>182.542753085040</v>
      </c>
      <c r="D792" s="962" cm="1">
        <f t="array" ref="D792">IF(ISBLANK(B792),"",AVERAGE(B786:B792))</f>
        <v>82.34999999999999</v>
      </c>
      <c r="E792" s="962" cm="1">
        <f t="array" ref="E792">IF(ISBLANK(B792),"",AVERAGE(B779:B792))</f>
        <v>82.075</v>
      </c>
      <c r="F792" s="962" cm="1">
        <f t="array" ref="F792">IF(ISBLANK(B792),"",AVERAGE(B763:B792))</f>
        <v>81.7981481481481</v>
      </c>
      <c r="G792" s="964"/>
      <c r="H792" s="964"/>
      <c r="I792" s="964"/>
      <c r="J792" s="964"/>
      <c r="K792" s="964"/>
      <c r="L792" s="964"/>
      <c r="M792" s="964"/>
      <c r="N792" s="964"/>
      <c r="O792" s="964"/>
      <c r="P792" s="964"/>
      <c r="Q792" s="962"/>
      <c r="R792" t="str" s="964" cm="1">
        <f t="array" ref="R792">IF(OR(ISBLANK($B792),NOT(ISBLANK(B792))),"",'tracking - Table 2-1-2'!C$66)</f>
      </c>
      <c r="S792" t="str" s="964" cm="1">
        <f t="array" ref="S792">IF(OR(ISBLANK($B792),NOT(ISBLANK(B792))),"",'tracking - Table 2-1-2'!D$66)</f>
      </c>
      <c r="T792" t="str" s="964" cm="1">
        <f t="array" ref="T792">IF(OR(ISBLANK($B792),NOT(ISBLANK(B792))),"",'tracking - Table 2-1-2'!E$66)</f>
      </c>
      <c r="U792" t="str" s="969" cm="1">
        <f t="array" ref="U792">IF(OR(ISBLANK($B792),ISBLANK('tracking - Table 2-1-2'!A$1)),"",'tracking - Table 2-1-2'!F$66)</f>
      </c>
    </row>
    <row r="793" ht="8.75" customHeight="1" hidden="1">
      <c r="A793" s="960">
        <v>45132</v>
      </c>
      <c r="B793" s="961">
        <v>82.34999999999999</v>
      </c>
      <c r="C793" s="965" cm="1">
        <f t="array" ref="C793">IF(ISBLANK(B793),"",B793*2.2046226218)</f>
        <v>181.550672905230</v>
      </c>
      <c r="D793" s="962" cm="1">
        <f t="array" ref="D793">IF(ISBLANK(B793),"",AVERAGE(B787:B793))</f>
        <v>82.4071428571429</v>
      </c>
      <c r="E793" s="962" cm="1">
        <f t="array" ref="E793">IF(ISBLANK(B793),"",AVERAGE(B780:B793))</f>
        <v>82.12857142857141</v>
      </c>
      <c r="F793" s="962" cm="1">
        <f t="array" ref="F793">IF(ISBLANK(B793),"",AVERAGE(B764:B793))</f>
        <v>81.81785714285709</v>
      </c>
      <c r="G793" s="964"/>
      <c r="H793" s="964"/>
      <c r="I793" s="964"/>
      <c r="J793" s="964"/>
      <c r="K793" s="964"/>
      <c r="L793" s="964"/>
      <c r="M793" s="964"/>
      <c r="N793" s="964"/>
      <c r="O793" s="964"/>
      <c r="P793" s="964"/>
      <c r="Q793" s="962"/>
      <c r="R793" t="str" s="964" cm="1">
        <f t="array" ref="R793">IF(OR(ISBLANK($B793),NOT(ISBLANK(B793))),"",'tracking - Table 2-1-2'!C$66)</f>
      </c>
      <c r="S793" t="str" s="964" cm="1">
        <f t="array" ref="S793">IF(OR(ISBLANK($B793),NOT(ISBLANK(B793))),"",'tracking - Table 2-1-2'!D$66)</f>
      </c>
      <c r="T793" t="str" s="964" cm="1">
        <f t="array" ref="T793">IF(OR(ISBLANK($B793),NOT(ISBLANK(B793))),"",'tracking - Table 2-1-2'!E$66)</f>
      </c>
      <c r="U793" t="str" s="969" cm="1">
        <f t="array" ref="U793">IF(OR(ISBLANK($B793),ISBLANK('tracking - Table 2-1-2'!A$1)),"",'tracking - Table 2-1-2'!F$66)</f>
      </c>
    </row>
    <row r="794" ht="8.75" customHeight="1" hidden="1">
      <c r="A794" s="960">
        <v>45133</v>
      </c>
      <c r="B794" s="961">
        <v>82.8</v>
      </c>
      <c r="C794" s="965" cm="1">
        <f t="array" ref="C794">IF(ISBLANK(B794),"",B794*2.2046226218)</f>
        <v>182.542753085040</v>
      </c>
      <c r="D794" s="962" cm="1">
        <f t="array" ref="D794">IF(ISBLANK(B794),"",AVERAGE(B788:B794))</f>
        <v>82.5285714285714</v>
      </c>
      <c r="E794" s="962" cm="1">
        <f t="array" ref="E794">IF(ISBLANK(B794),"",AVERAGE(B781:B794))</f>
        <v>82.1892857142857</v>
      </c>
      <c r="F794" s="962" cm="1">
        <f t="array" ref="F794">IF(ISBLANK(B794),"",AVERAGE(B765:B794))</f>
        <v>81.851724137931</v>
      </c>
      <c r="G794" s="964"/>
      <c r="H794" s="964"/>
      <c r="I794" s="964"/>
      <c r="J794" s="964"/>
      <c r="K794" s="964"/>
      <c r="L794" s="964"/>
      <c r="M794" s="964"/>
      <c r="N794" s="964"/>
      <c r="O794" s="964"/>
      <c r="P794" s="964"/>
      <c r="Q794" s="962"/>
      <c r="R794" t="str" s="964" cm="1">
        <f t="array" ref="R794">IF(OR(ISBLANK($B794),NOT(ISBLANK(B794))),"",'tracking - Table 2-1-2'!C$66)</f>
      </c>
      <c r="S794" t="str" s="964" cm="1">
        <f t="array" ref="S794">IF(OR(ISBLANK($B794),NOT(ISBLANK(B794))),"",'tracking - Table 2-1-2'!D$66)</f>
      </c>
      <c r="T794" t="str" s="964" cm="1">
        <f t="array" ref="T794">IF(OR(ISBLANK($B794),NOT(ISBLANK(B794))),"",'tracking - Table 2-1-2'!E$66)</f>
      </c>
      <c r="U794" t="str" s="969" cm="1">
        <f t="array" ref="U794">IF(OR(ISBLANK($B794),ISBLANK('tracking - Table 2-1-2'!A$1)),"",'tracking - Table 2-1-2'!F$66)</f>
      </c>
    </row>
    <row r="795" ht="8.75" customHeight="1" hidden="1">
      <c r="A795" s="960">
        <v>45134</v>
      </c>
      <c r="B795" s="961">
        <v>82.8</v>
      </c>
      <c r="C795" s="965" cm="1">
        <f t="array" ref="C795">IF(ISBLANK(B795),"",B795*2.2046226218)</f>
        <v>182.542753085040</v>
      </c>
      <c r="D795" s="962" cm="1">
        <f t="array" ref="D795">IF(ISBLANK(B795),"",AVERAGE(B789:B795))</f>
        <v>82.5714285714286</v>
      </c>
      <c r="E795" s="962" cm="1">
        <f t="array" ref="E795">IF(ISBLANK(B795),"",AVERAGE(B782:B795))</f>
        <v>82.25</v>
      </c>
      <c r="F795" s="962" cm="1">
        <f t="array" ref="F795">IF(ISBLANK(B795),"",AVERAGE(B766:B795))</f>
        <v>81.9137931034483</v>
      </c>
      <c r="G795" s="964"/>
      <c r="H795" s="964"/>
      <c r="I795" s="964"/>
      <c r="J795" s="964"/>
      <c r="K795" s="964"/>
      <c r="L795" s="964"/>
      <c r="M795" s="964"/>
      <c r="N795" s="964"/>
      <c r="O795" s="964"/>
      <c r="P795" s="964"/>
      <c r="Q795" s="962"/>
      <c r="R795" t="str" s="964" cm="1">
        <f t="array" ref="R795">IF(OR(ISBLANK($B795),NOT(ISBLANK(B795))),"",'tracking - Table 2-1-2'!C$66)</f>
      </c>
      <c r="S795" t="str" s="964" cm="1">
        <f t="array" ref="S795">IF(OR(ISBLANK($B795),NOT(ISBLANK(B795))),"",'tracking - Table 2-1-2'!D$66)</f>
      </c>
      <c r="T795" t="str" s="964" cm="1">
        <f t="array" ref="T795">IF(OR(ISBLANK($B795),NOT(ISBLANK(B795))),"",'tracking - Table 2-1-2'!E$66)</f>
      </c>
      <c r="U795" t="str" s="969" cm="1">
        <f t="array" ref="U795">IF(OR(ISBLANK($B795),ISBLANK('tracking - Table 2-1-2'!A$1)),"",'tracking - Table 2-1-2'!F$66)</f>
      </c>
    </row>
    <row r="796" ht="8.75" customHeight="1" hidden="1">
      <c r="A796" s="960">
        <v>45135</v>
      </c>
      <c r="B796" s="961">
        <v>83.09999999999999</v>
      </c>
      <c r="C796" s="965" cm="1">
        <f t="array" ref="C796">IF(ISBLANK(B796),"",B796*2.2046226218)</f>
        <v>183.204139871580</v>
      </c>
      <c r="D796" s="962" cm="1">
        <f t="array" ref="D796">IF(ISBLANK(B796),"",AVERAGE(B790:B796))</f>
        <v>82.73571428571429</v>
      </c>
      <c r="E796" s="962" cm="1">
        <f t="array" ref="E796">IF(ISBLANK(B796),"",AVERAGE(B783:B796))</f>
        <v>82.3321428571429</v>
      </c>
      <c r="F796" s="962" cm="1">
        <f t="array" ref="F796">IF(ISBLANK(B796),"",AVERAGE(B767:B796))</f>
        <v>81.99827586206899</v>
      </c>
      <c r="G796" s="964"/>
      <c r="H796" s="964"/>
      <c r="I796" s="964"/>
      <c r="J796" s="964"/>
      <c r="K796" s="964"/>
      <c r="L796" s="964"/>
      <c r="M796" s="964"/>
      <c r="N796" s="964"/>
      <c r="O796" s="964"/>
      <c r="P796" s="964"/>
      <c r="Q796" s="962"/>
      <c r="R796" t="str" s="964" cm="1">
        <f t="array" ref="R796">IF(OR(ISBLANK($B796),NOT(ISBLANK(B796))),"",'tracking - Table 2-1-2'!C$66)</f>
      </c>
      <c r="S796" t="str" s="964" cm="1">
        <f t="array" ref="S796">IF(OR(ISBLANK($B796),NOT(ISBLANK(B796))),"",'tracking - Table 2-1-2'!D$66)</f>
      </c>
      <c r="T796" t="str" s="964" cm="1">
        <f t="array" ref="T796">IF(OR(ISBLANK($B796),NOT(ISBLANK(B796))),"",'tracking - Table 2-1-2'!E$66)</f>
      </c>
      <c r="U796" t="str" s="969" cm="1">
        <f t="array" ref="U796">IF(OR(ISBLANK($B796),ISBLANK('tracking - Table 2-1-2'!A$1)),"",'tracking - Table 2-1-2'!F$66)</f>
      </c>
    </row>
    <row r="797" ht="8.75" customHeight="1" hidden="1">
      <c r="A797" s="960">
        <v>45136</v>
      </c>
      <c r="B797" s="961">
        <v>84</v>
      </c>
      <c r="C797" s="965" cm="1">
        <f t="array" ref="C797">IF(ISBLANK(B797),"",B797*2.2046226218)</f>
        <v>185.1883002312</v>
      </c>
      <c r="D797" s="962" cm="1">
        <f t="array" ref="D797">IF(ISBLANK(B797),"",AVERAGE(B791:B797))</f>
        <v>82.9571428571429</v>
      </c>
      <c r="E797" s="962" cm="1">
        <f t="array" ref="E797">IF(ISBLANK(B797),"",AVERAGE(B784:B797))</f>
        <v>82.50357142857141</v>
      </c>
      <c r="F797" s="962" cm="1">
        <f t="array" ref="F797">IF(ISBLANK(B797),"",AVERAGE(B768:B797))</f>
        <v>82.101724137931</v>
      </c>
      <c r="G797" s="964"/>
      <c r="H797" s="964"/>
      <c r="I797" s="964"/>
      <c r="J797" s="964"/>
      <c r="K797" s="964"/>
      <c r="L797" s="964"/>
      <c r="M797" s="964"/>
      <c r="N797" s="964"/>
      <c r="O797" s="964"/>
      <c r="P797" s="964"/>
      <c r="Q797" s="962"/>
      <c r="R797" t="str" s="964" cm="1">
        <f t="array" ref="R797">IF(OR(ISBLANK($B797),NOT(ISBLANK(B797))),"",'tracking - Table 2-1-2'!C$66)</f>
      </c>
      <c r="S797" t="str" s="964" cm="1">
        <f t="array" ref="S797">IF(OR(ISBLANK($B797),NOT(ISBLANK(B797))),"",'tracking - Table 2-1-2'!D$66)</f>
      </c>
      <c r="T797" t="str" s="964" cm="1">
        <f t="array" ref="T797">IF(OR(ISBLANK($B797),NOT(ISBLANK(B797))),"",'tracking - Table 2-1-2'!E$66)</f>
      </c>
      <c r="U797" t="str" s="969" cm="1">
        <f t="array" ref="U797">IF(OR(ISBLANK($B797),ISBLANK('tracking - Table 2-1-2'!A$1)),"",'tracking - Table 2-1-2'!F$66)</f>
      </c>
    </row>
    <row r="798" ht="8.75" customHeight="1" hidden="1">
      <c r="A798" s="960">
        <v>45137</v>
      </c>
      <c r="B798" s="961">
        <v>83.7</v>
      </c>
      <c r="C798" s="965" cm="1">
        <f t="array" ref="C798">IF(ISBLANK(B798),"",B798*2.2046226218)</f>
        <v>184.526913444660</v>
      </c>
      <c r="D798" s="962" cm="1">
        <f t="array" ref="D798">IF(ISBLANK(B798),"",AVERAGE(B792:B798))</f>
        <v>83.07857142857139</v>
      </c>
      <c r="E798" s="962" cm="1">
        <f t="array" ref="E798">IF(ISBLANK(B798),"",AVERAGE(B785:B798))</f>
        <v>82.62857142857141</v>
      </c>
      <c r="F798" s="962" cm="1">
        <f t="array" ref="F798">IF(ISBLANK(B798),"",AVERAGE(B769:B798))</f>
        <v>82.1948275862069</v>
      </c>
      <c r="G798" s="964"/>
      <c r="H798" s="964"/>
      <c r="I798" s="964"/>
      <c r="J798" s="964"/>
      <c r="K798" s="964"/>
      <c r="L798" s="964"/>
      <c r="M798" s="964"/>
      <c r="N798" s="964"/>
      <c r="O798" s="964"/>
      <c r="P798" s="964"/>
      <c r="Q798" s="962"/>
      <c r="R798" t="str" s="964" cm="1">
        <f t="array" ref="R798">IF(OR(ISBLANK($B798),NOT(ISBLANK(B798))),"",'tracking - Table 2-1-2'!C$66)</f>
      </c>
      <c r="S798" t="str" s="964" cm="1">
        <f t="array" ref="S798">IF(OR(ISBLANK($B798),NOT(ISBLANK(B798))),"",'tracking - Table 2-1-2'!D$66)</f>
      </c>
      <c r="T798" t="str" s="964" cm="1">
        <f t="array" ref="T798">IF(OR(ISBLANK($B798),NOT(ISBLANK(B798))),"",'tracking - Table 2-1-2'!E$66)</f>
      </c>
      <c r="U798" t="str" s="969" cm="1">
        <f t="array" ref="U798">IF(OR(ISBLANK($B798),ISBLANK('tracking - Table 2-1-2'!A$1)),"",'tracking - Table 2-1-2'!F$66)</f>
      </c>
    </row>
    <row r="799" ht="8.75" customHeight="1" hidden="1">
      <c r="A799" s="960">
        <v>45138</v>
      </c>
      <c r="B799" s="961">
        <v>83.2</v>
      </c>
      <c r="C799" s="965" cm="1">
        <f t="array" ref="C799">IF(ISBLANK(B799),"",B799*2.2046226218)</f>
        <v>183.424602133760</v>
      </c>
      <c r="D799" s="962" cm="1">
        <f t="array" ref="D799">IF(ISBLANK(B799),"",AVERAGE(B793:B799))</f>
        <v>83.1357142857143</v>
      </c>
      <c r="E799" s="962" cm="1">
        <f t="array" ref="E799">IF(ISBLANK(B799),"",AVERAGE(B786:B799))</f>
        <v>82.7428571428571</v>
      </c>
      <c r="F799" s="962" cm="1">
        <f t="array" ref="F799">IF(ISBLANK(B799),"",AVERAGE(B770:B799))</f>
        <v>82.25</v>
      </c>
      <c r="G799" s="964"/>
      <c r="H799" s="964"/>
      <c r="I799" s="964"/>
      <c r="J799" s="964"/>
      <c r="K799" s="964"/>
      <c r="L799" s="964"/>
      <c r="M799" s="964"/>
      <c r="N799" s="964"/>
      <c r="O799" s="964"/>
      <c r="P799" s="964"/>
      <c r="Q799" s="962"/>
      <c r="R799" t="str" s="964" cm="1">
        <f t="array" ref="R799">IF(OR(ISBLANK($B799),NOT(ISBLANK(B799))),"",'tracking - Table 2-1-2'!C$66)</f>
      </c>
      <c r="S799" t="str" s="964" cm="1">
        <f t="array" ref="S799">IF(OR(ISBLANK($B799),NOT(ISBLANK(B799))),"",'tracking - Table 2-1-2'!D$66)</f>
      </c>
      <c r="T799" t="str" s="964" cm="1">
        <f t="array" ref="T799">IF(OR(ISBLANK($B799),NOT(ISBLANK(B799))),"",'tracking - Table 2-1-2'!E$66)</f>
      </c>
      <c r="U799" t="str" s="969" cm="1">
        <f t="array" ref="U799">IF(OR(ISBLANK($B799),ISBLANK('tracking - Table 2-1-2'!A$1)),"",'tracking - Table 2-1-2'!F$66)</f>
      </c>
    </row>
    <row r="800" ht="8.75" customHeight="1" hidden="1">
      <c r="A800" s="960">
        <v>45139</v>
      </c>
      <c r="B800" s="961">
        <v>84</v>
      </c>
      <c r="C800" s="965" cm="1">
        <f t="array" ref="C800">IF(ISBLANK(B800),"",B800*2.2046226218)</f>
        <v>185.1883002312</v>
      </c>
      <c r="D800" s="962" cm="1">
        <f t="array" ref="D800">IF(ISBLANK(B800),"",AVERAGE(B794:B800))</f>
        <v>83.37142857142859</v>
      </c>
      <c r="E800" s="962" cm="1">
        <f t="array" ref="E800">IF(ISBLANK(B800),"",AVERAGE(B787:B800))</f>
        <v>82.88928571428571</v>
      </c>
      <c r="F800" s="962" cm="1">
        <f t="array" ref="F800">IF(ISBLANK(B800),"",AVERAGE(B771:B800))</f>
        <v>82.3327586206897</v>
      </c>
      <c r="G800" s="964"/>
      <c r="H800" s="964"/>
      <c r="I800" s="964"/>
      <c r="J800" s="964"/>
      <c r="K800" s="964"/>
      <c r="L800" s="964"/>
      <c r="M800" s="964"/>
      <c r="N800" s="964"/>
      <c r="O800" s="964"/>
      <c r="P800" s="964"/>
      <c r="Q800" s="962"/>
      <c r="R800" t="str" s="964" cm="1">
        <f t="array" ref="R800">IF(OR(ISBLANK($B800),NOT(ISBLANK(B800))),"",'tracking - Table 2-1-2'!C$66)</f>
      </c>
      <c r="S800" t="str" s="964" cm="1">
        <f t="array" ref="S800">IF(OR(ISBLANK($B800),NOT(ISBLANK(B800))),"",'tracking - Table 2-1-2'!D$66)</f>
      </c>
      <c r="T800" t="str" s="964" cm="1">
        <f t="array" ref="T800">IF(OR(ISBLANK($B800),NOT(ISBLANK(B800))),"",'tracking - Table 2-1-2'!E$66)</f>
      </c>
      <c r="U800" t="str" s="969" cm="1">
        <f t="array" ref="U800">IF(OR(ISBLANK($B800),ISBLANK('tracking - Table 2-1-2'!A$1)),"",'tracking - Table 2-1-2'!F$66)</f>
      </c>
    </row>
    <row r="801" ht="8.75" customHeight="1" hidden="1">
      <c r="A801" s="960">
        <v>45140</v>
      </c>
      <c r="B801" s="961">
        <v>83.7</v>
      </c>
      <c r="C801" s="965" cm="1">
        <f t="array" ref="C801">IF(ISBLANK(B801),"",B801*2.2046226218)</f>
        <v>184.526913444660</v>
      </c>
      <c r="D801" s="962" cm="1">
        <f t="array" ref="D801">IF(ISBLANK(B801),"",AVERAGE(B795:B801))</f>
        <v>83.5</v>
      </c>
      <c r="E801" s="962" cm="1">
        <f t="array" ref="E801">IF(ISBLANK(B801),"",AVERAGE(B788:B801))</f>
        <v>83.01428571428571</v>
      </c>
      <c r="F801" s="962" cm="1">
        <f t="array" ref="F801">IF(ISBLANK(B801),"",AVERAGE(B772:B801))</f>
        <v>82.3783333333333</v>
      </c>
      <c r="G801" s="964"/>
      <c r="H801" s="964"/>
      <c r="I801" s="964"/>
      <c r="J801" s="964"/>
      <c r="K801" s="964"/>
      <c r="L801" s="964"/>
      <c r="M801" s="964"/>
      <c r="N801" s="964"/>
      <c r="O801" s="964"/>
      <c r="P801" s="964"/>
      <c r="Q801" s="962"/>
      <c r="R801" t="str" s="964" cm="1">
        <f t="array" ref="R801">IF(OR(ISBLANK($B801),NOT(ISBLANK(B801))),"",'tracking - Table 2-1-2'!C$66)</f>
      </c>
      <c r="S801" t="str" s="964" cm="1">
        <f t="array" ref="S801">IF(OR(ISBLANK($B801),NOT(ISBLANK(B801))),"",'tracking - Table 2-1-2'!D$66)</f>
      </c>
      <c r="T801" t="str" s="964" cm="1">
        <f t="array" ref="T801">IF(OR(ISBLANK($B801),NOT(ISBLANK(B801))),"",'tracking - Table 2-1-2'!E$66)</f>
      </c>
      <c r="U801" t="str" s="969" cm="1">
        <f t="array" ref="U801">IF(OR(ISBLANK($B801),ISBLANK('tracking - Table 2-1-2'!A$1)),"",'tracking - Table 2-1-2'!F$66)</f>
      </c>
    </row>
    <row r="802" ht="8.75" customHeight="1" hidden="1">
      <c r="A802" s="960">
        <v>45141</v>
      </c>
      <c r="B802" s="961">
        <v>83.2</v>
      </c>
      <c r="C802" s="965" cm="1">
        <f t="array" ref="C802">IF(ISBLANK(B802),"",B802*2.2046226218)</f>
        <v>183.424602133760</v>
      </c>
      <c r="D802" s="962" cm="1">
        <f t="array" ref="D802">IF(ISBLANK(B802),"",AVERAGE(B796:B802))</f>
        <v>83.55714285714291</v>
      </c>
      <c r="E802" s="962" cm="1">
        <f t="array" ref="E802">IF(ISBLANK(B802),"",AVERAGE(B789:B802))</f>
        <v>83.0642857142857</v>
      </c>
      <c r="F802" s="962" cm="1">
        <f t="array" ref="F802">IF(ISBLANK(B802),"",AVERAGE(B773:B802))</f>
        <v>82.4316666666667</v>
      </c>
      <c r="G802" s="964"/>
      <c r="H802" s="964"/>
      <c r="I802" s="964"/>
      <c r="J802" s="964"/>
      <c r="K802" s="964"/>
      <c r="L802" s="964"/>
      <c r="M802" s="964"/>
      <c r="N802" s="964"/>
      <c r="O802" s="964"/>
      <c r="P802" s="964"/>
      <c r="Q802" s="962"/>
      <c r="R802" t="str" s="964" cm="1">
        <f t="array" ref="R802">IF(OR(ISBLANK($B802),NOT(ISBLANK(B802))),"",'tracking - Table 2-1-2'!C$66)</f>
      </c>
      <c r="S802" t="str" s="964" cm="1">
        <f t="array" ref="S802">IF(OR(ISBLANK($B802),NOT(ISBLANK(B802))),"",'tracking - Table 2-1-2'!D$66)</f>
      </c>
      <c r="T802" t="str" s="964" cm="1">
        <f t="array" ref="T802">IF(OR(ISBLANK($B802),NOT(ISBLANK(B802))),"",'tracking - Table 2-1-2'!E$66)</f>
      </c>
      <c r="U802" t="str" s="969" cm="1">
        <f t="array" ref="U802">IF(OR(ISBLANK($B802),ISBLANK('tracking - Table 2-1-2'!A$1)),"",'tracking - Table 2-1-2'!F$66)</f>
      </c>
    </row>
    <row r="803" ht="8.75" customHeight="1" hidden="1">
      <c r="A803" s="960">
        <v>45142</v>
      </c>
      <c r="B803" s="961">
        <v>82.90000000000001</v>
      </c>
      <c r="C803" s="965" cm="1">
        <f t="array" ref="C803">IF(ISBLANK(B803),"",B803*2.2046226218)</f>
        <v>182.763215347220</v>
      </c>
      <c r="D803" s="962" cm="1">
        <f t="array" ref="D803">IF(ISBLANK(B803),"",AVERAGE(B797:B803))</f>
        <v>83.5285714285714</v>
      </c>
      <c r="E803" s="962" cm="1">
        <f t="array" ref="E803">IF(ISBLANK(B803),"",AVERAGE(B790:B803))</f>
        <v>83.1321428571429</v>
      </c>
      <c r="F803" s="962" cm="1">
        <f t="array" ref="F803">IF(ISBLANK(B803),"",AVERAGE(B774:B803))</f>
        <v>82.47499999999999</v>
      </c>
      <c r="G803" s="964"/>
      <c r="H803" s="964"/>
      <c r="I803" s="964"/>
      <c r="J803" s="964"/>
      <c r="K803" s="964"/>
      <c r="L803" s="964"/>
      <c r="M803" s="964"/>
      <c r="N803" s="964"/>
      <c r="O803" s="964"/>
      <c r="P803" s="964"/>
      <c r="Q803" s="962"/>
      <c r="R803" t="str" s="964" cm="1">
        <f t="array" ref="R803">IF(OR(ISBLANK($B803),NOT(ISBLANK(B803))),"",'tracking - Table 2-1-2'!C$66)</f>
      </c>
      <c r="S803" t="str" s="964" cm="1">
        <f t="array" ref="S803">IF(OR(ISBLANK($B803),NOT(ISBLANK(B803))),"",'tracking - Table 2-1-2'!D$66)</f>
      </c>
      <c r="T803" t="str" s="964" cm="1">
        <f t="array" ref="T803">IF(OR(ISBLANK($B803),NOT(ISBLANK(B803))),"",'tracking - Table 2-1-2'!E$66)</f>
      </c>
      <c r="U803" t="str" s="969" cm="1">
        <f t="array" ref="U803">IF(OR(ISBLANK($B803),ISBLANK('tracking - Table 2-1-2'!A$1)),"",'tracking - Table 2-1-2'!F$66)</f>
      </c>
    </row>
    <row r="804" ht="8.75" customHeight="1" hidden="1">
      <c r="A804" s="960">
        <v>45143</v>
      </c>
      <c r="B804" s="356"/>
      <c r="C804" t="str" s="352" cm="1">
        <f t="array" ref="C804">IF(ISBLANK(B804),"",B804*2.2046226218)</f>
      </c>
      <c r="D804" t="str" s="964" cm="1">
        <f t="array" ref="D804">IF(ISBLANK(B804),"",AVERAGE(B798:B804))</f>
      </c>
      <c r="E804" t="str" s="964" cm="1">
        <f t="array" ref="E804">IF(ISBLANK(B804),"",AVERAGE(B791:B804))</f>
      </c>
      <c r="F804" t="str" s="964" cm="1">
        <f t="array" ref="F804">IF(ISBLANK(B804),"",AVERAGE(B775:B804))</f>
      </c>
      <c r="G804" s="964"/>
      <c r="H804" s="964"/>
      <c r="I804" s="964"/>
      <c r="J804" s="964"/>
      <c r="K804" s="964"/>
      <c r="L804" s="964"/>
      <c r="M804" s="964"/>
      <c r="N804" s="964"/>
      <c r="O804" s="964"/>
      <c r="P804" s="964"/>
      <c r="Q804" s="962"/>
      <c r="R804" t="str" s="964" cm="1">
        <f t="array" ref="R804">IF(OR(ISBLANK($B804),NOT(ISBLANK(B804))),"",'tracking - Table 2-1-2'!C$66)</f>
      </c>
      <c r="S804" t="str" s="964" cm="1">
        <f t="array" ref="S804">IF(OR(ISBLANK($B804),NOT(ISBLANK(B804))),"",'tracking - Table 2-1-2'!D$66)</f>
      </c>
      <c r="T804" t="str" s="964" cm="1">
        <f t="array" ref="T804">IF(OR(ISBLANK($B804),NOT(ISBLANK(B804))),"",'tracking - Table 2-1-2'!E$66)</f>
      </c>
      <c r="U804" t="str" s="969" cm="1">
        <f t="array" ref="U804">IF(OR(ISBLANK($B804),ISBLANK('tracking - Table 2-1-2'!A$1)),"",'tracking - Table 2-1-2'!F$66)</f>
      </c>
    </row>
    <row r="805" ht="8.75" customHeight="1" hidden="1">
      <c r="A805" s="960">
        <v>45144</v>
      </c>
      <c r="B805" s="961">
        <v>83.59999999999999</v>
      </c>
      <c r="C805" s="965" cm="1">
        <f t="array" ref="C805">IF(ISBLANK(B805),"",B805*2.2046226218)</f>
        <v>184.306451182480</v>
      </c>
      <c r="D805" s="962" cm="1">
        <f t="array" ref="D805">IF(ISBLANK(B805),"",AVERAGE(B799:B805))</f>
        <v>83.43333333333329</v>
      </c>
      <c r="E805" s="962" cm="1">
        <f t="array" ref="E805">IF(ISBLANK(B805),"",AVERAGE(B792:B805))</f>
        <v>83.2423076923077</v>
      </c>
      <c r="F805" s="962" cm="1">
        <f t="array" ref="F805">IF(ISBLANK(B805),"",AVERAGE(B776:B805))</f>
        <v>82.55</v>
      </c>
      <c r="G805" s="964"/>
      <c r="H805" s="964"/>
      <c r="I805" s="964"/>
      <c r="J805" s="964"/>
      <c r="K805" s="964"/>
      <c r="L805" s="964"/>
      <c r="M805" s="964"/>
      <c r="N805" s="964"/>
      <c r="O805" s="964"/>
      <c r="P805" s="964"/>
      <c r="Q805" s="962"/>
      <c r="R805" t="str" s="964" cm="1">
        <f t="array" ref="R805">IF(OR(ISBLANK($B805),NOT(ISBLANK(B805))),"",'tracking - Table 2-1-2'!C$66)</f>
      </c>
      <c r="S805" t="str" s="964" cm="1">
        <f t="array" ref="S805">IF(OR(ISBLANK($B805),NOT(ISBLANK(B805))),"",'tracking - Table 2-1-2'!D$66)</f>
      </c>
      <c r="T805" t="str" s="964" cm="1">
        <f t="array" ref="T805">IF(OR(ISBLANK($B805),NOT(ISBLANK(B805))),"",'tracking - Table 2-1-2'!E$66)</f>
      </c>
      <c r="U805" t="str" s="969" cm="1">
        <f t="array" ref="U805">IF(OR(ISBLANK($B805),ISBLANK('tracking - Table 2-1-2'!A$1)),"",'tracking - Table 2-1-2'!F$66)</f>
      </c>
    </row>
    <row r="806" ht="8.75" customHeight="1" hidden="1">
      <c r="A806" s="960">
        <v>45145</v>
      </c>
      <c r="B806" s="961">
        <v>84</v>
      </c>
      <c r="C806" s="965" cm="1">
        <f t="array" ref="C806">IF(ISBLANK(B806),"",B806*2.2046226218)</f>
        <v>185.1883002312</v>
      </c>
      <c r="D806" s="962" cm="1">
        <f t="array" ref="D806">IF(ISBLANK(B806),"",AVERAGE(B800:B806))</f>
        <v>83.56666666666671</v>
      </c>
      <c r="E806" s="962" cm="1">
        <f t="array" ref="E806">IF(ISBLANK(B806),"",AVERAGE(B793:B806))</f>
        <v>83.3346153846154</v>
      </c>
      <c r="F806" s="962" cm="1">
        <f t="array" ref="F806">IF(ISBLANK(B806),"",AVERAGE(B777:B806))</f>
        <v>82.6206896551724</v>
      </c>
      <c r="G806" s="964"/>
      <c r="H806" s="964"/>
      <c r="I806" s="964"/>
      <c r="J806" s="964"/>
      <c r="K806" s="964"/>
      <c r="L806" s="964"/>
      <c r="M806" s="964"/>
      <c r="N806" s="964"/>
      <c r="O806" s="964"/>
      <c r="P806" s="964"/>
      <c r="Q806" s="962"/>
      <c r="R806" t="str" s="964" cm="1">
        <f t="array" ref="R806">IF(OR(ISBLANK($B806),NOT(ISBLANK(B806))),"",'tracking - Table 2-1-2'!C$66)</f>
      </c>
      <c r="S806" t="str" s="964" cm="1">
        <f t="array" ref="S806">IF(OR(ISBLANK($B806),NOT(ISBLANK(B806))),"",'tracking - Table 2-1-2'!D$66)</f>
      </c>
      <c r="T806" t="str" s="964" cm="1">
        <f t="array" ref="T806">IF(OR(ISBLANK($B806),NOT(ISBLANK(B806))),"",'tracking - Table 2-1-2'!E$66)</f>
      </c>
      <c r="U806" t="str" s="969" cm="1">
        <f t="array" ref="U806">IF(OR(ISBLANK($B806),ISBLANK('tracking - Table 2-1-2'!A$1)),"",'tracking - Table 2-1-2'!F$66)</f>
      </c>
    </row>
    <row r="807" ht="8.75" customHeight="1" hidden="1">
      <c r="A807" s="960">
        <v>45146</v>
      </c>
      <c r="B807" s="961">
        <v>83.3</v>
      </c>
      <c r="C807" s="965" cm="1">
        <f t="array" ref="C807">IF(ISBLANK(B807),"",B807*2.2046226218)</f>
        <v>183.645064395940</v>
      </c>
      <c r="D807" s="962" cm="1">
        <f t="array" ref="D807">IF(ISBLANK(B807),"",AVERAGE(B801:B807))</f>
        <v>83.45</v>
      </c>
      <c r="E807" s="962" cm="1">
        <f t="array" ref="E807">IF(ISBLANK(B807),"",AVERAGE(B794:B807))</f>
        <v>83.4076923076923</v>
      </c>
      <c r="F807" s="962" cm="1">
        <f t="array" ref="F807">IF(ISBLANK(B807),"",AVERAGE(B778:B807))</f>
        <v>82.6793103448276</v>
      </c>
      <c r="G807" s="964"/>
      <c r="H807" s="964"/>
      <c r="I807" s="964"/>
      <c r="J807" s="964"/>
      <c r="K807" s="964"/>
      <c r="L807" s="964"/>
      <c r="M807" s="964"/>
      <c r="N807" s="964"/>
      <c r="O807" s="964"/>
      <c r="P807" s="964"/>
      <c r="Q807" s="962"/>
      <c r="R807" t="str" s="964" cm="1">
        <f t="array" ref="R807">IF(OR(ISBLANK($B807),NOT(ISBLANK(B807))),"",'tracking - Table 2-1-2'!C$66)</f>
      </c>
      <c r="S807" t="str" s="964" cm="1">
        <f t="array" ref="S807">IF(OR(ISBLANK($B807),NOT(ISBLANK(B807))),"",'tracking - Table 2-1-2'!D$66)</f>
      </c>
      <c r="T807" t="str" s="964" cm="1">
        <f t="array" ref="T807">IF(OR(ISBLANK($B807),NOT(ISBLANK(B807))),"",'tracking - Table 2-1-2'!E$66)</f>
      </c>
      <c r="U807" t="str" s="969" cm="1">
        <f t="array" ref="U807">IF(OR(ISBLANK($B807),ISBLANK('tracking - Table 2-1-2'!A$1)),"",'tracking - Table 2-1-2'!F$66)</f>
      </c>
    </row>
    <row r="808" ht="8.75" customHeight="1" hidden="1">
      <c r="A808" s="960">
        <v>45147</v>
      </c>
      <c r="B808" s="961">
        <v>83.3</v>
      </c>
      <c r="C808" s="965" cm="1">
        <f t="array" ref="C808">IF(ISBLANK(B808),"",B808*2.2046226218)</f>
        <v>183.645064395940</v>
      </c>
      <c r="D808" s="962" cm="1">
        <f t="array" ref="D808">IF(ISBLANK(B808),"",AVERAGE(B802:B808))</f>
        <v>83.3833333333333</v>
      </c>
      <c r="E808" s="962" cm="1">
        <f t="array" ref="E808">IF(ISBLANK(B808),"",AVERAGE(B795:B808))</f>
        <v>83.44615384615381</v>
      </c>
      <c r="F808" s="962" cm="1">
        <f t="array" ref="F808">IF(ISBLANK(B808),"",AVERAGE(B779:B808))</f>
        <v>82.72413793103451</v>
      </c>
      <c r="G808" s="964"/>
      <c r="H808" s="964"/>
      <c r="I808" s="964"/>
      <c r="J808" s="964"/>
      <c r="K808" s="964"/>
      <c r="L808" s="964"/>
      <c r="M808" s="964"/>
      <c r="N808" s="964"/>
      <c r="O808" s="964"/>
      <c r="P808" s="964"/>
      <c r="Q808" s="962"/>
      <c r="R808" t="str" s="964" cm="1">
        <f t="array" ref="R808">IF(OR(ISBLANK($B808),NOT(ISBLANK(B808))),"",'tracking - Table 2-1-2'!C$66)</f>
      </c>
      <c r="S808" t="str" s="964" cm="1">
        <f t="array" ref="S808">IF(OR(ISBLANK($B808),NOT(ISBLANK(B808))),"",'tracking - Table 2-1-2'!D$66)</f>
      </c>
      <c r="T808" t="str" s="964" cm="1">
        <f t="array" ref="T808">IF(OR(ISBLANK($B808),NOT(ISBLANK(B808))),"",'tracking - Table 2-1-2'!E$66)</f>
      </c>
      <c r="U808" t="str" s="969" cm="1">
        <f t="array" ref="U808">IF(OR(ISBLANK($B808),ISBLANK('tracking - Table 2-1-2'!A$1)),"",'tracking - Table 2-1-2'!F$66)</f>
      </c>
    </row>
    <row r="809" ht="8.75" customHeight="1" hidden="1">
      <c r="A809" s="960">
        <v>45148</v>
      </c>
      <c r="B809" s="961">
        <v>83.3</v>
      </c>
      <c r="C809" s="965" cm="1">
        <f t="array" ref="C809">IF(ISBLANK(B809),"",B809*2.2046226218)</f>
        <v>183.645064395940</v>
      </c>
      <c r="D809" s="962" cm="1">
        <f t="array" ref="D809">IF(ISBLANK(B809),"",AVERAGE(B803:B809))</f>
        <v>83.40000000000001</v>
      </c>
      <c r="E809" s="962" cm="1">
        <f t="array" ref="E809">IF(ISBLANK(B809),"",AVERAGE(B796:B809))</f>
        <v>83.4846153846154</v>
      </c>
      <c r="F809" s="962" cm="1">
        <f t="array" ref="F809">IF(ISBLANK(B809),"",AVERAGE(B780:B809))</f>
        <v>82.78275862068971</v>
      </c>
      <c r="G809" s="964"/>
      <c r="H809" s="964"/>
      <c r="I809" s="964"/>
      <c r="J809" s="964"/>
      <c r="K809" s="964"/>
      <c r="L809" s="964"/>
      <c r="M809" s="964"/>
      <c r="N809" s="964"/>
      <c r="O809" s="964"/>
      <c r="P809" s="964"/>
      <c r="Q809" s="962"/>
      <c r="R809" t="str" s="964" cm="1">
        <f t="array" ref="R809">IF(OR(ISBLANK($B809),NOT(ISBLANK(B809))),"",'tracking - Table 2-1-2'!C$66)</f>
      </c>
      <c r="S809" t="str" s="964" cm="1">
        <f t="array" ref="S809">IF(OR(ISBLANK($B809),NOT(ISBLANK(B809))),"",'tracking - Table 2-1-2'!D$66)</f>
      </c>
      <c r="T809" t="str" s="964" cm="1">
        <f t="array" ref="T809">IF(OR(ISBLANK($B809),NOT(ISBLANK(B809))),"",'tracking - Table 2-1-2'!E$66)</f>
      </c>
      <c r="U809" t="str" s="969" cm="1">
        <f t="array" ref="U809">IF(OR(ISBLANK($B809),ISBLANK('tracking - Table 2-1-2'!A$1)),"",'tracking - Table 2-1-2'!F$66)</f>
      </c>
    </row>
    <row r="810" ht="8.75" customHeight="1" hidden="1">
      <c r="A810" s="960">
        <v>45149</v>
      </c>
      <c r="B810" s="961">
        <v>82.95</v>
      </c>
      <c r="C810" s="965" cm="1">
        <f t="array" ref="C810">IF(ISBLANK(B810),"",B810*2.2046226218)</f>
        <v>182.873446478310</v>
      </c>
      <c r="D810" s="962" cm="1">
        <f t="array" ref="D810">IF(ISBLANK(B810),"",AVERAGE(B804:B810))</f>
        <v>83.4083333333333</v>
      </c>
      <c r="E810" s="962" cm="1">
        <f t="array" ref="E810">IF(ISBLANK(B810),"",AVERAGE(B797:B810))</f>
        <v>83.4730769230769</v>
      </c>
      <c r="F810" s="962" cm="1">
        <f t="array" ref="F810">IF(ISBLANK(B810),"",AVERAGE(B781:B810))</f>
        <v>82.8172413793103</v>
      </c>
      <c r="G810" s="964"/>
      <c r="H810" s="964"/>
      <c r="I810" s="964"/>
      <c r="J810" s="964"/>
      <c r="K810" s="964"/>
      <c r="L810" s="964"/>
      <c r="M810" s="964"/>
      <c r="N810" s="964"/>
      <c r="O810" s="964"/>
      <c r="P810" s="964"/>
      <c r="Q810" s="962"/>
      <c r="R810" t="str" s="964" cm="1">
        <f t="array" ref="R810">IF(OR(ISBLANK($B810),NOT(ISBLANK(B810))),"",'tracking - Table 2-1-2'!C$66)</f>
      </c>
      <c r="S810" t="str" s="964" cm="1">
        <f t="array" ref="S810">IF(OR(ISBLANK($B810),NOT(ISBLANK(B810))),"",'tracking - Table 2-1-2'!D$66)</f>
      </c>
      <c r="T810" t="str" s="964" cm="1">
        <f t="array" ref="T810">IF(OR(ISBLANK($B810),NOT(ISBLANK(B810))),"",'tracking - Table 2-1-2'!E$66)</f>
      </c>
      <c r="U810" t="str" s="969" cm="1">
        <f t="array" ref="U810">IF(OR(ISBLANK($B810),ISBLANK('tracking - Table 2-1-2'!A$1)),"",'tracking - Table 2-1-2'!F$66)</f>
      </c>
    </row>
    <row r="811" ht="8.75" customHeight="1" hidden="1">
      <c r="A811" s="960">
        <v>45150</v>
      </c>
      <c r="B811" s="961">
        <v>82.95</v>
      </c>
      <c r="C811" s="965" cm="1">
        <f t="array" ref="C811">IF(ISBLANK(B811),"",B811*2.2046226218)</f>
        <v>182.873446478310</v>
      </c>
      <c r="D811" s="962" cm="1">
        <f t="array" ref="D811">IF(ISBLANK(B811),"",AVERAGE(B805:B811))</f>
        <v>83.3428571428571</v>
      </c>
      <c r="E811" s="962" cm="1">
        <f t="array" ref="E811">IF(ISBLANK(B811),"",AVERAGE(B798:B811))</f>
        <v>83.3923076923077</v>
      </c>
      <c r="F811" s="962" cm="1">
        <f t="array" ref="F811">IF(ISBLANK(B811),"",AVERAGE(B782:B811))</f>
        <v>82.851724137931</v>
      </c>
      <c r="G811" s="964"/>
      <c r="H811" s="964"/>
      <c r="I811" s="964"/>
      <c r="J811" s="964"/>
      <c r="K811" s="964"/>
      <c r="L811" s="964"/>
      <c r="M811" s="964"/>
      <c r="N811" s="964"/>
      <c r="O811" s="964"/>
      <c r="P811" s="964"/>
      <c r="Q811" s="962"/>
      <c r="R811" t="str" s="964" cm="1">
        <f t="array" ref="R811">IF(OR(ISBLANK($B811),NOT(ISBLANK(B811))),"",'tracking - Table 2-1-2'!C$66)</f>
      </c>
      <c r="S811" t="str" s="964" cm="1">
        <f t="array" ref="S811">IF(OR(ISBLANK($B811),NOT(ISBLANK(B811))),"",'tracking - Table 2-1-2'!D$66)</f>
      </c>
      <c r="T811" t="str" s="964" cm="1">
        <f t="array" ref="T811">IF(OR(ISBLANK($B811),NOT(ISBLANK(B811))),"",'tracking - Table 2-1-2'!E$66)</f>
      </c>
      <c r="U811" t="str" s="969" cm="1">
        <f t="array" ref="U811">IF(OR(ISBLANK($B811),ISBLANK('tracking - Table 2-1-2'!A$1)),"",'tracking - Table 2-1-2'!F$66)</f>
      </c>
    </row>
    <row r="812" ht="8.75" customHeight="1" hidden="1">
      <c r="A812" s="960">
        <v>45151</v>
      </c>
      <c r="B812" s="961">
        <v>83.3</v>
      </c>
      <c r="C812" s="965" cm="1">
        <f t="array" ref="C812">IF(ISBLANK(B812),"",B812*2.2046226218)</f>
        <v>183.645064395940</v>
      </c>
      <c r="D812" s="962" cm="1">
        <f t="array" ref="D812">IF(ISBLANK(B812),"",AVERAGE(B806:B812))</f>
        <v>83.3</v>
      </c>
      <c r="E812" s="962" cm="1">
        <f t="array" ref="E812">IF(ISBLANK(B812),"",AVERAGE(B799:B812))</f>
        <v>83.3615384615385</v>
      </c>
      <c r="F812" s="962" cm="1">
        <f t="array" ref="F812">IF(ISBLANK(B812),"",AVERAGE(B783:B812))</f>
        <v>82.898275862069</v>
      </c>
      <c r="G812" s="964"/>
      <c r="H812" s="964"/>
      <c r="I812" s="964"/>
      <c r="J812" s="964"/>
      <c r="K812" s="964"/>
      <c r="L812" s="964"/>
      <c r="M812" s="964"/>
      <c r="N812" s="964"/>
      <c r="O812" s="964"/>
      <c r="P812" s="964"/>
      <c r="Q812" s="962"/>
      <c r="R812" t="str" s="964" cm="1">
        <f t="array" ref="R812">IF(OR(ISBLANK($B812),NOT(ISBLANK(B812))),"",'tracking - Table 2-1-2'!C$66)</f>
      </c>
      <c r="S812" t="str" s="964" cm="1">
        <f t="array" ref="S812">IF(OR(ISBLANK($B812),NOT(ISBLANK(B812))),"",'tracking - Table 2-1-2'!D$66)</f>
      </c>
      <c r="T812" t="str" s="964" cm="1">
        <f t="array" ref="T812">IF(OR(ISBLANK($B812),NOT(ISBLANK(B812))),"",'tracking - Table 2-1-2'!E$66)</f>
      </c>
      <c r="U812" t="str" s="969" cm="1">
        <f t="array" ref="U812">IF(OR(ISBLANK($B812),ISBLANK('tracking - Table 2-1-2'!A$1)),"",'tracking - Table 2-1-2'!F$66)</f>
      </c>
    </row>
    <row r="813" ht="8.75" customHeight="1" hidden="1">
      <c r="A813" s="960">
        <v>45152</v>
      </c>
      <c r="B813" s="961">
        <v>84</v>
      </c>
      <c r="C813" s="965" cm="1">
        <f t="array" ref="C813">IF(ISBLANK(B813),"",B813*2.2046226218)</f>
        <v>185.1883002312</v>
      </c>
      <c r="D813" s="962" cm="1">
        <f t="array" ref="D813">IF(ISBLANK(B813),"",AVERAGE(B807:B813))</f>
        <v>83.3</v>
      </c>
      <c r="E813" s="962" cm="1">
        <f t="array" ref="E813">IF(ISBLANK(B813),"",AVERAGE(B800:B813))</f>
        <v>83.42307692307691</v>
      </c>
      <c r="F813" s="962" cm="1">
        <f t="array" ref="F813">IF(ISBLANK(B813),"",AVERAGE(B784:B813))</f>
        <v>82.9810344827586</v>
      </c>
      <c r="G813" s="964"/>
      <c r="H813" s="964"/>
      <c r="I813" s="964"/>
      <c r="J813" s="964"/>
      <c r="K813" s="964"/>
      <c r="L813" s="964"/>
      <c r="M813" s="964"/>
      <c r="N813" s="964"/>
      <c r="O813" s="964"/>
      <c r="P813" s="964"/>
      <c r="Q813" s="962"/>
      <c r="R813" t="str" s="964" cm="1">
        <f t="array" ref="R813">IF(OR(ISBLANK($B813),NOT(ISBLANK(B813))),"",'tracking - Table 2-1-2'!C$66)</f>
      </c>
      <c r="S813" t="str" s="964" cm="1">
        <f t="array" ref="S813">IF(OR(ISBLANK($B813),NOT(ISBLANK(B813))),"",'tracking - Table 2-1-2'!D$66)</f>
      </c>
      <c r="T813" t="str" s="964" cm="1">
        <f t="array" ref="T813">IF(OR(ISBLANK($B813),NOT(ISBLANK(B813))),"",'tracking - Table 2-1-2'!E$66)</f>
      </c>
      <c r="U813" t="str" s="969" cm="1">
        <f t="array" ref="U813">IF(OR(ISBLANK($B813),ISBLANK('tracking - Table 2-1-2'!A$1)),"",'tracking - Table 2-1-2'!F$66)</f>
      </c>
    </row>
    <row r="814" ht="8.75" customHeight="1" hidden="1">
      <c r="A814" s="960">
        <v>45153</v>
      </c>
      <c r="B814" s="961">
        <v>82.95</v>
      </c>
      <c r="C814" s="965" cm="1">
        <f t="array" ref="C814">IF(ISBLANK(B814),"",B814*2.2046226218)</f>
        <v>182.873446478310</v>
      </c>
      <c r="D814" s="962" cm="1">
        <f t="array" ref="D814">IF(ISBLANK(B814),"",AVERAGE(B808:B814))</f>
        <v>83.25</v>
      </c>
      <c r="E814" s="962" cm="1">
        <f t="array" ref="E814">IF(ISBLANK(B814),"",AVERAGE(B801:B814))</f>
        <v>83.3423076923077</v>
      </c>
      <c r="F814" s="962" cm="1">
        <f t="array" ref="F814">IF(ISBLANK(B814),"",AVERAGE(B785:B814))</f>
        <v>83.0155172413793</v>
      </c>
      <c r="G814" s="964"/>
      <c r="H814" s="964"/>
      <c r="I814" s="964"/>
      <c r="J814" s="964"/>
      <c r="K814" s="964"/>
      <c r="L814" s="964"/>
      <c r="M814" s="964"/>
      <c r="N814" s="964"/>
      <c r="O814" s="964"/>
      <c r="P814" s="964"/>
      <c r="Q814" s="962"/>
      <c r="R814" t="str" s="964" cm="1">
        <f t="array" ref="R814">IF(OR(ISBLANK($B814),NOT(ISBLANK(B814))),"",'tracking - Table 2-1-2'!C$66)</f>
      </c>
      <c r="S814" t="str" s="964" cm="1">
        <f t="array" ref="S814">IF(OR(ISBLANK($B814),NOT(ISBLANK(B814))),"",'tracking - Table 2-1-2'!D$66)</f>
      </c>
      <c r="T814" t="str" s="964" cm="1">
        <f t="array" ref="T814">IF(OR(ISBLANK($B814),NOT(ISBLANK(B814))),"",'tracking - Table 2-1-2'!E$66)</f>
      </c>
      <c r="U814" t="str" s="969" cm="1">
        <f t="array" ref="U814">IF(OR(ISBLANK($B814),ISBLANK('tracking - Table 2-1-2'!A$1)),"",'tracking - Table 2-1-2'!F$66)</f>
      </c>
    </row>
    <row r="815" ht="8.75" customHeight="1" hidden="1">
      <c r="A815" s="960">
        <v>45154</v>
      </c>
      <c r="B815" s="961">
        <v>82.95</v>
      </c>
      <c r="C815" s="965" cm="1">
        <f t="array" ref="C815">IF(ISBLANK(B815),"",B815*2.2046226218)</f>
        <v>182.873446478310</v>
      </c>
      <c r="D815" s="962" cm="1">
        <f t="array" ref="D815">IF(ISBLANK(B815),"",AVERAGE(B809:B815))</f>
        <v>83.2</v>
      </c>
      <c r="E815" s="962" cm="1">
        <f t="array" ref="E815">IF(ISBLANK(B815),"",AVERAGE(B802:B815))</f>
        <v>83.28461538461541</v>
      </c>
      <c r="F815" s="962" cm="1">
        <f t="array" ref="F815">IF(ISBLANK(B815),"",AVERAGE(B786:B815))</f>
        <v>83.0620689655172</v>
      </c>
      <c r="G815" s="964"/>
      <c r="H815" s="964"/>
      <c r="I815" s="964"/>
      <c r="J815" s="964"/>
      <c r="K815" s="964"/>
      <c r="L815" s="964"/>
      <c r="M815" s="964"/>
      <c r="N815" s="964"/>
      <c r="O815" s="964"/>
      <c r="P815" s="964"/>
      <c r="Q815" s="962"/>
      <c r="R815" t="str" s="964" cm="1">
        <f t="array" ref="R815">IF(OR(ISBLANK($B815),NOT(ISBLANK(B815))),"",'tracking - Table 2-1-2'!C$66)</f>
      </c>
      <c r="S815" t="str" s="964" cm="1">
        <f t="array" ref="S815">IF(OR(ISBLANK($B815),NOT(ISBLANK(B815))),"",'tracking - Table 2-1-2'!D$66)</f>
      </c>
      <c r="T815" t="str" s="964" cm="1">
        <f t="array" ref="T815">IF(OR(ISBLANK($B815),NOT(ISBLANK(B815))),"",'tracking - Table 2-1-2'!E$66)</f>
      </c>
      <c r="U815" t="str" s="969" cm="1">
        <f t="array" ref="U815">IF(OR(ISBLANK($B815),ISBLANK('tracking - Table 2-1-2'!A$1)),"",'tracking - Table 2-1-2'!F$66)</f>
      </c>
    </row>
    <row r="816" ht="8.75" customHeight="1" hidden="1">
      <c r="A816" s="960">
        <v>45155</v>
      </c>
      <c r="B816" s="961">
        <v>82.95</v>
      </c>
      <c r="C816" s="965" cm="1">
        <f t="array" ref="C816">IF(ISBLANK(B816),"",B816*2.2046226218)</f>
        <v>182.873446478310</v>
      </c>
      <c r="D816" s="962" cm="1">
        <f t="array" ref="D816">IF(ISBLANK(B816),"",AVERAGE(B810:B816))</f>
        <v>83.15000000000001</v>
      </c>
      <c r="E816" s="962" cm="1">
        <f t="array" ref="E816">IF(ISBLANK(B816),"",AVERAGE(B803:B816))</f>
        <v>83.2653846153846</v>
      </c>
      <c r="F816" s="962" cm="1">
        <f t="array" ref="F816">IF(ISBLANK(B816),"",AVERAGE(B787:B816))</f>
        <v>83.0965517241379</v>
      </c>
      <c r="G816" s="964"/>
      <c r="H816" s="964"/>
      <c r="I816" s="964"/>
      <c r="J816" s="964"/>
      <c r="K816" s="964"/>
      <c r="L816" s="964"/>
      <c r="M816" s="964"/>
      <c r="N816" s="964"/>
      <c r="O816" s="964"/>
      <c r="P816" s="964"/>
      <c r="Q816" s="962"/>
      <c r="R816" t="str" s="964" cm="1">
        <f t="array" ref="R816">IF(OR(ISBLANK($B816),NOT(ISBLANK(B816))),"",'tracking - Table 2-1-2'!C$66)</f>
      </c>
      <c r="S816" t="str" s="964" cm="1">
        <f t="array" ref="S816">IF(OR(ISBLANK($B816),NOT(ISBLANK(B816))),"",'tracking - Table 2-1-2'!D$66)</f>
      </c>
      <c r="T816" t="str" s="964" cm="1">
        <f t="array" ref="T816">IF(OR(ISBLANK($B816),NOT(ISBLANK(B816))),"",'tracking - Table 2-1-2'!E$66)</f>
      </c>
      <c r="U816" t="str" s="969" cm="1">
        <f t="array" ref="U816">IF(OR(ISBLANK($B816),ISBLANK('tracking - Table 2-1-2'!A$1)),"",'tracking - Table 2-1-2'!F$66)</f>
      </c>
    </row>
    <row r="817" ht="8.75" customHeight="1" hidden="1">
      <c r="A817" s="960">
        <v>45156</v>
      </c>
      <c r="B817" s="961">
        <v>82.95</v>
      </c>
      <c r="C817" s="965" cm="1">
        <f t="array" ref="C817">IF(ISBLANK(B817),"",B817*2.2046226218)</f>
        <v>182.873446478310</v>
      </c>
      <c r="D817" s="962" cm="1">
        <f t="array" ref="D817">IF(ISBLANK(B817),"",AVERAGE(B811:B817))</f>
        <v>83.15000000000001</v>
      </c>
      <c r="E817" s="962" cm="1">
        <f t="array" ref="E817">IF(ISBLANK(B817),"",AVERAGE(B804:B817))</f>
        <v>83.2692307692308</v>
      </c>
      <c r="F817" s="962" cm="1">
        <f t="array" ref="F817">IF(ISBLANK(B817),"",AVERAGE(B788:B817))</f>
        <v>83.13103448275859</v>
      </c>
      <c r="G817" s="964"/>
      <c r="H817" s="964"/>
      <c r="I817" s="964"/>
      <c r="J817" s="964"/>
      <c r="K817" s="964"/>
      <c r="L817" s="964"/>
      <c r="M817" s="964"/>
      <c r="N817" s="964"/>
      <c r="O817" s="964"/>
      <c r="P817" s="964"/>
      <c r="Q817" s="962"/>
      <c r="R817" t="str" s="964" cm="1">
        <f t="array" ref="R817">IF(OR(ISBLANK($B817),NOT(ISBLANK(B817))),"",'tracking - Table 2-1-2'!C$66)</f>
      </c>
      <c r="S817" t="str" s="964" cm="1">
        <f t="array" ref="S817">IF(OR(ISBLANK($B817),NOT(ISBLANK(B817))),"",'tracking - Table 2-1-2'!D$66)</f>
      </c>
      <c r="T817" t="str" s="964" cm="1">
        <f t="array" ref="T817">IF(OR(ISBLANK($B817),NOT(ISBLANK(B817))),"",'tracking - Table 2-1-2'!E$66)</f>
      </c>
      <c r="U817" t="str" s="969" cm="1">
        <f t="array" ref="U817">IF(OR(ISBLANK($B817),ISBLANK('tracking - Table 2-1-2'!A$1)),"",'tracking - Table 2-1-2'!F$66)</f>
      </c>
    </row>
    <row r="818" ht="8.75" customHeight="1" hidden="1">
      <c r="A818" s="960">
        <v>45157</v>
      </c>
      <c r="B818" s="961">
        <v>83.65000000000001</v>
      </c>
      <c r="C818" s="965" cm="1">
        <f t="array" ref="C818">IF(ISBLANK(B818),"",B818*2.2046226218)</f>
        <v>184.416682313570</v>
      </c>
      <c r="D818" s="962" cm="1">
        <f t="array" ref="D818">IF(ISBLANK(B818),"",AVERAGE(B812:B818))</f>
        <v>83.25</v>
      </c>
      <c r="E818" s="962" cm="1">
        <f t="array" ref="E818">IF(ISBLANK(B818),"",AVERAGE(B805:B818))</f>
        <v>83.29642857142861</v>
      </c>
      <c r="F818" s="962" cm="1">
        <f t="array" ref="F818">IF(ISBLANK(B818),"",AVERAGE(B789:B818))</f>
        <v>83.1706896551724</v>
      </c>
      <c r="G818" s="964"/>
      <c r="H818" s="964"/>
      <c r="I818" s="964"/>
      <c r="J818" s="964"/>
      <c r="K818" s="964"/>
      <c r="L818" s="964"/>
      <c r="M818" s="964"/>
      <c r="N818" s="964"/>
      <c r="O818" s="964"/>
      <c r="P818" s="964"/>
      <c r="Q818" s="962"/>
      <c r="R818" t="str" s="964" cm="1">
        <f t="array" ref="R818">IF(OR(ISBLANK($B818),NOT(ISBLANK(B818))),"",'tracking - Table 2-1-2'!C$66)</f>
      </c>
      <c r="S818" t="str" s="964" cm="1">
        <f t="array" ref="S818">IF(OR(ISBLANK($B818),NOT(ISBLANK(B818))),"",'tracking - Table 2-1-2'!D$66)</f>
      </c>
      <c r="T818" t="str" s="964" cm="1">
        <f t="array" ref="T818">IF(OR(ISBLANK($B818),NOT(ISBLANK(B818))),"",'tracking - Table 2-1-2'!E$66)</f>
      </c>
      <c r="U818" t="str" s="969" cm="1">
        <f t="array" ref="U818">IF(OR(ISBLANK($B818),ISBLANK('tracking - Table 2-1-2'!A$1)),"",'tracking - Table 2-1-2'!F$66)</f>
      </c>
    </row>
    <row r="819" ht="8.75" customHeight="1" hidden="1">
      <c r="A819" s="960">
        <v>45158</v>
      </c>
      <c r="B819" s="961">
        <v>83.65000000000001</v>
      </c>
      <c r="C819" s="965" cm="1">
        <f t="array" ref="C819">IF(ISBLANK(B819),"",B819*2.2046226218)</f>
        <v>184.416682313570</v>
      </c>
      <c r="D819" s="962" cm="1">
        <f t="array" ref="D819">IF(ISBLANK(B819),"",AVERAGE(B813:B819))</f>
        <v>83.3</v>
      </c>
      <c r="E819" s="962" cm="1">
        <f t="array" ref="E819">IF(ISBLANK(B819),"",AVERAGE(B806:B819))</f>
        <v>83.3</v>
      </c>
      <c r="F819" s="962" cm="1">
        <f t="array" ref="F819">IF(ISBLANK(B819),"",AVERAGE(B790:B819))</f>
        <v>83.2293103448276</v>
      </c>
      <c r="G819" s="964"/>
      <c r="H819" s="964"/>
      <c r="I819" s="964"/>
      <c r="J819" s="964"/>
      <c r="K819" s="964"/>
      <c r="L819" s="964"/>
      <c r="M819" s="964"/>
      <c r="N819" s="964"/>
      <c r="O819" s="964"/>
      <c r="P819" s="964"/>
      <c r="Q819" s="962"/>
      <c r="R819" t="str" s="964" cm="1">
        <f t="array" ref="R819">IF(OR(ISBLANK($B819),NOT(ISBLANK(B819))),"",'tracking - Table 2-1-2'!C$66)</f>
      </c>
      <c r="S819" t="str" s="964" cm="1">
        <f t="array" ref="S819">IF(OR(ISBLANK($B819),NOT(ISBLANK(B819))),"",'tracking - Table 2-1-2'!D$66)</f>
      </c>
      <c r="T819" t="str" s="964" cm="1">
        <f t="array" ref="T819">IF(OR(ISBLANK($B819),NOT(ISBLANK(B819))),"",'tracking - Table 2-1-2'!E$66)</f>
      </c>
      <c r="U819" t="str" s="969" cm="1">
        <f t="array" ref="U819">IF(OR(ISBLANK($B819),ISBLANK('tracking - Table 2-1-2'!A$1)),"",'tracking - Table 2-1-2'!F$66)</f>
      </c>
    </row>
    <row r="820" ht="8.75" customHeight="1" hidden="1">
      <c r="A820" s="960">
        <v>45159</v>
      </c>
      <c r="B820" s="961">
        <v>84.05</v>
      </c>
      <c r="C820" s="965" cm="1">
        <f t="array" ref="C820">IF(ISBLANK(B820),"",B820*2.2046226218)</f>
        <v>185.298531362290</v>
      </c>
      <c r="D820" s="962" cm="1">
        <f t="array" ref="D820">IF(ISBLANK(B820),"",AVERAGE(B814:B820))</f>
        <v>83.30714285714291</v>
      </c>
      <c r="E820" s="962" cm="1">
        <f t="array" ref="E820">IF(ISBLANK(B820),"",AVERAGE(B807:B820))</f>
        <v>83.3035714285714</v>
      </c>
      <c r="F820" s="962" cm="1">
        <f t="array" ref="F820">IF(ISBLANK(B820),"",AVERAGE(B791:B820))</f>
        <v>83.2844827586207</v>
      </c>
      <c r="G820" s="964"/>
      <c r="H820" s="964"/>
      <c r="I820" s="964"/>
      <c r="J820" s="964"/>
      <c r="K820" s="964"/>
      <c r="L820" s="964"/>
      <c r="M820" s="964"/>
      <c r="N820" s="964"/>
      <c r="O820" s="964"/>
      <c r="P820" s="964"/>
      <c r="Q820" s="962"/>
      <c r="R820" t="str" s="964" cm="1">
        <f t="array" ref="R820">IF(OR(ISBLANK($B820),NOT(ISBLANK(B820))),"",'tracking - Table 2-1-2'!C$66)</f>
      </c>
      <c r="S820" t="str" s="964" cm="1">
        <f t="array" ref="S820">IF(OR(ISBLANK($B820),NOT(ISBLANK(B820))),"",'tracking - Table 2-1-2'!D$66)</f>
      </c>
      <c r="T820" t="str" s="964" cm="1">
        <f t="array" ref="T820">IF(OR(ISBLANK($B820),NOT(ISBLANK(B820))),"",'tracking - Table 2-1-2'!E$66)</f>
      </c>
      <c r="U820" t="str" s="969" cm="1">
        <f t="array" ref="U820">IF(OR(ISBLANK($B820),ISBLANK('tracking - Table 2-1-2'!A$1)),"",'tracking - Table 2-1-2'!F$66)</f>
      </c>
    </row>
    <row r="821" ht="8.75" customHeight="1" hidden="1">
      <c r="A821" s="960">
        <v>45160</v>
      </c>
      <c r="B821" s="961">
        <v>83.65000000000001</v>
      </c>
      <c r="C821" s="965" cm="1">
        <f t="array" ref="C821">IF(ISBLANK(B821),"",B821*2.2046226218)</f>
        <v>184.416682313570</v>
      </c>
      <c r="D821" s="962" cm="1">
        <f t="array" ref="D821">IF(ISBLANK(B821),"",AVERAGE(B815:B821))</f>
        <v>83.4071428571429</v>
      </c>
      <c r="E821" s="962" cm="1">
        <f t="array" ref="E821">IF(ISBLANK(B821),"",AVERAGE(B808:B821))</f>
        <v>83.32857142857139</v>
      </c>
      <c r="F821" s="962" cm="1">
        <f t="array" ref="F821">IF(ISBLANK(B821),"",AVERAGE(B792:B821))</f>
        <v>83.3120689655172</v>
      </c>
      <c r="G821" s="964"/>
      <c r="H821" s="964"/>
      <c r="I821" s="964"/>
      <c r="J821" s="964"/>
      <c r="K821" s="964"/>
      <c r="L821" s="964"/>
      <c r="M821" s="964"/>
      <c r="N821" s="964"/>
      <c r="O821" s="964"/>
      <c r="P821" s="964"/>
      <c r="Q821" s="962"/>
      <c r="R821" t="str" s="964" cm="1">
        <f t="array" ref="R821">IF(OR(ISBLANK($B821),NOT(ISBLANK(B821))),"",'tracking - Table 2-1-2'!C$66)</f>
      </c>
      <c r="S821" t="str" s="964" cm="1">
        <f t="array" ref="S821">IF(OR(ISBLANK($B821),NOT(ISBLANK(B821))),"",'tracking - Table 2-1-2'!D$66)</f>
      </c>
      <c r="T821" t="str" s="964" cm="1">
        <f t="array" ref="T821">IF(OR(ISBLANK($B821),NOT(ISBLANK(B821))),"",'tracking - Table 2-1-2'!E$66)</f>
      </c>
      <c r="U821" t="str" s="969" cm="1">
        <f t="array" ref="U821">IF(OR(ISBLANK($B821),ISBLANK('tracking - Table 2-1-2'!A$1)),"",'tracking - Table 2-1-2'!F$66)</f>
      </c>
    </row>
    <row r="822" ht="8.75" customHeight="1" hidden="1">
      <c r="A822" s="960">
        <v>45161</v>
      </c>
      <c r="B822" s="961">
        <v>84.05</v>
      </c>
      <c r="C822" s="965" cm="1">
        <f t="array" ref="C822">IF(ISBLANK(B822),"",B822*2.2046226218)</f>
        <v>185.298531362290</v>
      </c>
      <c r="D822" s="962" cm="1">
        <f t="array" ref="D822">IF(ISBLANK(B822),"",AVERAGE(B816:B822))</f>
        <v>83.5642857142857</v>
      </c>
      <c r="E822" s="962" cm="1">
        <f t="array" ref="E822">IF(ISBLANK(B822),"",AVERAGE(B809:B822))</f>
        <v>83.3821428571429</v>
      </c>
      <c r="F822" s="962" cm="1">
        <f t="array" ref="F822">IF(ISBLANK(B822),"",AVERAGE(B793:B822))</f>
        <v>83.3551724137931</v>
      </c>
      <c r="G822" s="964"/>
      <c r="H822" s="964"/>
      <c r="I822" s="964"/>
      <c r="J822" s="964"/>
      <c r="K822" s="964"/>
      <c r="L822" s="964"/>
      <c r="M822" s="964"/>
      <c r="N822" s="964"/>
      <c r="O822" s="964"/>
      <c r="P822" s="964"/>
      <c r="Q822" s="962"/>
      <c r="R822" t="str" s="964" cm="1">
        <f t="array" ref="R822">IF(OR(ISBLANK($B822),NOT(ISBLANK(B822))),"",'tracking - Table 2-1-2'!C$66)</f>
      </c>
      <c r="S822" t="str" s="964" cm="1">
        <f t="array" ref="S822">IF(OR(ISBLANK($B822),NOT(ISBLANK(B822))),"",'tracking - Table 2-1-2'!D$66)</f>
      </c>
      <c r="T822" t="str" s="964" cm="1">
        <f t="array" ref="T822">IF(OR(ISBLANK($B822),NOT(ISBLANK(B822))),"",'tracking - Table 2-1-2'!E$66)</f>
      </c>
      <c r="U822" t="str" s="969" cm="1">
        <f t="array" ref="U822">IF(OR(ISBLANK($B822),ISBLANK('tracking - Table 2-1-2'!A$1)),"",'tracking - Table 2-1-2'!F$66)</f>
      </c>
    </row>
    <row r="823" ht="8.75" customHeight="1" hidden="1">
      <c r="A823" s="960">
        <v>45162</v>
      </c>
      <c r="B823" s="961">
        <v>83.65000000000001</v>
      </c>
      <c r="C823" s="965" cm="1">
        <f t="array" ref="C823">IF(ISBLANK(B823),"",B823*2.2046226218)</f>
        <v>184.416682313570</v>
      </c>
      <c r="D823" s="962" cm="1">
        <f t="array" ref="D823">IF(ISBLANK(B823),"",AVERAGE(B817:B823))</f>
        <v>83.6642857142857</v>
      </c>
      <c r="E823" s="962" cm="1">
        <f t="array" ref="E823">IF(ISBLANK(B823),"",AVERAGE(B810:B823))</f>
        <v>83.4071428571429</v>
      </c>
      <c r="F823" s="962" cm="1">
        <f t="array" ref="F823">IF(ISBLANK(B823),"",AVERAGE(B794:B823))</f>
        <v>83.40000000000001</v>
      </c>
      <c r="G823" s="964"/>
      <c r="H823" s="964"/>
      <c r="I823" s="964"/>
      <c r="J823" s="964"/>
      <c r="K823" s="964"/>
      <c r="L823" s="964"/>
      <c r="M823" s="964"/>
      <c r="N823" s="964"/>
      <c r="O823" s="964"/>
      <c r="P823" s="964"/>
      <c r="Q823" s="962"/>
      <c r="R823" t="str" s="964" cm="1">
        <f t="array" ref="R823">IF(OR(ISBLANK($B823),NOT(ISBLANK(B823))),"",'tracking - Table 2-1-2'!C$66)</f>
      </c>
      <c r="S823" t="str" s="964" cm="1">
        <f t="array" ref="S823">IF(OR(ISBLANK($B823),NOT(ISBLANK(B823))),"",'tracking - Table 2-1-2'!D$66)</f>
      </c>
      <c r="T823" t="str" s="964" cm="1">
        <f t="array" ref="T823">IF(OR(ISBLANK($B823),NOT(ISBLANK(B823))),"",'tracking - Table 2-1-2'!E$66)</f>
      </c>
      <c r="U823" t="str" s="969" cm="1">
        <f t="array" ref="U823">IF(OR(ISBLANK($B823),ISBLANK('tracking - Table 2-1-2'!A$1)),"",'tracking - Table 2-1-2'!F$66)</f>
      </c>
    </row>
    <row r="824" ht="8.75" customHeight="1" hidden="1">
      <c r="A824" s="960">
        <v>45163</v>
      </c>
      <c r="B824" s="961">
        <v>83.65000000000001</v>
      </c>
      <c r="C824" s="965" cm="1">
        <f t="array" ref="C824">IF(ISBLANK(B824),"",B824*2.2046226218)</f>
        <v>184.416682313570</v>
      </c>
      <c r="D824" s="962" cm="1">
        <f t="array" ref="D824">IF(ISBLANK(B824),"",AVERAGE(B818:B824))</f>
        <v>83.76428571428571</v>
      </c>
      <c r="E824" s="962" cm="1">
        <f t="array" ref="E824">IF(ISBLANK(B824),"",AVERAGE(B811:B824))</f>
        <v>83.4571428571429</v>
      </c>
      <c r="F824" s="962" cm="1">
        <f t="array" ref="F824">IF(ISBLANK(B824),"",AVERAGE(B795:B824))</f>
        <v>83.4293103448276</v>
      </c>
      <c r="G824" s="964"/>
      <c r="H824" s="964"/>
      <c r="I824" s="964"/>
      <c r="J824" s="964"/>
      <c r="K824" s="964"/>
      <c r="L824" s="964"/>
      <c r="M824" s="964"/>
      <c r="N824" s="964"/>
      <c r="O824" s="964"/>
      <c r="P824" s="964"/>
      <c r="Q824" s="962"/>
      <c r="R824" t="str" s="964" cm="1">
        <f t="array" ref="R824">IF(OR(ISBLANK($B824),NOT(ISBLANK(B824))),"",'tracking - Table 2-1-2'!C$66)</f>
      </c>
      <c r="S824" t="str" s="964" cm="1">
        <f t="array" ref="S824">IF(OR(ISBLANK($B824),NOT(ISBLANK(B824))),"",'tracking - Table 2-1-2'!D$66)</f>
      </c>
      <c r="T824" t="str" s="964" cm="1">
        <f t="array" ref="T824">IF(OR(ISBLANK($B824),NOT(ISBLANK(B824))),"",'tracking - Table 2-1-2'!E$66)</f>
      </c>
      <c r="U824" t="str" s="969" cm="1">
        <f t="array" ref="U824">IF(OR(ISBLANK($B824),ISBLANK('tracking - Table 2-1-2'!A$1)),"",'tracking - Table 2-1-2'!F$66)</f>
      </c>
    </row>
    <row r="825" ht="8.75" customHeight="1" hidden="1">
      <c r="A825" s="960">
        <v>45164</v>
      </c>
      <c r="B825" s="961">
        <v>83</v>
      </c>
      <c r="C825" s="965" cm="1">
        <f t="array" ref="C825">IF(ISBLANK(B825),"",B825*2.2046226218)</f>
        <v>182.9836776094</v>
      </c>
      <c r="D825" s="962" cm="1">
        <f t="array" ref="D825">IF(ISBLANK(B825),"",AVERAGE(B819:B825))</f>
        <v>83.67142857142861</v>
      </c>
      <c r="E825" s="962" cm="1">
        <f t="array" ref="E825">IF(ISBLANK(B825),"",AVERAGE(B812:B825))</f>
        <v>83.4607142857143</v>
      </c>
      <c r="F825" s="962" cm="1">
        <f t="array" ref="F825">IF(ISBLANK(B825),"",AVERAGE(B796:B825))</f>
        <v>83.4362068965517</v>
      </c>
      <c r="G825" s="964"/>
      <c r="H825" s="964"/>
      <c r="I825" s="964"/>
      <c r="J825" s="964"/>
      <c r="K825" s="964"/>
      <c r="L825" s="964"/>
      <c r="M825" s="964"/>
      <c r="N825" s="964"/>
      <c r="O825" s="964"/>
      <c r="P825" s="964"/>
      <c r="Q825" s="962"/>
      <c r="R825" t="str" s="964" cm="1">
        <f t="array" ref="R825">IF(OR(ISBLANK($B825),NOT(ISBLANK(B825))),"",'tracking - Table 2-1-2'!C$66)</f>
      </c>
      <c r="S825" t="str" s="964" cm="1">
        <f t="array" ref="S825">IF(OR(ISBLANK($B825),NOT(ISBLANK(B825))),"",'tracking - Table 2-1-2'!D$66)</f>
      </c>
      <c r="T825" t="str" s="964" cm="1">
        <f t="array" ref="T825">IF(OR(ISBLANK($B825),NOT(ISBLANK(B825))),"",'tracking - Table 2-1-2'!E$66)</f>
      </c>
      <c r="U825" t="str" s="969" cm="1">
        <f t="array" ref="U825">IF(OR(ISBLANK($B825),ISBLANK('tracking - Table 2-1-2'!A$1)),"",'tracking - Table 2-1-2'!F$66)</f>
      </c>
    </row>
    <row r="826" ht="8.75" customHeight="1" hidden="1">
      <c r="A826" s="960">
        <v>45165</v>
      </c>
      <c r="B826" s="961">
        <v>84</v>
      </c>
      <c r="C826" s="965" cm="1">
        <f t="array" ref="C826">IF(ISBLANK(B826),"",B826*2.2046226218)</f>
        <v>185.1883002312</v>
      </c>
      <c r="D826" s="962" cm="1">
        <f t="array" ref="D826">IF(ISBLANK(B826),"",AVERAGE(B820:B826))</f>
        <v>83.7214285714286</v>
      </c>
      <c r="E826" s="962" cm="1">
        <f t="array" ref="E826">IF(ISBLANK(B826),"",AVERAGE(B813:B826))</f>
        <v>83.5107142857143</v>
      </c>
      <c r="F826" s="962" cm="1">
        <f t="array" ref="F826">IF(ISBLANK(B826),"",AVERAGE(B797:B826))</f>
        <v>83.46724137931029</v>
      </c>
      <c r="G826" s="964"/>
      <c r="H826" s="964"/>
      <c r="I826" s="964"/>
      <c r="J826" s="964"/>
      <c r="K826" s="964"/>
      <c r="L826" s="964"/>
      <c r="M826" s="964"/>
      <c r="N826" s="964"/>
      <c r="O826" s="964"/>
      <c r="P826" s="964"/>
      <c r="Q826" s="962"/>
      <c r="R826" t="str" s="964" cm="1">
        <f t="array" ref="R826">IF(OR(ISBLANK($B826),NOT(ISBLANK(B826))),"",'tracking - Table 2-1-2'!C$66)</f>
      </c>
      <c r="S826" t="str" s="964" cm="1">
        <f t="array" ref="S826">IF(OR(ISBLANK($B826),NOT(ISBLANK(B826))),"",'tracking - Table 2-1-2'!D$66)</f>
      </c>
      <c r="T826" t="str" s="964" cm="1">
        <f t="array" ref="T826">IF(OR(ISBLANK($B826),NOT(ISBLANK(B826))),"",'tracking - Table 2-1-2'!E$66)</f>
      </c>
      <c r="U826" t="str" s="969" cm="1">
        <f t="array" ref="U826">IF(OR(ISBLANK($B826),ISBLANK('tracking - Table 2-1-2'!A$1)),"",'tracking - Table 2-1-2'!F$66)</f>
      </c>
    </row>
    <row r="827" ht="8.75" customHeight="1" hidden="1">
      <c r="A827" s="960">
        <v>45166</v>
      </c>
      <c r="B827" s="961">
        <v>84.45</v>
      </c>
      <c r="C827" s="965" cm="1">
        <f t="array" ref="C827">IF(ISBLANK(B827),"",B827*2.2046226218)</f>
        <v>186.180380411010</v>
      </c>
      <c r="D827" s="962" cm="1">
        <f t="array" ref="D827">IF(ISBLANK(B827),"",AVERAGE(B821:B827))</f>
        <v>83.7785714285714</v>
      </c>
      <c r="E827" s="962" cm="1">
        <f t="array" ref="E827">IF(ISBLANK(B827),"",AVERAGE(B814:B827))</f>
        <v>83.5428571428571</v>
      </c>
      <c r="F827" s="962" cm="1">
        <f t="array" ref="F827">IF(ISBLANK(B827),"",AVERAGE(B798:B827))</f>
        <v>83.48275862068969</v>
      </c>
      <c r="G827" s="964"/>
      <c r="H827" s="964"/>
      <c r="I827" s="964"/>
      <c r="J827" s="964"/>
      <c r="K827" s="964"/>
      <c r="L827" s="964"/>
      <c r="M827" s="964"/>
      <c r="N827" s="964"/>
      <c r="O827" s="964"/>
      <c r="P827" s="964"/>
      <c r="Q827" s="962"/>
      <c r="R827" t="str" s="964" cm="1">
        <f t="array" ref="R827">IF(OR(ISBLANK($B827),NOT(ISBLANK(B827))),"",'tracking - Table 2-1-2'!C$66)</f>
      </c>
      <c r="S827" t="str" s="964" cm="1">
        <f t="array" ref="S827">IF(OR(ISBLANK($B827),NOT(ISBLANK(B827))),"",'tracking - Table 2-1-2'!D$66)</f>
      </c>
      <c r="T827" t="str" s="964" cm="1">
        <f t="array" ref="T827">IF(OR(ISBLANK($B827),NOT(ISBLANK(B827))),"",'tracking - Table 2-1-2'!E$66)</f>
      </c>
      <c r="U827" t="str" s="969" cm="1">
        <f t="array" ref="U827">IF(OR(ISBLANK($B827),ISBLANK('tracking - Table 2-1-2'!A$1)),"",'tracking - Table 2-1-2'!F$66)</f>
      </c>
    </row>
    <row r="828" ht="8.75" customHeight="1" hidden="1">
      <c r="A828" s="960">
        <v>45167</v>
      </c>
      <c r="B828" s="961">
        <v>84.45</v>
      </c>
      <c r="C828" s="965" cm="1">
        <f t="array" ref="C828">IF(ISBLANK(B828),"",B828*2.2046226218)</f>
        <v>186.180380411010</v>
      </c>
      <c r="D828" s="962" cm="1">
        <f t="array" ref="D828">IF(ISBLANK(B828),"",AVERAGE(B822:B828))</f>
        <v>83.8928571428571</v>
      </c>
      <c r="E828" s="962" cm="1">
        <f t="array" ref="E828">IF(ISBLANK(B828),"",AVERAGE(B815:B828))</f>
        <v>83.65000000000001</v>
      </c>
      <c r="F828" s="962" cm="1">
        <f t="array" ref="F828">IF(ISBLANK(B828),"",AVERAGE(B799:B828))</f>
        <v>83.5086206896552</v>
      </c>
      <c r="G828" s="964"/>
      <c r="H828" s="964"/>
      <c r="I828" s="964"/>
      <c r="J828" s="964"/>
      <c r="K828" s="964"/>
      <c r="L828" s="964"/>
      <c r="M828" s="964"/>
      <c r="N828" s="964"/>
      <c r="O828" s="964"/>
      <c r="P828" s="964"/>
      <c r="Q828" s="962"/>
      <c r="R828" t="str" s="964" cm="1">
        <f t="array" ref="R828">IF(OR(ISBLANK($B828),NOT(ISBLANK(B828))),"",'tracking - Table 2-1-2'!C$66)</f>
      </c>
      <c r="S828" t="str" s="964" cm="1">
        <f t="array" ref="S828">IF(OR(ISBLANK($B828),NOT(ISBLANK(B828))),"",'tracking - Table 2-1-2'!D$66)</f>
      </c>
      <c r="T828" t="str" s="964" cm="1">
        <f t="array" ref="T828">IF(OR(ISBLANK($B828),NOT(ISBLANK(B828))),"",'tracking - Table 2-1-2'!E$66)</f>
      </c>
      <c r="U828" t="str" s="969" cm="1">
        <f t="array" ref="U828">IF(OR(ISBLANK($B828),ISBLANK('tracking - Table 2-1-2'!A$1)),"",'tracking - Table 2-1-2'!F$66)</f>
      </c>
    </row>
    <row r="829" ht="8.75" customHeight="1" hidden="1">
      <c r="A829" s="960">
        <v>45168</v>
      </c>
      <c r="B829" s="961">
        <v>83.59999999999999</v>
      </c>
      <c r="C829" s="965" cm="1">
        <f t="array" ref="C829">IF(ISBLANK(B829),"",B829*2.2046226218)</f>
        <v>184.306451182480</v>
      </c>
      <c r="D829" s="962" cm="1">
        <f t="array" ref="D829">IF(ISBLANK(B829),"",AVERAGE(B823:B829))</f>
        <v>83.82857142857139</v>
      </c>
      <c r="E829" s="962" cm="1">
        <f t="array" ref="E829">IF(ISBLANK(B829),"",AVERAGE(B816:B829))</f>
        <v>83.6964285714286</v>
      </c>
      <c r="F829" s="962" cm="1">
        <f t="array" ref="F829">IF(ISBLANK(B829),"",AVERAGE(B800:B829))</f>
        <v>83.5224137931034</v>
      </c>
      <c r="G829" s="964"/>
      <c r="H829" s="964"/>
      <c r="I829" s="964"/>
      <c r="J829" s="964"/>
      <c r="K829" s="964"/>
      <c r="L829" s="964"/>
      <c r="M829" s="964"/>
      <c r="N829" s="964"/>
      <c r="O829" s="964"/>
      <c r="P829" s="964"/>
      <c r="Q829" s="962"/>
      <c r="R829" t="str" s="964" cm="1">
        <f t="array" ref="R829">IF(OR(ISBLANK($B829),NOT(ISBLANK(B829))),"",'tracking - Table 2-1-2'!C$66)</f>
      </c>
      <c r="S829" t="str" s="964" cm="1">
        <f t="array" ref="S829">IF(OR(ISBLANK($B829),NOT(ISBLANK(B829))),"",'tracking - Table 2-1-2'!D$66)</f>
      </c>
      <c r="T829" t="str" s="964" cm="1">
        <f t="array" ref="T829">IF(OR(ISBLANK($B829),NOT(ISBLANK(B829))),"",'tracking - Table 2-1-2'!E$66)</f>
      </c>
      <c r="U829" t="str" s="969" cm="1">
        <f t="array" ref="U829">IF(OR(ISBLANK($B829),ISBLANK('tracking - Table 2-1-2'!A$1)),"",'tracking - Table 2-1-2'!F$66)</f>
      </c>
    </row>
    <row r="830" ht="8.75" customHeight="1" hidden="1">
      <c r="A830" s="960">
        <v>45169</v>
      </c>
      <c r="B830" s="961">
        <v>83.59999999999999</v>
      </c>
      <c r="C830" s="965" cm="1">
        <f t="array" ref="C830">IF(ISBLANK(B830),"",B830*2.2046226218)</f>
        <v>184.306451182480</v>
      </c>
      <c r="D830" s="962" cm="1">
        <f t="array" ref="D830">IF(ISBLANK(B830),"",AVERAGE(B824:B830))</f>
        <v>83.8214285714286</v>
      </c>
      <c r="E830" s="962" cm="1">
        <f t="array" ref="E830">IF(ISBLANK(B830),"",AVERAGE(B817:B830))</f>
        <v>83.7428571428571</v>
      </c>
      <c r="F830" s="962" cm="1">
        <f t="array" ref="F830">IF(ISBLANK(B830),"",AVERAGE(B801:B830))</f>
        <v>83.5086206896552</v>
      </c>
      <c r="G830" s="964"/>
      <c r="H830" s="964"/>
      <c r="I830" s="964"/>
      <c r="J830" s="964"/>
      <c r="K830" s="964"/>
      <c r="L830" s="964"/>
      <c r="M830" s="964"/>
      <c r="N830" s="964"/>
      <c r="O830" s="964"/>
      <c r="P830" s="964"/>
      <c r="Q830" s="962"/>
      <c r="R830" t="str" s="964" cm="1">
        <f t="array" ref="R830">IF(OR(ISBLANK($B830),NOT(ISBLANK(B830))),"",'tracking - Table 2-1-2'!C$66)</f>
      </c>
      <c r="S830" t="str" s="964" cm="1">
        <f t="array" ref="S830">IF(OR(ISBLANK($B830),NOT(ISBLANK(B830))),"",'tracking - Table 2-1-2'!D$66)</f>
      </c>
      <c r="T830" t="str" s="964" cm="1">
        <f t="array" ref="T830">IF(OR(ISBLANK($B830),NOT(ISBLANK(B830))),"",'tracking - Table 2-1-2'!E$66)</f>
      </c>
      <c r="U830" t="str" s="969" cm="1">
        <f t="array" ref="U830">IF(OR(ISBLANK($B830),ISBLANK('tracking - Table 2-1-2'!A$1)),"",'tracking - Table 2-1-2'!F$66)</f>
      </c>
    </row>
    <row r="831" ht="8.75" customHeight="1" hidden="1">
      <c r="A831" s="960">
        <v>45170</v>
      </c>
      <c r="B831" s="961">
        <v>83.90000000000001</v>
      </c>
      <c r="C831" s="965" cm="1">
        <f t="array" ref="C831">IF(ISBLANK(B831),"",B831*2.2046226218)</f>
        <v>184.967837969020</v>
      </c>
      <c r="D831" s="962" cm="1">
        <f t="array" ref="D831">IF(ISBLANK(B831),"",AVERAGE(B825:B831))</f>
        <v>83.8571428571429</v>
      </c>
      <c r="E831" s="962" cm="1">
        <f t="array" ref="E831">IF(ISBLANK(B831),"",AVERAGE(B818:B831))</f>
        <v>83.8107142857143</v>
      </c>
      <c r="F831" s="962" cm="1">
        <f t="array" ref="F831">IF(ISBLANK(B831),"",AVERAGE(B802:B831))</f>
        <v>83.5155172413793</v>
      </c>
      <c r="G831" s="964"/>
      <c r="H831" s="964"/>
      <c r="I831" s="964"/>
      <c r="J831" s="964"/>
      <c r="K831" s="964"/>
      <c r="L831" s="964"/>
      <c r="M831" s="964"/>
      <c r="N831" s="964"/>
      <c r="O831" s="964"/>
      <c r="P831" s="964"/>
      <c r="Q831" s="962"/>
      <c r="R831" t="str" s="964" cm="1">
        <f t="array" ref="R831">IF(OR(ISBLANK($B831),NOT(ISBLANK(B831))),"",'tracking - Table 2-1-2'!C$66)</f>
      </c>
      <c r="S831" t="str" s="964" cm="1">
        <f t="array" ref="S831">IF(OR(ISBLANK($B831),NOT(ISBLANK(B831))),"",'tracking - Table 2-1-2'!D$66)</f>
      </c>
      <c r="T831" t="str" s="964" cm="1">
        <f t="array" ref="T831">IF(OR(ISBLANK($B831),NOT(ISBLANK(B831))),"",'tracking - Table 2-1-2'!E$66)</f>
      </c>
      <c r="U831" t="str" s="969" cm="1">
        <f t="array" ref="U831">IF(OR(ISBLANK($B831),ISBLANK('tracking - Table 2-1-2'!A$1)),"",'tracking - Table 2-1-2'!F$66)</f>
      </c>
    </row>
    <row r="832" ht="8.75" customHeight="1" hidden="1">
      <c r="A832" s="960">
        <v>45171</v>
      </c>
      <c r="B832" s="961">
        <v>84.40000000000001</v>
      </c>
      <c r="C832" s="965" cm="1">
        <f t="array" ref="C832">IF(ISBLANK(B832),"",B832*2.2046226218)</f>
        <v>186.070149279920</v>
      </c>
      <c r="D832" s="962" cm="1">
        <f t="array" ref="D832">IF(ISBLANK(B832),"",AVERAGE(B826:B832))</f>
        <v>84.05714285714291</v>
      </c>
      <c r="E832" s="962" cm="1">
        <f t="array" ref="E832">IF(ISBLANK(B832),"",AVERAGE(B819:B832))</f>
        <v>83.8642857142857</v>
      </c>
      <c r="F832" s="962" cm="1">
        <f t="array" ref="F832">IF(ISBLANK(B832),"",AVERAGE(B803:B832))</f>
        <v>83.55689655172409</v>
      </c>
      <c r="G832" s="964"/>
      <c r="H832" s="964"/>
      <c r="I832" s="964"/>
      <c r="J832" s="964"/>
      <c r="K832" s="964"/>
      <c r="L832" s="964"/>
      <c r="M832" s="964"/>
      <c r="N832" s="964"/>
      <c r="O832" s="964"/>
      <c r="P832" s="964"/>
      <c r="Q832" s="962"/>
      <c r="R832" t="str" s="964" cm="1">
        <f t="array" ref="R832">IF(OR(ISBLANK($B832),NOT(ISBLANK(B832))),"",'tracking - Table 2-1-2'!C$66)</f>
      </c>
      <c r="S832" t="str" s="964" cm="1">
        <f t="array" ref="S832">IF(OR(ISBLANK($B832),NOT(ISBLANK(B832))),"",'tracking - Table 2-1-2'!D$66)</f>
      </c>
      <c r="T832" t="str" s="964" cm="1">
        <f t="array" ref="T832">IF(OR(ISBLANK($B832),NOT(ISBLANK(B832))),"",'tracking - Table 2-1-2'!E$66)</f>
      </c>
      <c r="U832" t="str" s="969" cm="1">
        <f t="array" ref="U832">IF(OR(ISBLANK($B832),ISBLANK('tracking - Table 2-1-2'!A$1)),"",'tracking - Table 2-1-2'!F$66)</f>
      </c>
    </row>
    <row r="833" ht="8.75" customHeight="1" hidden="1">
      <c r="A833" s="960">
        <v>45172</v>
      </c>
      <c r="B833" s="961">
        <v>84.40000000000001</v>
      </c>
      <c r="C833" s="965" cm="1">
        <f t="array" ref="C833">IF(ISBLANK(B833),"",B833*2.2046226218)</f>
        <v>186.070149279920</v>
      </c>
      <c r="D833" s="962" cm="1">
        <f t="array" ref="D833">IF(ISBLANK(B833),"",AVERAGE(B827:B833))</f>
        <v>84.1142857142857</v>
      </c>
      <c r="E833" s="962" cm="1">
        <f t="array" ref="E833">IF(ISBLANK(B833),"",AVERAGE(B820:B833))</f>
        <v>83.9178571428571</v>
      </c>
      <c r="F833" s="962" cm="1">
        <f t="array" ref="F833">IF(ISBLANK(B833),"",AVERAGE(B804:B833))</f>
        <v>83.6086206896552</v>
      </c>
      <c r="G833" s="964"/>
      <c r="H833" s="964"/>
      <c r="I833" s="964"/>
      <c r="J833" s="964"/>
      <c r="K833" s="964"/>
      <c r="L833" s="964"/>
      <c r="M833" s="964"/>
      <c r="N833" s="964"/>
      <c r="O833" s="964"/>
      <c r="P833" s="964"/>
      <c r="Q833" s="962"/>
      <c r="R833" t="str" s="964" cm="1">
        <f t="array" ref="R833">IF(OR(ISBLANK($B833),NOT(ISBLANK(B833))),"",'tracking - Table 2-1-2'!C$66)</f>
      </c>
      <c r="S833" t="str" s="964" cm="1">
        <f t="array" ref="S833">IF(OR(ISBLANK($B833),NOT(ISBLANK(B833))),"",'tracking - Table 2-1-2'!D$66)</f>
      </c>
      <c r="T833" t="str" s="964" cm="1">
        <f t="array" ref="T833">IF(OR(ISBLANK($B833),NOT(ISBLANK(B833))),"",'tracking - Table 2-1-2'!E$66)</f>
      </c>
      <c r="U833" t="str" s="969" cm="1">
        <f t="array" ref="U833">IF(OR(ISBLANK($B833),ISBLANK('tracking - Table 2-1-2'!A$1)),"",'tracking - Table 2-1-2'!F$66)</f>
      </c>
    </row>
    <row r="834" ht="8.75" customHeight="1" hidden="1">
      <c r="A834" s="960">
        <v>45173</v>
      </c>
      <c r="B834" s="356"/>
      <c r="C834" t="str" s="352" cm="1">
        <f t="array" ref="C834">IF(ISBLANK(B834),"",B834*2.2046226218)</f>
      </c>
      <c r="D834" t="str" s="964" cm="1">
        <f t="array" ref="D834">IF(ISBLANK(B834),"",AVERAGE(B828:B834))</f>
      </c>
      <c r="E834" t="str" s="964" cm="1">
        <f t="array" ref="E834">IF(ISBLANK(B834),"",AVERAGE(B821:B834))</f>
      </c>
      <c r="F834" t="str" s="964" cm="1">
        <f t="array" ref="F834">IF(ISBLANK(B834),"",AVERAGE(B805:B834))</f>
      </c>
      <c r="G834" s="964"/>
      <c r="H834" s="964"/>
      <c r="I834" s="964"/>
      <c r="J834" s="964"/>
      <c r="K834" s="964"/>
      <c r="L834" s="964"/>
      <c r="M834" s="964"/>
      <c r="N834" s="964"/>
      <c r="O834" s="964"/>
      <c r="P834" s="964"/>
      <c r="Q834" s="962"/>
      <c r="R834" t="str" s="964" cm="1">
        <f t="array" ref="R834">IF(OR(ISBLANK($B834),NOT(ISBLANK(B834))),"",'tracking - Table 2-1-2'!C$66)</f>
      </c>
      <c r="S834" t="str" s="964" cm="1">
        <f t="array" ref="S834">IF(OR(ISBLANK($B834),NOT(ISBLANK(B834))),"",'tracking - Table 2-1-2'!D$66)</f>
      </c>
      <c r="T834" t="str" s="964" cm="1">
        <f t="array" ref="T834">IF(OR(ISBLANK($B834),NOT(ISBLANK(B834))),"",'tracking - Table 2-1-2'!E$66)</f>
      </c>
      <c r="U834" t="str" s="969" cm="1">
        <f t="array" ref="U834">IF(OR(ISBLANK($B834),ISBLANK('tracking - Table 2-1-2'!A$1)),"",'tracking - Table 2-1-2'!F$66)</f>
      </c>
    </row>
    <row r="835" ht="8.75" customHeight="1" hidden="1">
      <c r="A835" s="960">
        <v>45174</v>
      </c>
      <c r="B835" s="961">
        <v>84.05</v>
      </c>
      <c r="C835" s="965" cm="1">
        <f t="array" ref="C835">IF(ISBLANK(B835),"",B835*2.2046226218)</f>
        <v>185.298531362290</v>
      </c>
      <c r="D835" s="962" cm="1">
        <f t="array" ref="D835">IF(ISBLANK(B835),"",AVERAGE(B829:B835))</f>
        <v>83.9916666666667</v>
      </c>
      <c r="E835" s="962" cm="1">
        <f t="array" ref="E835">IF(ISBLANK(B835),"",AVERAGE(B822:B835))</f>
        <v>83.9384615384615</v>
      </c>
      <c r="F835" s="962" cm="1">
        <f t="array" ref="F835">IF(ISBLANK(B835),"",AVERAGE(B806:B835))</f>
        <v>83.6241379310345</v>
      </c>
      <c r="G835" s="964"/>
      <c r="H835" s="964"/>
      <c r="I835" s="964"/>
      <c r="J835" s="964"/>
      <c r="K835" s="964"/>
      <c r="L835" s="964"/>
      <c r="M835" s="964"/>
      <c r="N835" s="964"/>
      <c r="O835" s="964"/>
      <c r="P835" s="964"/>
      <c r="Q835" s="962"/>
      <c r="R835" t="str" s="964" cm="1">
        <f t="array" ref="R835">IF(OR(ISBLANK($B835),NOT(ISBLANK(B835))),"",'tracking - Table 2-1-2'!C$66)</f>
      </c>
      <c r="S835" t="str" s="964" cm="1">
        <f t="array" ref="S835">IF(OR(ISBLANK($B835),NOT(ISBLANK(B835))),"",'tracking - Table 2-1-2'!D$66)</f>
      </c>
      <c r="T835" t="str" s="964" cm="1">
        <f t="array" ref="T835">IF(OR(ISBLANK($B835),NOT(ISBLANK(B835))),"",'tracking - Table 2-1-2'!E$66)</f>
      </c>
      <c r="U835" t="str" s="969" cm="1">
        <f t="array" ref="U835">IF(OR(ISBLANK($B835),ISBLANK('tracking - Table 2-1-2'!A$1)),"",'tracking - Table 2-1-2'!F$66)</f>
      </c>
    </row>
    <row r="836" ht="8.75" customHeight="1" hidden="1">
      <c r="A836" s="960">
        <v>45175</v>
      </c>
      <c r="B836" s="961">
        <v>84.90000000000001</v>
      </c>
      <c r="C836" s="965" cm="1">
        <f t="array" ref="C836">IF(ISBLANK(B836),"",B836*2.2046226218)</f>
        <v>187.172460590820</v>
      </c>
      <c r="D836" s="962" cm="1">
        <f t="array" ref="D836">IF(ISBLANK(B836),"",AVERAGE(B830:B836))</f>
        <v>84.2083333333333</v>
      </c>
      <c r="E836" s="962" cm="1">
        <f t="array" ref="E836">IF(ISBLANK(B836),"",AVERAGE(B823:B836))</f>
        <v>84.0038461538462</v>
      </c>
      <c r="F836" s="962" cm="1">
        <f t="array" ref="F836">IF(ISBLANK(B836),"",AVERAGE(B807:B836))</f>
        <v>83.6551724137931</v>
      </c>
      <c r="G836" s="964"/>
      <c r="H836" s="964"/>
      <c r="I836" s="964"/>
      <c r="J836" s="964"/>
      <c r="K836" s="964"/>
      <c r="L836" s="964"/>
      <c r="M836" s="964"/>
      <c r="N836" s="964"/>
      <c r="O836" s="964"/>
      <c r="P836" s="964"/>
      <c r="Q836" s="962"/>
      <c r="R836" t="str" s="964" cm="1">
        <f t="array" ref="R836">IF(OR(ISBLANK($B836),NOT(ISBLANK(B836))),"",'tracking - Table 2-1-2'!C$66)</f>
      </c>
      <c r="S836" t="str" s="964" cm="1">
        <f t="array" ref="S836">IF(OR(ISBLANK($B836),NOT(ISBLANK(B836))),"",'tracking - Table 2-1-2'!D$66)</f>
      </c>
      <c r="T836" t="str" s="964" cm="1">
        <f t="array" ref="T836">IF(OR(ISBLANK($B836),NOT(ISBLANK(B836))),"",'tracking - Table 2-1-2'!E$66)</f>
      </c>
      <c r="U836" t="str" s="969" cm="1">
        <f t="array" ref="U836">IF(OR(ISBLANK($B836),ISBLANK('tracking - Table 2-1-2'!A$1)),"",'tracking - Table 2-1-2'!F$66)</f>
      </c>
    </row>
    <row r="837" ht="8.75" customHeight="1" hidden="1">
      <c r="A837" s="960">
        <v>45176</v>
      </c>
      <c r="B837" s="961">
        <v>84.90000000000001</v>
      </c>
      <c r="C837" s="965" cm="1">
        <f t="array" ref="C837">IF(ISBLANK(B837),"",B837*2.2046226218)</f>
        <v>187.172460590820</v>
      </c>
      <c r="D837" s="962" cm="1">
        <f t="array" ref="D837">IF(ISBLANK(B837),"",AVERAGE(B831:B837))</f>
        <v>84.425</v>
      </c>
      <c r="E837" s="962" cm="1">
        <f t="array" ref="E837">IF(ISBLANK(B837),"",AVERAGE(B824:B837))</f>
        <v>84.09999999999999</v>
      </c>
      <c r="F837" s="962" cm="1">
        <f t="array" ref="F837">IF(ISBLANK(B837),"",AVERAGE(B808:B837))</f>
        <v>83.7103448275862</v>
      </c>
      <c r="G837" s="964"/>
      <c r="H837" s="964"/>
      <c r="I837" s="964"/>
      <c r="J837" s="964"/>
      <c r="K837" s="964"/>
      <c r="L837" s="964"/>
      <c r="M837" s="964"/>
      <c r="N837" s="964"/>
      <c r="O837" s="964"/>
      <c r="P837" s="964"/>
      <c r="Q837" s="962"/>
      <c r="R837" t="str" s="964" cm="1">
        <f t="array" ref="R837">IF(OR(ISBLANK($B837),NOT(ISBLANK(B837))),"",'tracking - Table 2-1-2'!C$66)</f>
      </c>
      <c r="S837" t="str" s="964" cm="1">
        <f t="array" ref="S837">IF(OR(ISBLANK($B837),NOT(ISBLANK(B837))),"",'tracking - Table 2-1-2'!D$66)</f>
      </c>
      <c r="T837" t="str" s="964" cm="1">
        <f t="array" ref="T837">IF(OR(ISBLANK($B837),NOT(ISBLANK(B837))),"",'tracking - Table 2-1-2'!E$66)</f>
      </c>
      <c r="U837" t="str" s="969" cm="1">
        <f t="array" ref="U837">IF(OR(ISBLANK($B837),ISBLANK('tracking - Table 2-1-2'!A$1)),"",'tracking - Table 2-1-2'!F$66)</f>
      </c>
    </row>
    <row r="838" ht="8.75" customHeight="1" hidden="1">
      <c r="A838" s="960">
        <v>45177</v>
      </c>
      <c r="B838" s="961">
        <v>84.90000000000001</v>
      </c>
      <c r="C838" s="965" cm="1">
        <f t="array" ref="C838">IF(ISBLANK(B838),"",B838*2.2046226218)</f>
        <v>187.172460590820</v>
      </c>
      <c r="D838" s="962" cm="1">
        <f t="array" ref="D838">IF(ISBLANK(B838),"",AVERAGE(B832:B838))</f>
        <v>84.5916666666667</v>
      </c>
      <c r="E838" s="962" cm="1">
        <f t="array" ref="E838">IF(ISBLANK(B838),"",AVERAGE(B825:B838))</f>
        <v>84.19615384615381</v>
      </c>
      <c r="F838" s="962" cm="1">
        <f t="array" ref="F838">IF(ISBLANK(B838),"",AVERAGE(B809:B838))</f>
        <v>83.7655172413793</v>
      </c>
      <c r="G838" s="964"/>
      <c r="H838" s="964"/>
      <c r="I838" s="964"/>
      <c r="J838" s="964"/>
      <c r="K838" s="964"/>
      <c r="L838" s="964"/>
      <c r="M838" s="964"/>
      <c r="N838" s="964"/>
      <c r="O838" s="964"/>
      <c r="P838" s="964"/>
      <c r="Q838" s="962"/>
      <c r="R838" t="str" s="964" cm="1">
        <f t="array" ref="R838">IF(OR(ISBLANK($B838),NOT(ISBLANK(B838))),"",'tracking - Table 2-1-2'!C$66)</f>
      </c>
      <c r="S838" t="str" s="964" cm="1">
        <f t="array" ref="S838">IF(OR(ISBLANK($B838),NOT(ISBLANK(B838))),"",'tracking - Table 2-1-2'!D$66)</f>
      </c>
      <c r="T838" t="str" s="964" cm="1">
        <f t="array" ref="T838">IF(OR(ISBLANK($B838),NOT(ISBLANK(B838))),"",'tracking - Table 2-1-2'!E$66)</f>
      </c>
      <c r="U838" t="str" s="969" cm="1">
        <f t="array" ref="U838">IF(OR(ISBLANK($B838),ISBLANK('tracking - Table 2-1-2'!A$1)),"",'tracking - Table 2-1-2'!F$66)</f>
      </c>
    </row>
    <row r="839" ht="8.75" customHeight="1" hidden="1">
      <c r="A839" s="960">
        <v>45178</v>
      </c>
      <c r="B839" s="961">
        <v>84.90000000000001</v>
      </c>
      <c r="C839" s="965" cm="1">
        <f t="array" ref="C839">IF(ISBLANK(B839),"",B839*2.2046226218)</f>
        <v>187.172460590820</v>
      </c>
      <c r="D839" s="962" cm="1">
        <f t="array" ref="D839">IF(ISBLANK(B839),"",AVERAGE(B833:B839))</f>
        <v>84.675</v>
      </c>
      <c r="E839" s="962" cm="1">
        <f t="array" ref="E839">IF(ISBLANK(B839),"",AVERAGE(B826:B839))</f>
        <v>84.3423076923077</v>
      </c>
      <c r="F839" s="962" cm="1">
        <f t="array" ref="F839">IF(ISBLANK(B839),"",AVERAGE(B810:B839))</f>
        <v>83.8206896551724</v>
      </c>
      <c r="G839" s="964"/>
      <c r="H839" s="964"/>
      <c r="I839" s="964"/>
      <c r="J839" s="964"/>
      <c r="K839" s="964"/>
      <c r="L839" s="964"/>
      <c r="M839" s="964"/>
      <c r="N839" s="964"/>
      <c r="O839" s="964"/>
      <c r="P839" s="964"/>
      <c r="Q839" s="962"/>
      <c r="R839" t="str" s="964" cm="1">
        <f t="array" ref="R839">IF(OR(ISBLANK($B839),NOT(ISBLANK(B839))),"",'tracking - Table 2-1-2'!C$66)</f>
      </c>
      <c r="S839" t="str" s="964" cm="1">
        <f t="array" ref="S839">IF(OR(ISBLANK($B839),NOT(ISBLANK(B839))),"",'tracking - Table 2-1-2'!D$66)</f>
      </c>
      <c r="T839" t="str" s="964" cm="1">
        <f t="array" ref="T839">IF(OR(ISBLANK($B839),NOT(ISBLANK(B839))),"",'tracking - Table 2-1-2'!E$66)</f>
      </c>
      <c r="U839" t="str" s="969" cm="1">
        <f t="array" ref="U839">IF(OR(ISBLANK($B839),ISBLANK('tracking - Table 2-1-2'!A$1)),"",'tracking - Table 2-1-2'!F$66)</f>
      </c>
    </row>
    <row r="840" ht="8.75" customHeight="1" hidden="1">
      <c r="A840" s="960">
        <v>45179</v>
      </c>
      <c r="B840" s="961">
        <v>84.90000000000001</v>
      </c>
      <c r="C840" s="965" cm="1">
        <f t="array" ref="C840">IF(ISBLANK(B840),"",B840*2.2046226218)</f>
        <v>187.172460590820</v>
      </c>
      <c r="D840" s="962" cm="1">
        <f t="array" ref="D840">IF(ISBLANK(B840),"",AVERAGE(B834:B840))</f>
        <v>84.7583333333333</v>
      </c>
      <c r="E840" s="962" cm="1">
        <f t="array" ref="E840">IF(ISBLANK(B840),"",AVERAGE(B827:B840))</f>
        <v>84.4115384615385</v>
      </c>
      <c r="F840" s="962" cm="1">
        <f t="array" ref="F840">IF(ISBLANK(B840),"",AVERAGE(B811:B840))</f>
        <v>83.8879310344828</v>
      </c>
      <c r="G840" s="964"/>
      <c r="H840" s="964"/>
      <c r="I840" s="964"/>
      <c r="J840" s="964"/>
      <c r="K840" s="964"/>
      <c r="L840" s="964"/>
      <c r="M840" s="964"/>
      <c r="N840" s="964"/>
      <c r="O840" s="964"/>
      <c r="P840" s="964"/>
      <c r="Q840" s="962"/>
      <c r="R840" t="str" s="964" cm="1">
        <f t="array" ref="R840">IF(OR(ISBLANK($B840),NOT(ISBLANK(B840))),"",'tracking - Table 2-1-2'!C$66)</f>
      </c>
      <c r="S840" t="str" s="964" cm="1">
        <f t="array" ref="S840">IF(OR(ISBLANK($B840),NOT(ISBLANK(B840))),"",'tracking - Table 2-1-2'!D$66)</f>
      </c>
      <c r="T840" t="str" s="964" cm="1">
        <f t="array" ref="T840">IF(OR(ISBLANK($B840),NOT(ISBLANK(B840))),"",'tracking - Table 2-1-2'!E$66)</f>
      </c>
      <c r="U840" t="str" s="969" cm="1">
        <f t="array" ref="U840">IF(OR(ISBLANK($B840),ISBLANK('tracking - Table 2-1-2'!A$1)),"",'tracking - Table 2-1-2'!F$66)</f>
      </c>
    </row>
    <row r="841" ht="8.75" customHeight="1" hidden="1">
      <c r="A841" s="960">
        <v>45180</v>
      </c>
      <c r="B841" s="356"/>
      <c r="C841" t="str" s="352" cm="1">
        <f t="array" ref="C841">IF(ISBLANK(B841),"",B841*2.2046226218)</f>
      </c>
      <c r="D841" t="str" s="964" cm="1">
        <f t="array" ref="D841">IF(ISBLANK(B841),"",AVERAGE(B835:B841))</f>
      </c>
      <c r="E841" t="str" s="964" cm="1">
        <f t="array" ref="E841">IF(ISBLANK(B841),"",AVERAGE(B828:B841))</f>
      </c>
      <c r="F841" t="str" s="964" cm="1">
        <f t="array" ref="F841">IF(ISBLANK(B841),"",AVERAGE(B812:B841))</f>
      </c>
      <c r="G841" s="964"/>
      <c r="H841" s="964"/>
      <c r="I841" s="964"/>
      <c r="J841" s="964"/>
      <c r="K841" s="964"/>
      <c r="L841" s="964"/>
      <c r="M841" s="964"/>
      <c r="N841" s="964"/>
      <c r="O841" s="964"/>
      <c r="P841" s="964"/>
      <c r="Q841" s="962"/>
      <c r="R841" t="str" s="964" cm="1">
        <f t="array" ref="R841">IF(OR(ISBLANK($B841),NOT(ISBLANK(B841))),"",'tracking - Table 2-1-2'!C$66)</f>
      </c>
      <c r="S841" t="str" s="964" cm="1">
        <f t="array" ref="S841">IF(OR(ISBLANK($B841),NOT(ISBLANK(B841))),"",'tracking - Table 2-1-2'!D$66)</f>
      </c>
      <c r="T841" t="str" s="964" cm="1">
        <f t="array" ref="T841">IF(OR(ISBLANK($B841),NOT(ISBLANK(B841))),"",'tracking - Table 2-1-2'!E$66)</f>
      </c>
      <c r="U841" t="str" s="969" cm="1">
        <f t="array" ref="U841">IF(OR(ISBLANK($B841),ISBLANK('tracking - Table 2-1-2'!A$1)),"",'tracking - Table 2-1-2'!F$66)</f>
      </c>
    </row>
    <row r="842" ht="8.75" customHeight="1" hidden="1">
      <c r="A842" s="960">
        <v>45181</v>
      </c>
      <c r="B842" s="961">
        <v>84.90000000000001</v>
      </c>
      <c r="C842" s="965" cm="1">
        <f t="array" ref="C842">IF(ISBLANK(B842),"",B842*2.2046226218)</f>
        <v>187.172460590820</v>
      </c>
      <c r="D842" s="962" cm="1">
        <f t="array" ref="D842">IF(ISBLANK(B842),"",AVERAGE(B836:B842))</f>
        <v>84.90000000000001</v>
      </c>
      <c r="E842" s="962" cm="1">
        <f t="array" ref="E842">IF(ISBLANK(B842),"",AVERAGE(B829:B842))</f>
        <v>84.4458333333333</v>
      </c>
      <c r="F842" s="962" cm="1">
        <f t="array" ref="F842">IF(ISBLANK(B842),"",AVERAGE(B813:B842))</f>
        <v>83.9785714285714</v>
      </c>
      <c r="G842" s="964"/>
      <c r="H842" s="964"/>
      <c r="I842" s="964"/>
      <c r="J842" s="964"/>
      <c r="K842" s="964"/>
      <c r="L842" s="964"/>
      <c r="M842" s="964"/>
      <c r="N842" s="964"/>
      <c r="O842" s="964"/>
      <c r="P842" s="964"/>
      <c r="Q842" s="962"/>
      <c r="R842" t="str" s="964" cm="1">
        <f t="array" ref="R842">IF(OR(ISBLANK($B842),NOT(ISBLANK(B842))),"",'tracking - Table 2-1-2'!C$66)</f>
      </c>
      <c r="S842" t="str" s="964" cm="1">
        <f t="array" ref="S842">IF(OR(ISBLANK($B842),NOT(ISBLANK(B842))),"",'tracking - Table 2-1-2'!D$66)</f>
      </c>
      <c r="T842" t="str" s="964" cm="1">
        <f t="array" ref="T842">IF(OR(ISBLANK($B842),NOT(ISBLANK(B842))),"",'tracking - Table 2-1-2'!E$66)</f>
      </c>
      <c r="U842" t="str" s="969" cm="1">
        <f t="array" ref="U842">IF(OR(ISBLANK($B842),ISBLANK('tracking - Table 2-1-2'!A$1)),"",'tracking - Table 2-1-2'!F$66)</f>
      </c>
    </row>
    <row r="843" ht="8.75" customHeight="1" hidden="1">
      <c r="A843" s="960">
        <v>45182</v>
      </c>
      <c r="B843" s="961">
        <v>84.90000000000001</v>
      </c>
      <c r="C843" s="965" cm="1">
        <f t="array" ref="C843">IF(ISBLANK(B843),"",B843*2.2046226218)</f>
        <v>187.172460590820</v>
      </c>
      <c r="D843" s="962" cm="1">
        <f t="array" ref="D843">IF(ISBLANK(B843),"",AVERAGE(B837:B843))</f>
        <v>84.90000000000001</v>
      </c>
      <c r="E843" s="962" cm="1">
        <f t="array" ref="E843">IF(ISBLANK(B843),"",AVERAGE(B830:B843))</f>
        <v>84.5541666666667</v>
      </c>
      <c r="F843" s="962" cm="1">
        <f t="array" ref="F843">IF(ISBLANK(B843),"",AVERAGE(B814:B843))</f>
        <v>84.0107142857143</v>
      </c>
      <c r="G843" s="964"/>
      <c r="H843" s="964"/>
      <c r="I843" s="964"/>
      <c r="J843" s="964"/>
      <c r="K843" s="964"/>
      <c r="L843" s="964"/>
      <c r="M843" s="964"/>
      <c r="N843" s="964"/>
      <c r="O843" s="964"/>
      <c r="P843" s="964"/>
      <c r="Q843" s="962"/>
      <c r="R843" t="str" s="964" cm="1">
        <f t="array" ref="R843">IF(OR(ISBLANK($B843),NOT(ISBLANK(B843))),"",'tracking - Table 2-1-2'!C$66)</f>
      </c>
      <c r="S843" t="str" s="964" cm="1">
        <f t="array" ref="S843">IF(OR(ISBLANK($B843),NOT(ISBLANK(B843))),"",'tracking - Table 2-1-2'!D$66)</f>
      </c>
      <c r="T843" t="str" s="964" cm="1">
        <f t="array" ref="T843">IF(OR(ISBLANK($B843),NOT(ISBLANK(B843))),"",'tracking - Table 2-1-2'!E$66)</f>
      </c>
      <c r="U843" t="str" s="969" cm="1">
        <f t="array" ref="U843">IF(OR(ISBLANK($B843),ISBLANK('tracking - Table 2-1-2'!A$1)),"",'tracking - Table 2-1-2'!F$66)</f>
      </c>
    </row>
    <row r="844" ht="8.75" customHeight="1" hidden="1">
      <c r="A844" s="960">
        <v>45183</v>
      </c>
      <c r="B844" s="961">
        <v>85.2</v>
      </c>
      <c r="C844" s="965" cm="1">
        <f t="array" ref="C844">IF(ISBLANK(B844),"",B844*2.2046226218)</f>
        <v>187.833847377360</v>
      </c>
      <c r="D844" s="962" cm="1">
        <f t="array" ref="D844">IF(ISBLANK(B844),"",AVERAGE(B838:B844))</f>
        <v>84.95</v>
      </c>
      <c r="E844" s="962" cm="1">
        <f t="array" ref="E844">IF(ISBLANK(B844),"",AVERAGE(B831:B844))</f>
        <v>84.6875</v>
      </c>
      <c r="F844" s="962" cm="1">
        <f t="array" ref="F844">IF(ISBLANK(B844),"",AVERAGE(B815:B844))</f>
        <v>84.0910714285714</v>
      </c>
      <c r="G844" s="964"/>
      <c r="H844" s="964"/>
      <c r="I844" s="964"/>
      <c r="J844" s="964"/>
      <c r="K844" s="964"/>
      <c r="L844" s="964"/>
      <c r="M844" s="964"/>
      <c r="N844" s="964"/>
      <c r="O844" s="964"/>
      <c r="P844" s="964"/>
      <c r="Q844" s="962"/>
      <c r="R844" t="str" s="964" cm="1">
        <f t="array" ref="R844">IF(OR(ISBLANK($B844),NOT(ISBLANK(B844))),"",'tracking - Table 2-1-2'!C$66)</f>
      </c>
      <c r="S844" t="str" s="964" cm="1">
        <f t="array" ref="S844">IF(OR(ISBLANK($B844),NOT(ISBLANK(B844))),"",'tracking - Table 2-1-2'!D$66)</f>
      </c>
      <c r="T844" t="str" s="964" cm="1">
        <f t="array" ref="T844">IF(OR(ISBLANK($B844),NOT(ISBLANK(B844))),"",'tracking - Table 2-1-2'!E$66)</f>
      </c>
      <c r="U844" t="str" s="969" cm="1">
        <f t="array" ref="U844">IF(OR(ISBLANK($B844),ISBLANK('tracking - Table 2-1-2'!A$1)),"",'tracking - Table 2-1-2'!F$66)</f>
      </c>
    </row>
    <row r="845" ht="8.75" customHeight="1" hidden="1">
      <c r="A845" s="960">
        <v>45184</v>
      </c>
      <c r="B845" s="961">
        <v>85.55</v>
      </c>
      <c r="C845" s="965" cm="1">
        <f t="array" ref="C845">IF(ISBLANK(B845),"",B845*2.2046226218)</f>
        <v>188.605465294990</v>
      </c>
      <c r="D845" s="962" cm="1">
        <f t="array" ref="D845">IF(ISBLANK(B845),"",AVERAGE(B839:B845))</f>
        <v>85.05833333333329</v>
      </c>
      <c r="E845" s="962" cm="1">
        <f t="array" ref="E845">IF(ISBLANK(B845),"",AVERAGE(B832:B845))</f>
        <v>84.825</v>
      </c>
      <c r="F845" s="962" cm="1">
        <f t="array" ref="F845">IF(ISBLANK(B845),"",AVERAGE(B816:B845))</f>
        <v>84.18392857142859</v>
      </c>
      <c r="G845" s="964"/>
      <c r="H845" s="964"/>
      <c r="I845" s="964"/>
      <c r="J845" s="964"/>
      <c r="K845" s="964"/>
      <c r="L845" s="964"/>
      <c r="M845" s="964"/>
      <c r="N845" s="964"/>
      <c r="O845" s="964"/>
      <c r="P845" s="964"/>
      <c r="Q845" s="962"/>
      <c r="R845" t="str" s="964" cm="1">
        <f t="array" ref="R845">IF(OR(ISBLANK($B845),NOT(ISBLANK(B845))),"",'tracking - Table 2-1-2'!C$66)</f>
      </c>
      <c r="S845" t="str" s="964" cm="1">
        <f t="array" ref="S845">IF(OR(ISBLANK($B845),NOT(ISBLANK(B845))),"",'tracking - Table 2-1-2'!D$66)</f>
      </c>
      <c r="T845" t="str" s="964" cm="1">
        <f t="array" ref="T845">IF(OR(ISBLANK($B845),NOT(ISBLANK(B845))),"",'tracking - Table 2-1-2'!E$66)</f>
      </c>
      <c r="U845" t="str" s="969" cm="1">
        <f t="array" ref="U845">IF(OR(ISBLANK($B845),ISBLANK('tracking - Table 2-1-2'!A$1)),"",'tracking - Table 2-1-2'!F$66)</f>
      </c>
    </row>
    <row r="846" ht="8.75" customHeight="1" hidden="1">
      <c r="A846" s="960">
        <v>45185</v>
      </c>
      <c r="B846" s="961">
        <v>85.2</v>
      </c>
      <c r="C846" s="965" cm="1">
        <f t="array" ref="C846">IF(ISBLANK(B846),"",B846*2.2046226218)</f>
        <v>187.833847377360</v>
      </c>
      <c r="D846" s="962" cm="1">
        <f t="array" ref="D846">IF(ISBLANK(B846),"",AVERAGE(B840:B846))</f>
        <v>85.10833333333331</v>
      </c>
      <c r="E846" s="962" cm="1">
        <f t="array" ref="E846">IF(ISBLANK(B846),"",AVERAGE(B833:B846))</f>
        <v>84.89166666666669</v>
      </c>
      <c r="F846" s="962" cm="1">
        <f t="array" ref="F846">IF(ISBLANK(B846),"",AVERAGE(B817:B846))</f>
        <v>84.26428571428571</v>
      </c>
      <c r="G846" s="964"/>
      <c r="H846" s="964"/>
      <c r="I846" s="964"/>
      <c r="J846" s="964"/>
      <c r="K846" s="964"/>
      <c r="L846" s="964"/>
      <c r="M846" s="964"/>
      <c r="N846" s="964"/>
      <c r="O846" s="964"/>
      <c r="P846" s="964"/>
      <c r="Q846" s="962"/>
      <c r="R846" t="str" s="964" cm="1">
        <f t="array" ref="R846">IF(OR(ISBLANK($B846),NOT(ISBLANK(B846))),"",'tracking - Table 2-1-2'!C$66)</f>
      </c>
      <c r="S846" t="str" s="964" cm="1">
        <f t="array" ref="S846">IF(OR(ISBLANK($B846),NOT(ISBLANK(B846))),"",'tracking - Table 2-1-2'!D$66)</f>
      </c>
      <c r="T846" t="str" s="964" cm="1">
        <f t="array" ref="T846">IF(OR(ISBLANK($B846),NOT(ISBLANK(B846))),"",'tracking - Table 2-1-2'!E$66)</f>
      </c>
      <c r="U846" t="str" s="969" cm="1">
        <f t="array" ref="U846">IF(OR(ISBLANK($B846),ISBLANK('tracking - Table 2-1-2'!A$1)),"",'tracking - Table 2-1-2'!F$66)</f>
      </c>
    </row>
    <row r="847" ht="8.75" customHeight="1" hidden="1">
      <c r="A847" s="960">
        <v>45186</v>
      </c>
      <c r="B847" s="961">
        <v>85.2</v>
      </c>
      <c r="C847" s="965" cm="1">
        <f t="array" ref="C847">IF(ISBLANK(B847),"",B847*2.2046226218)</f>
        <v>187.833847377360</v>
      </c>
      <c r="D847" s="962" cm="1">
        <f t="array" ref="D847">IF(ISBLANK(B847),"",AVERAGE(B841:B847))</f>
        <v>85.1583333333333</v>
      </c>
      <c r="E847" s="962" cm="1">
        <f t="array" ref="E847">IF(ISBLANK(B847),"",AVERAGE(B834:B847))</f>
        <v>84.9583333333333</v>
      </c>
      <c r="F847" s="962" cm="1">
        <f t="array" ref="F847">IF(ISBLANK(B847),"",AVERAGE(B818:B847))</f>
        <v>84.3446428571429</v>
      </c>
      <c r="G847" s="964"/>
      <c r="H847" s="964"/>
      <c r="I847" s="964"/>
      <c r="J847" s="964"/>
      <c r="K847" s="964"/>
      <c r="L847" s="964"/>
      <c r="M847" s="964"/>
      <c r="N847" s="964"/>
      <c r="O847" s="964"/>
      <c r="P847" s="964"/>
      <c r="Q847" s="962"/>
      <c r="R847" t="str" s="964" cm="1">
        <f t="array" ref="R847">IF(OR(ISBLANK($B847),NOT(ISBLANK(B847))),"",'tracking - Table 2-1-2'!C$66)</f>
      </c>
      <c r="S847" t="str" s="964" cm="1">
        <f t="array" ref="S847">IF(OR(ISBLANK($B847),NOT(ISBLANK(B847))),"",'tracking - Table 2-1-2'!D$66)</f>
      </c>
      <c r="T847" t="str" s="964" cm="1">
        <f t="array" ref="T847">IF(OR(ISBLANK($B847),NOT(ISBLANK(B847))),"",'tracking - Table 2-1-2'!E$66)</f>
      </c>
      <c r="U847" t="str" s="969" cm="1">
        <f t="array" ref="U847">IF(OR(ISBLANK($B847),ISBLANK('tracking - Table 2-1-2'!A$1)),"",'tracking - Table 2-1-2'!F$66)</f>
      </c>
    </row>
    <row r="848" ht="8.75" customHeight="1" hidden="1">
      <c r="A848" s="960">
        <v>45187</v>
      </c>
      <c r="B848" s="961">
        <v>84.90000000000001</v>
      </c>
      <c r="C848" s="965" cm="1">
        <f t="array" ref="C848">IF(ISBLANK(B848),"",B848*2.2046226218)</f>
        <v>187.172460590820</v>
      </c>
      <c r="D848" s="962" cm="1">
        <f t="array" ref="D848">IF(ISBLANK(B848),"",AVERAGE(B842:B848))</f>
        <v>85.12142857142859</v>
      </c>
      <c r="E848" s="962" cm="1">
        <f t="array" ref="E848">IF(ISBLANK(B848),"",AVERAGE(B835:B848))</f>
        <v>84.9538461538462</v>
      </c>
      <c r="F848" s="962" cm="1">
        <f t="array" ref="F848">IF(ISBLANK(B848),"",AVERAGE(B819:B848))</f>
        <v>84.38928571428571</v>
      </c>
      <c r="G848" s="964"/>
      <c r="H848" s="964"/>
      <c r="I848" s="964"/>
      <c r="J848" s="964"/>
      <c r="K848" s="964"/>
      <c r="L848" s="964"/>
      <c r="M848" s="964"/>
      <c r="N848" s="964"/>
      <c r="O848" s="964"/>
      <c r="P848" s="964"/>
      <c r="Q848" s="962"/>
      <c r="R848" t="str" s="964" cm="1">
        <f t="array" ref="R848">IF(OR(ISBLANK($B848),NOT(ISBLANK(B848))),"",'tracking - Table 2-1-2'!C$66)</f>
      </c>
      <c r="S848" t="str" s="964" cm="1">
        <f t="array" ref="S848">IF(OR(ISBLANK($B848),NOT(ISBLANK(B848))),"",'tracking - Table 2-1-2'!D$66)</f>
      </c>
      <c r="T848" t="str" s="964" cm="1">
        <f t="array" ref="T848">IF(OR(ISBLANK($B848),NOT(ISBLANK(B848))),"",'tracking - Table 2-1-2'!E$66)</f>
      </c>
      <c r="U848" t="str" s="969" cm="1">
        <f t="array" ref="U848">IF(OR(ISBLANK($B848),ISBLANK('tracking - Table 2-1-2'!A$1)),"",'tracking - Table 2-1-2'!F$66)</f>
      </c>
    </row>
    <row r="849" ht="8.75" customHeight="1" hidden="1">
      <c r="A849" s="960">
        <v>45188</v>
      </c>
      <c r="B849" s="961">
        <v>84.90000000000001</v>
      </c>
      <c r="C849" s="965" cm="1">
        <f t="array" ref="C849">IF(ISBLANK(B849),"",B849*2.2046226218)</f>
        <v>187.172460590820</v>
      </c>
      <c r="D849" s="962" cm="1">
        <f t="array" ref="D849">IF(ISBLANK(B849),"",AVERAGE(B843:B849))</f>
        <v>85.12142857142859</v>
      </c>
      <c r="E849" s="962" cm="1">
        <f t="array" ref="E849">IF(ISBLANK(B849),"",AVERAGE(B836:B849))</f>
        <v>85.0192307692308</v>
      </c>
      <c r="F849" s="962" cm="1">
        <f t="array" ref="F849">IF(ISBLANK(B849),"",AVERAGE(B820:B849))</f>
        <v>84.43392857142859</v>
      </c>
      <c r="G849" s="964"/>
      <c r="H849" s="964"/>
      <c r="I849" s="964"/>
      <c r="J849" s="964"/>
      <c r="K849" s="964"/>
      <c r="L849" s="964"/>
      <c r="M849" s="964"/>
      <c r="N849" s="964"/>
      <c r="O849" s="964"/>
      <c r="P849" s="964"/>
      <c r="Q849" s="962"/>
      <c r="R849" t="str" s="964" cm="1">
        <f t="array" ref="R849">IF(OR(ISBLANK($B849),NOT(ISBLANK(B849))),"",'tracking - Table 2-1-2'!C$66)</f>
      </c>
      <c r="S849" t="str" s="964" cm="1">
        <f t="array" ref="S849">IF(OR(ISBLANK($B849),NOT(ISBLANK(B849))),"",'tracking - Table 2-1-2'!D$66)</f>
      </c>
      <c r="T849" t="str" s="964" cm="1">
        <f t="array" ref="T849">IF(OR(ISBLANK($B849),NOT(ISBLANK(B849))),"",'tracking - Table 2-1-2'!E$66)</f>
      </c>
      <c r="U849" t="str" s="969" cm="1">
        <f t="array" ref="U849">IF(OR(ISBLANK($B849),ISBLANK('tracking - Table 2-1-2'!A$1)),"",'tracking - Table 2-1-2'!F$66)</f>
      </c>
    </row>
    <row r="850" ht="8.75" customHeight="1" hidden="1">
      <c r="A850" s="960">
        <v>45189</v>
      </c>
      <c r="B850" s="961">
        <v>85.55</v>
      </c>
      <c r="C850" s="965" cm="1">
        <f t="array" ref="C850">IF(ISBLANK(B850),"",B850*2.2046226218)</f>
        <v>188.605465294990</v>
      </c>
      <c r="D850" s="962" cm="1">
        <f t="array" ref="D850">IF(ISBLANK(B850),"",AVERAGE(B844:B850))</f>
        <v>85.21428571428569</v>
      </c>
      <c r="E850" s="962" cm="1">
        <f t="array" ref="E850">IF(ISBLANK(B850),"",AVERAGE(B837:B850))</f>
        <v>85.0692307692308</v>
      </c>
      <c r="F850" s="962" cm="1">
        <f t="array" ref="F850">IF(ISBLANK(B850),"",AVERAGE(B821:B850))</f>
        <v>84.4875</v>
      </c>
      <c r="G850" s="964"/>
      <c r="H850" s="964"/>
      <c r="I850" s="964"/>
      <c r="J850" s="964"/>
      <c r="K850" s="964"/>
      <c r="L850" s="964"/>
      <c r="M850" s="964"/>
      <c r="N850" s="964"/>
      <c r="O850" s="964"/>
      <c r="P850" s="964"/>
      <c r="Q850" s="962"/>
      <c r="R850" t="str" s="964" cm="1">
        <f t="array" ref="R850">IF(OR(ISBLANK($B850),NOT(ISBLANK(B850))),"",'tracking - Table 2-1-2'!C$66)</f>
      </c>
      <c r="S850" t="str" s="964" cm="1">
        <f t="array" ref="S850">IF(OR(ISBLANK($B850),NOT(ISBLANK(B850))),"",'tracking - Table 2-1-2'!D$66)</f>
      </c>
      <c r="T850" t="str" s="964" cm="1">
        <f t="array" ref="T850">IF(OR(ISBLANK($B850),NOT(ISBLANK(B850))),"",'tracking - Table 2-1-2'!E$66)</f>
      </c>
      <c r="U850" t="str" s="969" cm="1">
        <f t="array" ref="U850">IF(OR(ISBLANK($B850),ISBLANK('tracking - Table 2-1-2'!A$1)),"",'tracking - Table 2-1-2'!F$66)</f>
      </c>
    </row>
    <row r="851" ht="8.75" customHeight="1" hidden="1">
      <c r="A851" s="960">
        <v>45190</v>
      </c>
      <c r="B851" s="961">
        <v>85.2</v>
      </c>
      <c r="C851" s="965" cm="1">
        <f t="array" ref="C851">IF(ISBLANK(B851),"",B851*2.2046226218)</f>
        <v>187.833847377360</v>
      </c>
      <c r="D851" s="962" cm="1">
        <f t="array" ref="D851">IF(ISBLANK(B851),"",AVERAGE(B845:B851))</f>
        <v>85.21428571428569</v>
      </c>
      <c r="E851" s="962" cm="1">
        <f t="array" ref="E851">IF(ISBLANK(B851),"",AVERAGE(B838:B851))</f>
        <v>85.0923076923077</v>
      </c>
      <c r="F851" s="962" cm="1">
        <f t="array" ref="F851">IF(ISBLANK(B851),"",AVERAGE(B822:B851))</f>
        <v>84.5428571428571</v>
      </c>
      <c r="G851" s="964"/>
      <c r="H851" s="964"/>
      <c r="I851" s="964"/>
      <c r="J851" s="964"/>
      <c r="K851" s="964"/>
      <c r="L851" s="964"/>
      <c r="M851" s="964"/>
      <c r="N851" s="964"/>
      <c r="O851" s="964"/>
      <c r="P851" s="964"/>
      <c r="Q851" s="962"/>
      <c r="R851" t="str" s="964" cm="1">
        <f t="array" ref="R851">IF(OR(ISBLANK($B851),NOT(ISBLANK(B851))),"",'tracking - Table 2-1-2'!C$66)</f>
      </c>
      <c r="S851" t="str" s="964" cm="1">
        <f t="array" ref="S851">IF(OR(ISBLANK($B851),NOT(ISBLANK(B851))),"",'tracking - Table 2-1-2'!D$66)</f>
      </c>
      <c r="T851" t="str" s="964" cm="1">
        <f t="array" ref="T851">IF(OR(ISBLANK($B851),NOT(ISBLANK(B851))),"",'tracking - Table 2-1-2'!E$66)</f>
      </c>
      <c r="U851" t="str" s="969" cm="1">
        <f t="array" ref="U851">IF(OR(ISBLANK($B851),ISBLANK('tracking - Table 2-1-2'!A$1)),"",'tracking - Table 2-1-2'!F$66)</f>
      </c>
    </row>
    <row r="852" ht="8.75" customHeight="1" hidden="1">
      <c r="A852" s="960">
        <v>45191</v>
      </c>
      <c r="B852" s="961">
        <v>84.90000000000001</v>
      </c>
      <c r="C852" s="965" cm="1">
        <f t="array" ref="C852">IF(ISBLANK(B852),"",B852*2.2046226218)</f>
        <v>187.172460590820</v>
      </c>
      <c r="D852" s="962" cm="1">
        <f t="array" ref="D852">IF(ISBLANK(B852),"",AVERAGE(B846:B852))</f>
        <v>85.12142857142859</v>
      </c>
      <c r="E852" s="962" cm="1">
        <f t="array" ref="E852">IF(ISBLANK(B852),"",AVERAGE(B839:B852))</f>
        <v>85.0923076923077</v>
      </c>
      <c r="F852" s="962" cm="1">
        <f t="array" ref="F852">IF(ISBLANK(B852),"",AVERAGE(B823:B852))</f>
        <v>84.5732142857143</v>
      </c>
      <c r="G852" s="964"/>
      <c r="H852" s="964"/>
      <c r="I852" s="964"/>
      <c r="J852" s="964"/>
      <c r="K852" s="964"/>
      <c r="L852" s="964"/>
      <c r="M852" s="964"/>
      <c r="N852" s="964"/>
      <c r="O852" s="964"/>
      <c r="P852" s="964"/>
      <c r="Q852" s="962"/>
      <c r="R852" t="str" s="964" cm="1">
        <f t="array" ref="R852">IF(OR(ISBLANK($B852),NOT(ISBLANK(B852))),"",'tracking - Table 2-1-2'!C$66)</f>
      </c>
      <c r="S852" t="str" s="964" cm="1">
        <f t="array" ref="S852">IF(OR(ISBLANK($B852),NOT(ISBLANK(B852))),"",'tracking - Table 2-1-2'!D$66)</f>
      </c>
      <c r="T852" t="str" s="964" cm="1">
        <f t="array" ref="T852">IF(OR(ISBLANK($B852),NOT(ISBLANK(B852))),"",'tracking - Table 2-1-2'!E$66)</f>
      </c>
      <c r="U852" t="str" s="969" cm="1">
        <f t="array" ref="U852">IF(OR(ISBLANK($B852),ISBLANK('tracking - Table 2-1-2'!A$1)),"",'tracking - Table 2-1-2'!F$66)</f>
      </c>
    </row>
    <row r="853" ht="8.75" customHeight="1" hidden="1">
      <c r="A853" s="960">
        <v>45192</v>
      </c>
      <c r="B853" s="961">
        <v>86.25</v>
      </c>
      <c r="C853" s="965" cm="1">
        <f t="array" ref="C853">IF(ISBLANK(B853),"",B853*2.2046226218)</f>
        <v>190.148701130250</v>
      </c>
      <c r="D853" s="962" cm="1">
        <f t="array" ref="D853">IF(ISBLANK(B853),"",AVERAGE(B847:B853))</f>
        <v>85.2714285714286</v>
      </c>
      <c r="E853" s="962" cm="1">
        <f t="array" ref="E853">IF(ISBLANK(B853),"",AVERAGE(B840:B853))</f>
        <v>85.19615384615381</v>
      </c>
      <c r="F853" s="962" cm="1">
        <f t="array" ref="F853">IF(ISBLANK(B853),"",AVERAGE(B824:B853))</f>
        <v>84.6660714285714</v>
      </c>
      <c r="G853" s="964"/>
      <c r="H853" s="964"/>
      <c r="I853" s="964"/>
      <c r="J853" s="964"/>
      <c r="K853" s="964"/>
      <c r="L853" s="964"/>
      <c r="M853" s="964"/>
      <c r="N853" s="964"/>
      <c r="O853" s="964"/>
      <c r="P853" s="964"/>
      <c r="Q853" s="962"/>
      <c r="R853" t="str" s="964" cm="1">
        <f t="array" ref="R853">IF(OR(ISBLANK($B853),NOT(ISBLANK(B853))),"",'tracking - Table 2-1-2'!C$66)</f>
      </c>
      <c r="S853" t="str" s="964" cm="1">
        <f t="array" ref="S853">IF(OR(ISBLANK($B853),NOT(ISBLANK(B853))),"",'tracking - Table 2-1-2'!D$66)</f>
      </c>
      <c r="T853" t="str" s="964" cm="1">
        <f t="array" ref="T853">IF(OR(ISBLANK($B853),NOT(ISBLANK(B853))),"",'tracking - Table 2-1-2'!E$66)</f>
      </c>
      <c r="U853" t="str" s="969" cm="1">
        <f t="array" ref="U853">IF(OR(ISBLANK($B853),ISBLANK('tracking - Table 2-1-2'!A$1)),"",'tracking - Table 2-1-2'!F$66)</f>
      </c>
    </row>
    <row r="854" ht="8.75" customHeight="1" hidden="1">
      <c r="A854" s="960">
        <v>45193</v>
      </c>
      <c r="B854" s="961">
        <v>86.25</v>
      </c>
      <c r="C854" s="965" cm="1">
        <f t="array" ref="C854">IF(ISBLANK(B854),"",B854*2.2046226218)</f>
        <v>190.148701130250</v>
      </c>
      <c r="D854" s="962" cm="1">
        <f t="array" ref="D854">IF(ISBLANK(B854),"",AVERAGE(B848:B854))</f>
        <v>85.42142857142861</v>
      </c>
      <c r="E854" s="962" cm="1">
        <f t="array" ref="E854">IF(ISBLANK(B854),"",AVERAGE(B841:B854))</f>
        <v>85.3</v>
      </c>
      <c r="F854" s="962" cm="1">
        <f t="array" ref="F854">IF(ISBLANK(B854),"",AVERAGE(B825:B854))</f>
        <v>84.7589285714286</v>
      </c>
      <c r="G854" s="964"/>
      <c r="H854" s="964"/>
      <c r="I854" s="964"/>
      <c r="J854" s="964"/>
      <c r="K854" s="964"/>
      <c r="L854" s="964"/>
      <c r="M854" s="964"/>
      <c r="N854" s="964"/>
      <c r="O854" s="964"/>
      <c r="P854" s="964"/>
      <c r="Q854" s="962"/>
      <c r="R854" t="str" s="964" cm="1">
        <f t="array" ref="R854">IF(OR(ISBLANK($B854),NOT(ISBLANK(B854))),"",'tracking - Table 2-1-2'!C$66)</f>
      </c>
      <c r="S854" t="str" s="964" cm="1">
        <f t="array" ref="S854">IF(OR(ISBLANK($B854),NOT(ISBLANK(B854))),"",'tracking - Table 2-1-2'!D$66)</f>
      </c>
      <c r="T854" t="str" s="964" cm="1">
        <f t="array" ref="T854">IF(OR(ISBLANK($B854),NOT(ISBLANK(B854))),"",'tracking - Table 2-1-2'!E$66)</f>
      </c>
      <c r="U854" t="str" s="969" cm="1">
        <f t="array" ref="U854">IF(OR(ISBLANK($B854),ISBLANK('tracking - Table 2-1-2'!A$1)),"",'tracking - Table 2-1-2'!F$66)</f>
      </c>
    </row>
    <row r="855" ht="8.75" customHeight="1" hidden="1">
      <c r="A855" s="960">
        <v>45194</v>
      </c>
      <c r="B855" s="961">
        <v>85.2</v>
      </c>
      <c r="C855" s="965" cm="1">
        <f t="array" ref="C855">IF(ISBLANK(B855),"",B855*2.2046226218)</f>
        <v>187.833847377360</v>
      </c>
      <c r="D855" s="962" cm="1">
        <f t="array" ref="D855">IF(ISBLANK(B855),"",AVERAGE(B849:B855))</f>
        <v>85.46428571428569</v>
      </c>
      <c r="E855" s="962" cm="1">
        <f t="array" ref="E855">IF(ISBLANK(B855),"",AVERAGE(B842:B855))</f>
        <v>85.2928571428571</v>
      </c>
      <c r="F855" s="962" cm="1">
        <f t="array" ref="F855">IF(ISBLANK(B855),"",AVERAGE(B826:B855))</f>
        <v>84.83750000000001</v>
      </c>
      <c r="G855" s="964"/>
      <c r="H855" s="964"/>
      <c r="I855" s="964"/>
      <c r="J855" s="964"/>
      <c r="K855" s="964"/>
      <c r="L855" s="964"/>
      <c r="M855" s="964"/>
      <c r="N855" s="964"/>
      <c r="O855" s="964"/>
      <c r="P855" s="964"/>
      <c r="Q855" s="962"/>
      <c r="R855" t="str" s="964" cm="1">
        <f t="array" ref="R855">IF(OR(ISBLANK($B855),NOT(ISBLANK(B855))),"",'tracking - Table 2-1-2'!C$66)</f>
      </c>
      <c r="S855" t="str" s="964" cm="1">
        <f t="array" ref="S855">IF(OR(ISBLANK($B855),NOT(ISBLANK(B855))),"",'tracking - Table 2-1-2'!D$66)</f>
      </c>
      <c r="T855" t="str" s="964" cm="1">
        <f t="array" ref="T855">IF(OR(ISBLANK($B855),NOT(ISBLANK(B855))),"",'tracking - Table 2-1-2'!E$66)</f>
      </c>
      <c r="U855" t="str" s="969" cm="1">
        <f t="array" ref="U855">IF(OR(ISBLANK($B855),ISBLANK('tracking - Table 2-1-2'!A$1)),"",'tracking - Table 2-1-2'!F$66)</f>
      </c>
    </row>
    <row r="856" ht="8.75" customHeight="1" hidden="1">
      <c r="A856" s="960">
        <v>45195</v>
      </c>
      <c r="B856" s="961">
        <v>85.5</v>
      </c>
      <c r="C856" s="965" cm="1">
        <f t="array" ref="C856">IF(ISBLANK(B856),"",B856*2.2046226218)</f>
        <v>188.4952341639</v>
      </c>
      <c r="D856" s="962" cm="1">
        <f t="array" ref="D856">IF(ISBLANK(B856),"",AVERAGE(B850:B856))</f>
        <v>85.55</v>
      </c>
      <c r="E856" s="962" cm="1">
        <f t="array" ref="E856">IF(ISBLANK(B856),"",AVERAGE(B843:B856))</f>
        <v>85.3357142857143</v>
      </c>
      <c r="F856" s="962" cm="1">
        <f t="array" ref="F856">IF(ISBLANK(B856),"",AVERAGE(B827:B856))</f>
        <v>84.89107142857139</v>
      </c>
      <c r="G856" s="964"/>
      <c r="H856" s="964"/>
      <c r="I856" s="964"/>
      <c r="J856" s="964"/>
      <c r="K856" s="964"/>
      <c r="L856" s="964"/>
      <c r="M856" s="964"/>
      <c r="N856" s="964"/>
      <c r="O856" s="964"/>
      <c r="P856" s="964"/>
      <c r="Q856" s="962"/>
      <c r="R856" t="str" s="964" cm="1">
        <f t="array" ref="R856">IF(OR(ISBLANK($B856),NOT(ISBLANK(B856))),"",'tracking - Table 2-1-2'!C$66)</f>
      </c>
      <c r="S856" t="str" s="964" cm="1">
        <f t="array" ref="S856">IF(OR(ISBLANK($B856),NOT(ISBLANK(B856))),"",'tracking - Table 2-1-2'!D$66)</f>
      </c>
      <c r="T856" t="str" s="964" cm="1">
        <f t="array" ref="T856">IF(OR(ISBLANK($B856),NOT(ISBLANK(B856))),"",'tracking - Table 2-1-2'!E$66)</f>
      </c>
      <c r="U856" t="str" s="969" cm="1">
        <f t="array" ref="U856">IF(OR(ISBLANK($B856),ISBLANK('tracking - Table 2-1-2'!A$1)),"",'tracking - Table 2-1-2'!F$66)</f>
      </c>
    </row>
    <row r="857" ht="8.75" customHeight="1" hidden="1">
      <c r="A857" s="960">
        <v>45196</v>
      </c>
      <c r="B857" s="961">
        <v>85.8</v>
      </c>
      <c r="C857" s="965" cm="1">
        <f t="array" ref="C857">IF(ISBLANK(B857),"",B857*2.2046226218)</f>
        <v>189.156620950440</v>
      </c>
      <c r="D857" s="962" cm="1">
        <f t="array" ref="D857">IF(ISBLANK(B857),"",AVERAGE(B851:B857))</f>
        <v>85.5857142857143</v>
      </c>
      <c r="E857" s="962" cm="1">
        <f t="array" ref="E857">IF(ISBLANK(B857),"",AVERAGE(B844:B857))</f>
        <v>85.40000000000001</v>
      </c>
      <c r="F857" s="962" cm="1">
        <f t="array" ref="F857">IF(ISBLANK(B857),"",AVERAGE(B828:B857))</f>
        <v>84.9392857142857</v>
      </c>
      <c r="G857" s="964"/>
      <c r="H857" s="964"/>
      <c r="I857" s="964"/>
      <c r="J857" s="964"/>
      <c r="K857" s="964"/>
      <c r="L857" s="964"/>
      <c r="M857" s="964"/>
      <c r="N857" s="964"/>
      <c r="O857" s="964"/>
      <c r="P857" s="964"/>
      <c r="Q857" s="962"/>
      <c r="R857" t="str" s="964" cm="1">
        <f t="array" ref="R857">IF(OR(ISBLANK($B857),NOT(ISBLANK(B857))),"",'tracking - Table 2-1-2'!C$66)</f>
      </c>
      <c r="S857" t="str" s="964" cm="1">
        <f t="array" ref="S857">IF(OR(ISBLANK($B857),NOT(ISBLANK(B857))),"",'tracking - Table 2-1-2'!D$66)</f>
      </c>
      <c r="T857" t="str" s="964" cm="1">
        <f t="array" ref="T857">IF(OR(ISBLANK($B857),NOT(ISBLANK(B857))),"",'tracking - Table 2-1-2'!E$66)</f>
      </c>
      <c r="U857" t="str" s="969" cm="1">
        <f t="array" ref="U857">IF(OR(ISBLANK($B857),ISBLANK('tracking - Table 2-1-2'!A$1)),"",'tracking - Table 2-1-2'!F$66)</f>
      </c>
    </row>
    <row r="858" ht="8.75" customHeight="1" hidden="1">
      <c r="A858" s="960">
        <v>45197</v>
      </c>
      <c r="B858" s="961">
        <v>85</v>
      </c>
      <c r="C858" s="965" cm="1">
        <f t="array" ref="C858">IF(ISBLANK(B858),"",B858*2.2046226218)</f>
        <v>187.392922853</v>
      </c>
      <c r="D858" s="962" cm="1">
        <f t="array" ref="D858">IF(ISBLANK(B858),"",AVERAGE(B852:B858))</f>
        <v>85.55714285714291</v>
      </c>
      <c r="E858" s="962" cm="1">
        <f t="array" ref="E858">IF(ISBLANK(B858),"",AVERAGE(B845:B858))</f>
        <v>85.3857142857143</v>
      </c>
      <c r="F858" s="962" cm="1">
        <f t="array" ref="F858">IF(ISBLANK(B858),"",AVERAGE(B829:B858))</f>
        <v>84.9589285714286</v>
      </c>
      <c r="G858" s="964"/>
      <c r="H858" s="964"/>
      <c r="I858" s="964"/>
      <c r="J858" s="964"/>
      <c r="K858" s="964"/>
      <c r="L858" s="964"/>
      <c r="M858" s="964"/>
      <c r="N858" s="964"/>
      <c r="O858" s="964"/>
      <c r="P858" s="964"/>
      <c r="Q858" s="962"/>
      <c r="R858" t="str" s="964" cm="1">
        <f t="array" ref="R858">IF(OR(ISBLANK($B858),NOT(ISBLANK(B858))),"",'tracking - Table 2-1-2'!C$66)</f>
      </c>
      <c r="S858" t="str" s="964" cm="1">
        <f t="array" ref="S858">IF(OR(ISBLANK($B858),NOT(ISBLANK(B858))),"",'tracking - Table 2-1-2'!D$66)</f>
      </c>
      <c r="T858" t="str" s="964" cm="1">
        <f t="array" ref="T858">IF(OR(ISBLANK($B858),NOT(ISBLANK(B858))),"",'tracking - Table 2-1-2'!E$66)</f>
      </c>
      <c r="U858" t="str" s="969" cm="1">
        <f t="array" ref="U858">IF(OR(ISBLANK($B858),ISBLANK('tracking - Table 2-1-2'!A$1)),"",'tracking - Table 2-1-2'!F$66)</f>
      </c>
    </row>
    <row r="859" ht="8.75" customHeight="1" hidden="1">
      <c r="A859" s="960">
        <v>45198</v>
      </c>
      <c r="B859" s="961">
        <v>85.40000000000001</v>
      </c>
      <c r="C859" s="965" cm="1">
        <f t="array" ref="C859">IF(ISBLANK(B859),"",B859*2.2046226218)</f>
        <v>188.274771901720</v>
      </c>
      <c r="D859" s="962" cm="1">
        <f t="array" ref="D859">IF(ISBLANK(B859),"",AVERAGE(B853:B859))</f>
        <v>85.62857142857141</v>
      </c>
      <c r="E859" s="962" cm="1">
        <f t="array" ref="E859">IF(ISBLANK(B859),"",AVERAGE(B846:B859))</f>
        <v>85.375</v>
      </c>
      <c r="F859" s="962" cm="1">
        <f t="array" ref="F859">IF(ISBLANK(B859),"",AVERAGE(B830:B859))</f>
        <v>85.0232142857143</v>
      </c>
      <c r="G859" s="964"/>
      <c r="H859" s="964"/>
      <c r="I859" s="964"/>
      <c r="J859" s="964"/>
      <c r="K859" s="964"/>
      <c r="L859" s="964"/>
      <c r="M859" s="964"/>
      <c r="N859" s="964"/>
      <c r="O859" s="964"/>
      <c r="P859" s="964"/>
      <c r="Q859" s="962"/>
      <c r="R859" t="str" s="964" cm="1">
        <f t="array" ref="R859">IF(OR(ISBLANK($B859),NOT(ISBLANK(B859))),"",'tracking - Table 2-1-2'!C$66)</f>
      </c>
      <c r="S859" t="str" s="964" cm="1">
        <f t="array" ref="S859">IF(OR(ISBLANK($B859),NOT(ISBLANK(B859))),"",'tracking - Table 2-1-2'!D$66)</f>
      </c>
      <c r="T859" t="str" s="964" cm="1">
        <f t="array" ref="T859">IF(OR(ISBLANK($B859),NOT(ISBLANK(B859))),"",'tracking - Table 2-1-2'!E$66)</f>
      </c>
      <c r="U859" t="str" s="969" cm="1">
        <f t="array" ref="U859">IF(OR(ISBLANK($B859),ISBLANK('tracking - Table 2-1-2'!A$1)),"",'tracking - Table 2-1-2'!F$66)</f>
      </c>
    </row>
    <row r="860" ht="8.75" customHeight="1" hidden="1">
      <c r="A860" s="960">
        <v>45199</v>
      </c>
      <c r="B860" s="961">
        <v>85.40000000000001</v>
      </c>
      <c r="C860" s="965" cm="1">
        <f t="array" ref="C860">IF(ISBLANK(B860),"",B860*2.2046226218)</f>
        <v>188.274771901720</v>
      </c>
      <c r="D860" s="962" cm="1">
        <f t="array" ref="D860">IF(ISBLANK(B860),"",AVERAGE(B854:B860))</f>
        <v>85.5071428571429</v>
      </c>
      <c r="E860" s="962" cm="1">
        <f t="array" ref="E860">IF(ISBLANK(B860),"",AVERAGE(B847:B860))</f>
        <v>85.38928571428571</v>
      </c>
      <c r="F860" s="962" cm="1">
        <f t="array" ref="F860">IF(ISBLANK(B860),"",AVERAGE(B831:B860))</f>
        <v>85.08750000000001</v>
      </c>
      <c r="G860" s="964"/>
      <c r="H860" s="964"/>
      <c r="I860" s="964"/>
      <c r="J860" s="964"/>
      <c r="K860" s="964"/>
      <c r="L860" s="964"/>
      <c r="M860" s="964"/>
      <c r="N860" s="964"/>
      <c r="O860" s="964"/>
      <c r="P860" s="964"/>
      <c r="Q860" s="962"/>
      <c r="R860" t="str" s="964" cm="1">
        <f t="array" ref="R860">IF(OR(ISBLANK($B860),NOT(ISBLANK(B860))),"",'tracking - Table 2-1-2'!C$66)</f>
      </c>
      <c r="S860" t="str" s="964" cm="1">
        <f t="array" ref="S860">IF(OR(ISBLANK($B860),NOT(ISBLANK(B860))),"",'tracking - Table 2-1-2'!D$66)</f>
      </c>
      <c r="T860" t="str" s="964" cm="1">
        <f t="array" ref="T860">IF(OR(ISBLANK($B860),NOT(ISBLANK(B860))),"",'tracking - Table 2-1-2'!E$66)</f>
      </c>
      <c r="U860" t="str" s="969" cm="1">
        <f t="array" ref="U860">IF(OR(ISBLANK($B860),ISBLANK('tracking - Table 2-1-2'!A$1)),"",'tracking - Table 2-1-2'!F$66)</f>
      </c>
    </row>
    <row r="861" ht="20.55" customHeight="1">
      <c r="A861" s="921">
        <v>45200</v>
      </c>
      <c r="B861" s="11">
        <v>85.40000000000001</v>
      </c>
      <c r="C861" s="937" cm="1">
        <f t="array" ref="C861">IF(ISBLANK(B861),"",B861*2.2046226218)</f>
        <v>188.274771901720</v>
      </c>
      <c r="D861" s="972" cm="1">
        <f t="array" ref="D861">IF(ISBLANK(B861),"",AVERAGE(B855:B861))</f>
        <v>85.3857142857143</v>
      </c>
      <c r="E861" s="972" cm="1">
        <f t="array" ref="E861">IF(ISBLANK(B861),"",AVERAGE(B848:B861))</f>
        <v>85.4035714285714</v>
      </c>
      <c r="F861" s="972" cm="1">
        <f t="array" ref="F861">IF(ISBLANK(B861),"",AVERAGE(B832:B861))</f>
        <v>85.14107142857139</v>
      </c>
      <c r="G861" s="973"/>
      <c r="H861" s="973"/>
      <c r="I861" s="973"/>
      <c r="J861" s="973"/>
      <c r="K861" s="973"/>
      <c r="L861" s="973"/>
      <c r="M861" s="973"/>
      <c r="N861" s="973"/>
      <c r="O861" s="973"/>
      <c r="P861" s="973"/>
      <c r="Q861" s="972"/>
      <c r="R861" t="str" s="973" cm="1">
        <f t="array" ref="R861">IF(OR(ISBLANK($B861),NOT(ISBLANK(B861))),"",'tracking - Table 2-1-2'!C$66)</f>
      </c>
      <c r="S861" t="str" s="973" cm="1">
        <f t="array" ref="S861">IF(OR(ISBLANK($B861),NOT(ISBLANK(B861))),"",'tracking - Table 2-1-2'!D$66)</f>
      </c>
      <c r="T861" t="str" s="973" cm="1">
        <f t="array" ref="T861">IF(OR(ISBLANK($B861),NOT(ISBLANK(B861))),"",'tracking - Table 2-1-2'!E$66)</f>
      </c>
      <c r="U861" t="str" s="974" cm="1">
        <f t="array" ref="U861">IF(OR(ISBLANK($B861),ISBLANK('tracking - Table 2-1-2'!A$1)),"",'tracking - Table 2-1-2'!F$66)</f>
      </c>
    </row>
    <row r="862" ht="20.35" customHeight="1">
      <c r="A862" s="926">
        <v>45201</v>
      </c>
      <c r="B862" s="18">
        <v>85.40000000000001</v>
      </c>
      <c r="C862" s="103" cm="1">
        <f t="array" ref="C862">IF(ISBLANK(B862),"",B862*2.2046226218)</f>
        <v>188.274771901720</v>
      </c>
      <c r="D862" s="975" cm="1">
        <f t="array" ref="D862">IF(ISBLANK(B862),"",AVERAGE(B856:B862))</f>
        <v>85.4142857142857</v>
      </c>
      <c r="E862" s="975" cm="1">
        <f t="array" ref="E862">IF(ISBLANK(B862),"",AVERAGE(B849:B862))</f>
        <v>85.4392857142857</v>
      </c>
      <c r="F862" s="975" cm="1">
        <f t="array" ref="F862">IF(ISBLANK(B862),"",AVERAGE(B833:B862))</f>
        <v>85.1767857142857</v>
      </c>
      <c r="G862" s="976"/>
      <c r="H862" s="976"/>
      <c r="I862" s="976"/>
      <c r="J862" s="976"/>
      <c r="K862" s="976"/>
      <c r="L862" s="976"/>
      <c r="M862" s="976"/>
      <c r="N862" s="976"/>
      <c r="O862" s="976"/>
      <c r="P862" s="976"/>
      <c r="Q862" s="975"/>
      <c r="R862" t="str" s="976" cm="1">
        <f t="array" ref="R862">IF(OR(ISBLANK($B862),NOT(ISBLANK(B862))),"",'tracking - Table 2-1-2'!C$66)</f>
      </c>
      <c r="S862" t="str" s="976" cm="1">
        <f t="array" ref="S862">IF(OR(ISBLANK($B862),NOT(ISBLANK(B862))),"",'tracking - Table 2-1-2'!D$66)</f>
      </c>
      <c r="T862" t="str" s="976" cm="1">
        <f t="array" ref="T862">IF(OR(ISBLANK($B862),NOT(ISBLANK(B862))),"",'tracking - Table 2-1-2'!E$66)</f>
      </c>
      <c r="U862" t="str" s="977" cm="1">
        <f t="array" ref="U862">IF(OR(ISBLANK($B862),ISBLANK('tracking - Table 2-1-2'!A$1)),"",'tracking - Table 2-1-2'!F$66)</f>
      </c>
    </row>
    <row r="863" ht="20.35" customHeight="1">
      <c r="A863" s="926">
        <v>45202</v>
      </c>
      <c r="B863" s="18">
        <v>85</v>
      </c>
      <c r="C863" s="103" cm="1">
        <f t="array" ref="C863">IF(ISBLANK(B863),"",B863*2.2046226218)</f>
        <v>187.392922853</v>
      </c>
      <c r="D863" s="975" cm="1">
        <f t="array" ref="D863">IF(ISBLANK(B863),"",AVERAGE(B857:B863))</f>
        <v>85.3428571428571</v>
      </c>
      <c r="E863" s="975" cm="1">
        <f t="array" ref="E863">IF(ISBLANK(B863),"",AVERAGE(B850:B863))</f>
        <v>85.4464285714286</v>
      </c>
      <c r="F863" s="975" cm="1">
        <f t="array" ref="F863">IF(ISBLANK(B863),"",AVERAGE(B834:B863))</f>
        <v>85.1982142857143</v>
      </c>
      <c r="G863" s="976"/>
      <c r="H863" s="976"/>
      <c r="I863" s="976"/>
      <c r="J863" s="976"/>
      <c r="K863" s="976"/>
      <c r="L863" s="976"/>
      <c r="M863" s="976"/>
      <c r="N863" s="976"/>
      <c r="O863" s="976"/>
      <c r="P863" s="976"/>
      <c r="Q863" s="975"/>
      <c r="R863" t="str" s="976" cm="1">
        <f t="array" ref="R863">IF(OR(ISBLANK($B863),NOT(ISBLANK(B863))),"",'tracking - Table 2-1-2'!C$66)</f>
      </c>
      <c r="S863" t="str" s="976" cm="1">
        <f t="array" ref="S863">IF(OR(ISBLANK($B863),NOT(ISBLANK(B863))),"",'tracking - Table 2-1-2'!D$66)</f>
      </c>
      <c r="T863" t="str" s="976" cm="1">
        <f t="array" ref="T863">IF(OR(ISBLANK($B863),NOT(ISBLANK(B863))),"",'tracking - Table 2-1-2'!E$66)</f>
      </c>
      <c r="U863" t="str" s="977" cm="1">
        <f t="array" ref="U863">IF(OR(ISBLANK($B863),ISBLANK('tracking - Table 2-1-2'!A$1)),"",'tracking - Table 2-1-2'!F$66)</f>
      </c>
    </row>
    <row r="864" ht="20.35" customHeight="1">
      <c r="A864" s="926">
        <v>45203</v>
      </c>
      <c r="B864" s="18">
        <v>85.40000000000001</v>
      </c>
      <c r="C864" s="103" cm="1">
        <f t="array" ref="C864">IF(ISBLANK(B864),"",B864*2.2046226218)</f>
        <v>188.274771901720</v>
      </c>
      <c r="D864" s="975" cm="1">
        <f t="array" ref="D864">IF(ISBLANK(B864),"",AVERAGE(B858:B864))</f>
        <v>85.28571428571431</v>
      </c>
      <c r="E864" s="975" cm="1">
        <f t="array" ref="E864">IF(ISBLANK(B864),"",AVERAGE(B851:B864))</f>
        <v>85.4357142857143</v>
      </c>
      <c r="F864" s="975" cm="1">
        <f t="array" ref="F864">IF(ISBLANK(B864),"",AVERAGE(B835:B864))</f>
        <v>85.20517241379309</v>
      </c>
      <c r="G864" s="976"/>
      <c r="H864" s="976"/>
      <c r="I864" s="976"/>
      <c r="J864" s="976"/>
      <c r="K864" s="976"/>
      <c r="L864" s="976"/>
      <c r="M864" s="976"/>
      <c r="N864" s="976"/>
      <c r="O864" s="976"/>
      <c r="P864" s="976"/>
      <c r="Q864" s="975"/>
      <c r="R864" t="str" s="976" cm="1">
        <f t="array" ref="R864">IF(OR(ISBLANK($B864),NOT(ISBLANK(B864))),"",'tracking - Table 2-1-2'!C$66)</f>
      </c>
      <c r="S864" t="str" s="976" cm="1">
        <f t="array" ref="S864">IF(OR(ISBLANK($B864),NOT(ISBLANK(B864))),"",'tracking - Table 2-1-2'!D$66)</f>
      </c>
      <c r="T864" t="str" s="976" cm="1">
        <f t="array" ref="T864">IF(OR(ISBLANK($B864),NOT(ISBLANK(B864))),"",'tracking - Table 2-1-2'!E$66)</f>
      </c>
      <c r="U864" t="str" s="977" cm="1">
        <f t="array" ref="U864">IF(OR(ISBLANK($B864),ISBLANK('tracking - Table 2-1-2'!A$1)),"",'tracking - Table 2-1-2'!F$66)</f>
      </c>
    </row>
    <row r="865" ht="20.35" customHeight="1">
      <c r="A865" s="926">
        <v>45204</v>
      </c>
      <c r="B865" s="18">
        <v>85.40000000000001</v>
      </c>
      <c r="C865" s="103" cm="1">
        <f t="array" ref="C865">IF(ISBLANK(B865),"",B865*2.2046226218)</f>
        <v>188.274771901720</v>
      </c>
      <c r="D865" s="975" cm="1">
        <f t="array" ref="D865">IF(ISBLANK(B865),"",AVERAGE(B859:B865))</f>
        <v>85.3428571428571</v>
      </c>
      <c r="E865" s="975" cm="1">
        <f t="array" ref="E865">IF(ISBLANK(B865),"",AVERAGE(B852:B865))</f>
        <v>85.45</v>
      </c>
      <c r="F865" s="975" cm="1">
        <f t="array" ref="F865">IF(ISBLANK(B865),"",AVERAGE(B836:B865))</f>
        <v>85.25172413793101</v>
      </c>
      <c r="G865" s="976"/>
      <c r="H865" s="976"/>
      <c r="I865" s="976"/>
      <c r="J865" s="976"/>
      <c r="K865" s="976"/>
      <c r="L865" s="976"/>
      <c r="M865" s="976"/>
      <c r="N865" s="976"/>
      <c r="O865" s="976"/>
      <c r="P865" s="976"/>
      <c r="Q865" s="975"/>
      <c r="R865" t="str" s="976" cm="1">
        <f t="array" ref="R865">IF(OR(ISBLANK($B865),NOT(ISBLANK(B865))),"",'tracking - Table 2-1-2'!C$66)</f>
      </c>
      <c r="S865" t="str" s="976" cm="1">
        <f t="array" ref="S865">IF(OR(ISBLANK($B865),NOT(ISBLANK(B865))),"",'tracking - Table 2-1-2'!D$66)</f>
      </c>
      <c r="T865" t="str" s="976" cm="1">
        <f t="array" ref="T865">IF(OR(ISBLANK($B865),NOT(ISBLANK(B865))),"",'tracking - Table 2-1-2'!E$66)</f>
      </c>
      <c r="U865" t="str" s="977" cm="1">
        <f t="array" ref="U865">IF(OR(ISBLANK($B865),ISBLANK('tracking - Table 2-1-2'!A$1)),"",'tracking - Table 2-1-2'!F$66)</f>
      </c>
    </row>
    <row r="866" ht="20.35" customHeight="1">
      <c r="A866" s="926">
        <v>45205</v>
      </c>
      <c r="B866" s="18">
        <v>85.40000000000001</v>
      </c>
      <c r="C866" s="103" cm="1">
        <f t="array" ref="C866">IF(ISBLANK(B866),"",B866*2.2046226218)</f>
        <v>188.274771901720</v>
      </c>
      <c r="D866" s="975" cm="1">
        <f t="array" ref="D866">IF(ISBLANK(B866),"",AVERAGE(B860:B866))</f>
        <v>85.3428571428571</v>
      </c>
      <c r="E866" s="975" cm="1">
        <f t="array" ref="E866">IF(ISBLANK(B866),"",AVERAGE(B853:B866))</f>
        <v>85.48571428571429</v>
      </c>
      <c r="F866" s="975" cm="1">
        <f t="array" ref="F866">IF(ISBLANK(B866),"",AVERAGE(B837:B866))</f>
        <v>85.2689655172414</v>
      </c>
      <c r="G866" s="976"/>
      <c r="H866" s="976"/>
      <c r="I866" s="976"/>
      <c r="J866" s="976"/>
      <c r="K866" s="976"/>
      <c r="L866" s="976"/>
      <c r="M866" s="976"/>
      <c r="N866" s="976"/>
      <c r="O866" s="976"/>
      <c r="P866" s="976"/>
      <c r="Q866" s="975"/>
      <c r="R866" t="str" s="976" cm="1">
        <f t="array" ref="R866">IF(OR(ISBLANK($B866),NOT(ISBLANK(B866))),"",'tracking - Table 2-1-2'!C$66)</f>
      </c>
      <c r="S866" t="str" s="976" cm="1">
        <f t="array" ref="S866">IF(OR(ISBLANK($B866),NOT(ISBLANK(B866))),"",'tracking - Table 2-1-2'!D$66)</f>
      </c>
      <c r="T866" t="str" s="976" cm="1">
        <f t="array" ref="T866">IF(OR(ISBLANK($B866),NOT(ISBLANK(B866))),"",'tracking - Table 2-1-2'!E$66)</f>
      </c>
      <c r="U866" t="str" s="977" cm="1">
        <f t="array" ref="U866">IF(OR(ISBLANK($B866),ISBLANK('tracking - Table 2-1-2'!A$1)),"",'tracking - Table 2-1-2'!F$66)</f>
      </c>
    </row>
    <row r="867" ht="20.35" customHeight="1">
      <c r="A867" s="926">
        <v>45206</v>
      </c>
      <c r="B867" s="29"/>
      <c r="C867" t="str" s="32" cm="1">
        <f t="array" ref="C867">IF(ISBLANK(B867),"",B867*2.2046226218)</f>
      </c>
      <c r="D867" t="str" s="976" cm="1">
        <f t="array" ref="D867">IF(ISBLANK(B867),"",AVERAGE(B861:B867))</f>
      </c>
      <c r="E867" t="str" s="976" cm="1">
        <f t="array" ref="E867">IF(ISBLANK(B867),"",AVERAGE(B854:B867))</f>
      </c>
      <c r="F867" t="str" s="976" cm="1">
        <f t="array" ref="F867">IF(ISBLANK(B867),"",AVERAGE(B838:B867))</f>
      </c>
      <c r="G867" s="976"/>
      <c r="H867" s="976"/>
      <c r="I867" s="976"/>
      <c r="J867" s="976"/>
      <c r="K867" s="976"/>
      <c r="L867" s="976"/>
      <c r="M867" s="976"/>
      <c r="N867" s="976"/>
      <c r="O867" s="976"/>
      <c r="P867" s="976"/>
      <c r="Q867" s="975"/>
      <c r="R867" t="str" s="976" cm="1">
        <f t="array" ref="R867">IF(OR(ISBLANK($B867),NOT(ISBLANK(B867))),"",'tracking - Table 2-1-2'!C$66)</f>
      </c>
      <c r="S867" t="str" s="976" cm="1">
        <f t="array" ref="S867">IF(OR(ISBLANK($B867),NOT(ISBLANK(B867))),"",'tracking - Table 2-1-2'!D$66)</f>
      </c>
      <c r="T867" t="str" s="976" cm="1">
        <f t="array" ref="T867">IF(OR(ISBLANK($B867),NOT(ISBLANK(B867))),"",'tracking - Table 2-1-2'!E$66)</f>
      </c>
      <c r="U867" t="str" s="977" cm="1">
        <f t="array" ref="U867">IF(OR(ISBLANK($B867),ISBLANK('tracking - Table 2-1-2'!A$1)),"",'tracking - Table 2-1-2'!F$66)</f>
      </c>
    </row>
    <row r="868" ht="20.35" customHeight="1">
      <c r="A868" s="926">
        <v>45207</v>
      </c>
      <c r="B868" s="29"/>
      <c r="C868" t="str" s="32" cm="1">
        <f t="array" ref="C868">IF(ISBLANK(B868),"",B868*2.2046226218)</f>
      </c>
      <c r="D868" t="str" s="976" cm="1">
        <f t="array" ref="D868">IF(ISBLANK(B868),"",AVERAGE(B862:B868))</f>
      </c>
      <c r="E868" t="str" s="976" cm="1">
        <f t="array" ref="E868">IF(ISBLANK(B868),"",AVERAGE(B855:B868))</f>
      </c>
      <c r="F868" t="str" s="976" cm="1">
        <f t="array" ref="F868">IF(ISBLANK(B868),"",AVERAGE(B839:B868))</f>
      </c>
      <c r="G868" s="976"/>
      <c r="H868" s="976"/>
      <c r="I868" s="976"/>
      <c r="J868" s="976"/>
      <c r="K868" s="976"/>
      <c r="L868" s="976"/>
      <c r="M868" s="976"/>
      <c r="N868" s="976"/>
      <c r="O868" s="976"/>
      <c r="P868" s="976"/>
      <c r="Q868" s="975"/>
      <c r="R868" t="str" s="976" cm="1">
        <f t="array" ref="R868">IF(OR(ISBLANK($B868),NOT(ISBLANK(B868))),"",'tracking - Table 2-1-2'!C$66)</f>
      </c>
      <c r="S868" t="str" s="976" cm="1">
        <f t="array" ref="S868">IF(OR(ISBLANK($B868),NOT(ISBLANK(B868))),"",'tracking - Table 2-1-2'!D$66)</f>
      </c>
      <c r="T868" t="str" s="976" cm="1">
        <f t="array" ref="T868">IF(OR(ISBLANK($B868),NOT(ISBLANK(B868))),"",'tracking - Table 2-1-2'!E$66)</f>
      </c>
      <c r="U868" t="str" s="977" cm="1">
        <f t="array" ref="U868">IF(OR(ISBLANK($B868),ISBLANK('tracking - Table 2-1-2'!A$1)),"",'tracking - Table 2-1-2'!F$66)</f>
      </c>
    </row>
    <row r="869" ht="20.35" customHeight="1">
      <c r="A869" s="926">
        <v>45208</v>
      </c>
      <c r="B869" s="18">
        <v>85.7</v>
      </c>
      <c r="C869" s="103" cm="1">
        <f t="array" ref="C869">IF(ISBLANK(B869),"",B869*2.2046226218)</f>
        <v>188.936158688260</v>
      </c>
      <c r="D869" s="975" cm="1">
        <f t="array" ref="D869">IF(ISBLANK(B869),"",AVERAGE(B863:B869))</f>
        <v>85.38</v>
      </c>
      <c r="E869" s="975" cm="1">
        <f t="array" ref="E869">IF(ISBLANK(B869),"",AVERAGE(B856:B869))</f>
        <v>85.40000000000001</v>
      </c>
      <c r="F869" s="975" cm="1">
        <f t="array" ref="F869">IF(ISBLANK(B869),"",AVERAGE(B840:B869))</f>
        <v>85.3259259259259</v>
      </c>
      <c r="G869" s="976"/>
      <c r="H869" s="976"/>
      <c r="I869" s="976"/>
      <c r="J869" s="976"/>
      <c r="K869" s="976"/>
      <c r="L869" s="976"/>
      <c r="M869" s="976"/>
      <c r="N869" s="976"/>
      <c r="O869" s="976"/>
      <c r="P869" s="976"/>
      <c r="Q869" s="975"/>
      <c r="R869" t="str" s="976" cm="1">
        <f t="array" ref="R869">IF(OR(ISBLANK($B869),NOT(ISBLANK(B869))),"",'tracking - Table 2-1-2'!C$66)</f>
      </c>
      <c r="S869" t="str" s="976" cm="1">
        <f t="array" ref="S869">IF(OR(ISBLANK($B869),NOT(ISBLANK(B869))),"",'tracking - Table 2-1-2'!D$66)</f>
      </c>
      <c r="T869" t="str" s="976" cm="1">
        <f t="array" ref="T869">IF(OR(ISBLANK($B869),NOT(ISBLANK(B869))),"",'tracking - Table 2-1-2'!E$66)</f>
      </c>
      <c r="U869" t="str" s="977" cm="1">
        <f t="array" ref="U869">IF(OR(ISBLANK($B869),ISBLANK('tracking - Table 2-1-2'!A$1)),"",'tracking - Table 2-1-2'!F$66)</f>
      </c>
    </row>
    <row r="870" ht="20.35" customHeight="1">
      <c r="A870" s="926">
        <v>45209</v>
      </c>
      <c r="B870" s="18">
        <v>86.09999999999999</v>
      </c>
      <c r="C870" s="103" cm="1">
        <f t="array" ref="C870">IF(ISBLANK(B870),"",B870*2.2046226218)</f>
        <v>189.818007736980</v>
      </c>
      <c r="D870" s="975" cm="1">
        <f t="array" ref="D870">IF(ISBLANK(B870),"",AVERAGE(B864:B870))</f>
        <v>85.59999999999999</v>
      </c>
      <c r="E870" s="975" cm="1">
        <f t="array" ref="E870">IF(ISBLANK(B870),"",AVERAGE(B857:B870))</f>
        <v>85.45</v>
      </c>
      <c r="F870" s="975" cm="1">
        <f t="array" ref="F870">IF(ISBLANK(B870),"",AVERAGE(B841:B870))</f>
        <v>85.3703703703704</v>
      </c>
      <c r="G870" s="976"/>
      <c r="H870" s="976"/>
      <c r="I870" s="976"/>
      <c r="J870" s="976"/>
      <c r="K870" s="976"/>
      <c r="L870" s="976"/>
      <c r="M870" s="976"/>
      <c r="N870" s="976"/>
      <c r="O870" s="976"/>
      <c r="P870" s="976"/>
      <c r="Q870" s="975"/>
      <c r="R870" t="str" s="976" cm="1">
        <f t="array" ref="R870">IF(OR(ISBLANK($B870),NOT(ISBLANK(B870))),"",'tracking - Table 2-1-2'!C$66)</f>
      </c>
      <c r="S870" t="str" s="976" cm="1">
        <f t="array" ref="S870">IF(OR(ISBLANK($B870),NOT(ISBLANK(B870))),"",'tracking - Table 2-1-2'!D$66)</f>
      </c>
      <c r="T870" t="str" s="976" cm="1">
        <f t="array" ref="T870">IF(OR(ISBLANK($B870),NOT(ISBLANK(B870))),"",'tracking - Table 2-1-2'!E$66)</f>
      </c>
      <c r="U870" t="str" s="977" cm="1">
        <f t="array" ref="U870">IF(OR(ISBLANK($B870),ISBLANK('tracking - Table 2-1-2'!A$1)),"",'tracking - Table 2-1-2'!F$66)</f>
      </c>
    </row>
    <row r="871" ht="20.35" customHeight="1">
      <c r="A871" s="926">
        <v>45210</v>
      </c>
      <c r="B871" s="18">
        <v>86.09999999999999</v>
      </c>
      <c r="C871" s="103" cm="1">
        <f t="array" ref="C871">IF(ISBLANK(B871),"",B871*2.2046226218)</f>
        <v>189.818007736980</v>
      </c>
      <c r="D871" s="975" cm="1">
        <f t="array" ref="D871">IF(ISBLANK(B871),"",AVERAGE(B865:B871))</f>
        <v>85.73999999999999</v>
      </c>
      <c r="E871" s="975" cm="1">
        <f t="array" ref="E871">IF(ISBLANK(B871),"",AVERAGE(B858:B871))</f>
        <v>85.47499999999999</v>
      </c>
      <c r="F871" s="975" cm="1">
        <f t="array" ref="F871">IF(ISBLANK(B871),"",AVERAGE(B842:B871))</f>
        <v>85.3964285714286</v>
      </c>
      <c r="G871" s="976"/>
      <c r="H871" s="976"/>
      <c r="I871" s="976"/>
      <c r="J871" s="976"/>
      <c r="K871" s="976"/>
      <c r="L871" s="976"/>
      <c r="M871" s="976"/>
      <c r="N871" s="976"/>
      <c r="O871" s="976"/>
      <c r="P871" s="976"/>
      <c r="Q871" s="975"/>
      <c r="R871" t="str" s="976" cm="1">
        <f t="array" ref="R871">IF(OR(ISBLANK($B871),NOT(ISBLANK(B871))),"",'tracking - Table 2-1-2'!C$66)</f>
      </c>
      <c r="S871" t="str" s="976" cm="1">
        <f t="array" ref="S871">IF(OR(ISBLANK($B871),NOT(ISBLANK(B871))),"",'tracking - Table 2-1-2'!D$66)</f>
      </c>
      <c r="T871" t="str" s="976" cm="1">
        <f t="array" ref="T871">IF(OR(ISBLANK($B871),NOT(ISBLANK(B871))),"",'tracking - Table 2-1-2'!E$66)</f>
      </c>
      <c r="U871" t="str" s="977" cm="1">
        <f t="array" ref="U871">IF(OR(ISBLANK($B871),ISBLANK('tracking - Table 2-1-2'!A$1)),"",'tracking - Table 2-1-2'!F$66)</f>
      </c>
    </row>
    <row r="872" ht="20.35" customHeight="1">
      <c r="A872" s="926">
        <v>45211</v>
      </c>
      <c r="B872" s="18">
        <v>86.09999999999999</v>
      </c>
      <c r="C872" s="103" cm="1">
        <f t="array" ref="C872">IF(ISBLANK(B872),"",B872*2.2046226218)</f>
        <v>189.818007736980</v>
      </c>
      <c r="D872" s="975" cm="1">
        <f t="array" ref="D872">IF(ISBLANK(B872),"",AVERAGE(B866:B872))</f>
        <v>85.88</v>
      </c>
      <c r="E872" s="975" cm="1">
        <f t="array" ref="E872">IF(ISBLANK(B872),"",AVERAGE(B859:B872))</f>
        <v>85.56666666666671</v>
      </c>
      <c r="F872" s="975" cm="1">
        <f t="array" ref="F872">IF(ISBLANK(B872),"",AVERAGE(B843:B872))</f>
        <v>85.4392857142857</v>
      </c>
      <c r="G872" s="976"/>
      <c r="H872" s="976"/>
      <c r="I872" s="976"/>
      <c r="J872" s="976"/>
      <c r="K872" s="976"/>
      <c r="L872" s="976"/>
      <c r="M872" s="976"/>
      <c r="N872" s="976"/>
      <c r="O872" s="976"/>
      <c r="P872" s="976"/>
      <c r="Q872" s="975"/>
      <c r="R872" t="str" s="976" cm="1">
        <f t="array" ref="R872">IF(OR(ISBLANK($B872),NOT(ISBLANK(B872))),"",'tracking - Table 2-1-2'!C$66)</f>
      </c>
      <c r="S872" t="str" s="976" cm="1">
        <f t="array" ref="S872">IF(OR(ISBLANK($B872),NOT(ISBLANK(B872))),"",'tracking - Table 2-1-2'!D$66)</f>
      </c>
      <c r="T872" t="str" s="976" cm="1">
        <f t="array" ref="T872">IF(OR(ISBLANK($B872),NOT(ISBLANK(B872))),"",'tracking - Table 2-1-2'!E$66)</f>
      </c>
      <c r="U872" t="str" s="977" cm="1">
        <f t="array" ref="U872">IF(OR(ISBLANK($B872),ISBLANK('tracking - Table 2-1-2'!A$1)),"",'tracking - Table 2-1-2'!F$66)</f>
      </c>
    </row>
    <row r="873" ht="20.35" customHeight="1">
      <c r="A873" s="926">
        <v>45212</v>
      </c>
      <c r="B873" s="18">
        <v>86.09999999999999</v>
      </c>
      <c r="C873" s="103" cm="1">
        <f t="array" ref="C873">IF(ISBLANK(B873),"",B873*2.2046226218)</f>
        <v>189.818007736980</v>
      </c>
      <c r="D873" s="975" cm="1">
        <f t="array" ref="D873">IF(ISBLANK(B873),"",AVERAGE(B867:B873))</f>
        <v>86.02</v>
      </c>
      <c r="E873" s="975" cm="1">
        <f t="array" ref="E873">IF(ISBLANK(B873),"",AVERAGE(B860:B873))</f>
        <v>85.625</v>
      </c>
      <c r="F873" s="975" cm="1">
        <f t="array" ref="F873">IF(ISBLANK(B873),"",AVERAGE(B844:B873))</f>
        <v>85.4821428571429</v>
      </c>
      <c r="G873" s="976"/>
      <c r="H873" s="976"/>
      <c r="I873" s="976"/>
      <c r="J873" s="976"/>
      <c r="K873" s="976"/>
      <c r="L873" s="976"/>
      <c r="M873" s="976"/>
      <c r="N873" s="976"/>
      <c r="O873" s="976"/>
      <c r="P873" s="976"/>
      <c r="Q873" s="975"/>
      <c r="R873" t="str" s="976" cm="1">
        <f t="array" ref="R873">IF(OR(ISBLANK($B873),NOT(ISBLANK(B873))),"",'tracking - Table 2-1-2'!C$66)</f>
      </c>
      <c r="S873" t="str" s="976" cm="1">
        <f t="array" ref="S873">IF(OR(ISBLANK($B873),NOT(ISBLANK(B873))),"",'tracking - Table 2-1-2'!D$66)</f>
      </c>
      <c r="T873" t="str" s="976" cm="1">
        <f t="array" ref="T873">IF(OR(ISBLANK($B873),NOT(ISBLANK(B873))),"",'tracking - Table 2-1-2'!E$66)</f>
      </c>
      <c r="U873" t="str" s="977" cm="1">
        <f t="array" ref="U873">IF(OR(ISBLANK($B873),ISBLANK('tracking - Table 2-1-2'!A$1)),"",'tracking - Table 2-1-2'!F$66)</f>
      </c>
    </row>
    <row r="874" ht="20.35" customHeight="1">
      <c r="A874" s="926">
        <v>45213</v>
      </c>
      <c r="B874" s="29"/>
      <c r="C874" t="str" s="32" cm="1">
        <f t="array" ref="C874">IF(ISBLANK(B874),"",B874*2.2046226218)</f>
      </c>
      <c r="D874" t="str" s="976" cm="1">
        <f t="array" ref="D874">IF(ISBLANK(B874),"",AVERAGE(B868:B874))</f>
      </c>
      <c r="E874" t="str" s="976" cm="1">
        <f t="array" ref="E874">IF(ISBLANK(B874),"",AVERAGE(B861:B874))</f>
      </c>
      <c r="F874" t="str" s="976" cm="1">
        <f t="array" ref="F874">IF(ISBLANK(B874),"",AVERAGE(B845:B874))</f>
      </c>
      <c r="G874" s="976"/>
      <c r="H874" s="976"/>
      <c r="I874" s="976"/>
      <c r="J874" s="976"/>
      <c r="K874" s="976"/>
      <c r="L874" s="976"/>
      <c r="M874" s="976"/>
      <c r="N874" s="976"/>
      <c r="O874" s="976"/>
      <c r="P874" s="976"/>
      <c r="Q874" s="975"/>
      <c r="R874" t="str" s="976" cm="1">
        <f t="array" ref="R874">IF(OR(ISBLANK($B874),NOT(ISBLANK(B874))),"",'tracking - Table 2-1-2'!C$66)</f>
      </c>
      <c r="S874" t="str" s="976" cm="1">
        <f t="array" ref="S874">IF(OR(ISBLANK($B874),NOT(ISBLANK(B874))),"",'tracking - Table 2-1-2'!D$66)</f>
      </c>
      <c r="T874" t="str" s="976" cm="1">
        <f t="array" ref="T874">IF(OR(ISBLANK($B874),NOT(ISBLANK(B874))),"",'tracking - Table 2-1-2'!E$66)</f>
      </c>
      <c r="U874" t="str" s="977" cm="1">
        <f t="array" ref="U874">IF(OR(ISBLANK($B874),ISBLANK('tracking - Table 2-1-2'!A$1)),"",'tracking - Table 2-1-2'!F$66)</f>
      </c>
    </row>
    <row r="875" ht="20.35" customHeight="1">
      <c r="A875" s="926">
        <v>45214</v>
      </c>
      <c r="B875" s="18">
        <v>85.45</v>
      </c>
      <c r="C875" s="103" cm="1">
        <f t="array" ref="C875">IF(ISBLANK(B875),"",B875*2.2046226218)</f>
        <v>188.385003032810</v>
      </c>
      <c r="D875" s="975" cm="1">
        <f t="array" ref="D875">IF(ISBLANK(B875),"",AVERAGE(B869:B875))</f>
        <v>85.925</v>
      </c>
      <c r="E875" s="975" cm="1">
        <f t="array" ref="E875">IF(ISBLANK(B875),"",AVERAGE(B862:B875))</f>
        <v>85.65000000000001</v>
      </c>
      <c r="F875" s="975" cm="1">
        <f t="array" ref="F875">IF(ISBLANK(B875),"",AVERAGE(B846:B875))</f>
        <v>85.48888888888889</v>
      </c>
      <c r="G875" s="976"/>
      <c r="H875" s="976"/>
      <c r="I875" s="976"/>
      <c r="J875" s="976"/>
      <c r="K875" s="976"/>
      <c r="L875" s="976"/>
      <c r="M875" s="976"/>
      <c r="N875" s="976"/>
      <c r="O875" s="976"/>
      <c r="P875" s="976"/>
      <c r="Q875" s="975"/>
      <c r="R875" t="str" s="976" cm="1">
        <f t="array" ref="R875">IF(OR(ISBLANK($B875),NOT(ISBLANK(B875))),"",'tracking - Table 2-1-2'!C$66)</f>
      </c>
      <c r="S875" t="str" s="976" cm="1">
        <f t="array" ref="S875">IF(OR(ISBLANK($B875),NOT(ISBLANK(B875))),"",'tracking - Table 2-1-2'!D$66)</f>
      </c>
      <c r="T875" t="str" s="976" cm="1">
        <f t="array" ref="T875">IF(OR(ISBLANK($B875),NOT(ISBLANK(B875))),"",'tracking - Table 2-1-2'!E$66)</f>
      </c>
      <c r="U875" t="str" s="977" cm="1">
        <f t="array" ref="U875">IF(OR(ISBLANK($B875),ISBLANK('tracking - Table 2-1-2'!A$1)),"",'tracking - Table 2-1-2'!F$66)</f>
      </c>
    </row>
    <row r="876" ht="20.35" customHeight="1">
      <c r="A876" s="926">
        <v>45215</v>
      </c>
      <c r="B876" s="18">
        <v>85.45</v>
      </c>
      <c r="C876" s="103" cm="1">
        <f t="array" ref="C876">IF(ISBLANK(B876),"",B876*2.2046226218)</f>
        <v>188.385003032810</v>
      </c>
      <c r="D876" s="975" cm="1">
        <f t="array" ref="D876">IF(ISBLANK(B876),"",AVERAGE(B870:B876))</f>
        <v>85.8833333333333</v>
      </c>
      <c r="E876" s="975" cm="1">
        <f t="array" ref="E876">IF(ISBLANK(B876),"",AVERAGE(B863:B876))</f>
        <v>85.6545454545455</v>
      </c>
      <c r="F876" s="975" cm="1">
        <f t="array" ref="F876">IF(ISBLANK(B876),"",AVERAGE(B847:B876))</f>
        <v>85.4981481481481</v>
      </c>
      <c r="G876" s="976"/>
      <c r="H876" s="976"/>
      <c r="I876" s="976"/>
      <c r="J876" s="976"/>
      <c r="K876" s="976"/>
      <c r="L876" s="976"/>
      <c r="M876" s="976"/>
      <c r="N876" s="976"/>
      <c r="O876" s="976"/>
      <c r="P876" s="976"/>
      <c r="Q876" s="975"/>
      <c r="R876" t="str" s="976" cm="1">
        <f t="array" ref="R876">IF(OR(ISBLANK($B876),NOT(ISBLANK(B876))),"",'tracking - Table 2-1-2'!C$66)</f>
      </c>
      <c r="S876" t="str" s="976" cm="1">
        <f t="array" ref="S876">IF(OR(ISBLANK($B876),NOT(ISBLANK(B876))),"",'tracking - Table 2-1-2'!D$66)</f>
      </c>
      <c r="T876" t="str" s="976" cm="1">
        <f t="array" ref="T876">IF(OR(ISBLANK($B876),NOT(ISBLANK(B876))),"",'tracking - Table 2-1-2'!E$66)</f>
      </c>
      <c r="U876" t="str" s="977" cm="1">
        <f t="array" ref="U876">IF(OR(ISBLANK($B876),ISBLANK('tracking - Table 2-1-2'!A$1)),"",'tracking - Table 2-1-2'!F$66)</f>
      </c>
    </row>
    <row r="877" ht="20.35" customHeight="1">
      <c r="A877" s="926">
        <v>45216</v>
      </c>
      <c r="B877" s="18">
        <v>85.45</v>
      </c>
      <c r="C877" s="103" cm="1">
        <f t="array" ref="C877">IF(ISBLANK(B877),"",B877*2.2046226218)</f>
        <v>188.385003032810</v>
      </c>
      <c r="D877" s="975" cm="1">
        <f t="array" ref="D877">IF(ISBLANK(B877),"",AVERAGE(B871:B877))</f>
        <v>85.77500000000001</v>
      </c>
      <c r="E877" s="975" cm="1">
        <f t="array" ref="E877">IF(ISBLANK(B877),"",AVERAGE(B864:B877))</f>
        <v>85.6954545454545</v>
      </c>
      <c r="F877" s="975" cm="1">
        <f t="array" ref="F877">IF(ISBLANK(B877),"",AVERAGE(B848:B877))</f>
        <v>85.5074074074074</v>
      </c>
      <c r="G877" s="976"/>
      <c r="H877" s="976"/>
      <c r="I877" s="976"/>
      <c r="J877" s="976"/>
      <c r="K877" s="976"/>
      <c r="L877" s="976"/>
      <c r="M877" s="976"/>
      <c r="N877" s="976"/>
      <c r="O877" s="976"/>
      <c r="P877" s="976"/>
      <c r="Q877" s="975"/>
      <c r="R877" t="str" s="976" cm="1">
        <f t="array" ref="R877">IF(OR(ISBLANK($B877),NOT(ISBLANK(B877))),"",'tracking - Table 2-1-2'!C$66)</f>
      </c>
      <c r="S877" t="str" s="976" cm="1">
        <f t="array" ref="S877">IF(OR(ISBLANK($B877),NOT(ISBLANK(B877))),"",'tracking - Table 2-1-2'!D$66)</f>
      </c>
      <c r="T877" t="str" s="976" cm="1">
        <f t="array" ref="T877">IF(OR(ISBLANK($B877),NOT(ISBLANK(B877))),"",'tracking - Table 2-1-2'!E$66)</f>
      </c>
      <c r="U877" t="str" s="977" cm="1">
        <f t="array" ref="U877">IF(OR(ISBLANK($B877),ISBLANK('tracking - Table 2-1-2'!A$1)),"",'tracking - Table 2-1-2'!F$66)</f>
      </c>
    </row>
    <row r="878" ht="20.35" customHeight="1">
      <c r="A878" s="926">
        <v>45217</v>
      </c>
      <c r="B878" s="18">
        <v>85.15000000000001</v>
      </c>
      <c r="C878" s="103" cm="1">
        <f t="array" ref="C878">IF(ISBLANK(B878),"",B878*2.2046226218)</f>
        <v>187.723616246270</v>
      </c>
      <c r="D878" s="975" cm="1">
        <f t="array" ref="D878">IF(ISBLANK(B878),"",AVERAGE(B872:B878))</f>
        <v>85.6166666666667</v>
      </c>
      <c r="E878" s="975" cm="1">
        <f t="array" ref="E878">IF(ISBLANK(B878),"",AVERAGE(B865:B878))</f>
        <v>85.6727272727273</v>
      </c>
      <c r="F878" s="975" cm="1">
        <f t="array" ref="F878">IF(ISBLANK(B878),"",AVERAGE(B849:B878))</f>
        <v>85.51666666666669</v>
      </c>
      <c r="G878" s="976"/>
      <c r="H878" s="976"/>
      <c r="I878" s="976"/>
      <c r="J878" s="976"/>
      <c r="K878" s="976"/>
      <c r="L878" s="976"/>
      <c r="M878" s="976"/>
      <c r="N878" s="976"/>
      <c r="O878" s="976"/>
      <c r="P878" s="976"/>
      <c r="Q878" s="975"/>
      <c r="R878" t="str" s="976" cm="1">
        <f t="array" ref="R878">IF(OR(ISBLANK($B878),NOT(ISBLANK(B878))),"",'tracking - Table 2-1-2'!C$66)</f>
      </c>
      <c r="S878" t="str" s="976" cm="1">
        <f t="array" ref="S878">IF(OR(ISBLANK($B878),NOT(ISBLANK(B878))),"",'tracking - Table 2-1-2'!D$66)</f>
      </c>
      <c r="T878" t="str" s="976" cm="1">
        <f t="array" ref="T878">IF(OR(ISBLANK($B878),NOT(ISBLANK(B878))),"",'tracking - Table 2-1-2'!E$66)</f>
      </c>
      <c r="U878" t="str" s="977" cm="1">
        <f t="array" ref="U878">IF(OR(ISBLANK($B878),ISBLANK('tracking - Table 2-1-2'!A$1)),"",'tracking - Table 2-1-2'!F$66)</f>
      </c>
    </row>
    <row r="879" ht="20.35" customHeight="1">
      <c r="A879" s="926">
        <v>45218</v>
      </c>
      <c r="B879" s="18">
        <v>84.84999999999999</v>
      </c>
      <c r="C879" s="103" cm="1">
        <f t="array" ref="C879">IF(ISBLANK(B879),"",B879*2.2046226218)</f>
        <v>187.062229459730</v>
      </c>
      <c r="D879" s="975" cm="1">
        <f t="array" ref="D879">IF(ISBLANK(B879),"",AVERAGE(B873:B879))</f>
        <v>85.4083333333333</v>
      </c>
      <c r="E879" s="975" cm="1">
        <f t="array" ref="E879">IF(ISBLANK(B879),"",AVERAGE(B866:B879))</f>
        <v>85.6227272727273</v>
      </c>
      <c r="F879" s="975" cm="1">
        <f t="array" ref="F879">IF(ISBLANK(B879),"",AVERAGE(B850:B879))</f>
        <v>85.5148148148148</v>
      </c>
      <c r="G879" s="976"/>
      <c r="H879" s="976"/>
      <c r="I879" s="976"/>
      <c r="J879" s="976"/>
      <c r="K879" s="976"/>
      <c r="L879" s="976"/>
      <c r="M879" s="976"/>
      <c r="N879" s="976"/>
      <c r="O879" s="976"/>
      <c r="P879" s="976"/>
      <c r="Q879" s="975"/>
      <c r="R879" t="str" s="976" cm="1">
        <f t="array" ref="R879">IF(OR(ISBLANK($B879),NOT(ISBLANK(B879))),"",'tracking - Table 2-1-2'!C$66)</f>
      </c>
      <c r="S879" t="str" s="976" cm="1">
        <f t="array" ref="S879">IF(OR(ISBLANK($B879),NOT(ISBLANK(B879))),"",'tracking - Table 2-1-2'!D$66)</f>
      </c>
      <c r="T879" t="str" s="976" cm="1">
        <f t="array" ref="T879">IF(OR(ISBLANK($B879),NOT(ISBLANK(B879))),"",'tracking - Table 2-1-2'!E$66)</f>
      </c>
      <c r="U879" t="str" s="977" cm="1">
        <f t="array" ref="U879">IF(OR(ISBLANK($B879),ISBLANK('tracking - Table 2-1-2'!A$1)),"",'tracking - Table 2-1-2'!F$66)</f>
      </c>
    </row>
    <row r="880" ht="20.35" customHeight="1">
      <c r="A880" s="926">
        <v>45219</v>
      </c>
      <c r="B880" s="18">
        <v>85.15000000000001</v>
      </c>
      <c r="C880" s="103" cm="1">
        <f t="array" ref="C880">IF(ISBLANK(B880),"",B880*2.2046226218)</f>
        <v>187.723616246270</v>
      </c>
      <c r="D880" s="975" cm="1">
        <f t="array" ref="D880">IF(ISBLANK(B880),"",AVERAGE(B874:B880))</f>
        <v>85.25</v>
      </c>
      <c r="E880" s="975" cm="1">
        <f t="array" ref="E880">IF(ISBLANK(B880),"",AVERAGE(B867:B880))</f>
        <v>85.59999999999999</v>
      </c>
      <c r="F880" s="975" cm="1">
        <f t="array" ref="F880">IF(ISBLANK(B880),"",AVERAGE(B851:B880))</f>
        <v>85.5</v>
      </c>
      <c r="G880" s="976"/>
      <c r="H880" s="976"/>
      <c r="I880" s="976"/>
      <c r="J880" s="976"/>
      <c r="K880" s="976"/>
      <c r="L880" s="976"/>
      <c r="M880" s="976"/>
      <c r="N880" s="976"/>
      <c r="O880" s="976"/>
      <c r="P880" s="976"/>
      <c r="Q880" s="975"/>
      <c r="R880" t="str" s="976" cm="1">
        <f t="array" ref="R880">IF(OR(ISBLANK($B880),NOT(ISBLANK(B880))),"",'tracking - Table 2-1-2'!C$66)</f>
      </c>
      <c r="S880" t="str" s="976" cm="1">
        <f t="array" ref="S880">IF(OR(ISBLANK($B880),NOT(ISBLANK(B880))),"",'tracking - Table 2-1-2'!D$66)</f>
      </c>
      <c r="T880" t="str" s="976" cm="1">
        <f t="array" ref="T880">IF(OR(ISBLANK($B880),NOT(ISBLANK(B880))),"",'tracking - Table 2-1-2'!E$66)</f>
      </c>
      <c r="U880" t="str" s="977" cm="1">
        <f t="array" ref="U880">IF(OR(ISBLANK($B880),ISBLANK('tracking - Table 2-1-2'!A$1)),"",'tracking - Table 2-1-2'!F$66)</f>
      </c>
    </row>
    <row r="881" ht="20.35" customHeight="1">
      <c r="A881" s="926">
        <v>45220</v>
      </c>
      <c r="B881" s="18">
        <v>85.15000000000001</v>
      </c>
      <c r="C881" s="103" cm="1">
        <f t="array" ref="C881">IF(ISBLANK(B881),"",B881*2.2046226218)</f>
        <v>187.723616246270</v>
      </c>
      <c r="D881" s="975" cm="1">
        <f t="array" ref="D881">IF(ISBLANK(B881),"",AVERAGE(B875:B881))</f>
        <v>85.23571428571429</v>
      </c>
      <c r="E881" s="975" cm="1">
        <f t="array" ref="E881">IF(ISBLANK(B881),"",AVERAGE(B868:B881))</f>
        <v>85.5625</v>
      </c>
      <c r="F881" s="975" cm="1">
        <f t="array" ref="F881">IF(ISBLANK(B881),"",AVERAGE(B852:B881))</f>
        <v>85.4981481481481</v>
      </c>
      <c r="G881" s="976"/>
      <c r="H881" s="976"/>
      <c r="I881" s="976"/>
      <c r="J881" s="976"/>
      <c r="K881" s="976"/>
      <c r="L881" s="976"/>
      <c r="M881" s="976"/>
      <c r="N881" s="976"/>
      <c r="O881" s="976"/>
      <c r="P881" s="976"/>
      <c r="Q881" s="975"/>
      <c r="R881" t="str" s="976" cm="1">
        <f t="array" ref="R881">IF(OR(ISBLANK($B881),NOT(ISBLANK(B881))),"",'tracking - Table 2-1-2'!C$66)</f>
      </c>
      <c r="S881" t="str" s="976" cm="1">
        <f t="array" ref="S881">IF(OR(ISBLANK($B881),NOT(ISBLANK(B881))),"",'tracking - Table 2-1-2'!D$66)</f>
      </c>
      <c r="T881" t="str" s="976" cm="1">
        <f t="array" ref="T881">IF(OR(ISBLANK($B881),NOT(ISBLANK(B881))),"",'tracking - Table 2-1-2'!E$66)</f>
      </c>
      <c r="U881" t="str" s="977" cm="1">
        <f t="array" ref="U881">IF(OR(ISBLANK($B881),ISBLANK('tracking - Table 2-1-2'!A$1)),"",'tracking - Table 2-1-2'!F$66)</f>
      </c>
    </row>
    <row r="882" ht="20.35" customHeight="1">
      <c r="A882" s="926">
        <v>45221</v>
      </c>
      <c r="B882" s="18">
        <v>85.15000000000001</v>
      </c>
      <c r="C882" s="103" cm="1">
        <f t="array" ref="C882">IF(ISBLANK(B882),"",B882*2.2046226218)</f>
        <v>187.723616246270</v>
      </c>
      <c r="D882" s="975" cm="1">
        <f t="array" ref="D882">IF(ISBLANK(B882),"",AVERAGE(B876:B882))</f>
        <v>85.19285714285709</v>
      </c>
      <c r="E882" s="975" cm="1">
        <f t="array" ref="E882">IF(ISBLANK(B882),"",AVERAGE(B869:B882))</f>
        <v>85.5307692307692</v>
      </c>
      <c r="F882" s="975" cm="1">
        <f t="array" ref="F882">IF(ISBLANK(B882),"",AVERAGE(B853:B882))</f>
        <v>85.5074074074074</v>
      </c>
      <c r="G882" s="976"/>
      <c r="H882" s="976"/>
      <c r="I882" s="976"/>
      <c r="J882" s="976"/>
      <c r="K882" s="976"/>
      <c r="L882" s="976"/>
      <c r="M882" s="976"/>
      <c r="N882" s="976"/>
      <c r="O882" s="976"/>
      <c r="P882" s="976"/>
      <c r="Q882" s="975"/>
      <c r="R882" t="str" s="976" cm="1">
        <f t="array" ref="R882">IF(OR(ISBLANK($B882),NOT(ISBLANK(B882))),"",'tracking - Table 2-1-2'!C$66)</f>
      </c>
      <c r="S882" t="str" s="976" cm="1">
        <f t="array" ref="S882">IF(OR(ISBLANK($B882),NOT(ISBLANK(B882))),"",'tracking - Table 2-1-2'!D$66)</f>
      </c>
      <c r="T882" t="str" s="976" cm="1">
        <f t="array" ref="T882">IF(OR(ISBLANK($B882),NOT(ISBLANK(B882))),"",'tracking - Table 2-1-2'!E$66)</f>
      </c>
      <c r="U882" t="str" s="977" cm="1">
        <f t="array" ref="U882">IF(OR(ISBLANK($B882),ISBLANK('tracking - Table 2-1-2'!A$1)),"",'tracking - Table 2-1-2'!F$66)</f>
      </c>
    </row>
    <row r="883" ht="20.35" customHeight="1">
      <c r="A883" s="926">
        <v>45222</v>
      </c>
      <c r="B883" s="18">
        <v>84.3</v>
      </c>
      <c r="C883" s="103" cm="1">
        <f t="array" ref="C883">IF(ISBLANK(B883),"",B883*2.2046226218)</f>
        <v>185.849687017740</v>
      </c>
      <c r="D883" s="975" cm="1">
        <f t="array" ref="D883">IF(ISBLANK(B883),"",AVERAGE(B877:B883))</f>
        <v>85.0285714285714</v>
      </c>
      <c r="E883" s="975" cm="1">
        <f t="array" ref="E883">IF(ISBLANK(B883),"",AVERAGE(B870:B883))</f>
        <v>85.42307692307691</v>
      </c>
      <c r="F883" s="975" cm="1">
        <f t="array" ref="F883">IF(ISBLANK(B883),"",AVERAGE(B854:B883))</f>
        <v>85.4351851851852</v>
      </c>
      <c r="G883" s="976"/>
      <c r="H883" s="976"/>
      <c r="I883" s="976"/>
      <c r="J883" s="976"/>
      <c r="K883" s="976"/>
      <c r="L883" s="976"/>
      <c r="M883" s="976"/>
      <c r="N883" s="976"/>
      <c r="O883" s="976"/>
      <c r="P883" s="976"/>
      <c r="Q883" s="975"/>
      <c r="R883" t="str" s="976" cm="1">
        <f t="array" ref="R883">IF(OR(ISBLANK($B883),NOT(ISBLANK(B883))),"",'tracking - Table 2-1-2'!C$66)</f>
      </c>
      <c r="S883" t="str" s="976" cm="1">
        <f t="array" ref="S883">IF(OR(ISBLANK($B883),NOT(ISBLANK(B883))),"",'tracking - Table 2-1-2'!D$66)</f>
      </c>
      <c r="T883" t="str" s="976" cm="1">
        <f t="array" ref="T883">IF(OR(ISBLANK($B883),NOT(ISBLANK(B883))),"",'tracking - Table 2-1-2'!E$66)</f>
      </c>
      <c r="U883" t="str" s="977" cm="1">
        <f t="array" ref="U883">IF(OR(ISBLANK($B883),ISBLANK('tracking - Table 2-1-2'!A$1)),"",'tracking - Table 2-1-2'!F$66)</f>
      </c>
    </row>
    <row r="884" ht="20.35" customHeight="1">
      <c r="A884" s="926">
        <v>45223</v>
      </c>
      <c r="B884" s="18">
        <v>84.3</v>
      </c>
      <c r="C884" s="103" cm="1">
        <f t="array" ref="C884">IF(ISBLANK(B884),"",B884*2.2046226218)</f>
        <v>185.849687017740</v>
      </c>
      <c r="D884" s="975" cm="1">
        <f t="array" ref="D884">IF(ISBLANK(B884),"",AVERAGE(B878:B884))</f>
        <v>84.8642857142857</v>
      </c>
      <c r="E884" s="975" cm="1">
        <f t="array" ref="E884">IF(ISBLANK(B884),"",AVERAGE(B871:B884))</f>
        <v>85.28461538461541</v>
      </c>
      <c r="F884" s="975" cm="1">
        <f t="array" ref="F884">IF(ISBLANK(B884),"",AVERAGE(B855:B884))</f>
        <v>85.362962962963</v>
      </c>
      <c r="G884" s="976"/>
      <c r="H884" s="976"/>
      <c r="I884" s="976"/>
      <c r="J884" s="976"/>
      <c r="K884" s="976"/>
      <c r="L884" s="976"/>
      <c r="M884" s="976"/>
      <c r="N884" s="976"/>
      <c r="O884" s="976"/>
      <c r="P884" s="976"/>
      <c r="Q884" s="975"/>
      <c r="R884" t="str" s="976" cm="1">
        <f t="array" ref="R884">IF(OR(ISBLANK($B884),NOT(ISBLANK(B884))),"",'tracking - Table 2-1-2'!C$66)</f>
      </c>
      <c r="S884" t="str" s="976" cm="1">
        <f t="array" ref="S884">IF(OR(ISBLANK($B884),NOT(ISBLANK(B884))),"",'tracking - Table 2-1-2'!D$66)</f>
      </c>
      <c r="T884" t="str" s="976" cm="1">
        <f t="array" ref="T884">IF(OR(ISBLANK($B884),NOT(ISBLANK(B884))),"",'tracking - Table 2-1-2'!E$66)</f>
      </c>
      <c r="U884" t="str" s="977" cm="1">
        <f t="array" ref="U884">IF(OR(ISBLANK($B884),ISBLANK('tracking - Table 2-1-2'!A$1)),"",'tracking - Table 2-1-2'!F$66)</f>
      </c>
    </row>
    <row r="885" ht="20.35" customHeight="1">
      <c r="A885" s="926">
        <v>45224</v>
      </c>
      <c r="B885" s="18">
        <v>84.3</v>
      </c>
      <c r="C885" s="103" cm="1">
        <f t="array" ref="C885">IF(ISBLANK(B885),"",B885*2.2046226218)</f>
        <v>185.849687017740</v>
      </c>
      <c r="D885" s="975" cm="1">
        <f t="array" ref="D885">IF(ISBLANK(B885),"",AVERAGE(B879:B885))</f>
        <v>84.7428571428571</v>
      </c>
      <c r="E885" s="975" cm="1">
        <f t="array" ref="E885">IF(ISBLANK(B885),"",AVERAGE(B872:B885))</f>
        <v>85.14615384615379</v>
      </c>
      <c r="F885" s="975" cm="1">
        <f t="array" ref="F885">IF(ISBLANK(B885),"",AVERAGE(B856:B885))</f>
        <v>85.32962962962959</v>
      </c>
      <c r="G885" s="976"/>
      <c r="H885" s="976"/>
      <c r="I885" s="976"/>
      <c r="J885" s="976"/>
      <c r="K885" s="976"/>
      <c r="L885" s="976"/>
      <c r="M885" s="976"/>
      <c r="N885" s="976"/>
      <c r="O885" s="976"/>
      <c r="P885" s="976"/>
      <c r="Q885" s="975"/>
      <c r="R885" t="str" s="976" cm="1">
        <f t="array" ref="R885">IF(OR(ISBLANK($B885),NOT(ISBLANK(B885))),"",'tracking - Table 2-1-2'!C$66)</f>
      </c>
      <c r="S885" t="str" s="976" cm="1">
        <f t="array" ref="S885">IF(OR(ISBLANK($B885),NOT(ISBLANK(B885))),"",'tracking - Table 2-1-2'!D$66)</f>
      </c>
      <c r="T885" t="str" s="976" cm="1">
        <f t="array" ref="T885">IF(OR(ISBLANK($B885),NOT(ISBLANK(B885))),"",'tracking - Table 2-1-2'!E$66)</f>
      </c>
      <c r="U885" t="str" s="977" cm="1">
        <f t="array" ref="U885">IF(OR(ISBLANK($B885),ISBLANK('tracking - Table 2-1-2'!A$1)),"",'tracking - Table 2-1-2'!F$66)</f>
      </c>
    </row>
    <row r="886" ht="20.35" customHeight="1">
      <c r="A886" s="926">
        <v>45225</v>
      </c>
      <c r="B886" s="18">
        <v>84.3</v>
      </c>
      <c r="C886" s="103" cm="1">
        <f t="array" ref="C886">IF(ISBLANK(B886),"",B886*2.2046226218)</f>
        <v>185.849687017740</v>
      </c>
      <c r="D886" s="975" cm="1">
        <f t="array" ref="D886">IF(ISBLANK(B886),"",AVERAGE(B880:B886))</f>
        <v>84.6642857142857</v>
      </c>
      <c r="E886" s="975" cm="1">
        <f t="array" ref="E886">IF(ISBLANK(B886),"",AVERAGE(B873:B886))</f>
        <v>85.0076923076923</v>
      </c>
      <c r="F886" s="975" cm="1">
        <f t="array" ref="F886">IF(ISBLANK(B886),"",AVERAGE(B857:B886))</f>
        <v>85.2851851851852</v>
      </c>
      <c r="G886" s="976"/>
      <c r="H886" s="976"/>
      <c r="I886" s="976"/>
      <c r="J886" s="976"/>
      <c r="K886" s="976"/>
      <c r="L886" s="976"/>
      <c r="M886" s="976"/>
      <c r="N886" s="976"/>
      <c r="O886" s="976"/>
      <c r="P886" s="976"/>
      <c r="Q886" s="975"/>
      <c r="R886" t="str" s="976" cm="1">
        <f t="array" ref="R886">IF(OR(ISBLANK($B886),NOT(ISBLANK(B886))),"",'tracking - Table 2-1-2'!C$66)</f>
      </c>
      <c r="S886" t="str" s="976" cm="1">
        <f t="array" ref="S886">IF(OR(ISBLANK($B886),NOT(ISBLANK(B886))),"",'tracking - Table 2-1-2'!D$66)</f>
      </c>
      <c r="T886" t="str" s="976" cm="1">
        <f t="array" ref="T886">IF(OR(ISBLANK($B886),NOT(ISBLANK(B886))),"",'tracking - Table 2-1-2'!E$66)</f>
      </c>
      <c r="U886" t="str" s="977" cm="1">
        <f t="array" ref="U886">IF(OR(ISBLANK($B886),ISBLANK('tracking - Table 2-1-2'!A$1)),"",'tracking - Table 2-1-2'!F$66)</f>
      </c>
    </row>
    <row r="887" ht="20.35" customHeight="1">
      <c r="A887" s="926">
        <v>45226</v>
      </c>
      <c r="B887" s="18">
        <v>84</v>
      </c>
      <c r="C887" s="103" cm="1">
        <f t="array" ref="C887">IF(ISBLANK(B887),"",B887*2.2046226218)</f>
        <v>185.1883002312</v>
      </c>
      <c r="D887" s="975" cm="1">
        <f t="array" ref="D887">IF(ISBLANK(B887),"",AVERAGE(B881:B887))</f>
        <v>84.5</v>
      </c>
      <c r="E887" s="975" cm="1">
        <f t="array" ref="E887">IF(ISBLANK(B887),"",AVERAGE(B874:B887))</f>
        <v>84.8461538461538</v>
      </c>
      <c r="F887" s="975" cm="1">
        <f t="array" ref="F887">IF(ISBLANK(B887),"",AVERAGE(B858:B887))</f>
        <v>85.21851851851849</v>
      </c>
      <c r="G887" s="976"/>
      <c r="H887" s="976"/>
      <c r="I887" s="976"/>
      <c r="J887" s="976"/>
      <c r="K887" s="976"/>
      <c r="L887" s="976"/>
      <c r="M887" s="976"/>
      <c r="N887" s="976"/>
      <c r="O887" s="976"/>
      <c r="P887" s="976"/>
      <c r="Q887" s="975"/>
      <c r="R887" t="str" s="976" cm="1">
        <f t="array" ref="R887">IF(OR(ISBLANK($B887),NOT(ISBLANK(B887))),"",'tracking - Table 2-1-2'!C$66)</f>
      </c>
      <c r="S887" t="str" s="976" cm="1">
        <f t="array" ref="S887">IF(OR(ISBLANK($B887),NOT(ISBLANK(B887))),"",'tracking - Table 2-1-2'!D$66)</f>
      </c>
      <c r="T887" t="str" s="976" cm="1">
        <f t="array" ref="T887">IF(OR(ISBLANK($B887),NOT(ISBLANK(B887))),"",'tracking - Table 2-1-2'!E$66)</f>
      </c>
      <c r="U887" t="str" s="977" cm="1">
        <f t="array" ref="U887">IF(OR(ISBLANK($B887),ISBLANK('tracking - Table 2-1-2'!A$1)),"",'tracking - Table 2-1-2'!F$66)</f>
      </c>
    </row>
    <row r="888" ht="20.35" customHeight="1">
      <c r="A888" s="926">
        <v>45227</v>
      </c>
      <c r="B888" s="29"/>
      <c r="C888" t="str" s="32" cm="1">
        <f t="array" ref="C888">IF(ISBLANK(B888),"",B888*2.2046226218)</f>
      </c>
      <c r="D888" t="str" s="976" cm="1">
        <f t="array" ref="D888">IF(ISBLANK(B888),"",AVERAGE(B882:B888))</f>
      </c>
      <c r="E888" t="str" s="976" cm="1">
        <f t="array" ref="E888">IF(ISBLANK(B888),"",AVERAGE(B875:B888))</f>
      </c>
      <c r="F888" t="str" s="976" cm="1">
        <f t="array" ref="F888">IF(ISBLANK(B888),"",AVERAGE(B859:B888))</f>
      </c>
      <c r="G888" s="976"/>
      <c r="H888" s="976"/>
      <c r="I888" s="976"/>
      <c r="J888" s="976"/>
      <c r="K888" s="976"/>
      <c r="L888" s="976"/>
      <c r="M888" s="976"/>
      <c r="N888" s="976"/>
      <c r="O888" s="976"/>
      <c r="P888" s="976"/>
      <c r="Q888" s="975"/>
      <c r="R888" t="str" s="976" cm="1">
        <f t="array" ref="R888">IF(OR(ISBLANK($B888),NOT(ISBLANK(B888))),"",'tracking - Table 2-1-2'!C$66)</f>
      </c>
      <c r="S888" t="str" s="976" cm="1">
        <f t="array" ref="S888">IF(OR(ISBLANK($B888),NOT(ISBLANK(B888))),"",'tracking - Table 2-1-2'!D$66)</f>
      </c>
      <c r="T888" t="str" s="976" cm="1">
        <f t="array" ref="T888">IF(OR(ISBLANK($B888),NOT(ISBLANK(B888))),"",'tracking - Table 2-1-2'!E$66)</f>
      </c>
      <c r="U888" t="str" s="977" cm="1">
        <f t="array" ref="U888">IF(OR(ISBLANK($B888),ISBLANK('tracking - Table 2-1-2'!A$1)),"",'tracking - Table 2-1-2'!F$66)</f>
      </c>
    </row>
    <row r="889" ht="20.35" customHeight="1">
      <c r="A889" s="926">
        <v>45228</v>
      </c>
      <c r="B889" s="18">
        <v>84.3</v>
      </c>
      <c r="C889" s="103" cm="1">
        <f t="array" ref="C889">IF(ISBLANK(B889),"",B889*2.2046226218)</f>
        <v>185.849687017740</v>
      </c>
      <c r="D889" s="975" cm="1">
        <f t="array" ref="D889">IF(ISBLANK(B889),"",AVERAGE(B883:B889))</f>
        <v>84.25</v>
      </c>
      <c r="E889" s="975" cm="1">
        <f t="array" ref="E889">IF(ISBLANK(B889),"",AVERAGE(B876:B889))</f>
        <v>84.7576923076923</v>
      </c>
      <c r="F889" s="975" cm="1">
        <f t="array" ref="F889">IF(ISBLANK(B889),"",AVERAGE(B860:B889))</f>
        <v>85.1846153846154</v>
      </c>
      <c r="G889" s="976"/>
      <c r="H889" s="976"/>
      <c r="I889" s="976"/>
      <c r="J889" s="976"/>
      <c r="K889" s="976"/>
      <c r="L889" s="976"/>
      <c r="M889" s="976"/>
      <c r="N889" s="976"/>
      <c r="O889" s="976"/>
      <c r="P889" s="976"/>
      <c r="Q889" s="975"/>
      <c r="R889" t="str" s="976" cm="1">
        <f t="array" ref="R889">IF(OR(ISBLANK($B889),NOT(ISBLANK(B889))),"",'tracking - Table 2-1-2'!C$66)</f>
      </c>
      <c r="S889" t="str" s="976" cm="1">
        <f t="array" ref="S889">IF(OR(ISBLANK($B889),NOT(ISBLANK(B889))),"",'tracking - Table 2-1-2'!D$66)</f>
      </c>
      <c r="T889" t="str" s="976" cm="1">
        <f t="array" ref="T889">IF(OR(ISBLANK($B889),NOT(ISBLANK(B889))),"",'tracking - Table 2-1-2'!E$66)</f>
      </c>
      <c r="U889" t="str" s="977" cm="1">
        <f t="array" ref="U889">IF(OR(ISBLANK($B889),ISBLANK('tracking - Table 2-1-2'!A$1)),"",'tracking - Table 2-1-2'!F$66)</f>
      </c>
    </row>
    <row r="890" ht="20.35" customHeight="1">
      <c r="A890" s="926">
        <v>45229</v>
      </c>
      <c r="B890" s="18">
        <v>84.3</v>
      </c>
      <c r="C890" s="103" cm="1">
        <f t="array" ref="C890">IF(ISBLANK(B890),"",B890*2.2046226218)</f>
        <v>185.849687017740</v>
      </c>
      <c r="D890" s="975" cm="1">
        <f t="array" ref="D890">IF(ISBLANK(B890),"",AVERAGE(B884:B890))</f>
        <v>84.25</v>
      </c>
      <c r="E890" s="975" cm="1">
        <f t="array" ref="E890">IF(ISBLANK(B890),"",AVERAGE(B877:B890))</f>
        <v>84.66923076923079</v>
      </c>
      <c r="F890" s="975" cm="1">
        <f t="array" ref="F890">IF(ISBLANK(B890),"",AVERAGE(B861:B890))</f>
        <v>85.1423076923077</v>
      </c>
      <c r="G890" s="976"/>
      <c r="H890" s="976"/>
      <c r="I890" s="976"/>
      <c r="J890" s="976"/>
      <c r="K890" s="976"/>
      <c r="L890" s="976"/>
      <c r="M890" s="976"/>
      <c r="N890" s="976"/>
      <c r="O890" s="976"/>
      <c r="P890" s="976"/>
      <c r="Q890" s="975"/>
      <c r="R890" t="str" s="976" cm="1">
        <f t="array" ref="R890">IF(OR(ISBLANK($B890),NOT(ISBLANK(B890))),"",'tracking - Table 2-1-2'!C$66)</f>
      </c>
      <c r="S890" t="str" s="976" cm="1">
        <f t="array" ref="S890">IF(OR(ISBLANK($B890),NOT(ISBLANK(B890))),"",'tracking - Table 2-1-2'!D$66)</f>
      </c>
      <c r="T890" t="str" s="976" cm="1">
        <f t="array" ref="T890">IF(OR(ISBLANK($B890),NOT(ISBLANK(B890))),"",'tracking - Table 2-1-2'!E$66)</f>
      </c>
      <c r="U890" t="str" s="977" cm="1">
        <f t="array" ref="U890">IF(OR(ISBLANK($B890),ISBLANK('tracking - Table 2-1-2'!A$1)),"",'tracking - Table 2-1-2'!F$66)</f>
      </c>
    </row>
    <row r="891" ht="20.35" customHeight="1">
      <c r="A891" s="926">
        <v>45230</v>
      </c>
      <c r="B891" s="29"/>
      <c r="C891" t="str" s="32" cm="1">
        <f t="array" ref="C891">IF(ISBLANK(B891),"",B891*2.2046226218)</f>
      </c>
      <c r="D891" t="str" s="976" cm="1">
        <f t="array" ref="D891">IF(ISBLANK(B891),"",AVERAGE(B885:B891))</f>
      </c>
      <c r="E891" t="str" s="976" cm="1">
        <f t="array" ref="E891">IF(ISBLANK(B891),"",AVERAGE(B878:B891))</f>
      </c>
      <c r="F891" t="str" s="976" cm="1">
        <f t="array" ref="F891">IF(ISBLANK(B891),"",AVERAGE(B862:B891))</f>
      </c>
      <c r="G891" s="976"/>
      <c r="H891" s="976"/>
      <c r="I891" s="976"/>
      <c r="J891" s="976"/>
      <c r="K891" s="976"/>
      <c r="L891" s="976"/>
      <c r="M891" s="976"/>
      <c r="N891" s="976"/>
      <c r="O891" s="976"/>
      <c r="P891" s="976"/>
      <c r="Q891" s="975"/>
      <c r="R891" t="str" s="976" cm="1">
        <f t="array" ref="R891">IF(OR(ISBLANK($B891),NOT(ISBLANK(B891))),"",'tracking - Table 2-1-2'!C$66)</f>
      </c>
      <c r="S891" t="str" s="976" cm="1">
        <f t="array" ref="S891">IF(OR(ISBLANK($B891),NOT(ISBLANK(B891))),"",'tracking - Table 2-1-2'!D$66)</f>
      </c>
      <c r="T891" t="str" s="976" cm="1">
        <f t="array" ref="T891">IF(OR(ISBLANK($B891),NOT(ISBLANK(B891))),"",'tracking - Table 2-1-2'!E$66)</f>
      </c>
      <c r="U891" t="str" s="977" cm="1">
        <f t="array" ref="U891">IF(OR(ISBLANK($B891),ISBLANK('tracking - Table 2-1-2'!A$1)),"",'tracking - Table 2-1-2'!F$66)</f>
      </c>
    </row>
    <row r="892" ht="20.35" customHeight="1">
      <c r="A892" s="926">
        <v>45231</v>
      </c>
      <c r="B892" s="29"/>
      <c r="C892" t="str" s="32" cm="1">
        <f t="array" ref="C892">IF(ISBLANK(B892),"",B892*2.2046226218)</f>
      </c>
      <c r="D892" t="str" s="976" cm="1">
        <f t="array" ref="D892">IF(ISBLANK(B892),"",AVERAGE(B886:B892))</f>
      </c>
      <c r="E892" t="str" s="976" cm="1">
        <f t="array" ref="E892">IF(ISBLANK(B892),"",AVERAGE(B879:B892))</f>
      </c>
      <c r="F892" t="str" s="976" cm="1">
        <f t="array" ref="F892">IF(ISBLANK(B892),"",AVERAGE(B863:B892))</f>
      </c>
      <c r="G892" s="976"/>
      <c r="H892" s="976"/>
      <c r="I892" s="976"/>
      <c r="J892" s="976"/>
      <c r="K892" s="976"/>
      <c r="L892" s="976"/>
      <c r="M892" s="976"/>
      <c r="N892" s="976"/>
      <c r="O892" s="976"/>
      <c r="P892" s="976"/>
      <c r="Q892" s="975"/>
      <c r="R892" t="str" s="976" cm="1">
        <f t="array" ref="R892">IF(OR(ISBLANK($B892),NOT(ISBLANK(B892))),"",'tracking - Table 2-1-2'!C$66)</f>
      </c>
      <c r="S892" t="str" s="976" cm="1">
        <f t="array" ref="S892">IF(OR(ISBLANK($B892),NOT(ISBLANK(B892))),"",'tracking - Table 2-1-2'!D$66)</f>
      </c>
      <c r="T892" t="str" s="976" cm="1">
        <f t="array" ref="T892">IF(OR(ISBLANK($B892),NOT(ISBLANK(B892))),"",'tracking - Table 2-1-2'!E$66)</f>
      </c>
      <c r="U892" t="str" s="977" cm="1">
        <f t="array" ref="U892">IF(OR(ISBLANK($B892),ISBLANK('tracking - Table 2-1-2'!A$1)),"",'tracking - Table 2-1-2'!F$66)</f>
      </c>
    </row>
    <row r="893" ht="20.35" customHeight="1">
      <c r="A893" s="926">
        <v>45232</v>
      </c>
      <c r="B893" s="29"/>
      <c r="C893" t="str" s="32" cm="1">
        <f t="array" ref="C893">IF(ISBLANK(B893),"",B893*2.2046226218)</f>
      </c>
      <c r="D893" t="str" s="976" cm="1">
        <f t="array" ref="D893">IF(ISBLANK(B893),"",AVERAGE(B887:B893))</f>
      </c>
      <c r="E893" t="str" s="976" cm="1">
        <f t="array" ref="E893">IF(ISBLANK(B893),"",AVERAGE(B880:B893))</f>
      </c>
      <c r="F893" t="str" s="976" cm="1">
        <f t="array" ref="F893">IF(ISBLANK(B893),"",AVERAGE(B864:B893))</f>
      </c>
      <c r="G893" s="976"/>
      <c r="H893" s="976"/>
      <c r="I893" s="976"/>
      <c r="J893" s="976"/>
      <c r="K893" s="976"/>
      <c r="L893" s="976"/>
      <c r="M893" s="976"/>
      <c r="N893" s="976"/>
      <c r="O893" s="976"/>
      <c r="P893" s="976"/>
      <c r="Q893" s="975"/>
      <c r="R893" t="str" s="976" cm="1">
        <f t="array" ref="R893">IF(OR(ISBLANK($B893),NOT(ISBLANK(B893))),"",'tracking - Table 2-1-2'!C$66)</f>
      </c>
      <c r="S893" t="str" s="976" cm="1">
        <f t="array" ref="S893">IF(OR(ISBLANK($B893),NOT(ISBLANK(B893))),"",'tracking - Table 2-1-2'!D$66)</f>
      </c>
      <c r="T893" t="str" s="976" cm="1">
        <f t="array" ref="T893">IF(OR(ISBLANK($B893),NOT(ISBLANK(B893))),"",'tracking - Table 2-1-2'!E$66)</f>
      </c>
      <c r="U893" t="str" s="977" cm="1">
        <f t="array" ref="U893">IF(OR(ISBLANK($B893),ISBLANK('tracking - Table 2-1-2'!A$1)),"",'tracking - Table 2-1-2'!F$66)</f>
      </c>
    </row>
    <row r="894" ht="20.35" customHeight="1">
      <c r="A894" s="926">
        <v>45233</v>
      </c>
      <c r="B894" s="29"/>
      <c r="C894" t="str" s="32" cm="1">
        <f t="array" ref="C894">IF(ISBLANK(B894),"",B894*2.2046226218)</f>
      </c>
      <c r="D894" t="str" s="976" cm="1">
        <f t="array" ref="D894">IF(ISBLANK(B894),"",AVERAGE(B888:B894))</f>
      </c>
      <c r="E894" t="str" s="976" cm="1">
        <f t="array" ref="E894">IF(ISBLANK(B894),"",AVERAGE(B881:B894))</f>
      </c>
      <c r="F894" t="str" s="976" cm="1">
        <f t="array" ref="F894">IF(ISBLANK(B894),"",AVERAGE(B865:B894))</f>
      </c>
      <c r="G894" s="976"/>
      <c r="H894" s="976"/>
      <c r="I894" s="976"/>
      <c r="J894" s="976"/>
      <c r="K894" s="976"/>
      <c r="L894" s="976"/>
      <c r="M894" s="976"/>
      <c r="N894" s="976"/>
      <c r="O894" s="976"/>
      <c r="P894" s="976"/>
      <c r="Q894" s="975"/>
      <c r="R894" t="str" s="976" cm="1">
        <f t="array" ref="R894">IF(OR(ISBLANK($B894),NOT(ISBLANK(B894))),"",'tracking - Table 2-1-2'!C$66)</f>
      </c>
      <c r="S894" t="str" s="976" cm="1">
        <f t="array" ref="S894">IF(OR(ISBLANK($B894),NOT(ISBLANK(B894))),"",'tracking - Table 2-1-2'!D$66)</f>
      </c>
      <c r="T894" t="str" s="976" cm="1">
        <f t="array" ref="T894">IF(OR(ISBLANK($B894),NOT(ISBLANK(B894))),"",'tracking - Table 2-1-2'!E$66)</f>
      </c>
      <c r="U894" t="str" s="977" cm="1">
        <f t="array" ref="U894">IF(OR(ISBLANK($B894),ISBLANK('tracking - Table 2-1-2'!A$1)),"",'tracking - Table 2-1-2'!F$66)</f>
      </c>
    </row>
    <row r="895" ht="20.35" customHeight="1">
      <c r="A895" s="926">
        <v>45234</v>
      </c>
      <c r="B895" s="29"/>
      <c r="C895" t="str" s="32" cm="1">
        <f t="array" ref="C895">IF(ISBLANK(B895),"",B895*2.2046226218)</f>
      </c>
      <c r="D895" t="str" s="976" cm="1">
        <f t="array" ref="D895">IF(ISBLANK(B895),"",AVERAGE(B889:B895))</f>
      </c>
      <c r="E895" t="str" s="976" cm="1">
        <f t="array" ref="E895">IF(ISBLANK(B895),"",AVERAGE(B882:B895))</f>
      </c>
      <c r="F895" t="str" s="976" cm="1">
        <f t="array" ref="F895">IF(ISBLANK(B895),"",AVERAGE(B866:B895))</f>
      </c>
      <c r="G895" s="976"/>
      <c r="H895" s="976"/>
      <c r="I895" s="976"/>
      <c r="J895" s="976"/>
      <c r="K895" s="976"/>
      <c r="L895" s="976"/>
      <c r="M895" s="976"/>
      <c r="N895" s="976"/>
      <c r="O895" s="976"/>
      <c r="P895" s="976"/>
      <c r="Q895" s="975"/>
      <c r="R895" t="str" s="976" cm="1">
        <f t="array" ref="R895">IF(OR(ISBLANK($B895),NOT(ISBLANK(B895))),"",'tracking - Table 2-1-2'!C$66)</f>
      </c>
      <c r="S895" t="str" s="976" cm="1">
        <f t="array" ref="S895">IF(OR(ISBLANK($B895),NOT(ISBLANK(B895))),"",'tracking - Table 2-1-2'!D$66)</f>
      </c>
      <c r="T895" t="str" s="976" cm="1">
        <f t="array" ref="T895">IF(OR(ISBLANK($B895),NOT(ISBLANK(B895))),"",'tracking - Table 2-1-2'!E$66)</f>
      </c>
      <c r="U895" t="str" s="977" cm="1">
        <f t="array" ref="U895">IF(OR(ISBLANK($B895),ISBLANK('tracking - Table 2-1-2'!A$1)),"",'tracking - Table 2-1-2'!F$66)</f>
      </c>
    </row>
    <row r="896" ht="20.35" customHeight="1">
      <c r="A896" s="926">
        <v>45235</v>
      </c>
      <c r="B896" s="29"/>
      <c r="C896" t="str" s="32" cm="1">
        <f t="array" ref="C896">IF(ISBLANK(B896),"",B896*2.2046226218)</f>
      </c>
      <c r="D896" t="str" s="976" cm="1">
        <f t="array" ref="D896">IF(ISBLANK(B896),"",AVERAGE(B890:B896))</f>
      </c>
      <c r="E896" t="str" s="976" cm="1">
        <f t="array" ref="E896">IF(ISBLANK(B896),"",AVERAGE(B883:B896))</f>
      </c>
      <c r="F896" t="str" s="976" cm="1">
        <f t="array" ref="F896">IF(ISBLANK(B896),"",AVERAGE(B867:B896))</f>
      </c>
      <c r="G896" s="976"/>
      <c r="H896" s="976"/>
      <c r="I896" s="976"/>
      <c r="J896" s="976"/>
      <c r="K896" s="976"/>
      <c r="L896" s="976"/>
      <c r="M896" s="976"/>
      <c r="N896" s="976"/>
      <c r="O896" s="976"/>
      <c r="P896" s="976"/>
      <c r="Q896" s="975"/>
      <c r="R896" t="str" s="976" cm="1">
        <f t="array" ref="R896">IF(OR(ISBLANK($B896),NOT(ISBLANK(B896))),"",'tracking - Table 2-1-2'!C$66)</f>
      </c>
      <c r="S896" t="str" s="976" cm="1">
        <f t="array" ref="S896">IF(OR(ISBLANK($B896),NOT(ISBLANK(B896))),"",'tracking - Table 2-1-2'!D$66)</f>
      </c>
      <c r="T896" t="str" s="976" cm="1">
        <f t="array" ref="T896">IF(OR(ISBLANK($B896),NOT(ISBLANK(B896))),"",'tracking - Table 2-1-2'!E$66)</f>
      </c>
      <c r="U896" t="str" s="977" cm="1">
        <f t="array" ref="U896">IF(OR(ISBLANK($B896),ISBLANK('tracking - Table 2-1-2'!A$1)),"",'tracking - Table 2-1-2'!F$66)</f>
      </c>
    </row>
    <row r="897" ht="20.35" customHeight="1">
      <c r="A897" s="926">
        <v>45236</v>
      </c>
      <c r="B897" s="29"/>
      <c r="C897" t="str" s="32" cm="1">
        <f t="array" ref="C897">IF(ISBLANK(B897),"",B897*2.2046226218)</f>
      </c>
      <c r="D897" t="str" s="976" cm="1">
        <f t="array" ref="D897">IF(ISBLANK(B897),"",AVERAGE(B891:B897))</f>
      </c>
      <c r="E897" t="str" s="976" cm="1">
        <f t="array" ref="E897">IF(ISBLANK(B897),"",AVERAGE(B884:B897))</f>
      </c>
      <c r="F897" t="str" s="976" cm="1">
        <f t="array" ref="F897">IF(ISBLANK(B897),"",AVERAGE(B868:B897))</f>
      </c>
      <c r="G897" s="976"/>
      <c r="H897" s="976"/>
      <c r="I897" s="976"/>
      <c r="J897" s="976"/>
      <c r="K897" s="976"/>
      <c r="L897" s="976"/>
      <c r="M897" s="976"/>
      <c r="N897" s="976"/>
      <c r="O897" s="976"/>
      <c r="P897" s="976"/>
      <c r="Q897" s="975"/>
      <c r="R897" t="str" s="976" cm="1">
        <f t="array" ref="R897">IF(OR(ISBLANK($B897),NOT(ISBLANK(B897))),"",'tracking - Table 2-1-2'!C$66)</f>
      </c>
      <c r="S897" t="str" s="976" cm="1">
        <f t="array" ref="S897">IF(OR(ISBLANK($B897),NOT(ISBLANK(B897))),"",'tracking - Table 2-1-2'!D$66)</f>
      </c>
      <c r="T897" t="str" s="976" cm="1">
        <f t="array" ref="T897">IF(OR(ISBLANK($B897),NOT(ISBLANK(B897))),"",'tracking - Table 2-1-2'!E$66)</f>
      </c>
      <c r="U897" t="str" s="977" cm="1">
        <f t="array" ref="U897">IF(OR(ISBLANK($B897),ISBLANK('tracking - Table 2-1-2'!A$1)),"",'tracking - Table 2-1-2'!F$66)</f>
      </c>
    </row>
    <row r="898" ht="20.35" customHeight="1">
      <c r="A898" s="926">
        <v>45237</v>
      </c>
      <c r="B898" s="29"/>
      <c r="C898" t="str" s="32" cm="1">
        <f t="array" ref="C898">IF(ISBLANK(B898),"",B898*2.2046226218)</f>
      </c>
      <c r="D898" t="str" s="976" cm="1">
        <f t="array" ref="D898">IF(ISBLANK(B898),"",AVERAGE(B892:B898))</f>
      </c>
      <c r="E898" t="str" s="976" cm="1">
        <f t="array" ref="E898">IF(ISBLANK(B898),"",AVERAGE(B885:B898))</f>
      </c>
      <c r="F898" t="str" s="976" cm="1">
        <f t="array" ref="F898">IF(ISBLANK(B898),"",AVERAGE(B869:B898))</f>
      </c>
      <c r="G898" s="976"/>
      <c r="H898" s="976"/>
      <c r="I898" s="976"/>
      <c r="J898" s="976"/>
      <c r="K898" s="976"/>
      <c r="L898" s="976"/>
      <c r="M898" s="976"/>
      <c r="N898" s="976"/>
      <c r="O898" s="976"/>
      <c r="P898" s="976"/>
      <c r="Q898" s="975"/>
      <c r="R898" t="str" s="976" cm="1">
        <f t="array" ref="R898">IF(OR(ISBLANK($B898),NOT(ISBLANK(B898))),"",'tracking - Table 2-1-2'!C$66)</f>
      </c>
      <c r="S898" t="str" s="976" cm="1">
        <f t="array" ref="S898">IF(OR(ISBLANK($B898),NOT(ISBLANK(B898))),"",'tracking - Table 2-1-2'!D$66)</f>
      </c>
      <c r="T898" t="str" s="976" cm="1">
        <f t="array" ref="T898">IF(OR(ISBLANK($B898),NOT(ISBLANK(B898))),"",'tracking - Table 2-1-2'!E$66)</f>
      </c>
      <c r="U898" t="str" s="977" cm="1">
        <f t="array" ref="U898">IF(OR(ISBLANK($B898),ISBLANK('tracking - Table 2-1-2'!A$1)),"",'tracking - Table 2-1-2'!F$66)</f>
      </c>
    </row>
    <row r="899" ht="20.35" customHeight="1">
      <c r="A899" s="926">
        <v>45238</v>
      </c>
      <c r="B899" s="29"/>
      <c r="C899" t="str" s="32" cm="1">
        <f t="array" ref="C899">IF(ISBLANK(B899),"",B899*2.2046226218)</f>
      </c>
      <c r="D899" t="str" s="976" cm="1">
        <f t="array" ref="D899">IF(ISBLANK(B899),"",AVERAGE(B893:B899))</f>
      </c>
      <c r="E899" t="str" s="976" cm="1">
        <f t="array" ref="E899">IF(ISBLANK(B899),"",AVERAGE(B886:B899))</f>
      </c>
      <c r="F899" t="str" s="976" cm="1">
        <f t="array" ref="F899">IF(ISBLANK(B899),"",AVERAGE(B870:B899))</f>
      </c>
      <c r="G899" s="976"/>
      <c r="H899" s="976"/>
      <c r="I899" s="976"/>
      <c r="J899" s="976"/>
      <c r="K899" s="976"/>
      <c r="L899" s="976"/>
      <c r="M899" s="976"/>
      <c r="N899" s="976"/>
      <c r="O899" s="976"/>
      <c r="P899" s="976"/>
      <c r="Q899" s="975"/>
      <c r="R899" t="str" s="976" cm="1">
        <f t="array" ref="R899">IF(OR(ISBLANK($B899),NOT(ISBLANK(B899))),"",'tracking - Table 2-1-2'!C$66)</f>
      </c>
      <c r="S899" t="str" s="976" cm="1">
        <f t="array" ref="S899">IF(OR(ISBLANK($B899),NOT(ISBLANK(B899))),"",'tracking - Table 2-1-2'!D$66)</f>
      </c>
      <c r="T899" t="str" s="976" cm="1">
        <f t="array" ref="T899">IF(OR(ISBLANK($B899),NOT(ISBLANK(B899))),"",'tracking - Table 2-1-2'!E$66)</f>
      </c>
      <c r="U899" t="str" s="977" cm="1">
        <f t="array" ref="U899">IF(OR(ISBLANK($B899),ISBLANK('tracking - Table 2-1-2'!A$1)),"",'tracking - Table 2-1-2'!F$66)</f>
      </c>
    </row>
    <row r="900" ht="20.35" customHeight="1">
      <c r="A900" s="926">
        <v>45239</v>
      </c>
      <c r="B900" s="29"/>
      <c r="C900" t="str" s="32" cm="1">
        <f t="array" ref="C900">IF(ISBLANK(B900),"",B900*2.2046226218)</f>
      </c>
      <c r="D900" t="str" s="976" cm="1">
        <f t="array" ref="D900">IF(ISBLANK(B900),"",AVERAGE(B894:B900))</f>
      </c>
      <c r="E900" t="str" s="976" cm="1">
        <f t="array" ref="E900">IF(ISBLANK(B900),"",AVERAGE(B887:B900))</f>
      </c>
      <c r="F900" t="str" s="976" cm="1">
        <f t="array" ref="F900">IF(ISBLANK(B900),"",AVERAGE(B871:B900))</f>
      </c>
      <c r="G900" s="976"/>
      <c r="H900" s="976"/>
      <c r="I900" s="976"/>
      <c r="J900" s="976"/>
      <c r="K900" s="976"/>
      <c r="L900" s="976"/>
      <c r="M900" s="976"/>
      <c r="N900" s="976"/>
      <c r="O900" s="976"/>
      <c r="P900" s="976"/>
      <c r="Q900" s="975"/>
      <c r="R900" t="str" s="976" cm="1">
        <f t="array" ref="R900">IF(OR(ISBLANK($B900),NOT(ISBLANK(B900))),"",'tracking - Table 2-1-2'!C$66)</f>
      </c>
      <c r="S900" t="str" s="976" cm="1">
        <f t="array" ref="S900">IF(OR(ISBLANK($B900),NOT(ISBLANK(B900))),"",'tracking - Table 2-1-2'!D$66)</f>
      </c>
      <c r="T900" t="str" s="976" cm="1">
        <f t="array" ref="T900">IF(OR(ISBLANK($B900),NOT(ISBLANK(B900))),"",'tracking - Table 2-1-2'!E$66)</f>
      </c>
      <c r="U900" t="str" s="977" cm="1">
        <f t="array" ref="U900">IF(OR(ISBLANK($B900),ISBLANK('tracking - Table 2-1-2'!A$1)),"",'tracking - Table 2-1-2'!F$66)</f>
      </c>
    </row>
    <row r="901" ht="20.35" customHeight="1">
      <c r="A901" s="926">
        <v>45240</v>
      </c>
      <c r="B901" s="29"/>
      <c r="C901" t="str" s="32" cm="1">
        <f t="array" ref="C901">IF(ISBLANK(B901),"",B901*2.2046226218)</f>
      </c>
      <c r="D901" t="str" s="976" cm="1">
        <f t="array" ref="D901">IF(ISBLANK(B901),"",AVERAGE(B895:B901))</f>
      </c>
      <c r="E901" t="str" s="976" cm="1">
        <f t="array" ref="E901">IF(ISBLANK(B901),"",AVERAGE(B888:B901))</f>
      </c>
      <c r="F901" t="str" s="976" cm="1">
        <f t="array" ref="F901">IF(ISBLANK(B901),"",AVERAGE(B872:B901))</f>
      </c>
      <c r="G901" s="976"/>
      <c r="H901" s="976"/>
      <c r="I901" s="976"/>
      <c r="J901" s="976"/>
      <c r="K901" s="976"/>
      <c r="L901" s="976"/>
      <c r="M901" s="976"/>
      <c r="N901" s="976"/>
      <c r="O901" s="976"/>
      <c r="P901" s="976"/>
      <c r="Q901" s="975"/>
      <c r="R901" t="str" s="976" cm="1">
        <f t="array" ref="R901">IF(OR(ISBLANK($B901),NOT(ISBLANK(B901))),"",'tracking - Table 2-1-2'!C$66)</f>
      </c>
      <c r="S901" t="str" s="976" cm="1">
        <f t="array" ref="S901">IF(OR(ISBLANK($B901),NOT(ISBLANK(B901))),"",'tracking - Table 2-1-2'!D$66)</f>
      </c>
      <c r="T901" t="str" s="976" cm="1">
        <f t="array" ref="T901">IF(OR(ISBLANK($B901),NOT(ISBLANK(B901))),"",'tracking - Table 2-1-2'!E$66)</f>
      </c>
      <c r="U901" t="str" s="977" cm="1">
        <f t="array" ref="U901">IF(OR(ISBLANK($B901),ISBLANK('tracking - Table 2-1-2'!A$1)),"",'tracking - Table 2-1-2'!F$66)</f>
      </c>
    </row>
    <row r="902" ht="20.35" customHeight="1">
      <c r="A902" s="926">
        <v>45241</v>
      </c>
      <c r="B902" s="29"/>
      <c r="C902" t="str" s="32" cm="1">
        <f t="array" ref="C902">IF(ISBLANK(B902),"",B902*2.2046226218)</f>
      </c>
      <c r="D902" t="str" s="976" cm="1">
        <f t="array" ref="D902">IF(ISBLANK(B902),"",AVERAGE(B896:B902))</f>
      </c>
      <c r="E902" t="str" s="976" cm="1">
        <f t="array" ref="E902">IF(ISBLANK(B902),"",AVERAGE(B889:B902))</f>
      </c>
      <c r="F902" t="str" s="976" cm="1">
        <f t="array" ref="F902">IF(ISBLANK(B902),"",AVERAGE(B873:B902))</f>
      </c>
      <c r="G902" s="976"/>
      <c r="H902" s="976"/>
      <c r="I902" s="976"/>
      <c r="J902" s="976"/>
      <c r="K902" s="976"/>
      <c r="L902" s="976"/>
      <c r="M902" s="976"/>
      <c r="N902" s="976"/>
      <c r="O902" s="976"/>
      <c r="P902" s="976"/>
      <c r="Q902" s="975"/>
      <c r="R902" t="str" s="976" cm="1">
        <f t="array" ref="R902">IF(OR(ISBLANK($B902),NOT(ISBLANK(B902))),"",'tracking - Table 2-1-2'!C$66)</f>
      </c>
      <c r="S902" t="str" s="976" cm="1">
        <f t="array" ref="S902">IF(OR(ISBLANK($B902),NOT(ISBLANK(B902))),"",'tracking - Table 2-1-2'!D$66)</f>
      </c>
      <c r="T902" t="str" s="976" cm="1">
        <f t="array" ref="T902">IF(OR(ISBLANK($B902),NOT(ISBLANK(B902))),"",'tracking - Table 2-1-2'!E$66)</f>
      </c>
      <c r="U902" t="str" s="977" cm="1">
        <f t="array" ref="U902">IF(OR(ISBLANK($B902),ISBLANK('tracking - Table 2-1-2'!A$1)),"",'tracking - Table 2-1-2'!F$66)</f>
      </c>
    </row>
    <row r="903" ht="20.35" customHeight="1">
      <c r="A903" s="926">
        <v>45242</v>
      </c>
      <c r="B903" s="29"/>
      <c r="C903" t="str" s="32" cm="1">
        <f t="array" ref="C903">IF(ISBLANK(B903),"",B903*2.2046226218)</f>
      </c>
      <c r="D903" t="str" s="976" cm="1">
        <f t="array" ref="D903">IF(ISBLANK(B903),"",AVERAGE(B897:B903))</f>
      </c>
      <c r="E903" t="str" s="976" cm="1">
        <f t="array" ref="E903">IF(ISBLANK(B903),"",AVERAGE(B890:B903))</f>
      </c>
      <c r="F903" t="str" s="976" cm="1">
        <f t="array" ref="F903">IF(ISBLANK(B903),"",AVERAGE(B874:B903))</f>
      </c>
      <c r="G903" s="976"/>
      <c r="H903" s="976"/>
      <c r="I903" s="976"/>
      <c r="J903" s="976"/>
      <c r="K903" s="976"/>
      <c r="L903" s="976"/>
      <c r="M903" s="976"/>
      <c r="N903" s="976"/>
      <c r="O903" s="976"/>
      <c r="P903" s="976"/>
      <c r="Q903" s="975"/>
      <c r="R903" t="str" s="976" cm="1">
        <f t="array" ref="R903">IF(OR(ISBLANK($B903),NOT(ISBLANK(B903))),"",'tracking - Table 2-1-2'!C$66)</f>
      </c>
      <c r="S903" t="str" s="976" cm="1">
        <f t="array" ref="S903">IF(OR(ISBLANK($B903),NOT(ISBLANK(B903))),"",'tracking - Table 2-1-2'!D$66)</f>
      </c>
      <c r="T903" t="str" s="976" cm="1">
        <f t="array" ref="T903">IF(OR(ISBLANK($B903),NOT(ISBLANK(B903))),"",'tracking - Table 2-1-2'!E$66)</f>
      </c>
      <c r="U903" t="str" s="977" cm="1">
        <f t="array" ref="U903">IF(OR(ISBLANK($B903),ISBLANK('tracking - Table 2-1-2'!A$1)),"",'tracking - Table 2-1-2'!F$66)</f>
      </c>
    </row>
    <row r="904" ht="20.35" customHeight="1">
      <c r="A904" s="926">
        <v>45243</v>
      </c>
      <c r="B904" s="29"/>
      <c r="C904" t="str" s="32" cm="1">
        <f t="array" ref="C904">IF(ISBLANK(B904),"",B904*2.2046226218)</f>
      </c>
      <c r="D904" t="str" s="976" cm="1">
        <f t="array" ref="D904">IF(ISBLANK(B904),"",AVERAGE(B898:B904))</f>
      </c>
      <c r="E904" t="str" s="976" cm="1">
        <f t="array" ref="E904">IF(ISBLANK(B904),"",AVERAGE(B891:B904))</f>
      </c>
      <c r="F904" t="str" s="976" cm="1">
        <f t="array" ref="F904">IF(ISBLANK(B904),"",AVERAGE(B875:B904))</f>
      </c>
      <c r="G904" s="976"/>
      <c r="H904" s="976"/>
      <c r="I904" s="976"/>
      <c r="J904" s="976"/>
      <c r="K904" s="976"/>
      <c r="L904" s="976"/>
      <c r="M904" s="976"/>
      <c r="N904" s="976"/>
      <c r="O904" s="976"/>
      <c r="P904" s="976"/>
      <c r="Q904" s="975"/>
      <c r="R904" t="str" s="976" cm="1">
        <f t="array" ref="R904">IF(OR(ISBLANK($B904),NOT(ISBLANK(B904))),"",'tracking - Table 2-1-2'!C$66)</f>
      </c>
      <c r="S904" t="str" s="976" cm="1">
        <f t="array" ref="S904">IF(OR(ISBLANK($B904),NOT(ISBLANK(B904))),"",'tracking - Table 2-1-2'!D$66)</f>
      </c>
      <c r="T904" t="str" s="976" cm="1">
        <f t="array" ref="T904">IF(OR(ISBLANK($B904),NOT(ISBLANK(B904))),"",'tracking - Table 2-1-2'!E$66)</f>
      </c>
      <c r="U904" t="str" s="977" cm="1">
        <f t="array" ref="U904">IF(OR(ISBLANK($B904),ISBLANK('tracking - Table 2-1-2'!A$1)),"",'tracking - Table 2-1-2'!F$66)</f>
      </c>
    </row>
    <row r="905" ht="20.35" customHeight="1">
      <c r="A905" s="926">
        <v>45244</v>
      </c>
      <c r="B905" s="29"/>
      <c r="C905" t="str" s="32" cm="1">
        <f t="array" ref="C905">IF(ISBLANK(B905),"",B905*2.2046226218)</f>
      </c>
      <c r="D905" t="str" s="976" cm="1">
        <f t="array" ref="D905">IF(ISBLANK(B905),"",AVERAGE(B899:B905))</f>
      </c>
      <c r="E905" t="str" s="976" cm="1">
        <f t="array" ref="E905">IF(ISBLANK(B905),"",AVERAGE(B892:B905))</f>
      </c>
      <c r="F905" t="str" s="976" cm="1">
        <f t="array" ref="F905">IF(ISBLANK(B905),"",AVERAGE(B876:B905))</f>
      </c>
      <c r="G905" s="976"/>
      <c r="H905" s="976"/>
      <c r="I905" s="976"/>
      <c r="J905" s="976"/>
      <c r="K905" s="976"/>
      <c r="L905" s="976"/>
      <c r="M905" s="976"/>
      <c r="N905" s="976"/>
      <c r="O905" s="976"/>
      <c r="P905" s="976"/>
      <c r="Q905" s="975"/>
      <c r="R905" t="str" s="976" cm="1">
        <f t="array" ref="R905">IF(OR(ISBLANK($B905),NOT(ISBLANK(B905))),"",'tracking - Table 2-1-2'!C$66)</f>
      </c>
      <c r="S905" t="str" s="976" cm="1">
        <f t="array" ref="S905">IF(OR(ISBLANK($B905),NOT(ISBLANK(B905))),"",'tracking - Table 2-1-2'!D$66)</f>
      </c>
      <c r="T905" t="str" s="976" cm="1">
        <f t="array" ref="T905">IF(OR(ISBLANK($B905),NOT(ISBLANK(B905))),"",'tracking - Table 2-1-2'!E$66)</f>
      </c>
      <c r="U905" t="str" s="977" cm="1">
        <f t="array" ref="U905">IF(OR(ISBLANK($B905),ISBLANK('tracking - Table 2-1-2'!A$1)),"",'tracking - Table 2-1-2'!F$66)</f>
      </c>
    </row>
    <row r="906" ht="20.35" customHeight="1">
      <c r="A906" s="926">
        <v>45245</v>
      </c>
      <c r="B906" s="29"/>
      <c r="C906" t="str" s="32" cm="1">
        <f t="array" ref="C906">IF(ISBLANK(B906),"",B906*2.2046226218)</f>
      </c>
      <c r="D906" t="str" s="976" cm="1">
        <f t="array" ref="D906">IF(ISBLANK(B906),"",AVERAGE(B900:B906))</f>
      </c>
      <c r="E906" t="str" s="976" cm="1">
        <f t="array" ref="E906">IF(ISBLANK(B906),"",AVERAGE(B893:B906))</f>
      </c>
      <c r="F906" t="str" s="976" cm="1">
        <f t="array" ref="F906">IF(ISBLANK(B906),"",AVERAGE(B877:B906))</f>
      </c>
      <c r="G906" s="976"/>
      <c r="H906" s="976"/>
      <c r="I906" s="976"/>
      <c r="J906" s="976"/>
      <c r="K906" s="976"/>
      <c r="L906" s="976"/>
      <c r="M906" s="976"/>
      <c r="N906" s="976"/>
      <c r="O906" s="976"/>
      <c r="P906" s="976"/>
      <c r="Q906" s="975"/>
      <c r="R906" t="str" s="976" cm="1">
        <f t="array" ref="R906">IF(OR(ISBLANK($B906),NOT(ISBLANK(B906))),"",'tracking - Table 2-1-2'!C$66)</f>
      </c>
      <c r="S906" t="str" s="976" cm="1">
        <f t="array" ref="S906">IF(OR(ISBLANK($B906),NOT(ISBLANK(B906))),"",'tracking - Table 2-1-2'!D$66)</f>
      </c>
      <c r="T906" t="str" s="976" cm="1">
        <f t="array" ref="T906">IF(OR(ISBLANK($B906),NOT(ISBLANK(B906))),"",'tracking - Table 2-1-2'!E$66)</f>
      </c>
      <c r="U906" t="str" s="977" cm="1">
        <f t="array" ref="U906">IF(OR(ISBLANK($B906),ISBLANK('tracking - Table 2-1-2'!A$1)),"",'tracking - Table 2-1-2'!F$66)</f>
      </c>
    </row>
    <row r="907" ht="20.35" customHeight="1">
      <c r="A907" s="926">
        <v>45246</v>
      </c>
      <c r="B907" s="29"/>
      <c r="C907" t="str" s="32" cm="1">
        <f t="array" ref="C907">IF(ISBLANK(B907),"",B907*2.2046226218)</f>
      </c>
      <c r="D907" t="str" s="976" cm="1">
        <f t="array" ref="D907">IF(ISBLANK(B907),"",AVERAGE(B901:B907))</f>
      </c>
      <c r="E907" t="str" s="976" cm="1">
        <f t="array" ref="E907">IF(ISBLANK(B907),"",AVERAGE(B894:B907))</f>
      </c>
      <c r="F907" t="str" s="976" cm="1">
        <f t="array" ref="F907">IF(ISBLANK(B907),"",AVERAGE(B878:B907))</f>
      </c>
      <c r="G907" s="976"/>
      <c r="H907" s="976"/>
      <c r="I907" s="976"/>
      <c r="J907" s="976"/>
      <c r="K907" s="976"/>
      <c r="L907" s="976"/>
      <c r="M907" s="976"/>
      <c r="N907" s="976"/>
      <c r="O907" s="976"/>
      <c r="P907" s="976"/>
      <c r="Q907" s="975"/>
      <c r="R907" t="str" s="976" cm="1">
        <f t="array" ref="R907">IF(OR(ISBLANK($B907),NOT(ISBLANK(B907))),"",'tracking - Table 2-1-2'!C$66)</f>
      </c>
      <c r="S907" t="str" s="976" cm="1">
        <f t="array" ref="S907">IF(OR(ISBLANK($B907),NOT(ISBLANK(B907))),"",'tracking - Table 2-1-2'!D$66)</f>
      </c>
      <c r="T907" t="str" s="976" cm="1">
        <f t="array" ref="T907">IF(OR(ISBLANK($B907),NOT(ISBLANK(B907))),"",'tracking - Table 2-1-2'!E$66)</f>
      </c>
      <c r="U907" t="str" s="977" cm="1">
        <f t="array" ref="U907">IF(OR(ISBLANK($B907),ISBLANK('tracking - Table 2-1-2'!A$1)),"",'tracking - Table 2-1-2'!F$66)</f>
      </c>
    </row>
    <row r="908" ht="20.35" customHeight="1">
      <c r="A908" s="926">
        <v>45247</v>
      </c>
      <c r="B908" s="29"/>
      <c r="C908" t="str" s="32" cm="1">
        <f t="array" ref="C908">IF(ISBLANK(B908),"",B908*2.2046226218)</f>
      </c>
      <c r="D908" t="str" s="976" cm="1">
        <f t="array" ref="D908">IF(ISBLANK(B908),"",AVERAGE(B902:B908))</f>
      </c>
      <c r="E908" t="str" s="976" cm="1">
        <f t="array" ref="E908">IF(ISBLANK(B908),"",AVERAGE(B895:B908))</f>
      </c>
      <c r="F908" t="str" s="976" cm="1">
        <f t="array" ref="F908">IF(ISBLANK(B908),"",AVERAGE(B879:B908))</f>
      </c>
      <c r="G908" s="976"/>
      <c r="H908" s="976"/>
      <c r="I908" s="976"/>
      <c r="J908" s="976"/>
      <c r="K908" s="976"/>
      <c r="L908" s="976"/>
      <c r="M908" s="976"/>
      <c r="N908" s="976"/>
      <c r="O908" s="976"/>
      <c r="P908" s="976"/>
      <c r="Q908" s="975"/>
      <c r="R908" t="str" s="976" cm="1">
        <f t="array" ref="R908">IF(OR(ISBLANK($B908),NOT(ISBLANK(B908))),"",'tracking - Table 2-1-2'!C$66)</f>
      </c>
      <c r="S908" t="str" s="976" cm="1">
        <f t="array" ref="S908">IF(OR(ISBLANK($B908),NOT(ISBLANK(B908))),"",'tracking - Table 2-1-2'!D$66)</f>
      </c>
      <c r="T908" t="str" s="976" cm="1">
        <f t="array" ref="T908">IF(OR(ISBLANK($B908),NOT(ISBLANK(B908))),"",'tracking - Table 2-1-2'!E$66)</f>
      </c>
      <c r="U908" t="str" s="977" cm="1">
        <f t="array" ref="U908">IF(OR(ISBLANK($B908),ISBLANK('tracking - Table 2-1-2'!A$1)),"",'tracking - Table 2-1-2'!F$66)</f>
      </c>
    </row>
    <row r="909" ht="20.35" customHeight="1">
      <c r="A909" s="926">
        <v>45248</v>
      </c>
      <c r="B909" s="29"/>
      <c r="C909" t="str" s="32" cm="1">
        <f t="array" ref="C909">IF(ISBLANK(B909),"",B909*2.2046226218)</f>
      </c>
      <c r="D909" t="str" s="976" cm="1">
        <f t="array" ref="D909">IF(ISBLANK(B909),"",AVERAGE(B903:B909))</f>
      </c>
      <c r="E909" t="str" s="976" cm="1">
        <f t="array" ref="E909">IF(ISBLANK(B909),"",AVERAGE(B896:B909))</f>
      </c>
      <c r="F909" t="str" s="976" cm="1">
        <f t="array" ref="F909">IF(ISBLANK(B909),"",AVERAGE(B880:B909))</f>
      </c>
      <c r="G909" s="976"/>
      <c r="H909" s="976"/>
      <c r="I909" s="976"/>
      <c r="J909" s="976"/>
      <c r="K909" s="976"/>
      <c r="L909" s="976"/>
      <c r="M909" s="976"/>
      <c r="N909" s="976"/>
      <c r="O909" s="976"/>
      <c r="P909" s="976"/>
      <c r="Q909" s="975"/>
      <c r="R909" t="str" s="976" cm="1">
        <f t="array" ref="R909">IF(OR(ISBLANK($B909),NOT(ISBLANK(B909))),"",'tracking - Table 2-1-2'!C$66)</f>
      </c>
      <c r="S909" t="str" s="976" cm="1">
        <f t="array" ref="S909">IF(OR(ISBLANK($B909),NOT(ISBLANK(B909))),"",'tracking - Table 2-1-2'!D$66)</f>
      </c>
      <c r="T909" t="str" s="976" cm="1">
        <f t="array" ref="T909">IF(OR(ISBLANK($B909),NOT(ISBLANK(B909))),"",'tracking - Table 2-1-2'!E$66)</f>
      </c>
      <c r="U909" t="str" s="977" cm="1">
        <f t="array" ref="U909">IF(OR(ISBLANK($B909),ISBLANK('tracking - Table 2-1-2'!A$1)),"",'tracking - Table 2-1-2'!F$66)</f>
      </c>
    </row>
    <row r="910" ht="20.35" customHeight="1">
      <c r="A910" s="926">
        <v>45249</v>
      </c>
      <c r="B910" s="29"/>
      <c r="C910" t="str" s="32" cm="1">
        <f t="array" ref="C910">IF(ISBLANK(B910),"",B910*2.2046226218)</f>
      </c>
      <c r="D910" t="str" s="976" cm="1">
        <f t="array" ref="D910">IF(ISBLANK(B910),"",AVERAGE(B904:B910))</f>
      </c>
      <c r="E910" t="str" s="976" cm="1">
        <f t="array" ref="E910">IF(ISBLANK(B910),"",AVERAGE(B897:B910))</f>
      </c>
      <c r="F910" t="str" s="976" cm="1">
        <f t="array" ref="F910">IF(ISBLANK(B910),"",AVERAGE(B881:B910))</f>
      </c>
      <c r="G910" s="976"/>
      <c r="H910" s="976"/>
      <c r="I910" s="976"/>
      <c r="J910" s="976"/>
      <c r="K910" s="976"/>
      <c r="L910" s="976"/>
      <c r="M910" s="976"/>
      <c r="N910" s="976"/>
      <c r="O910" s="976"/>
      <c r="P910" s="976"/>
      <c r="Q910" s="975"/>
      <c r="R910" t="str" s="976" cm="1">
        <f t="array" ref="R910">IF(OR(ISBLANK($B910),NOT(ISBLANK(B910))),"",'tracking - Table 2-1-2'!C$66)</f>
      </c>
      <c r="S910" t="str" s="976" cm="1">
        <f t="array" ref="S910">IF(OR(ISBLANK($B910),NOT(ISBLANK(B910))),"",'tracking - Table 2-1-2'!D$66)</f>
      </c>
      <c r="T910" t="str" s="976" cm="1">
        <f t="array" ref="T910">IF(OR(ISBLANK($B910),NOT(ISBLANK(B910))),"",'tracking - Table 2-1-2'!E$66)</f>
      </c>
      <c r="U910" t="str" s="977" cm="1">
        <f t="array" ref="U910">IF(OR(ISBLANK($B910),ISBLANK('tracking - Table 2-1-2'!A$1)),"",'tracking - Table 2-1-2'!F$66)</f>
      </c>
    </row>
    <row r="911" ht="20.35" customHeight="1">
      <c r="A911" s="926">
        <v>45250</v>
      </c>
      <c r="B911" s="29"/>
      <c r="C911" t="str" s="32" cm="1">
        <f t="array" ref="C911">IF(ISBLANK(B911),"",B911*2.2046226218)</f>
      </c>
      <c r="D911" t="str" s="976" cm="1">
        <f t="array" ref="D911">IF(ISBLANK(B911),"",AVERAGE(B905:B911))</f>
      </c>
      <c r="E911" t="str" s="976" cm="1">
        <f t="array" ref="E911">IF(ISBLANK(B911),"",AVERAGE(B898:B911))</f>
      </c>
      <c r="F911" t="str" s="976" cm="1">
        <f t="array" ref="F911">IF(ISBLANK(B911),"",AVERAGE(B882:B911))</f>
      </c>
      <c r="G911" s="976"/>
      <c r="H911" s="976"/>
      <c r="I911" s="976"/>
      <c r="J911" s="976"/>
      <c r="K911" s="976"/>
      <c r="L911" s="976"/>
      <c r="M911" s="976"/>
      <c r="N911" s="976"/>
      <c r="O911" s="976"/>
      <c r="P911" s="976"/>
      <c r="Q911" s="975"/>
      <c r="R911" t="str" s="976" cm="1">
        <f t="array" ref="R911">IF(OR(ISBLANK($B911),NOT(ISBLANK(B911))),"",'tracking - Table 2-1-2'!C$66)</f>
      </c>
      <c r="S911" t="str" s="976" cm="1">
        <f t="array" ref="S911">IF(OR(ISBLANK($B911),NOT(ISBLANK(B911))),"",'tracking - Table 2-1-2'!D$66)</f>
      </c>
      <c r="T911" t="str" s="976" cm="1">
        <f t="array" ref="T911">IF(OR(ISBLANK($B911),NOT(ISBLANK(B911))),"",'tracking - Table 2-1-2'!E$66)</f>
      </c>
      <c r="U911" t="str" s="977" cm="1">
        <f t="array" ref="U911">IF(OR(ISBLANK($B911),ISBLANK('tracking - Table 2-1-2'!A$1)),"",'tracking - Table 2-1-2'!F$66)</f>
      </c>
    </row>
    <row r="912" ht="20.35" customHeight="1">
      <c r="A912" s="926">
        <v>45251</v>
      </c>
      <c r="B912" s="29"/>
      <c r="C912" t="str" s="32" cm="1">
        <f t="array" ref="C912">IF(ISBLANK(B912),"",B912*2.2046226218)</f>
      </c>
      <c r="D912" t="str" s="976" cm="1">
        <f t="array" ref="D912">IF(ISBLANK(B912),"",AVERAGE(B906:B912))</f>
      </c>
      <c r="E912" t="str" s="976" cm="1">
        <f t="array" ref="E912">IF(ISBLANK(B912),"",AVERAGE(B899:B912))</f>
      </c>
      <c r="F912" t="str" s="976" cm="1">
        <f t="array" ref="F912">IF(ISBLANK(B912),"",AVERAGE(B883:B912))</f>
      </c>
      <c r="G912" s="976"/>
      <c r="H912" s="976"/>
      <c r="I912" s="976"/>
      <c r="J912" s="976"/>
      <c r="K912" s="976"/>
      <c r="L912" s="976"/>
      <c r="M912" s="976"/>
      <c r="N912" s="976"/>
      <c r="O912" s="976"/>
      <c r="P912" s="976"/>
      <c r="Q912" s="975"/>
      <c r="R912" t="str" s="976" cm="1">
        <f t="array" ref="R912">IF(OR(ISBLANK($B912),NOT(ISBLANK(B912))),"",'tracking - Table 2-1-2'!C$66)</f>
      </c>
      <c r="S912" t="str" s="976" cm="1">
        <f t="array" ref="S912">IF(OR(ISBLANK($B912),NOT(ISBLANK(B912))),"",'tracking - Table 2-1-2'!D$66)</f>
      </c>
      <c r="T912" t="str" s="976" cm="1">
        <f t="array" ref="T912">IF(OR(ISBLANK($B912),NOT(ISBLANK(B912))),"",'tracking - Table 2-1-2'!E$66)</f>
      </c>
      <c r="U912" t="str" s="977" cm="1">
        <f t="array" ref="U912">IF(OR(ISBLANK($B912),ISBLANK('tracking - Table 2-1-2'!A$1)),"",'tracking - Table 2-1-2'!F$66)</f>
      </c>
    </row>
    <row r="913" ht="20.35" customHeight="1">
      <c r="A913" s="926">
        <v>45252</v>
      </c>
      <c r="B913" s="29"/>
      <c r="C913" t="str" s="32" cm="1">
        <f t="array" ref="C913">IF(ISBLANK(B913),"",B913*2.2046226218)</f>
      </c>
      <c r="D913" t="str" s="976" cm="1">
        <f t="array" ref="D913">IF(ISBLANK(B913),"",AVERAGE(B907:B913))</f>
      </c>
      <c r="E913" t="str" s="976" cm="1">
        <f t="array" ref="E913">IF(ISBLANK(B913),"",AVERAGE(B900:B913))</f>
      </c>
      <c r="F913" t="str" s="976" cm="1">
        <f t="array" ref="F913">IF(ISBLANK(B913),"",AVERAGE(B884:B913))</f>
      </c>
      <c r="G913" s="976"/>
      <c r="H913" s="976"/>
      <c r="I913" s="976"/>
      <c r="J913" s="976"/>
      <c r="K913" s="976"/>
      <c r="L913" s="976"/>
      <c r="M913" s="976"/>
      <c r="N913" s="976"/>
      <c r="O913" s="976"/>
      <c r="P913" s="976"/>
      <c r="Q913" s="975"/>
      <c r="R913" t="str" s="976" cm="1">
        <f t="array" ref="R913">IF(OR(ISBLANK($B913),NOT(ISBLANK(B913))),"",'tracking - Table 2-1-2'!C$66)</f>
      </c>
      <c r="S913" t="str" s="976" cm="1">
        <f t="array" ref="S913">IF(OR(ISBLANK($B913),NOT(ISBLANK(B913))),"",'tracking - Table 2-1-2'!D$66)</f>
      </c>
      <c r="T913" t="str" s="976" cm="1">
        <f t="array" ref="T913">IF(OR(ISBLANK($B913),NOT(ISBLANK(B913))),"",'tracking - Table 2-1-2'!E$66)</f>
      </c>
      <c r="U913" t="str" s="977" cm="1">
        <f t="array" ref="U913">IF(OR(ISBLANK($B913),ISBLANK('tracking - Table 2-1-2'!A$1)),"",'tracking - Table 2-1-2'!F$66)</f>
      </c>
    </row>
    <row r="914" ht="20.35" customHeight="1">
      <c r="A914" s="926">
        <v>45253</v>
      </c>
      <c r="B914" s="29"/>
      <c r="C914" t="str" s="32" cm="1">
        <f t="array" ref="C914">IF(ISBLANK(B914),"",B914*2.2046226218)</f>
      </c>
      <c r="D914" t="str" s="976" cm="1">
        <f t="array" ref="D914">IF(ISBLANK(B914),"",AVERAGE(B908:B914))</f>
      </c>
      <c r="E914" t="str" s="976" cm="1">
        <f t="array" ref="E914">IF(ISBLANK(B914),"",AVERAGE(B901:B914))</f>
      </c>
      <c r="F914" t="str" s="976" cm="1">
        <f t="array" ref="F914">IF(ISBLANK(B914),"",AVERAGE(B885:B914))</f>
      </c>
      <c r="G914" s="976"/>
      <c r="H914" s="976"/>
      <c r="I914" s="976"/>
      <c r="J914" s="976"/>
      <c r="K914" s="976"/>
      <c r="L914" s="976"/>
      <c r="M914" s="976"/>
      <c r="N914" s="976"/>
      <c r="O914" s="976"/>
      <c r="P914" s="976"/>
      <c r="Q914" s="975"/>
      <c r="R914" t="str" s="976" cm="1">
        <f t="array" ref="R914">IF(OR(ISBLANK($B914),NOT(ISBLANK(B914))),"",'tracking - Table 2-1-2'!C$66)</f>
      </c>
      <c r="S914" t="str" s="976" cm="1">
        <f t="array" ref="S914">IF(OR(ISBLANK($B914),NOT(ISBLANK(B914))),"",'tracking - Table 2-1-2'!D$66)</f>
      </c>
      <c r="T914" t="str" s="976" cm="1">
        <f t="array" ref="T914">IF(OR(ISBLANK($B914),NOT(ISBLANK(B914))),"",'tracking - Table 2-1-2'!E$66)</f>
      </c>
      <c r="U914" t="str" s="977" cm="1">
        <f t="array" ref="U914">IF(OR(ISBLANK($B914),ISBLANK('tracking - Table 2-1-2'!A$1)),"",'tracking - Table 2-1-2'!F$66)</f>
      </c>
    </row>
    <row r="915" ht="20.35" customHeight="1">
      <c r="A915" s="926">
        <v>45254</v>
      </c>
      <c r="B915" s="29"/>
      <c r="C915" t="str" s="32" cm="1">
        <f t="array" ref="C915">IF(ISBLANK(B915),"",B915*2.2046226218)</f>
      </c>
      <c r="D915" t="str" s="976" cm="1">
        <f t="array" ref="D915">IF(ISBLANK(B915),"",AVERAGE(B909:B915))</f>
      </c>
      <c r="E915" t="str" s="976" cm="1">
        <f t="array" ref="E915">IF(ISBLANK(B915),"",AVERAGE(B902:B915))</f>
      </c>
      <c r="F915" t="str" s="976" cm="1">
        <f t="array" ref="F915">IF(ISBLANK(B915),"",AVERAGE(B886:B915))</f>
      </c>
      <c r="G915" s="976"/>
      <c r="H915" s="976"/>
      <c r="I915" s="976"/>
      <c r="J915" s="976"/>
      <c r="K915" s="976"/>
      <c r="L915" s="976"/>
      <c r="M915" s="976"/>
      <c r="N915" s="976"/>
      <c r="O915" s="976"/>
      <c r="P915" s="976"/>
      <c r="Q915" s="975"/>
      <c r="R915" t="str" s="976" cm="1">
        <f t="array" ref="R915">IF(OR(ISBLANK($B915),NOT(ISBLANK(B915))),"",'tracking - Table 2-1-2'!C$66)</f>
      </c>
      <c r="S915" t="str" s="976" cm="1">
        <f t="array" ref="S915">IF(OR(ISBLANK($B915),NOT(ISBLANK(B915))),"",'tracking - Table 2-1-2'!D$66)</f>
      </c>
      <c r="T915" t="str" s="976" cm="1">
        <f t="array" ref="T915">IF(OR(ISBLANK($B915),NOT(ISBLANK(B915))),"",'tracking - Table 2-1-2'!E$66)</f>
      </c>
      <c r="U915" t="str" s="977" cm="1">
        <f t="array" ref="U915">IF(OR(ISBLANK($B915),ISBLANK('tracking - Table 2-1-2'!A$1)),"",'tracking - Table 2-1-2'!F$66)</f>
      </c>
    </row>
    <row r="916" ht="20.35" customHeight="1">
      <c r="A916" s="926">
        <v>45255</v>
      </c>
      <c r="B916" s="29"/>
      <c r="C916" t="str" s="32" cm="1">
        <f t="array" ref="C916">IF(ISBLANK(B916),"",B916*2.2046226218)</f>
      </c>
      <c r="D916" t="str" s="976" cm="1">
        <f t="array" ref="D916">IF(ISBLANK(B916),"",AVERAGE(B910:B916))</f>
      </c>
      <c r="E916" t="str" s="976" cm="1">
        <f t="array" ref="E916">IF(ISBLANK(B916),"",AVERAGE(B903:B916))</f>
      </c>
      <c r="F916" t="str" s="976" cm="1">
        <f t="array" ref="F916">IF(ISBLANK(B916),"",AVERAGE(B887:B916))</f>
      </c>
      <c r="G916" s="976"/>
      <c r="H916" s="976"/>
      <c r="I916" s="976"/>
      <c r="J916" s="976"/>
      <c r="K916" s="976"/>
      <c r="L916" s="976"/>
      <c r="M916" s="976"/>
      <c r="N916" s="976"/>
      <c r="O916" s="976"/>
      <c r="P916" s="976"/>
      <c r="Q916" s="975"/>
      <c r="R916" t="str" s="976" cm="1">
        <f t="array" ref="R916">IF(OR(ISBLANK($B916),NOT(ISBLANK(B916))),"",'tracking - Table 2-1-2'!C$66)</f>
      </c>
      <c r="S916" t="str" s="976" cm="1">
        <f t="array" ref="S916">IF(OR(ISBLANK($B916),NOT(ISBLANK(B916))),"",'tracking - Table 2-1-2'!D$66)</f>
      </c>
      <c r="T916" t="str" s="976" cm="1">
        <f t="array" ref="T916">IF(OR(ISBLANK($B916),NOT(ISBLANK(B916))),"",'tracking - Table 2-1-2'!E$66)</f>
      </c>
      <c r="U916" t="str" s="977" cm="1">
        <f t="array" ref="U916">IF(OR(ISBLANK($B916),ISBLANK('tracking - Table 2-1-2'!A$1)),"",'tracking - Table 2-1-2'!F$66)</f>
      </c>
    </row>
    <row r="917" ht="20.35" customHeight="1">
      <c r="A917" s="926">
        <v>45256</v>
      </c>
      <c r="B917" s="29"/>
      <c r="C917" t="str" s="32" cm="1">
        <f t="array" ref="C917">IF(ISBLANK(B917),"",B917*2.2046226218)</f>
      </c>
      <c r="D917" t="str" s="976" cm="1">
        <f t="array" ref="D917">IF(ISBLANK(B917),"",AVERAGE(B911:B917))</f>
      </c>
      <c r="E917" t="str" s="976" cm="1">
        <f t="array" ref="E917">IF(ISBLANK(B917),"",AVERAGE(B904:B917))</f>
      </c>
      <c r="F917" t="str" s="976" cm="1">
        <f t="array" ref="F917">IF(ISBLANK(B917),"",AVERAGE(B888:B917))</f>
      </c>
      <c r="G917" s="976"/>
      <c r="H917" s="976"/>
      <c r="I917" s="976"/>
      <c r="J917" s="976"/>
      <c r="K917" s="976"/>
      <c r="L917" s="976"/>
      <c r="M917" s="976"/>
      <c r="N917" s="976"/>
      <c r="O917" s="976"/>
      <c r="P917" s="976"/>
      <c r="Q917" s="975"/>
      <c r="R917" t="str" s="976" cm="1">
        <f t="array" ref="R917">IF(OR(ISBLANK($B917),NOT(ISBLANK(B917))),"",'tracking - Table 2-1-2'!C$66)</f>
      </c>
      <c r="S917" t="str" s="976" cm="1">
        <f t="array" ref="S917">IF(OR(ISBLANK($B917),NOT(ISBLANK(B917))),"",'tracking - Table 2-1-2'!D$66)</f>
      </c>
      <c r="T917" t="str" s="976" cm="1">
        <f t="array" ref="T917">IF(OR(ISBLANK($B917),NOT(ISBLANK(B917))),"",'tracking - Table 2-1-2'!E$66)</f>
      </c>
      <c r="U917" t="str" s="977" cm="1">
        <f t="array" ref="U917">IF(OR(ISBLANK($B917),ISBLANK('tracking - Table 2-1-2'!A$1)),"",'tracking - Table 2-1-2'!F$66)</f>
      </c>
    </row>
    <row r="918" ht="20.35" customHeight="1">
      <c r="A918" s="926">
        <v>45257</v>
      </c>
      <c r="B918" s="29"/>
      <c r="C918" t="str" s="32" cm="1">
        <f t="array" ref="C918">IF(ISBLANK(B918),"",B918*2.2046226218)</f>
      </c>
      <c r="D918" t="str" s="976" cm="1">
        <f t="array" ref="D918">IF(ISBLANK(B918),"",AVERAGE(B912:B918))</f>
      </c>
      <c r="E918" t="str" s="976" cm="1">
        <f t="array" ref="E918">IF(ISBLANK(B918),"",AVERAGE(B905:B918))</f>
      </c>
      <c r="F918" t="str" s="976" cm="1">
        <f t="array" ref="F918">IF(ISBLANK(B918),"",AVERAGE(B889:B918))</f>
      </c>
      <c r="G918" s="976"/>
      <c r="H918" s="976"/>
      <c r="I918" s="976"/>
      <c r="J918" s="976"/>
      <c r="K918" s="976"/>
      <c r="L918" s="976"/>
      <c r="M918" s="976"/>
      <c r="N918" s="976"/>
      <c r="O918" s="976"/>
      <c r="P918" s="976"/>
      <c r="Q918" s="975"/>
      <c r="R918" t="str" s="976" cm="1">
        <f t="array" ref="R918">IF(OR(ISBLANK($B918),NOT(ISBLANK(B918))),"",'tracking - Table 2-1-2'!C$66)</f>
      </c>
      <c r="S918" t="str" s="976" cm="1">
        <f t="array" ref="S918">IF(OR(ISBLANK($B918),NOT(ISBLANK(B918))),"",'tracking - Table 2-1-2'!D$66)</f>
      </c>
      <c r="T918" t="str" s="976" cm="1">
        <f t="array" ref="T918">IF(OR(ISBLANK($B918),NOT(ISBLANK(B918))),"",'tracking - Table 2-1-2'!E$66)</f>
      </c>
      <c r="U918" t="str" s="977" cm="1">
        <f t="array" ref="U918">IF(OR(ISBLANK($B918),ISBLANK('tracking - Table 2-1-2'!A$1)),"",'tracking - Table 2-1-2'!F$66)</f>
      </c>
    </row>
    <row r="919" ht="20.35" customHeight="1">
      <c r="A919" s="926">
        <v>45258</v>
      </c>
      <c r="B919" s="29"/>
      <c r="C919" t="str" s="32" cm="1">
        <f t="array" ref="C919">IF(ISBLANK(B919),"",B919*2.2046226218)</f>
      </c>
      <c r="D919" t="str" s="976" cm="1">
        <f t="array" ref="D919">IF(ISBLANK(B919),"",AVERAGE(B913:B919))</f>
      </c>
      <c r="E919" t="str" s="976" cm="1">
        <f t="array" ref="E919">IF(ISBLANK(B919),"",AVERAGE(B906:B919))</f>
      </c>
      <c r="F919" t="str" s="976" cm="1">
        <f t="array" ref="F919">IF(ISBLANK(B919),"",AVERAGE(B890:B919))</f>
      </c>
      <c r="G919" s="976"/>
      <c r="H919" s="976"/>
      <c r="I919" s="976"/>
      <c r="J919" s="976"/>
      <c r="K919" s="976"/>
      <c r="L919" s="976"/>
      <c r="M919" s="976"/>
      <c r="N919" s="976"/>
      <c r="O919" s="976"/>
      <c r="P919" s="976"/>
      <c r="Q919" s="975"/>
      <c r="R919" t="str" s="976" cm="1">
        <f t="array" ref="R919">IF(OR(ISBLANK($B919),NOT(ISBLANK(B919))),"",'tracking - Table 2-1-2'!C$66)</f>
      </c>
      <c r="S919" t="str" s="976" cm="1">
        <f t="array" ref="S919">IF(OR(ISBLANK($B919),NOT(ISBLANK(B919))),"",'tracking - Table 2-1-2'!D$66)</f>
      </c>
      <c r="T919" t="str" s="976" cm="1">
        <f t="array" ref="T919">IF(OR(ISBLANK($B919),NOT(ISBLANK(B919))),"",'tracking - Table 2-1-2'!E$66)</f>
      </c>
      <c r="U919" t="str" s="977" cm="1">
        <f t="array" ref="U919">IF(OR(ISBLANK($B919),ISBLANK('tracking - Table 2-1-2'!A$1)),"",'tracking - Table 2-1-2'!F$66)</f>
      </c>
    </row>
    <row r="920" ht="20.35" customHeight="1">
      <c r="A920" s="926">
        <v>45259</v>
      </c>
      <c r="B920" s="29"/>
      <c r="C920" t="str" s="32" cm="1">
        <f t="array" ref="C920">IF(ISBLANK(B920),"",B920*2.2046226218)</f>
      </c>
      <c r="D920" t="str" s="976" cm="1">
        <f t="array" ref="D920">IF(ISBLANK(B920),"",AVERAGE(B914:B920))</f>
      </c>
      <c r="E920" t="str" s="976" cm="1">
        <f t="array" ref="E920">IF(ISBLANK(B920),"",AVERAGE(B907:B920))</f>
      </c>
      <c r="F920" t="str" s="976" cm="1">
        <f t="array" ref="F920">IF(ISBLANK(B920),"",AVERAGE(B891:B920))</f>
      </c>
      <c r="G920" s="976"/>
      <c r="H920" s="976"/>
      <c r="I920" s="976"/>
      <c r="J920" s="976"/>
      <c r="K920" s="976"/>
      <c r="L920" s="976"/>
      <c r="M920" s="976"/>
      <c r="N920" s="976"/>
      <c r="O920" s="976"/>
      <c r="P920" s="976"/>
      <c r="Q920" s="975"/>
      <c r="R920" t="str" s="976" cm="1">
        <f t="array" ref="R920">IF(OR(ISBLANK($B920),NOT(ISBLANK(B920))),"",'tracking - Table 2-1-2'!C$66)</f>
      </c>
      <c r="S920" t="str" s="976" cm="1">
        <f t="array" ref="S920">IF(OR(ISBLANK($B920),NOT(ISBLANK(B920))),"",'tracking - Table 2-1-2'!D$66)</f>
      </c>
      <c r="T920" t="str" s="976" cm="1">
        <f t="array" ref="T920">IF(OR(ISBLANK($B920),NOT(ISBLANK(B920))),"",'tracking - Table 2-1-2'!E$66)</f>
      </c>
      <c r="U920" t="str" s="977" cm="1">
        <f t="array" ref="U920">IF(OR(ISBLANK($B920),ISBLANK('tracking - Table 2-1-2'!A$1)),"",'tracking - Table 2-1-2'!F$66)</f>
      </c>
    </row>
    <row r="921" ht="20.35" customHeight="1">
      <c r="A921" s="926">
        <v>45260</v>
      </c>
      <c r="B921" s="29"/>
      <c r="C921" t="str" s="32" cm="1">
        <f t="array" ref="C921">IF(ISBLANK(B921),"",B921*2.2046226218)</f>
      </c>
      <c r="D921" t="str" s="976" cm="1">
        <f t="array" ref="D921">IF(ISBLANK(B921),"",AVERAGE(B915:B921))</f>
      </c>
      <c r="E921" t="str" s="976" cm="1">
        <f t="array" ref="E921">IF(ISBLANK(B921),"",AVERAGE(B908:B921))</f>
      </c>
      <c r="F921" t="str" s="976" cm="1">
        <f t="array" ref="F921">IF(ISBLANK(B921),"",AVERAGE(B892:B921))</f>
      </c>
      <c r="G921" s="976"/>
      <c r="H921" s="976"/>
      <c r="I921" s="976"/>
      <c r="J921" s="976"/>
      <c r="K921" s="976"/>
      <c r="L921" s="976"/>
      <c r="M921" s="976"/>
      <c r="N921" s="976"/>
      <c r="O921" s="976"/>
      <c r="P921" s="976"/>
      <c r="Q921" s="975"/>
      <c r="R921" t="str" s="976" cm="1">
        <f t="array" ref="R921">IF(OR(ISBLANK($B921),NOT(ISBLANK(B921))),"",'tracking - Table 2-1-2'!C$66)</f>
      </c>
      <c r="S921" t="str" s="976" cm="1">
        <f t="array" ref="S921">IF(OR(ISBLANK($B921),NOT(ISBLANK(B921))),"",'tracking - Table 2-1-2'!D$66)</f>
      </c>
      <c r="T921" t="str" s="976" cm="1">
        <f t="array" ref="T921">IF(OR(ISBLANK($B921),NOT(ISBLANK(B921))),"",'tracking - Table 2-1-2'!E$66)</f>
      </c>
      <c r="U921" t="str" s="977" cm="1">
        <f t="array" ref="U921">IF(OR(ISBLANK($B921),ISBLANK('tracking - Table 2-1-2'!A$1)),"",'tracking - Table 2-1-2'!F$66)</f>
      </c>
    </row>
    <row r="922" ht="20.35" customHeight="1">
      <c r="A922" s="926">
        <v>45261</v>
      </c>
      <c r="B922" s="29"/>
      <c r="C922" t="str" s="32" cm="1">
        <f t="array" ref="C922">IF(ISBLANK(B922),"",B922*2.2046226218)</f>
      </c>
      <c r="D922" t="str" s="976" cm="1">
        <f t="array" ref="D922">IF(ISBLANK(B922),"",AVERAGE(B916:B922))</f>
      </c>
      <c r="E922" t="str" s="976" cm="1">
        <f t="array" ref="E922">IF(ISBLANK(B922),"",AVERAGE(B909:B922))</f>
      </c>
      <c r="F922" t="str" s="976" cm="1">
        <f t="array" ref="F922">IF(ISBLANK(B922),"",AVERAGE(B893:B922))</f>
      </c>
      <c r="G922" s="976"/>
      <c r="H922" s="976"/>
      <c r="I922" s="976"/>
      <c r="J922" s="976"/>
      <c r="K922" s="976"/>
      <c r="L922" s="976"/>
      <c r="M922" s="976"/>
      <c r="N922" s="976"/>
      <c r="O922" s="976"/>
      <c r="P922" s="976"/>
      <c r="Q922" s="975"/>
      <c r="R922" t="str" s="976" cm="1">
        <f t="array" ref="R922">IF(OR(ISBLANK($B922),NOT(ISBLANK(B922))),"",'tracking - Table 2-1-2'!C$66)</f>
      </c>
      <c r="S922" t="str" s="976" cm="1">
        <f t="array" ref="S922">IF(OR(ISBLANK($B922),NOT(ISBLANK(B922))),"",'tracking - Table 2-1-2'!D$66)</f>
      </c>
      <c r="T922" t="str" s="976" cm="1">
        <f t="array" ref="T922">IF(OR(ISBLANK($B922),NOT(ISBLANK(B922))),"",'tracking - Table 2-1-2'!E$66)</f>
      </c>
      <c r="U922" t="str" s="977" cm="1">
        <f t="array" ref="U922">IF(OR(ISBLANK($B922),ISBLANK('tracking - Table 2-1-2'!A$1)),"",'tracking - Table 2-1-2'!F$66)</f>
      </c>
    </row>
    <row r="923" ht="20.35" customHeight="1">
      <c r="A923" s="926">
        <v>45262</v>
      </c>
      <c r="B923" s="29"/>
      <c r="C923" t="str" s="32" cm="1">
        <f t="array" ref="C923">IF(ISBLANK(B923),"",B923*2.2046226218)</f>
      </c>
      <c r="D923" t="str" s="976" cm="1">
        <f t="array" ref="D923">IF(ISBLANK(B923),"",AVERAGE(B917:B923))</f>
      </c>
      <c r="E923" t="str" s="976" cm="1">
        <f t="array" ref="E923">IF(ISBLANK(B923),"",AVERAGE(B910:B923))</f>
      </c>
      <c r="F923" t="str" s="976" cm="1">
        <f t="array" ref="F923">IF(ISBLANK(B923),"",AVERAGE(B894:B923))</f>
      </c>
      <c r="G923" s="976"/>
      <c r="H923" s="976"/>
      <c r="I923" s="976"/>
      <c r="J923" s="976"/>
      <c r="K923" s="976"/>
      <c r="L923" s="976"/>
      <c r="M923" s="976"/>
      <c r="N923" s="976"/>
      <c r="O923" s="976"/>
      <c r="P923" s="976"/>
      <c r="Q923" s="975"/>
      <c r="R923" t="str" s="976" cm="1">
        <f t="array" ref="R923">IF(OR(ISBLANK($B923),NOT(ISBLANK(B923))),"",'tracking - Table 2-1-2'!C$66)</f>
      </c>
      <c r="S923" t="str" s="976" cm="1">
        <f t="array" ref="S923">IF(OR(ISBLANK($B923),NOT(ISBLANK(B923))),"",'tracking - Table 2-1-2'!D$66)</f>
      </c>
      <c r="T923" t="str" s="976" cm="1">
        <f t="array" ref="T923">IF(OR(ISBLANK($B923),NOT(ISBLANK(B923))),"",'tracking - Table 2-1-2'!E$66)</f>
      </c>
      <c r="U923" t="str" s="977" cm="1">
        <f t="array" ref="U923">IF(OR(ISBLANK($B923),ISBLANK('tracking - Table 2-1-2'!A$1)),"",'tracking - Table 2-1-2'!F$66)</f>
      </c>
    </row>
    <row r="924" ht="20.35" customHeight="1">
      <c r="A924" s="926">
        <v>45263</v>
      </c>
      <c r="B924" s="29"/>
      <c r="C924" t="str" s="32" cm="1">
        <f t="array" ref="C924">IF(ISBLANK(B924),"",B924*2.2046226218)</f>
      </c>
      <c r="D924" t="str" s="976" cm="1">
        <f t="array" ref="D924">IF(ISBLANK(B924),"",AVERAGE(B918:B924))</f>
      </c>
      <c r="E924" t="str" s="976" cm="1">
        <f t="array" ref="E924">IF(ISBLANK(B924),"",AVERAGE(B911:B924))</f>
      </c>
      <c r="F924" t="str" s="976" cm="1">
        <f t="array" ref="F924">IF(ISBLANK(B924),"",AVERAGE(B895:B924))</f>
      </c>
      <c r="G924" s="976"/>
      <c r="H924" s="976"/>
      <c r="I924" s="976"/>
      <c r="J924" s="976"/>
      <c r="K924" s="976"/>
      <c r="L924" s="976"/>
      <c r="M924" s="976"/>
      <c r="N924" s="976"/>
      <c r="O924" s="976"/>
      <c r="P924" s="976"/>
      <c r="Q924" s="975"/>
      <c r="R924" t="str" s="976" cm="1">
        <f t="array" ref="R924">IF(OR(ISBLANK($B924),NOT(ISBLANK(B924))),"",'tracking - Table 2-1-2'!C$66)</f>
      </c>
      <c r="S924" t="str" s="976" cm="1">
        <f t="array" ref="S924">IF(OR(ISBLANK($B924),NOT(ISBLANK(B924))),"",'tracking - Table 2-1-2'!D$66)</f>
      </c>
      <c r="T924" t="str" s="976" cm="1">
        <f t="array" ref="T924">IF(OR(ISBLANK($B924),NOT(ISBLANK(B924))),"",'tracking - Table 2-1-2'!E$66)</f>
      </c>
      <c r="U924" t="str" s="977" cm="1">
        <f t="array" ref="U924">IF(OR(ISBLANK($B924),ISBLANK('tracking - Table 2-1-2'!A$1)),"",'tracking - Table 2-1-2'!F$66)</f>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6.xml><?xml version="1.0" encoding="utf-8"?>
<worksheet xmlns:r="http://schemas.openxmlformats.org/officeDocument/2006/relationships" xmlns="http://schemas.openxmlformats.org/spreadsheetml/2006/main">
  <sheetPr>
    <pageSetUpPr fitToPage="1"/>
  </sheetPr>
  <dimension ref="A1:B8"/>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2" width="16.3516" style="978" customWidth="1"/>
    <col min="3" max="16384" width="16.3516" style="978" customWidth="1"/>
  </cols>
  <sheetData>
    <row r="1" ht="20.55" customHeight="1">
      <c r="A1" t="s" s="8">
        <v>1538</v>
      </c>
      <c r="B1" t="s" s="8">
        <v>1539</v>
      </c>
    </row>
    <row r="2" ht="20.55" customHeight="1">
      <c r="A2" s="64">
        <v>12</v>
      </c>
      <c r="B2" s="937" cm="1">
        <f t="array" ref="B2">2.54*A2</f>
        <v>30.48</v>
      </c>
    </row>
    <row r="3" ht="20.35" customHeight="1">
      <c r="A3" s="68">
        <v>13</v>
      </c>
      <c r="B3" s="103" cm="1">
        <f t="array" ref="B3">2.54*A3</f>
        <v>33.02</v>
      </c>
    </row>
    <row r="4" ht="20.35" customHeight="1">
      <c r="A4" s="68">
        <v>14</v>
      </c>
      <c r="B4" s="103" cm="1">
        <f t="array" ref="B4">2.54*A4</f>
        <v>35.56</v>
      </c>
    </row>
    <row r="5" ht="20.35" customHeight="1">
      <c r="A5" s="68">
        <v>15</v>
      </c>
      <c r="B5" s="103" cm="1">
        <f t="array" ref="B5">2.54*A5</f>
        <v>38.1</v>
      </c>
    </row>
    <row r="6" ht="20.35" customHeight="1">
      <c r="A6" s="68">
        <v>16</v>
      </c>
      <c r="B6" s="103" cm="1">
        <f t="array" ref="B6">2.54*A6</f>
        <v>40.64</v>
      </c>
    </row>
    <row r="7" ht="20.35" customHeight="1">
      <c r="A7" s="68">
        <v>17</v>
      </c>
      <c r="B7" s="103" cm="1">
        <f t="array" ref="B7">2.54*A7</f>
        <v>43.18</v>
      </c>
    </row>
    <row r="8" ht="20.35" customHeight="1">
      <c r="A8" s="68">
        <v>18</v>
      </c>
      <c r="B8" s="103" cm="1">
        <f t="array" ref="B8">2.54*A8</f>
        <v>45.72</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7.xml><?xml version="1.0" encoding="utf-8"?>
<worksheet xmlns:r="http://schemas.openxmlformats.org/officeDocument/2006/relationships" xmlns="http://schemas.openxmlformats.org/spreadsheetml/2006/main">
  <sheetPr>
    <pageSetUpPr fitToPage="1"/>
  </sheetPr>
  <dimension ref="A1:K80"/>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1" width="10.6719" style="979" customWidth="1"/>
    <col min="2" max="2" width="8.51562" style="979" customWidth="1"/>
    <col min="3" max="3" width="8.39062" style="979" customWidth="1"/>
    <col min="4" max="4" width="8.41406" style="979" customWidth="1"/>
    <col min="5" max="10" width="8.38281" style="979" customWidth="1"/>
    <col min="11" max="11" width="9.35156" style="979" customWidth="1"/>
    <col min="12" max="16384" width="16.3516" style="979" customWidth="1"/>
  </cols>
  <sheetData>
    <row r="1" ht="20.35" customHeight="1">
      <c r="A1" s="434">
        <v>3.48837209302326</v>
      </c>
      <c r="B1" t="s" s="917">
        <v>1541</v>
      </c>
      <c r="C1" s="217"/>
      <c r="D1" t="s" s="917">
        <v>1542</v>
      </c>
      <c r="E1" s="217"/>
      <c r="F1" t="s" s="917">
        <v>1543</v>
      </c>
      <c r="G1" t="s" s="917">
        <v>1544</v>
      </c>
      <c r="H1" t="s" s="917">
        <v>1545</v>
      </c>
      <c r="I1" s="918"/>
      <c r="J1" t="s" s="917">
        <v>1546</v>
      </c>
      <c r="K1" t="s" s="917">
        <v>1547</v>
      </c>
    </row>
    <row r="2" ht="20.55" customHeight="1">
      <c r="A2" t="s" s="8">
        <v>1548</v>
      </c>
      <c r="B2" t="s" s="919">
        <v>1549</v>
      </c>
      <c r="C2" t="s" s="919">
        <v>1550</v>
      </c>
      <c r="D2" t="s" s="919">
        <v>1549</v>
      </c>
      <c r="E2" t="s" s="919">
        <v>1550</v>
      </c>
      <c r="F2" t="s" s="919">
        <v>1551</v>
      </c>
      <c r="G2" s="920"/>
      <c r="H2" s="920"/>
      <c r="I2" s="920"/>
      <c r="J2" t="s" s="919">
        <v>1552</v>
      </c>
      <c r="K2" t="s" s="919">
        <v>1552</v>
      </c>
    </row>
    <row r="3" ht="8.75" customHeight="1" hidden="1">
      <c r="A3" s="960">
        <v>44340</v>
      </c>
      <c r="B3" s="961">
        <v>30.2</v>
      </c>
      <c r="C3" s="355">
        <v>26.5</v>
      </c>
      <c r="D3" s="355">
        <v>31.3</v>
      </c>
      <c r="E3" s="355">
        <v>28.2</v>
      </c>
      <c r="F3" s="355">
        <v>100</v>
      </c>
      <c r="G3" s="352"/>
      <c r="H3" s="352"/>
      <c r="I3" s="352"/>
      <c r="J3" s="355" cm="1">
        <f t="array" ref="J3">D3-B3</f>
        <v>1.1</v>
      </c>
      <c r="K3" s="355" cm="1">
        <f t="array" ref="K3">E3-C3</f>
        <v>1.7</v>
      </c>
    </row>
    <row r="4" ht="8.75" customHeight="1" hidden="1">
      <c r="A4" s="960">
        <v>44346</v>
      </c>
      <c r="B4" s="961">
        <v>30.5</v>
      </c>
      <c r="C4" s="355">
        <v>27</v>
      </c>
      <c r="D4" s="355">
        <v>31.2</v>
      </c>
      <c r="E4" s="355">
        <v>28</v>
      </c>
      <c r="F4" s="355">
        <v>101</v>
      </c>
      <c r="G4" s="355">
        <v>79</v>
      </c>
      <c r="H4" s="355">
        <v>88</v>
      </c>
      <c r="I4" s="352"/>
      <c r="J4" s="355" cm="1">
        <f t="array" ref="J4">D4-B4</f>
        <v>0.7</v>
      </c>
      <c r="K4" s="355" cm="1">
        <f t="array" ref="K4">E4-C4</f>
        <v>1</v>
      </c>
    </row>
    <row r="5" ht="8.75" customHeight="1" hidden="1">
      <c r="A5" s="960">
        <v>44353</v>
      </c>
      <c r="B5" s="961">
        <v>31.2</v>
      </c>
      <c r="C5" s="355">
        <v>27.6</v>
      </c>
      <c r="D5" s="355">
        <v>32.2</v>
      </c>
      <c r="E5" s="355">
        <v>28.5</v>
      </c>
      <c r="F5" s="355">
        <v>102</v>
      </c>
      <c r="G5" s="355">
        <v>79</v>
      </c>
      <c r="H5" s="355">
        <v>88</v>
      </c>
      <c r="I5" s="352"/>
      <c r="J5" s="355" cm="1">
        <f t="array" ref="J5">D5-B5</f>
        <v>1</v>
      </c>
      <c r="K5" s="355" cm="1">
        <f t="array" ref="K5">E5-C5</f>
        <v>0.9</v>
      </c>
    </row>
    <row r="6" ht="8.75" customHeight="1" hidden="1">
      <c r="A6" s="960">
        <v>44360</v>
      </c>
      <c r="B6" s="961">
        <v>31.5</v>
      </c>
      <c r="C6" s="355">
        <v>28.4</v>
      </c>
      <c r="D6" s="355">
        <v>32.5</v>
      </c>
      <c r="E6" s="355">
        <v>28.7</v>
      </c>
      <c r="F6" s="355">
        <v>102.4</v>
      </c>
      <c r="G6" s="355">
        <v>81</v>
      </c>
      <c r="H6" s="355">
        <v>90</v>
      </c>
      <c r="I6" s="352"/>
      <c r="J6" s="355" cm="1">
        <f t="array" ref="J6">D6-B6</f>
        <v>1</v>
      </c>
      <c r="K6" s="355" cm="1">
        <f t="array" ref="K6">E6-C6</f>
        <v>0.3</v>
      </c>
    </row>
    <row r="7" ht="8.75" customHeight="1" hidden="1">
      <c r="A7" s="960">
        <v>44367</v>
      </c>
      <c r="B7" s="961">
        <v>31.6</v>
      </c>
      <c r="C7" s="355">
        <v>28.5</v>
      </c>
      <c r="D7" s="355">
        <v>32.4</v>
      </c>
      <c r="E7" s="355">
        <v>29.1</v>
      </c>
      <c r="F7" s="355">
        <v>102</v>
      </c>
      <c r="G7" s="355">
        <v>81</v>
      </c>
      <c r="H7" s="355">
        <v>90</v>
      </c>
      <c r="I7" s="352"/>
      <c r="J7" s="355" cm="1">
        <f t="array" ref="J7">D7-B7</f>
        <v>0.8</v>
      </c>
      <c r="K7" s="355" cm="1">
        <f t="array" ref="K7">E7-C7</f>
        <v>0.6</v>
      </c>
    </row>
    <row r="8" ht="8.75" customHeight="1" hidden="1">
      <c r="A8" s="960">
        <v>44374</v>
      </c>
      <c r="B8" s="961">
        <v>32</v>
      </c>
      <c r="C8" s="355">
        <v>28.5</v>
      </c>
      <c r="D8" s="355">
        <v>33</v>
      </c>
      <c r="E8" s="355">
        <v>29.1</v>
      </c>
      <c r="F8" s="355">
        <v>104</v>
      </c>
      <c r="G8" s="355">
        <v>81</v>
      </c>
      <c r="H8" s="355">
        <v>89</v>
      </c>
      <c r="I8" s="352"/>
      <c r="J8" s="355" cm="1">
        <f t="array" ref="J8">D8-B8</f>
        <v>1</v>
      </c>
      <c r="K8" s="355" cm="1">
        <f t="array" ref="K8">E8-C8</f>
        <v>0.6</v>
      </c>
    </row>
    <row r="9" ht="8.75" customHeight="1" hidden="1">
      <c r="A9" s="960">
        <v>44381</v>
      </c>
      <c r="B9" s="961">
        <v>32.5</v>
      </c>
      <c r="C9" s="355">
        <v>28.7</v>
      </c>
      <c r="D9" s="355">
        <v>33.5</v>
      </c>
      <c r="E9" s="355">
        <v>29.4</v>
      </c>
      <c r="F9" s="355">
        <v>105</v>
      </c>
      <c r="G9" s="355">
        <v>80</v>
      </c>
      <c r="H9" s="355">
        <v>91</v>
      </c>
      <c r="I9" s="352"/>
      <c r="J9" s="355" cm="1">
        <f t="array" ref="J9">D9-B9</f>
        <v>1</v>
      </c>
      <c r="K9" s="355" cm="1">
        <f t="array" ref="K9">E9-C9</f>
        <v>0.7</v>
      </c>
    </row>
    <row r="10" ht="8.75" customHeight="1" hidden="1">
      <c r="A10" s="960">
        <v>44388</v>
      </c>
      <c r="B10" s="961">
        <v>33</v>
      </c>
      <c r="C10" s="355">
        <v>29.5</v>
      </c>
      <c r="D10" s="355">
        <v>33.8</v>
      </c>
      <c r="E10" s="355">
        <v>29.8</v>
      </c>
      <c r="F10" s="355">
        <v>105</v>
      </c>
      <c r="G10" s="355">
        <v>80</v>
      </c>
      <c r="H10" s="355">
        <v>91</v>
      </c>
      <c r="I10" s="352"/>
      <c r="J10" s="355" cm="1">
        <f t="array" ref="J10">D10-B10</f>
        <v>0.8</v>
      </c>
      <c r="K10" s="355" cm="1">
        <f t="array" ref="K10">E10-C10</f>
        <v>0.3</v>
      </c>
    </row>
    <row r="11" ht="8.75" customHeight="1" hidden="1">
      <c r="A11" s="960">
        <v>44395</v>
      </c>
      <c r="B11" s="961">
        <v>33.2</v>
      </c>
      <c r="C11" s="355">
        <v>29.8</v>
      </c>
      <c r="D11" s="355">
        <v>33.7</v>
      </c>
      <c r="E11" s="355">
        <v>30.3</v>
      </c>
      <c r="F11" s="355">
        <v>107</v>
      </c>
      <c r="G11" s="355">
        <v>80</v>
      </c>
      <c r="H11" s="355">
        <v>93.5</v>
      </c>
      <c r="I11" s="352"/>
      <c r="J11" s="355" cm="1">
        <f t="array" ref="J11">D11-B11</f>
        <v>0.5</v>
      </c>
      <c r="K11" s="355" cm="1">
        <f t="array" ref="K11">E11-C11</f>
        <v>0.5</v>
      </c>
    </row>
    <row r="12" ht="8.75" customHeight="1" hidden="1">
      <c r="A12" s="960">
        <v>44402</v>
      </c>
      <c r="B12" s="961">
        <v>33.2</v>
      </c>
      <c r="C12" s="355">
        <v>29.5</v>
      </c>
      <c r="D12" s="355">
        <v>34</v>
      </c>
      <c r="E12" s="355">
        <v>29.9</v>
      </c>
      <c r="F12" s="355">
        <v>109</v>
      </c>
      <c r="G12" s="355">
        <v>79</v>
      </c>
      <c r="H12" s="355">
        <v>94.5</v>
      </c>
      <c r="I12" s="352"/>
      <c r="J12" s="355" cm="1">
        <f t="array" ref="J12">IF(ISBLANK(C12),"",D12-B12)</f>
        <v>0.8</v>
      </c>
      <c r="K12" s="355" cm="1">
        <f t="array" ref="K12">IF(ISBLANK(C12),"",E12-C12)</f>
        <v>0.4</v>
      </c>
    </row>
    <row r="13" ht="8.75" customHeight="1" hidden="1">
      <c r="A13" s="960">
        <v>44409</v>
      </c>
      <c r="B13" s="961">
        <v>33.4</v>
      </c>
      <c r="C13" s="355">
        <v>29.6</v>
      </c>
      <c r="D13" s="355">
        <v>34.3</v>
      </c>
      <c r="E13" s="355">
        <v>30.3</v>
      </c>
      <c r="F13" s="355">
        <v>108</v>
      </c>
      <c r="G13" s="355">
        <v>81</v>
      </c>
      <c r="H13" s="355">
        <v>95</v>
      </c>
      <c r="I13" s="352"/>
      <c r="J13" s="355" cm="1">
        <f t="array" ref="J13">IF(ISBLANK(C13),"",D13-B13)</f>
        <v>0.9</v>
      </c>
      <c r="K13" s="355" cm="1">
        <f t="array" ref="K13">IF(ISBLANK(C13),"",E13-C13)</f>
        <v>0.7</v>
      </c>
    </row>
    <row r="14" ht="8.75" customHeight="1" hidden="1">
      <c r="A14" s="960">
        <v>44416</v>
      </c>
      <c r="B14" s="961">
        <v>33.7</v>
      </c>
      <c r="C14" s="355">
        <v>29.5</v>
      </c>
      <c r="D14" s="355">
        <v>34.1</v>
      </c>
      <c r="E14" s="355">
        <v>30.4</v>
      </c>
      <c r="F14" s="355">
        <v>108.5</v>
      </c>
      <c r="G14" s="355">
        <v>79</v>
      </c>
      <c r="H14" s="355">
        <v>96</v>
      </c>
      <c r="I14" s="352"/>
      <c r="J14" s="355" cm="1">
        <f t="array" ref="J14">IF(ISBLANK(E14),"",D14-B14)</f>
        <v>0.4</v>
      </c>
      <c r="K14" s="355" cm="1">
        <f t="array" ref="K14">IF(ISBLANK(E14),"",E14-C14)</f>
        <v>0.9</v>
      </c>
    </row>
    <row r="15" ht="8.75" customHeight="1" hidden="1">
      <c r="A15" s="960">
        <v>44423</v>
      </c>
      <c r="B15" s="961">
        <v>33.7</v>
      </c>
      <c r="C15" s="355">
        <v>29.5</v>
      </c>
      <c r="D15" s="355">
        <v>34.3</v>
      </c>
      <c r="E15" s="355">
        <v>30</v>
      </c>
      <c r="F15" s="355">
        <v>109</v>
      </c>
      <c r="G15" s="355">
        <v>78</v>
      </c>
      <c r="H15" s="355">
        <v>96</v>
      </c>
      <c r="I15" s="352"/>
      <c r="J15" s="355" cm="1">
        <f t="array" ref="J15">IF(ISBLANK(E15),"",D15-B15)</f>
        <v>0.6</v>
      </c>
      <c r="K15" s="355" cm="1">
        <f t="array" ref="K15">IF(ISBLANK(E15),"",E15-C15)</f>
        <v>0.5</v>
      </c>
    </row>
    <row r="16" ht="8.75" customHeight="1" hidden="1">
      <c r="A16" s="960">
        <v>44430</v>
      </c>
      <c r="B16" s="961">
        <v>33.1</v>
      </c>
      <c r="C16" s="355">
        <v>29.2</v>
      </c>
      <c r="D16" s="355">
        <v>33.8</v>
      </c>
      <c r="E16" s="355">
        <v>29.8</v>
      </c>
      <c r="F16" s="352"/>
      <c r="G16" s="352"/>
      <c r="H16" s="352"/>
      <c r="I16" s="352"/>
      <c r="J16" s="355" cm="1">
        <f t="array" ref="J16">IF(ISBLANK(E16),"",D16-B16)</f>
        <v>0.7</v>
      </c>
      <c r="K16" s="355" cm="1">
        <f t="array" ref="K16">IF(ISBLANK(E16),"",E16-C16)</f>
        <v>0.6</v>
      </c>
    </row>
    <row r="17" ht="8.75" customHeight="1" hidden="1">
      <c r="A17" s="960">
        <v>44437</v>
      </c>
      <c r="B17" s="356"/>
      <c r="C17" s="352"/>
      <c r="D17" s="352"/>
      <c r="E17" s="352"/>
      <c r="F17" s="352"/>
      <c r="G17" s="352"/>
      <c r="H17" s="352"/>
      <c r="I17" s="352"/>
      <c r="J17" t="str" s="352" cm="1">
        <f t="array" ref="J17">IF(ISBLANK(E17),"",D17-B17)</f>
      </c>
      <c r="K17" t="str" s="352" cm="1">
        <f t="array" ref="K17">IF(ISBLANK(E17),"",E17-C17)</f>
      </c>
    </row>
    <row r="18" ht="8.75" customHeight="1" hidden="1">
      <c r="A18" s="960">
        <v>44444</v>
      </c>
      <c r="B18" s="356"/>
      <c r="C18" s="352"/>
      <c r="D18" s="352"/>
      <c r="E18" s="352"/>
      <c r="F18" s="352"/>
      <c r="G18" s="352"/>
      <c r="H18" s="352"/>
      <c r="I18" s="352"/>
      <c r="J18" t="str" s="352" cm="1">
        <f t="array" ref="J18">IF(ISBLANK(E18),"",D18-B18)</f>
      </c>
      <c r="K18" t="str" s="352" cm="1">
        <f t="array" ref="K18">IF(ISBLANK(E18),"",E18-C18)</f>
      </c>
    </row>
    <row r="19" ht="8.75" customHeight="1" hidden="1">
      <c r="A19" s="960">
        <v>44451</v>
      </c>
      <c r="B19" s="356"/>
      <c r="C19" s="352"/>
      <c r="D19" s="352"/>
      <c r="E19" s="352"/>
      <c r="F19" s="352"/>
      <c r="G19" s="352"/>
      <c r="H19" s="352"/>
      <c r="I19" s="352"/>
      <c r="J19" t="str" s="352" cm="1">
        <f t="array" ref="J19">IF(ISBLANK(E19),"",D19-B19)</f>
      </c>
      <c r="K19" t="str" s="352" cm="1">
        <f t="array" ref="K19">IF(ISBLANK(E19),"",E19-C19)</f>
      </c>
    </row>
    <row r="20" ht="8.75" customHeight="1" hidden="1">
      <c r="A20" s="960">
        <v>44458</v>
      </c>
      <c r="B20" s="356"/>
      <c r="C20" s="352"/>
      <c r="D20" s="352"/>
      <c r="E20" s="352"/>
      <c r="F20" s="352"/>
      <c r="G20" s="352"/>
      <c r="H20" s="352"/>
      <c r="I20" s="352"/>
      <c r="J20" t="str" s="352" cm="1">
        <f t="array" ref="J20">IF(ISBLANK(E20),"",D20-B20)</f>
      </c>
      <c r="K20" t="str" s="352" cm="1">
        <f t="array" ref="K20">IF(ISBLANK(E20),"",E20-C20)</f>
      </c>
    </row>
    <row r="21" ht="8.75" customHeight="1" hidden="1">
      <c r="A21" s="960">
        <v>44465</v>
      </c>
      <c r="B21" s="356"/>
      <c r="C21" s="352"/>
      <c r="D21" s="352"/>
      <c r="E21" s="352"/>
      <c r="F21" s="352"/>
      <c r="G21" s="352"/>
      <c r="H21" s="352"/>
      <c r="I21" s="352"/>
      <c r="J21" t="str" s="352" cm="1">
        <f t="array" ref="J21">IF(ISBLANK(E21),"",D21-B21)</f>
      </c>
      <c r="K21" t="str" s="352" cm="1">
        <f t="array" ref="K21">IF(ISBLANK(E21),"",E21-C21)</f>
      </c>
    </row>
    <row r="22" ht="8.75" customHeight="1" hidden="1">
      <c r="A22" s="960">
        <v>44472</v>
      </c>
      <c r="B22" s="356"/>
      <c r="C22" s="352"/>
      <c r="D22" s="352"/>
      <c r="E22" s="352"/>
      <c r="F22" s="352"/>
      <c r="G22" s="352"/>
      <c r="H22" s="352"/>
      <c r="I22" s="352"/>
      <c r="J22" t="str" s="352" cm="1">
        <f t="array" ref="J22">IF(ISBLANK(E22),"",D22-B22)</f>
      </c>
      <c r="K22" t="str" s="352" cm="1">
        <f t="array" ref="K22">IF(ISBLANK(E22),"",E22-C22)</f>
      </c>
    </row>
    <row r="23" ht="8.75" customHeight="1" hidden="1">
      <c r="A23" s="960">
        <v>44479</v>
      </c>
      <c r="B23" s="356"/>
      <c r="C23" s="352"/>
      <c r="D23" s="352"/>
      <c r="E23" s="352"/>
      <c r="F23" s="352"/>
      <c r="G23" s="352"/>
      <c r="H23" s="352"/>
      <c r="I23" s="352"/>
      <c r="J23" t="str" s="352" cm="1">
        <f t="array" ref="J23">IF(ISBLANK(E23),"",D23-B23)</f>
      </c>
      <c r="K23" t="str" s="352" cm="1">
        <f t="array" ref="K23">IF(ISBLANK(E23),"",E23-C23)</f>
      </c>
    </row>
    <row r="24" ht="8.75" customHeight="1" hidden="1">
      <c r="A24" s="960">
        <v>44486</v>
      </c>
      <c r="B24" s="356"/>
      <c r="C24" s="352"/>
      <c r="D24" s="352"/>
      <c r="E24" s="352"/>
      <c r="F24" s="352"/>
      <c r="G24" s="352"/>
      <c r="H24" s="352"/>
      <c r="I24" s="352"/>
      <c r="J24" t="str" s="352" cm="1">
        <f t="array" ref="J24">IF(ISBLANK(E24),"",D24-B24)</f>
      </c>
      <c r="K24" t="str" s="352" cm="1">
        <f t="array" ref="K24">IF(ISBLANK(E24),"",E24-C24)</f>
      </c>
    </row>
    <row r="25" ht="8.75" customHeight="1" hidden="1">
      <c r="A25" s="960">
        <v>44493</v>
      </c>
      <c r="B25" s="356"/>
      <c r="C25" s="352"/>
      <c r="D25" s="352"/>
      <c r="E25" s="352"/>
      <c r="F25" s="352"/>
      <c r="G25" s="352"/>
      <c r="H25" s="352"/>
      <c r="I25" s="352"/>
      <c r="J25" t="str" s="352" cm="1">
        <f t="array" ref="J25">IF(ISBLANK(E25),"",D25-B25)</f>
      </c>
      <c r="K25" t="str" s="352" cm="1">
        <f t="array" ref="K25">IF(ISBLANK(E25),"",E25-C25)</f>
      </c>
    </row>
    <row r="26" ht="8.75" customHeight="1" hidden="1">
      <c r="A26" s="960">
        <v>44500</v>
      </c>
      <c r="B26" s="356"/>
      <c r="C26" s="352"/>
      <c r="D26" s="352"/>
      <c r="E26" s="352"/>
      <c r="F26" s="352"/>
      <c r="G26" s="352"/>
      <c r="H26" s="352"/>
      <c r="I26" s="352"/>
      <c r="J26" t="str" s="352" cm="1">
        <f t="array" ref="J26">IF(ISBLANK(E26),"",D26-B26)</f>
      </c>
      <c r="K26" t="str" s="352" cm="1">
        <f t="array" ref="K26">IF(ISBLANK(E26),"",E26-C26)</f>
      </c>
    </row>
    <row r="27" ht="8.75" customHeight="1" hidden="1">
      <c r="A27" s="960">
        <v>44507</v>
      </c>
      <c r="B27" s="356"/>
      <c r="C27" s="352"/>
      <c r="D27" s="352"/>
      <c r="E27" s="352"/>
      <c r="F27" s="352"/>
      <c r="G27" s="352"/>
      <c r="H27" s="352"/>
      <c r="I27" s="352"/>
      <c r="J27" t="str" s="352" cm="1">
        <f t="array" ref="J27">IF(ISBLANK(E27),"",D27-B27)</f>
      </c>
      <c r="K27" t="str" s="352" cm="1">
        <f t="array" ref="K27">IF(ISBLANK(E27),"",E27-C27)</f>
      </c>
    </row>
    <row r="28" ht="8.75" customHeight="1" hidden="1">
      <c r="A28" s="960">
        <v>44514</v>
      </c>
      <c r="B28" s="356"/>
      <c r="C28" s="352"/>
      <c r="D28" s="352"/>
      <c r="E28" s="352"/>
      <c r="F28" s="352"/>
      <c r="G28" s="352"/>
      <c r="H28" s="352"/>
      <c r="I28" s="352"/>
      <c r="J28" t="str" s="352" cm="1">
        <f t="array" ref="J28">IF(ISBLANK(E28),"",D28-B28)</f>
      </c>
      <c r="K28" t="str" s="352" cm="1">
        <f t="array" ref="K28">IF(ISBLANK(E28),"",E28-C28)</f>
      </c>
    </row>
    <row r="29" ht="8.75" customHeight="1" hidden="1">
      <c r="A29" s="960">
        <v>44521</v>
      </c>
      <c r="B29" s="356"/>
      <c r="C29" s="352"/>
      <c r="D29" s="352"/>
      <c r="E29" s="352"/>
      <c r="F29" s="352"/>
      <c r="G29" s="352"/>
      <c r="H29" s="352"/>
      <c r="I29" s="352"/>
      <c r="J29" t="str" s="352" cm="1">
        <f t="array" ref="J29">IF(ISBLANK(E29),"",D29-B29)</f>
      </c>
      <c r="K29" t="str" s="352" cm="1">
        <f t="array" ref="K29">IF(ISBLANK(E29),"",E29-C29)</f>
      </c>
    </row>
    <row r="30" ht="8.75" customHeight="1" hidden="1">
      <c r="A30" s="960">
        <v>44528</v>
      </c>
      <c r="B30" s="356"/>
      <c r="C30" s="352"/>
      <c r="D30" s="352"/>
      <c r="E30" s="352"/>
      <c r="F30" s="352"/>
      <c r="G30" s="352"/>
      <c r="H30" s="352"/>
      <c r="I30" s="352"/>
      <c r="J30" t="str" s="352" cm="1">
        <f t="array" ref="J30">IF(ISBLANK(E30),"",D30-B30)</f>
      </c>
      <c r="K30" t="str" s="352" cm="1">
        <f t="array" ref="K30">IF(ISBLANK(E30),"",E30-C30)</f>
      </c>
    </row>
    <row r="31" ht="8.75" customHeight="1" hidden="1">
      <c r="A31" s="960">
        <v>44535</v>
      </c>
      <c r="B31" s="356"/>
      <c r="C31" s="352"/>
      <c r="D31" s="352"/>
      <c r="E31" s="352"/>
      <c r="F31" s="352"/>
      <c r="G31" s="352"/>
      <c r="H31" s="352"/>
      <c r="I31" s="352"/>
      <c r="J31" t="str" s="352" cm="1">
        <f t="array" ref="J31">IF(ISBLANK(E31),"",D31-B31)</f>
      </c>
      <c r="K31" t="str" s="352" cm="1">
        <f t="array" ref="K31">IF(ISBLANK(E31),"",E31-C31)</f>
      </c>
    </row>
    <row r="32" ht="8.75" customHeight="1" hidden="1">
      <c r="A32" s="960">
        <v>44542</v>
      </c>
      <c r="B32" s="356"/>
      <c r="C32" s="352"/>
      <c r="D32" s="352"/>
      <c r="E32" s="352"/>
      <c r="F32" s="352"/>
      <c r="G32" s="352"/>
      <c r="H32" s="352"/>
      <c r="I32" s="352"/>
      <c r="J32" t="str" s="352" cm="1">
        <f t="array" ref="J32">IF(ISBLANK(E32),"",D32-B32)</f>
      </c>
      <c r="K32" t="str" s="352" cm="1">
        <f t="array" ref="K32">IF(ISBLANK(E32),"",E32-C32)</f>
      </c>
    </row>
    <row r="33" ht="8.75" customHeight="1" hidden="1">
      <c r="A33" s="960">
        <v>44549</v>
      </c>
      <c r="B33" s="356"/>
      <c r="C33" s="352"/>
      <c r="D33" s="352"/>
      <c r="E33" s="352"/>
      <c r="F33" s="352"/>
      <c r="G33" s="352"/>
      <c r="H33" s="352"/>
      <c r="I33" s="352"/>
      <c r="J33" t="str" s="352" cm="1">
        <f t="array" ref="J33">IF(ISBLANK(E33),"",D33-B33)</f>
      </c>
      <c r="K33" t="str" s="352" cm="1">
        <f t="array" ref="K33">IF(ISBLANK(E33),"",E33-C33)</f>
      </c>
    </row>
    <row r="34" ht="8.75" customHeight="1" hidden="1">
      <c r="A34" s="960">
        <v>44556</v>
      </c>
      <c r="B34" s="356"/>
      <c r="C34" s="352"/>
      <c r="D34" s="352"/>
      <c r="E34" s="352"/>
      <c r="F34" s="352"/>
      <c r="G34" s="352"/>
      <c r="H34" s="352"/>
      <c r="I34" s="352"/>
      <c r="J34" t="str" s="352" cm="1">
        <f t="array" ref="J34">IF(ISBLANK(E34),"",D34-B34)</f>
      </c>
      <c r="K34" t="str" s="352" cm="1">
        <f t="array" ref="K34">IF(ISBLANK(E34),"",E34-C34)</f>
      </c>
    </row>
    <row r="35" ht="8.75" customHeight="1" hidden="1">
      <c r="A35" s="960">
        <v>44563</v>
      </c>
      <c r="B35" s="356"/>
      <c r="C35" s="352"/>
      <c r="D35" s="352"/>
      <c r="E35" s="352"/>
      <c r="F35" s="352"/>
      <c r="G35" s="352"/>
      <c r="H35" s="352"/>
      <c r="I35" s="352"/>
      <c r="J35" t="str" s="352" cm="1">
        <f t="array" ref="J35">IF(ISBLANK(E35),"",D35-B35)</f>
      </c>
      <c r="K35" t="str" s="352" cm="1">
        <f t="array" ref="K35">IF(ISBLANK(E35),"",E35-C35)</f>
      </c>
    </row>
    <row r="36" ht="20.55" customHeight="1">
      <c r="A36" s="921">
        <v>44570</v>
      </c>
      <c r="B36" s="11">
        <v>31.5</v>
      </c>
      <c r="C36" s="64">
        <v>27.8</v>
      </c>
      <c r="D36" s="64">
        <v>32.5</v>
      </c>
      <c r="E36" s="64">
        <v>28.5</v>
      </c>
      <c r="F36" s="82"/>
      <c r="G36" s="82"/>
      <c r="H36" s="82"/>
      <c r="I36" s="82"/>
      <c r="J36" s="64" cm="1">
        <f t="array" ref="J36">IF(ISBLANK(E36),"",D36-B36)</f>
        <v>1</v>
      </c>
      <c r="K36" s="64" cm="1">
        <f t="array" ref="K36">IF(ISBLANK(E36),"",E36-C36)</f>
        <v>0.7</v>
      </c>
    </row>
    <row r="37" ht="20.35" customHeight="1">
      <c r="A37" s="926">
        <v>44577</v>
      </c>
      <c r="B37" s="18">
        <v>31.5</v>
      </c>
      <c r="C37" s="68">
        <v>27.8</v>
      </c>
      <c r="D37" s="68">
        <v>32.5</v>
      </c>
      <c r="E37" s="68">
        <v>28.5</v>
      </c>
      <c r="F37" s="32"/>
      <c r="G37" s="32"/>
      <c r="H37" s="32"/>
      <c r="I37" s="32"/>
      <c r="J37" s="68" cm="1">
        <f t="array" ref="J37">IF(ISBLANK(E37),"",D37-B37)</f>
        <v>1</v>
      </c>
      <c r="K37" s="68" cm="1">
        <f t="array" ref="K37">IF(ISBLANK(E37),"",E37-C37)</f>
        <v>0.7</v>
      </c>
    </row>
    <row r="38" ht="20.35" customHeight="1">
      <c r="A38" s="926">
        <v>44584</v>
      </c>
      <c r="B38" s="18">
        <v>32</v>
      </c>
      <c r="C38" s="68">
        <v>28</v>
      </c>
      <c r="D38" s="68">
        <v>33</v>
      </c>
      <c r="E38" s="68">
        <v>29</v>
      </c>
      <c r="F38" s="32"/>
      <c r="G38" s="32"/>
      <c r="H38" s="32"/>
      <c r="I38" s="32"/>
      <c r="J38" s="68" cm="1">
        <f t="array" ref="J38">IF(ISBLANK(E38),"",D38-B38)</f>
        <v>1</v>
      </c>
      <c r="K38" s="68" cm="1">
        <f t="array" ref="K38">IF(ISBLANK(E38),"",E38-C38)</f>
        <v>1</v>
      </c>
    </row>
    <row r="39" ht="20.35" customHeight="1">
      <c r="A39" s="926">
        <v>44591</v>
      </c>
      <c r="B39" s="18">
        <v>32</v>
      </c>
      <c r="C39" s="68">
        <v>28</v>
      </c>
      <c r="D39" s="68">
        <v>33</v>
      </c>
      <c r="E39" s="68">
        <v>29</v>
      </c>
      <c r="F39" s="32"/>
      <c r="G39" s="32"/>
      <c r="H39" s="32"/>
      <c r="I39" s="32"/>
      <c r="J39" s="68" cm="1">
        <f t="array" ref="J39">IF(ISBLANK(E39),"",D39-B39)</f>
        <v>1</v>
      </c>
      <c r="K39" s="68" cm="1">
        <f t="array" ref="K39">IF(ISBLANK(E39),"",E39-C39)</f>
        <v>1</v>
      </c>
    </row>
    <row r="40" ht="20.35" customHeight="1">
      <c r="A40" s="926">
        <v>44598</v>
      </c>
      <c r="B40" s="18">
        <v>32.5</v>
      </c>
      <c r="C40" s="68">
        <v>28.5</v>
      </c>
      <c r="D40" s="68">
        <v>33</v>
      </c>
      <c r="E40" s="68">
        <v>29</v>
      </c>
      <c r="F40" s="32"/>
      <c r="G40" s="32"/>
      <c r="H40" s="32"/>
      <c r="I40" s="32"/>
      <c r="J40" s="68" cm="1">
        <f t="array" ref="J40">IF(ISBLANK(E40),"",D40-B40)</f>
        <v>0.5</v>
      </c>
      <c r="K40" s="68" cm="1">
        <f t="array" ref="K40">IF(ISBLANK(E40),"",E40-C40)</f>
        <v>0.5</v>
      </c>
    </row>
    <row r="41" ht="20.35" customHeight="1">
      <c r="A41" s="926">
        <v>44605</v>
      </c>
      <c r="B41" s="18">
        <v>33</v>
      </c>
      <c r="C41" s="68">
        <v>29</v>
      </c>
      <c r="D41" s="68">
        <v>33.5</v>
      </c>
      <c r="E41" s="68">
        <v>30</v>
      </c>
      <c r="F41" s="32"/>
      <c r="G41" s="32"/>
      <c r="H41" s="32"/>
      <c r="I41" s="32"/>
      <c r="J41" s="68" cm="1">
        <f t="array" ref="J41">IF(ISBLANK(E41),"",D41-B41)</f>
        <v>0.5</v>
      </c>
      <c r="K41" s="68" cm="1">
        <f t="array" ref="K41">IF(ISBLANK(E41),"",E41-C41)</f>
        <v>1</v>
      </c>
    </row>
    <row r="42" ht="20.35" customHeight="1">
      <c r="A42" s="926">
        <v>44612</v>
      </c>
      <c r="B42" s="29"/>
      <c r="C42" s="32"/>
      <c r="D42" s="32"/>
      <c r="E42" s="32"/>
      <c r="F42" s="32"/>
      <c r="G42" s="32"/>
      <c r="H42" s="32"/>
      <c r="I42" s="32"/>
      <c r="J42" t="str" s="32" cm="1">
        <f t="array" ref="J42">IF(ISBLANK(E42),"",D42-B42)</f>
      </c>
      <c r="K42" t="str" s="32" cm="1">
        <f t="array" ref="K42">IF(ISBLANK(E42),"",E42-C42)</f>
      </c>
    </row>
    <row r="43" ht="20.35" customHeight="1">
      <c r="A43" s="926">
        <v>44619</v>
      </c>
      <c r="B43" s="18">
        <v>32.8</v>
      </c>
      <c r="C43" s="68">
        <v>28.5</v>
      </c>
      <c r="D43" s="68">
        <v>33.5</v>
      </c>
      <c r="E43" s="68">
        <v>29.3</v>
      </c>
      <c r="F43" s="32"/>
      <c r="G43" s="32"/>
      <c r="H43" s="32"/>
      <c r="I43" s="32"/>
      <c r="J43" s="68" cm="1">
        <f t="array" ref="J43">IF(ISBLANK(E43),"",D43-B43)</f>
        <v>0.7</v>
      </c>
      <c r="K43" s="68" cm="1">
        <f t="array" ref="K43">IF(ISBLANK(E43),"",E43-C43)</f>
        <v>0.8</v>
      </c>
    </row>
    <row r="44" ht="20.35" customHeight="1">
      <c r="A44" s="926">
        <v>44626</v>
      </c>
      <c r="B44" s="18">
        <v>32.6</v>
      </c>
      <c r="C44" s="68">
        <v>28.8</v>
      </c>
      <c r="D44" s="68">
        <v>33.1</v>
      </c>
      <c r="E44" s="68">
        <v>29.6</v>
      </c>
      <c r="F44" s="32"/>
      <c r="G44" s="32"/>
      <c r="H44" s="32"/>
      <c r="I44" s="32"/>
      <c r="J44" s="68" cm="1">
        <f t="array" ref="J44">IF(ISBLANK(E44),"",D44-B44)</f>
        <v>0.5</v>
      </c>
      <c r="K44" s="68" cm="1">
        <f t="array" ref="K44">IF(ISBLANK(E44),"",E44-C44)</f>
        <v>0.8</v>
      </c>
    </row>
    <row r="45" ht="20.35" customHeight="1">
      <c r="A45" s="926">
        <v>44633</v>
      </c>
      <c r="B45" s="18">
        <v>33.2</v>
      </c>
      <c r="C45" s="68">
        <v>28.5</v>
      </c>
      <c r="D45" s="68">
        <v>33.6</v>
      </c>
      <c r="E45" s="68">
        <v>29.6</v>
      </c>
      <c r="F45" s="32"/>
      <c r="G45" s="32"/>
      <c r="H45" s="32"/>
      <c r="I45" s="32"/>
      <c r="J45" s="68" cm="1">
        <f t="array" ref="J45">IF(ISBLANK(E45),"",D45-B45)</f>
        <v>0.4</v>
      </c>
      <c r="K45" s="68" cm="1">
        <f t="array" ref="K45">IF(ISBLANK(E45),"",E45-C45)</f>
        <v>1.1</v>
      </c>
    </row>
    <row r="46" ht="20.35" customHeight="1">
      <c r="A46" s="926">
        <v>44640</v>
      </c>
      <c r="B46" s="18">
        <v>33.6</v>
      </c>
      <c r="C46" s="68">
        <v>29.3</v>
      </c>
      <c r="D46" s="68">
        <v>33.5</v>
      </c>
      <c r="E46" s="68">
        <v>29</v>
      </c>
      <c r="F46" s="32"/>
      <c r="G46" s="32"/>
      <c r="H46" s="32"/>
      <c r="I46" s="32"/>
      <c r="J46" s="68" cm="1">
        <f t="array" ref="J46">IF(ISBLANK(E46),"",D46-B46)</f>
        <v>-0.1</v>
      </c>
      <c r="K46" s="68" cm="1">
        <f t="array" ref="K46">IF(ISBLANK(E46),"",E46-C46)</f>
        <v>-0.3</v>
      </c>
    </row>
    <row r="47" ht="20.35" customHeight="1">
      <c r="A47" s="926">
        <v>44647</v>
      </c>
      <c r="B47" s="18">
        <v>33.5</v>
      </c>
      <c r="C47" s="68">
        <v>29</v>
      </c>
      <c r="D47" s="68">
        <v>34</v>
      </c>
      <c r="E47" s="68">
        <v>29.5</v>
      </c>
      <c r="F47" s="68">
        <v>110</v>
      </c>
      <c r="G47" s="68">
        <v>84</v>
      </c>
      <c r="H47" s="68">
        <v>95</v>
      </c>
      <c r="I47" s="32"/>
      <c r="J47" s="68" cm="1">
        <f t="array" ref="J47">IF(ISBLANK(E47),"",D47-B47)</f>
        <v>0.5</v>
      </c>
      <c r="K47" s="68" cm="1">
        <f t="array" ref="K47">IF(ISBLANK(E47),"",E47-C47)</f>
        <v>0.5</v>
      </c>
    </row>
    <row r="48" ht="20.35" customHeight="1">
      <c r="A48" s="926">
        <v>44654</v>
      </c>
      <c r="B48" s="18">
        <v>33.5</v>
      </c>
      <c r="C48" s="68">
        <v>29.2</v>
      </c>
      <c r="D48" s="68">
        <v>34</v>
      </c>
      <c r="E48" s="68">
        <v>30</v>
      </c>
      <c r="F48" s="68">
        <v>110</v>
      </c>
      <c r="G48" s="68">
        <v>84</v>
      </c>
      <c r="H48" s="68">
        <v>95</v>
      </c>
      <c r="I48" s="32"/>
      <c r="J48" s="68" cm="1">
        <f t="array" ref="J48">IF(ISBLANK(E48),"",D48-B48)</f>
        <v>0.5</v>
      </c>
      <c r="K48" s="68" cm="1">
        <f t="array" ref="K48">IF(ISBLANK(E48),"",E48-C48)</f>
        <v>0.8</v>
      </c>
    </row>
    <row r="49" ht="20.35" customHeight="1">
      <c r="A49" s="926">
        <v>44661</v>
      </c>
      <c r="B49" s="18">
        <v>33.5</v>
      </c>
      <c r="C49" s="68">
        <v>29.2</v>
      </c>
      <c r="D49" s="68">
        <v>34</v>
      </c>
      <c r="E49" s="68">
        <v>30</v>
      </c>
      <c r="F49" s="32"/>
      <c r="G49" s="32"/>
      <c r="H49" s="32"/>
      <c r="I49" s="32"/>
      <c r="J49" s="68" cm="1">
        <f t="array" ref="J49">IF(ISBLANK(E49),"",D49-B49)</f>
        <v>0.5</v>
      </c>
      <c r="K49" s="68" cm="1">
        <f t="array" ref="K49">IF(ISBLANK(E49),"",E49-C49)</f>
        <v>0.8</v>
      </c>
    </row>
    <row r="50" ht="20.35" customHeight="1">
      <c r="A50" s="926">
        <v>44668</v>
      </c>
      <c r="B50" s="18">
        <v>34</v>
      </c>
      <c r="C50" s="68">
        <v>29.8</v>
      </c>
      <c r="D50" s="68">
        <v>34.6</v>
      </c>
      <c r="E50" s="68">
        <v>30.4</v>
      </c>
      <c r="F50" s="32"/>
      <c r="G50" s="32"/>
      <c r="H50" s="32"/>
      <c r="I50" s="32"/>
      <c r="J50" s="68" cm="1">
        <f t="array" ref="J50">IF(ISBLANK(E50),"",D50-B50)</f>
        <v>0.6</v>
      </c>
      <c r="K50" s="68" cm="1">
        <f t="array" ref="K50">IF(ISBLANK(E50),"",E50-C50)</f>
        <v>0.6</v>
      </c>
    </row>
    <row r="51" ht="20.35" customHeight="1">
      <c r="A51" s="926">
        <v>44675</v>
      </c>
      <c r="B51" s="18">
        <v>34.4</v>
      </c>
      <c r="C51" s="68">
        <v>30</v>
      </c>
      <c r="D51" s="68">
        <v>34.8</v>
      </c>
      <c r="E51" s="68">
        <v>31.2</v>
      </c>
      <c r="F51" s="32"/>
      <c r="G51" s="32"/>
      <c r="H51" s="32"/>
      <c r="I51" s="32"/>
      <c r="J51" s="68" cm="1">
        <f t="array" ref="J51">IF(ISBLANK(E51),"",D51-B51)</f>
        <v>0.4</v>
      </c>
      <c r="K51" s="68" cm="1">
        <f t="array" ref="K51">IF(ISBLANK(E51),"",E51-C51)</f>
        <v>1.2</v>
      </c>
    </row>
    <row r="52" ht="20.35" customHeight="1">
      <c r="A52" s="926">
        <v>44682</v>
      </c>
      <c r="B52" s="18">
        <v>34.4</v>
      </c>
      <c r="C52" s="68">
        <v>30</v>
      </c>
      <c r="D52" s="68">
        <v>35.3</v>
      </c>
      <c r="E52" s="68">
        <v>30.8</v>
      </c>
      <c r="F52" s="32"/>
      <c r="G52" s="32"/>
      <c r="H52" s="32"/>
      <c r="I52" s="32"/>
      <c r="J52" s="68" cm="1">
        <f t="array" ref="J52">IF(ISBLANK(E52),"",D52-B52)</f>
        <v>0.9</v>
      </c>
      <c r="K52" s="68" cm="1">
        <f t="array" ref="K52">IF(ISBLANK(E52),"",E52-C52)</f>
        <v>0.8</v>
      </c>
    </row>
    <row r="53" ht="20.35" customHeight="1">
      <c r="A53" s="926">
        <v>44689</v>
      </c>
      <c r="B53" s="29"/>
      <c r="C53" s="32"/>
      <c r="D53" s="32"/>
      <c r="E53" s="32"/>
      <c r="F53" s="32"/>
      <c r="G53" s="32"/>
      <c r="H53" s="32"/>
      <c r="I53" s="32"/>
      <c r="J53" t="str" s="32" cm="1">
        <f t="array" ref="J53">IF(ISBLANK(E53),"",D53-B53)</f>
      </c>
      <c r="K53" t="str" s="32" cm="1">
        <f t="array" ref="K53">IF(ISBLANK(E53),"",E53-C53)</f>
      </c>
    </row>
    <row r="54" ht="20.35" customHeight="1">
      <c r="A54" s="926">
        <v>44696</v>
      </c>
      <c r="B54" s="29"/>
      <c r="C54" s="32"/>
      <c r="D54" s="32"/>
      <c r="E54" s="32"/>
      <c r="F54" s="32"/>
      <c r="G54" s="32"/>
      <c r="H54" s="32"/>
      <c r="I54" s="32"/>
      <c r="J54" t="str" s="32" cm="1">
        <f t="array" ref="J54">IF(ISBLANK(E54),"",D54-B54)</f>
      </c>
      <c r="K54" t="str" s="32" cm="1">
        <f t="array" ref="K54">IF(ISBLANK(E54),"",E54-C54)</f>
      </c>
    </row>
    <row r="55" ht="20.35" customHeight="1">
      <c r="A55" s="926">
        <v>44703</v>
      </c>
      <c r="B55" s="29"/>
      <c r="C55" s="32"/>
      <c r="D55" s="32"/>
      <c r="E55" s="32"/>
      <c r="F55" s="32"/>
      <c r="G55" s="32"/>
      <c r="H55" s="32"/>
      <c r="I55" s="32"/>
      <c r="J55" t="str" s="32" cm="1">
        <f t="array" ref="J55">IF(ISBLANK(E55),"",D55-B55)</f>
      </c>
      <c r="K55" t="str" s="32" cm="1">
        <f t="array" ref="K55">IF(ISBLANK(E55),"",E55-C55)</f>
      </c>
    </row>
    <row r="56" ht="20.35" customHeight="1">
      <c r="A56" s="926">
        <v>44710</v>
      </c>
      <c r="B56" s="29"/>
      <c r="C56" s="32"/>
      <c r="D56" s="32"/>
      <c r="E56" s="32"/>
      <c r="F56" s="32"/>
      <c r="G56" s="32"/>
      <c r="H56" s="32"/>
      <c r="I56" s="32"/>
      <c r="J56" t="str" s="32" cm="1">
        <f t="array" ref="J56">IF(ISBLANK(E56),"",D56-B56)</f>
      </c>
      <c r="K56" t="str" s="32" cm="1">
        <f t="array" ref="K56">IF(ISBLANK(E56),"",E56-C56)</f>
      </c>
    </row>
    <row r="57" ht="20.35" customHeight="1">
      <c r="A57" s="926">
        <v>44717</v>
      </c>
      <c r="B57" s="29"/>
      <c r="C57" s="32"/>
      <c r="D57" s="32"/>
      <c r="E57" s="32"/>
      <c r="F57" s="32"/>
      <c r="G57" s="32"/>
      <c r="H57" s="32"/>
      <c r="I57" s="32"/>
      <c r="J57" t="str" s="32" cm="1">
        <f t="array" ref="J57">IF(ISBLANK(E57),"",D57-B57)</f>
      </c>
      <c r="K57" t="str" s="32" cm="1">
        <f t="array" ref="K57">IF(ISBLANK(E57),"",E57-C57)</f>
      </c>
    </row>
    <row r="58" ht="20.35" customHeight="1">
      <c r="A58" s="926">
        <v>44724</v>
      </c>
      <c r="B58" s="29"/>
      <c r="C58" s="32"/>
      <c r="D58" s="32"/>
      <c r="E58" s="32"/>
      <c r="F58" s="32"/>
      <c r="G58" s="32"/>
      <c r="H58" s="32"/>
      <c r="I58" s="32"/>
      <c r="J58" t="str" s="32" cm="1">
        <f t="array" ref="J58">IF(ISBLANK(E58),"",D58-B58)</f>
      </c>
      <c r="K58" t="str" s="32" cm="1">
        <f t="array" ref="K58">IF(ISBLANK(E58),"",E58-C58)</f>
      </c>
    </row>
    <row r="59" ht="20.35" customHeight="1">
      <c r="A59" s="926">
        <v>44731</v>
      </c>
      <c r="B59" s="29"/>
      <c r="C59" s="32"/>
      <c r="D59" s="32"/>
      <c r="E59" s="32"/>
      <c r="F59" s="32"/>
      <c r="G59" s="32"/>
      <c r="H59" s="32"/>
      <c r="I59" s="32"/>
      <c r="J59" t="str" s="32" cm="1">
        <f t="array" ref="J59">IF(ISBLANK(E59),"",D59-B59)</f>
      </c>
      <c r="K59" t="str" s="32" cm="1">
        <f t="array" ref="K59">IF(ISBLANK(E59),"",E59-C59)</f>
      </c>
    </row>
    <row r="60" ht="20.35" customHeight="1">
      <c r="A60" s="926">
        <v>44738</v>
      </c>
      <c r="B60" s="29"/>
      <c r="C60" s="32"/>
      <c r="D60" s="32"/>
      <c r="E60" s="32"/>
      <c r="F60" s="32"/>
      <c r="G60" s="32"/>
      <c r="H60" s="32"/>
      <c r="I60" s="32"/>
      <c r="J60" t="str" s="32" cm="1">
        <f t="array" ref="J60">IF(ISBLANK(E60),"",D60-B60)</f>
      </c>
      <c r="K60" t="str" s="32" cm="1">
        <f t="array" ref="K60">IF(ISBLANK(E60),"",E60-C60)</f>
      </c>
    </row>
    <row r="61" ht="20.35" customHeight="1">
      <c r="A61" s="926">
        <v>44745</v>
      </c>
      <c r="B61" s="29"/>
      <c r="C61" s="32"/>
      <c r="D61" s="32"/>
      <c r="E61" s="32"/>
      <c r="F61" s="32"/>
      <c r="G61" s="32"/>
      <c r="H61" s="32"/>
      <c r="I61" s="32"/>
      <c r="J61" t="str" s="32" cm="1">
        <f t="array" ref="J61">IF(ISBLANK(E61),"",D61-B61)</f>
      </c>
      <c r="K61" t="str" s="32" cm="1">
        <f t="array" ref="K61">IF(ISBLANK(E61),"",E61-C61)</f>
      </c>
    </row>
    <row r="62" ht="20.35" customHeight="1">
      <c r="A62" s="926">
        <v>44752</v>
      </c>
      <c r="B62" s="29"/>
      <c r="C62" s="32"/>
      <c r="D62" s="32"/>
      <c r="E62" s="32"/>
      <c r="F62" s="32"/>
      <c r="G62" s="32"/>
      <c r="H62" s="32"/>
      <c r="I62" s="32"/>
      <c r="J62" t="str" s="32" cm="1">
        <f t="array" ref="J62">IF(ISBLANK(E62),"",D62-B62)</f>
      </c>
      <c r="K62" t="str" s="32" cm="1">
        <f t="array" ref="K62">IF(ISBLANK(E62),"",E62-C62)</f>
      </c>
    </row>
    <row r="63" ht="20.35" customHeight="1">
      <c r="A63" s="926">
        <v>44759</v>
      </c>
      <c r="B63" s="29"/>
      <c r="C63" s="32"/>
      <c r="D63" s="32"/>
      <c r="E63" s="32"/>
      <c r="F63" s="32"/>
      <c r="G63" s="32"/>
      <c r="H63" s="32"/>
      <c r="I63" s="32"/>
      <c r="J63" t="str" s="32" cm="1">
        <f t="array" ref="J63">IF(ISBLANK(E63),"",D63-B63)</f>
      </c>
      <c r="K63" t="str" s="32" cm="1">
        <f t="array" ref="K63">IF(ISBLANK(E63),"",E63-C63)</f>
      </c>
    </row>
    <row r="64" ht="20.35" customHeight="1">
      <c r="A64" s="926">
        <v>44766</v>
      </c>
      <c r="B64" s="29"/>
      <c r="C64" s="32"/>
      <c r="D64" s="32"/>
      <c r="E64" s="32"/>
      <c r="F64" s="32"/>
      <c r="G64" s="32"/>
      <c r="H64" s="32"/>
      <c r="I64" s="32"/>
      <c r="J64" t="str" s="32" cm="1">
        <f t="array" ref="J64">IF(ISBLANK(E64),"",D64-B64)</f>
      </c>
      <c r="K64" t="str" s="32" cm="1">
        <f t="array" ref="K64">IF(ISBLANK(E64),"",E64-C64)</f>
      </c>
    </row>
    <row r="65" ht="20.35" customHeight="1">
      <c r="A65" s="926">
        <v>44773</v>
      </c>
      <c r="B65" s="29"/>
      <c r="C65" s="32"/>
      <c r="D65" s="32"/>
      <c r="E65" s="32"/>
      <c r="F65" s="32"/>
      <c r="G65" s="32"/>
      <c r="H65" s="32"/>
      <c r="I65" s="32"/>
      <c r="J65" t="str" s="32" cm="1">
        <f t="array" ref="J65">IF(ISBLANK(E65),"",D65-B65)</f>
      </c>
      <c r="K65" t="str" s="32" cm="1">
        <f t="array" ref="K65">IF(ISBLANK(E65),"",E65-C65)</f>
      </c>
    </row>
    <row r="66" ht="20.35" customHeight="1">
      <c r="A66" s="926">
        <v>44780</v>
      </c>
      <c r="B66" s="29"/>
      <c r="C66" s="32"/>
      <c r="D66" s="32"/>
      <c r="E66" s="32"/>
      <c r="F66" s="32"/>
      <c r="G66" s="32"/>
      <c r="H66" s="32"/>
      <c r="I66" s="32"/>
      <c r="J66" t="str" s="32" cm="1">
        <f t="array" ref="J66">IF(ISBLANK(E66),"",D66-B66)</f>
      </c>
      <c r="K66" t="str" s="32" cm="1">
        <f t="array" ref="K66">IF(ISBLANK(E66),"",E66-C66)</f>
      </c>
    </row>
    <row r="67" ht="20.35" customHeight="1">
      <c r="A67" s="926">
        <v>44787</v>
      </c>
      <c r="B67" s="29"/>
      <c r="C67" s="32"/>
      <c r="D67" s="32"/>
      <c r="E67" s="32"/>
      <c r="F67" s="32"/>
      <c r="G67" s="32"/>
      <c r="H67" s="32"/>
      <c r="I67" s="32"/>
      <c r="J67" t="str" s="32" cm="1">
        <f t="array" ref="J67">IF(ISBLANK(E67),"",D67-B67)</f>
      </c>
      <c r="K67" t="str" s="32" cm="1">
        <f t="array" ref="K67">IF(ISBLANK(E67),"",E67-C67)</f>
      </c>
    </row>
    <row r="68" ht="20.35" customHeight="1">
      <c r="A68" s="926">
        <v>44794</v>
      </c>
      <c r="B68" s="29"/>
      <c r="C68" s="32"/>
      <c r="D68" s="32"/>
      <c r="E68" s="32"/>
      <c r="F68" s="32"/>
      <c r="G68" s="32"/>
      <c r="H68" s="32"/>
      <c r="I68" s="32"/>
      <c r="J68" t="str" s="32" cm="1">
        <f t="array" ref="J68">IF(ISBLANK(E68),"",D68-B68)</f>
      </c>
      <c r="K68" t="str" s="32" cm="1">
        <f t="array" ref="K68">IF(ISBLANK(E68),"",E68-C68)</f>
      </c>
    </row>
    <row r="69" ht="20.35" customHeight="1">
      <c r="A69" s="926">
        <v>44801</v>
      </c>
      <c r="B69" s="29"/>
      <c r="C69" s="32"/>
      <c r="D69" s="32"/>
      <c r="E69" s="32"/>
      <c r="F69" s="32"/>
      <c r="G69" s="32"/>
      <c r="H69" s="32"/>
      <c r="I69" s="32"/>
      <c r="J69" t="str" s="32" cm="1">
        <f t="array" ref="J69">IF(ISBLANK(E69),"",D69-B69)</f>
      </c>
      <c r="K69" t="str" s="32" cm="1">
        <f t="array" ref="K69">IF(ISBLANK(E69),"",E69-C69)</f>
      </c>
    </row>
    <row r="70" ht="20.35" customHeight="1">
      <c r="A70" s="926">
        <v>44808</v>
      </c>
      <c r="B70" s="29"/>
      <c r="C70" s="32"/>
      <c r="D70" s="32"/>
      <c r="E70" s="32"/>
      <c r="F70" s="32"/>
      <c r="G70" s="32"/>
      <c r="H70" s="32"/>
      <c r="I70" s="32"/>
      <c r="J70" t="str" s="32" cm="1">
        <f t="array" ref="J70">IF(ISBLANK(E70),"",D70-B70)</f>
      </c>
      <c r="K70" t="str" s="32" cm="1">
        <f t="array" ref="K70">IF(ISBLANK(E70),"",E70-C70)</f>
      </c>
    </row>
    <row r="71" ht="20.35" customHeight="1">
      <c r="A71" s="926">
        <v>44815</v>
      </c>
      <c r="B71" s="29"/>
      <c r="C71" s="32"/>
      <c r="D71" s="32"/>
      <c r="E71" s="32"/>
      <c r="F71" s="32"/>
      <c r="G71" s="32"/>
      <c r="H71" s="32"/>
      <c r="I71" s="32"/>
      <c r="J71" t="str" s="32" cm="1">
        <f t="array" ref="J71">IF(ISBLANK(E71),"",D71-B71)</f>
      </c>
      <c r="K71" t="str" s="32" cm="1">
        <f t="array" ref="K71">IF(ISBLANK(E71),"",E71-C71)</f>
      </c>
    </row>
    <row r="72" ht="20.35" customHeight="1">
      <c r="A72" s="926">
        <v>44822</v>
      </c>
      <c r="B72" s="18">
        <v>34.8</v>
      </c>
      <c r="C72" s="68">
        <v>30</v>
      </c>
      <c r="D72" s="32"/>
      <c r="E72" s="32"/>
      <c r="F72" s="32"/>
      <c r="G72" s="32"/>
      <c r="H72" s="32"/>
      <c r="I72" s="32"/>
      <c r="J72" t="str" s="32" cm="1">
        <f t="array" ref="J72">IF(ISBLANK(E72),"",D72-B72)</f>
      </c>
      <c r="K72" t="str" s="32" cm="1">
        <f t="array" ref="K72">IF(ISBLANK(E72),"",E72-C72)</f>
      </c>
    </row>
    <row r="73" ht="20.35" customHeight="1">
      <c r="A73" s="926">
        <v>44829</v>
      </c>
      <c r="B73" s="29"/>
      <c r="C73" s="32"/>
      <c r="D73" s="32"/>
      <c r="E73" s="32"/>
      <c r="F73" s="32"/>
      <c r="G73" s="32"/>
      <c r="H73" s="32"/>
      <c r="I73" s="32"/>
      <c r="J73" t="str" s="32" cm="1">
        <f t="array" ref="J73">IF(ISBLANK(E73),"",D73-B73)</f>
      </c>
      <c r="K73" t="str" s="32" cm="1">
        <f t="array" ref="K73">IF(ISBLANK(E73),"",E73-C73)</f>
      </c>
    </row>
    <row r="74" ht="20.35" customHeight="1">
      <c r="A74" s="926">
        <v>44836</v>
      </c>
      <c r="B74" s="29"/>
      <c r="C74" s="32"/>
      <c r="D74" s="32"/>
      <c r="E74" s="32"/>
      <c r="F74" s="32"/>
      <c r="G74" s="32"/>
      <c r="H74" s="32"/>
      <c r="I74" s="32"/>
      <c r="J74" t="str" s="32" cm="1">
        <f t="array" ref="J74">IF(ISBLANK(E74),"",D74-B74)</f>
      </c>
      <c r="K74" t="str" s="32" cm="1">
        <f t="array" ref="K74">IF(ISBLANK(E74),"",E74-C74)</f>
      </c>
    </row>
    <row r="75" ht="20.35" customHeight="1">
      <c r="A75" s="926">
        <v>44843</v>
      </c>
      <c r="B75" s="29"/>
      <c r="C75" s="32"/>
      <c r="D75" s="32"/>
      <c r="E75" s="32"/>
      <c r="F75" s="32"/>
      <c r="G75" s="32"/>
      <c r="H75" s="32"/>
      <c r="I75" s="32"/>
      <c r="J75" t="str" s="32" cm="1">
        <f t="array" ref="J75">IF(ISBLANK(E75),"",D75-B75)</f>
      </c>
      <c r="K75" t="str" s="32" cm="1">
        <f t="array" ref="K75">IF(ISBLANK(E75),"",E75-C75)</f>
      </c>
    </row>
    <row r="76" ht="20.35" customHeight="1">
      <c r="A76" s="926">
        <v>44850</v>
      </c>
      <c r="B76" s="29"/>
      <c r="C76" s="32"/>
      <c r="D76" s="32"/>
      <c r="E76" s="32"/>
      <c r="F76" s="32"/>
      <c r="G76" s="32"/>
      <c r="H76" s="32"/>
      <c r="I76" s="32"/>
      <c r="J76" t="str" s="32" cm="1">
        <f t="array" ref="J76">IF(ISBLANK(E76),"",D76-B76)</f>
      </c>
      <c r="K76" t="str" s="32" cm="1">
        <f t="array" ref="K76">IF(ISBLANK(E76),"",E76-C76)</f>
      </c>
    </row>
    <row r="77" ht="20.35" customHeight="1">
      <c r="A77" s="926">
        <v>44857</v>
      </c>
      <c r="B77" s="29"/>
      <c r="C77" s="32"/>
      <c r="D77" s="32"/>
      <c r="E77" s="32"/>
      <c r="F77" s="32"/>
      <c r="G77" s="32"/>
      <c r="H77" s="32"/>
      <c r="I77" s="32"/>
      <c r="J77" t="str" s="32" cm="1">
        <f t="array" ref="J77">IF(ISBLANK(E77),"",D77-B77)</f>
      </c>
      <c r="K77" t="str" s="32" cm="1">
        <f t="array" ref="K77">IF(ISBLANK(E77),"",E77-C77)</f>
      </c>
    </row>
    <row r="78" ht="20.35" customHeight="1">
      <c r="A78" s="926">
        <v>44864</v>
      </c>
      <c r="B78" s="29"/>
      <c r="C78" s="32"/>
      <c r="D78" s="32"/>
      <c r="E78" s="32"/>
      <c r="F78" s="32"/>
      <c r="G78" s="32"/>
      <c r="H78" s="32"/>
      <c r="I78" s="32"/>
      <c r="J78" t="str" s="32" cm="1">
        <f t="array" ref="J78">IF(ISBLANK(E78),"",D78-B78)</f>
      </c>
      <c r="K78" t="str" s="32" cm="1">
        <f t="array" ref="K78">IF(ISBLANK(E78),"",E78-C78)</f>
      </c>
    </row>
    <row r="79" ht="20.35" customHeight="1">
      <c r="A79" s="926">
        <v>44871</v>
      </c>
      <c r="B79" s="29"/>
      <c r="C79" s="32"/>
      <c r="D79" s="32"/>
      <c r="E79" s="32"/>
      <c r="F79" s="32"/>
      <c r="G79" s="32"/>
      <c r="H79" s="32"/>
      <c r="I79" s="32"/>
      <c r="J79" t="str" s="32" cm="1">
        <f t="array" ref="J79">IF(ISBLANK(E79),"",D79-B79)</f>
      </c>
      <c r="K79" t="str" s="32" cm="1">
        <f t="array" ref="K79">IF(ISBLANK(E79),"",E79-C79)</f>
      </c>
    </row>
    <row r="80" ht="20.35" customHeight="1">
      <c r="A80" s="926">
        <v>44878</v>
      </c>
      <c r="B80" s="29"/>
      <c r="C80" s="32"/>
      <c r="D80" s="32"/>
      <c r="E80" s="32"/>
      <c r="F80" s="32"/>
      <c r="G80" s="32"/>
      <c r="H80" s="32"/>
      <c r="I80" s="32"/>
      <c r="J80" t="str" s="32" cm="1">
        <f t="array" ref="J80">IF(ISBLANK(E80),"",D80-B80)</f>
      </c>
      <c r="K80" t="str" s="32" cm="1">
        <f t="array" ref="K80">IF(ISBLANK(E80),"",E80-C80)</f>
      </c>
    </row>
  </sheetData>
  <mergeCells count="2">
    <mergeCell ref="B1:C1"/>
    <mergeCell ref="D1:E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8.xml><?xml version="1.0" encoding="utf-8"?>
<worksheet xmlns:r="http://schemas.openxmlformats.org/officeDocument/2006/relationships" xmlns="http://schemas.openxmlformats.org/spreadsheetml/2006/main">
  <sheetPr>
    <pageSetUpPr fitToPage="1"/>
  </sheetPr>
  <dimension ref="A1:G26"/>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0.6719" style="980" customWidth="1"/>
    <col min="2" max="3" width="8.51562" style="980" customWidth="1"/>
    <col min="4" max="4" width="14.4844" style="980" customWidth="1"/>
    <col min="5" max="7" width="8.51562" style="980" customWidth="1"/>
    <col min="8" max="16384" width="16.3516" style="980" customWidth="1"/>
  </cols>
  <sheetData>
    <row r="1" ht="20.55" customHeight="1">
      <c r="A1" s="7"/>
      <c r="B1" t="s" s="919">
        <v>969</v>
      </c>
      <c r="C1" t="s" s="919">
        <v>1523</v>
      </c>
      <c r="D1" s="920"/>
      <c r="E1" t="s" s="919">
        <v>1554</v>
      </c>
      <c r="F1" t="s" s="919">
        <v>1555</v>
      </c>
      <c r="G1" t="s" s="919">
        <v>886</v>
      </c>
    </row>
    <row r="2" ht="8.75" customHeight="1" hidden="1">
      <c r="A2" s="981">
        <v>44561</v>
      </c>
      <c r="B2" s="982" cm="1">
        <f t="array" ref="B2">'tracking - Table 3-1'!D221</f>
        <v>68.56</v>
      </c>
      <c r="C2" s="965" cm="1">
        <f t="array" ref="C2">IF(ISBLANK(B2),"",B2*2.2046226218)</f>
        <v>151.148926950608</v>
      </c>
      <c r="D2" s="962"/>
      <c r="E2" s="352"/>
      <c r="F2" s="352"/>
      <c r="G2" s="352"/>
    </row>
    <row r="3" ht="20.55" customHeight="1">
      <c r="A3" s="651">
        <v>44592</v>
      </c>
      <c r="B3" s="983" cm="1">
        <f t="array" ref="B3">'tracking - Table 3-1'!D253</f>
        <v>68.78571428571431</v>
      </c>
      <c r="C3" s="937" cm="1">
        <f t="array" ref="C3">IF(ISBLANK(B3),"",B3*2.2046226218)</f>
        <v>151.646541770957</v>
      </c>
      <c r="D3" t="s" s="984">
        <v>1556</v>
      </c>
      <c r="E3" s="972" cm="1">
        <f t="array" ref="E3">B3-B2</f>
        <v>0.2257142857143</v>
      </c>
      <c r="F3" s="972" cm="1">
        <f t="array" ref="F3">C3-C2</f>
        <v>0.497614820349</v>
      </c>
      <c r="G3" s="972" cm="1">
        <f t="array" ref="G3">E3</f>
        <v>0.2257142857143</v>
      </c>
    </row>
    <row r="4" ht="20.35" customHeight="1">
      <c r="A4" s="653">
        <v>44620</v>
      </c>
      <c r="B4" s="985" cm="1">
        <f t="array" ref="B4">'tracking - Table 3-1'!D281</f>
        <v>71.17142857142861</v>
      </c>
      <c r="C4" s="103" cm="1">
        <f t="array" ref="C4">IF(ISBLANK(B4),"",B4*2.2046226218)</f>
        <v>156.906141454394</v>
      </c>
      <c r="D4" t="s" s="986">
        <v>1557</v>
      </c>
      <c r="E4" s="975" cm="1">
        <f t="array" ref="E4">B4-B3</f>
        <v>2.3857142857143</v>
      </c>
      <c r="F4" s="975" cm="1">
        <f t="array" ref="F4">C4-C3</f>
        <v>5.259599683437</v>
      </c>
      <c r="G4" s="975" cm="1">
        <f t="array" ref="G4">G3+E4</f>
        <v>2.6114285714286</v>
      </c>
    </row>
    <row r="5" ht="20.35" customHeight="1">
      <c r="A5" s="653">
        <v>44651</v>
      </c>
      <c r="B5" s="985" cm="1">
        <f t="array" ref="B5">'tracking - Table 3-1'!D312</f>
        <v>73.76428571428571</v>
      </c>
      <c r="C5" s="103" cm="1">
        <f t="array" ref="C5">IF(ISBLANK(B5),"",B5*2.2046226218)</f>
        <v>162.622412966633</v>
      </c>
      <c r="D5" t="s" s="986">
        <v>1557</v>
      </c>
      <c r="E5" s="975" cm="1">
        <f t="array" ref="E5">B5-B4</f>
        <v>2.5928571428571</v>
      </c>
      <c r="F5" s="975" cm="1">
        <f t="array" ref="F5">C5-C4</f>
        <v>5.716271512239</v>
      </c>
      <c r="G5" s="975" cm="1">
        <f t="array" ref="G5">G4+E5</f>
        <v>5.2042857142857</v>
      </c>
    </row>
    <row r="6" ht="20.35" customHeight="1">
      <c r="A6" s="653">
        <v>44681</v>
      </c>
      <c r="B6" s="985" cm="1">
        <f t="array" ref="B6">'tracking - Table 3-1'!D342</f>
        <v>77.3571428571429</v>
      </c>
      <c r="C6" s="103" cm="1">
        <f t="array" ref="C6">IF(ISBLANK(B6),"",B6*2.2046226218)</f>
        <v>170.543307100672</v>
      </c>
      <c r="D6" t="s" s="986">
        <v>1557</v>
      </c>
      <c r="E6" s="975" cm="1">
        <f t="array" ref="E6">B6-B5</f>
        <v>3.5928571428572</v>
      </c>
      <c r="F6" s="975" cm="1">
        <f t="array" ref="F6">C6-C5</f>
        <v>7.920894134039</v>
      </c>
      <c r="G6" s="975" cm="1">
        <f t="array" ref="G6">G5+E6</f>
        <v>8.7971428571429</v>
      </c>
    </row>
    <row r="7" ht="20.35" customHeight="1">
      <c r="A7" s="653">
        <v>44712</v>
      </c>
      <c r="B7" s="985" cm="1">
        <f t="array" ref="B7">'tracking - Table 3-1'!D373</f>
        <v>73.46428571428569</v>
      </c>
      <c r="C7" s="103" cm="1">
        <f t="array" ref="C7">IF(ISBLANK(B7),"",B7*2.2046226218)</f>
        <v>161.961026180093</v>
      </c>
      <c r="D7" t="s" s="986">
        <v>1558</v>
      </c>
      <c r="E7" s="975" cm="1">
        <f t="array" ref="E7">B7-B6</f>
        <v>-3.8928571428572</v>
      </c>
      <c r="F7" s="975" cm="1">
        <f t="array" ref="F7">C7-C6</f>
        <v>-8.582280920579</v>
      </c>
      <c r="G7" s="975" cm="1">
        <f t="array" ref="G7">G6+E7</f>
        <v>4.9042857142857</v>
      </c>
    </row>
    <row r="8" ht="20.35" customHeight="1">
      <c r="A8" s="653">
        <v>44742</v>
      </c>
      <c r="B8" s="985" cm="1">
        <f t="array" ref="B8">'tracking - Table 3-1'!D403</f>
        <v>75.6142857142857</v>
      </c>
      <c r="C8" s="103" cm="1">
        <f t="array" ref="C8">IF(ISBLANK(B8),"",B8*2.2046226218)</f>
        <v>166.700964816963</v>
      </c>
      <c r="D8" t="s" s="986">
        <v>1559</v>
      </c>
      <c r="E8" s="975" cm="1">
        <f t="array" ref="E8">B8-B7</f>
        <v>2.15</v>
      </c>
      <c r="F8" s="975" cm="1">
        <f t="array" ref="F8">C8-C7</f>
        <v>4.739938636870</v>
      </c>
      <c r="G8" s="975" cm="1">
        <f t="array" ref="G8">G7+E8</f>
        <v>7.0542857142857</v>
      </c>
    </row>
    <row r="9" ht="20.35" customHeight="1">
      <c r="A9" s="653">
        <v>44773</v>
      </c>
      <c r="B9" s="985" cm="1">
        <f t="array" ref="B9">'tracking - Table 3-1'!D434</f>
        <v>75.19166666666671</v>
      </c>
      <c r="C9" s="103" cm="1">
        <f t="array" ref="C9">IF(ISBLANK(B9),"",B9*2.2046226218)</f>
        <v>165.769249304178</v>
      </c>
      <c r="D9" t="s" s="986">
        <v>1560</v>
      </c>
      <c r="E9" s="975" cm="1">
        <f t="array" ref="E9">B9-B8</f>
        <v>-0.422619047619</v>
      </c>
      <c r="F9" s="975" cm="1">
        <f t="array" ref="F9">C9-C8</f>
        <v>-0.931715512785</v>
      </c>
      <c r="G9" s="975" cm="1">
        <f t="array" ref="G9">G8+E9</f>
        <v>6.6316666666667</v>
      </c>
    </row>
    <row r="10" ht="20.35" customHeight="1">
      <c r="A10" s="653">
        <v>44804</v>
      </c>
      <c r="B10" s="985" cm="1">
        <f t="array" ref="B10">'tracking - Table 3-1'!D465</f>
        <v>78.7166666666667</v>
      </c>
      <c r="C10" s="103" cm="1">
        <f t="array" ref="C10">IF(ISBLANK(B10),"",B10*2.2046226218)</f>
        <v>173.540544046023</v>
      </c>
      <c r="D10" t="s" s="986">
        <v>1557</v>
      </c>
      <c r="E10" s="975" cm="1">
        <f t="array" ref="E10">B10-B9</f>
        <v>3.525</v>
      </c>
      <c r="F10" s="975" cm="1">
        <f t="array" ref="F10">C10-C9</f>
        <v>7.771294741845</v>
      </c>
      <c r="G10" s="975" cm="1">
        <f t="array" ref="G10">G9+E10</f>
        <v>10.1566666666667</v>
      </c>
    </row>
    <row r="11" ht="20.35" customHeight="1">
      <c r="A11" s="653">
        <v>44834</v>
      </c>
      <c r="B11" s="985" cm="1">
        <f t="array" ref="B11">'tracking - Table 3-1'!D495</f>
        <v>79.12142857142859</v>
      </c>
      <c r="C11" s="103" cm="1">
        <f t="array" ref="C11">IF(ISBLANK(B11),"",B11*2.2046226218)</f>
        <v>174.432891297704</v>
      </c>
      <c r="D11" t="s" s="986">
        <v>1556</v>
      </c>
      <c r="E11" s="975" cm="1">
        <f t="array" ref="E11">B11-B10</f>
        <v>0.4047619047619</v>
      </c>
      <c r="F11" s="975" cm="1">
        <f t="array" ref="F11">C11-C10</f>
        <v>0.892347251681</v>
      </c>
      <c r="G11" s="975" cm="1">
        <f t="array" ref="G11">G10+E11</f>
        <v>10.5614285714286</v>
      </c>
    </row>
    <row r="12" ht="20.35" customHeight="1">
      <c r="A12" s="653">
        <v>44865</v>
      </c>
      <c r="B12" s="985" cm="1">
        <f t="array" ref="B12">'tracking - Table 3-1'!D526</f>
        <v>81.19285714285709</v>
      </c>
      <c r="C12" s="103" cm="1">
        <f t="array" ref="C12">IF(ISBLANK(B12),"",B12*2.2046226218)</f>
        <v>178.999609585718</v>
      </c>
      <c r="D12" t="s" s="986">
        <v>1557</v>
      </c>
      <c r="E12" s="975" cm="1">
        <f t="array" ref="E12">B12-B11</f>
        <v>2.0714285714285</v>
      </c>
      <c r="F12" s="975" cm="1">
        <f t="array" ref="F12">C12-C11</f>
        <v>4.566718288014</v>
      </c>
      <c r="G12" s="975" cm="1">
        <f t="array" ref="G12">G11+E12</f>
        <v>12.6328571428571</v>
      </c>
    </row>
    <row r="13" ht="20.35" customHeight="1">
      <c r="A13" s="653">
        <v>44895</v>
      </c>
      <c r="B13" s="985" cm="1">
        <f t="array" ref="B13">'tracking - Table 3-1'!D556</f>
        <v>81.3571428571429</v>
      </c>
      <c r="C13" s="103" cm="1">
        <f t="array" ref="C13">IF(ISBLANK(B13),"",B13*2.2046226218)</f>
        <v>179.361797587872</v>
      </c>
      <c r="D13" t="s" s="986">
        <v>1556</v>
      </c>
      <c r="E13" s="975" cm="1">
        <f t="array" ref="E13">B13-B12</f>
        <v>0.1642857142858</v>
      </c>
      <c r="F13" s="975" cm="1">
        <f t="array" ref="F13">C13-C12</f>
        <v>0.362188002154</v>
      </c>
      <c r="G13" s="975" cm="1">
        <f t="array" ref="G13">G12+E13</f>
        <v>12.7971428571429</v>
      </c>
    </row>
    <row r="14" ht="20.35" customHeight="1">
      <c r="A14" s="653">
        <v>44926</v>
      </c>
      <c r="B14" s="985" cm="1">
        <f t="array" ref="B14">'tracking - Table 3-1'!D587</f>
        <v>81.7285714285714</v>
      </c>
      <c r="C14" s="103" cm="1">
        <f t="array" ref="C14">IF(ISBLANK(B14),"",B14*2.2046226218)</f>
        <v>180.180657418826</v>
      </c>
      <c r="D14" t="s" s="986">
        <v>1556</v>
      </c>
      <c r="E14" s="975" cm="1">
        <f t="array" ref="E14">B14-B13</f>
        <v>0.3714285714285</v>
      </c>
      <c r="F14" s="975" cm="1">
        <f t="array" ref="F14">C14-C13</f>
        <v>0.8188598309539999</v>
      </c>
      <c r="G14" s="975" cm="1">
        <f t="array" ref="G14">G13+E14</f>
        <v>13.1685714285714</v>
      </c>
    </row>
    <row r="15" ht="20.35" customHeight="1">
      <c r="A15" s="653">
        <v>44957</v>
      </c>
      <c r="B15" s="985" cm="1">
        <f t="array" ref="B15">'tracking - Table 3-1'!D596</f>
        <v>81.22499999999999</v>
      </c>
      <c r="C15" s="103" cm="1">
        <f t="array" ref="C15">IF(ISBLANK(B15),"",B15*2.2046226218)</f>
        <v>179.070472455705</v>
      </c>
      <c r="D15" t="s" s="986">
        <v>1561</v>
      </c>
      <c r="E15" s="975" cm="1">
        <f t="array" ref="E15">B15-B14</f>
        <v>-0.5035714285714</v>
      </c>
      <c r="F15" s="975" cm="1">
        <f t="array" ref="F15">C15-C14</f>
        <v>-1.110184963121</v>
      </c>
      <c r="G15" s="975" cm="1">
        <f t="array" ref="G15">E15</f>
        <v>-0.5035714285714</v>
      </c>
    </row>
    <row r="16" ht="20.35" customHeight="1">
      <c r="A16" s="653">
        <v>44985</v>
      </c>
      <c r="B16" s="985" cm="1">
        <f t="array" ref="B16">'tracking - Table 3-1'!D646</f>
        <v>81.67142857142861</v>
      </c>
      <c r="C16" s="103" cm="1">
        <f t="array" ref="C16">IF(ISBLANK(B16),"",B16*2.2046226218)</f>
        <v>180.054678983294</v>
      </c>
      <c r="D16" t="s" s="986">
        <v>1561</v>
      </c>
      <c r="E16" s="975" cm="1">
        <f t="array" ref="E16">B16-B15</f>
        <v>0.4464285714286</v>
      </c>
      <c r="F16" s="975" cm="1">
        <f t="array" ref="F16">C16-C15</f>
        <v>0.984206527589</v>
      </c>
      <c r="G16" s="975" cm="1">
        <f t="array" ref="G16">SUM(E$15:E16)</f>
        <v>-0.0571428571428</v>
      </c>
    </row>
    <row r="17" ht="20.35" customHeight="1">
      <c r="A17" s="653">
        <v>45013</v>
      </c>
      <c r="B17" s="985" cm="1">
        <f t="array" ref="B17">'tracking - Table 3-1'!D676</f>
        <v>80.3416666666667</v>
      </c>
      <c r="C17" s="103" cm="1">
        <f t="array" ref="C17">IF(ISBLANK(B17),"",B17*2.2046226218)</f>
        <v>177.123055806448</v>
      </c>
      <c r="D17" t="s" s="986">
        <v>1560</v>
      </c>
      <c r="E17" s="975" cm="1">
        <f t="array" ref="E17">B17-B16</f>
        <v>-1.3297619047619</v>
      </c>
      <c r="F17" s="975" cm="1">
        <f t="array" ref="F17">C17-C16</f>
        <v>-2.931623176846</v>
      </c>
      <c r="G17" s="975" cm="1">
        <f t="array" ref="G17">SUM(E$15:E17)</f>
        <v>-1.3869047619047</v>
      </c>
    </row>
    <row r="18" ht="20.35" customHeight="1">
      <c r="A18" s="653">
        <v>45044</v>
      </c>
      <c r="B18" s="985" cm="1">
        <f t="array" ref="B18">'tracking - Table 3-1'!D707</f>
        <v>80.6857142857143</v>
      </c>
      <c r="C18" s="103" cm="1">
        <f t="array" ref="C18">IF(ISBLANK(B18),"",B18*2.2046226218)</f>
        <v>177.881550970377</v>
      </c>
      <c r="D18" t="s" s="986">
        <v>1556</v>
      </c>
      <c r="E18" s="975" cm="1">
        <f t="array" ref="E18">B18-B17</f>
        <v>0.3440476190476</v>
      </c>
      <c r="F18" s="975" cm="1">
        <f t="array" ref="F18">C18-C17</f>
        <v>0.758495163929</v>
      </c>
      <c r="G18" s="975" cm="1">
        <f t="array" ref="G18">SUM(E$15:E18)</f>
        <v>-1.0428571428571</v>
      </c>
    </row>
    <row r="19" ht="20.35" customHeight="1">
      <c r="A19" s="653">
        <v>45074</v>
      </c>
      <c r="B19" s="985" cm="1">
        <f t="array" ref="B19">'tracking - Table 3-1'!D738</f>
        <v>80.84999999999999</v>
      </c>
      <c r="C19" s="103" cm="1">
        <f t="array" ref="C19">IF(ISBLANK(B19),"",B19*2.2046226218)</f>
        <v>178.243738972530</v>
      </c>
      <c r="D19" t="s" s="986">
        <v>1556</v>
      </c>
      <c r="E19" s="975" cm="1">
        <f t="array" ref="E19">B19-B18</f>
        <v>0.1642857142857</v>
      </c>
      <c r="F19" s="975" cm="1">
        <f t="array" ref="F19">C19-C18</f>
        <v>0.362188002153</v>
      </c>
      <c r="G19" s="975" cm="1">
        <f t="array" ref="G19">SUM(E$15:E19)</f>
        <v>-0.8785714285714</v>
      </c>
    </row>
    <row r="20" ht="20.35" customHeight="1">
      <c r="A20" s="653">
        <v>45105</v>
      </c>
      <c r="B20" s="985" cm="1">
        <f t="array" ref="B20">'tracking - Table 3-1'!D768</f>
        <v>80.93000000000001</v>
      </c>
      <c r="C20" s="103" cm="1">
        <f t="array" ref="C20">IF(ISBLANK(B20),"",B20*2.2046226218)</f>
        <v>178.420108782274</v>
      </c>
      <c r="D20" t="s" s="986">
        <v>1556</v>
      </c>
      <c r="E20" s="975" cm="1">
        <f t="array" ref="E20">B20-B19</f>
        <v>0.08</v>
      </c>
      <c r="F20" s="975" cm="1">
        <f t="array" ref="F20">C20-C19</f>
        <v>0.176369809744</v>
      </c>
      <c r="G20" s="975" cm="1">
        <f t="array" ref="G20">SUM(E$15:E20)</f>
        <v>-0.7985714285714</v>
      </c>
    </row>
    <row r="21" ht="20.35" customHeight="1">
      <c r="A21" s="653">
        <v>45135</v>
      </c>
      <c r="B21" s="985" cm="1">
        <f t="array" ref="B21">'tracking - Table 3-1'!D799</f>
        <v>83.1357142857143</v>
      </c>
      <c r="C21" s="103" cm="1">
        <f t="array" ref="C21">IF(ISBLANK(B21),"",B21*2.2046226218)</f>
        <v>183.282876393787</v>
      </c>
      <c r="D21" t="s" s="986">
        <v>1557</v>
      </c>
      <c r="E21" s="975" cm="1">
        <f t="array" ref="E21">B21-B20</f>
        <v>2.2057142857143</v>
      </c>
      <c r="F21" s="975" cm="1">
        <f t="array" ref="F21">C21-C20</f>
        <v>4.862767611513</v>
      </c>
      <c r="G21" s="975" cm="1">
        <f t="array" ref="G21">SUM(E$15:E21)</f>
        <v>1.4071428571429</v>
      </c>
    </row>
    <row r="22" ht="20.35" customHeight="1">
      <c r="A22" s="653">
        <v>45166</v>
      </c>
      <c r="B22" s="985" cm="1">
        <f t="array" ref="B22">'tracking - Table 3-1'!D828</f>
        <v>83.8928571428571</v>
      </c>
      <c r="C22" s="103" cm="1">
        <f t="array" ref="C22">IF(ISBLANK(B22),"",B22*2.2046226218)</f>
        <v>184.952090664578</v>
      </c>
      <c r="D22" t="s" s="986">
        <v>1556</v>
      </c>
      <c r="E22" s="975" cm="1">
        <f t="array" ref="E22">B22-B21</f>
        <v>0.7571428571428001</v>
      </c>
      <c r="F22" s="975" cm="1">
        <f t="array" ref="F22">C22-C21</f>
        <v>1.669214270791</v>
      </c>
      <c r="G22" s="975" cm="1">
        <f t="array" ref="G22">SUM(E$15:E22)</f>
        <v>2.1642857142857</v>
      </c>
    </row>
    <row r="23" ht="20.35" customHeight="1">
      <c r="A23" s="653">
        <v>45197</v>
      </c>
      <c r="B23" s="985" cm="1">
        <f t="array" ref="B23">'tracking - Table 3-1'!D860</f>
        <v>85.5071428571429</v>
      </c>
      <c r="C23" s="103" cm="1">
        <f t="array" ref="C23">IF(ISBLANK(B23),"",B23*2.2046226218)</f>
        <v>188.510981468342</v>
      </c>
      <c r="D23" t="s" s="986">
        <v>1557</v>
      </c>
      <c r="E23" s="975" cm="1">
        <f t="array" ref="E23">B23-B22</f>
        <v>1.6142857142858</v>
      </c>
      <c r="F23" s="975" cm="1">
        <f t="array" ref="F23">C23-C22</f>
        <v>3.558890803764</v>
      </c>
      <c r="G23" s="975" cm="1">
        <f t="array" ref="G23">SUM(E$15:E23)</f>
        <v>3.7785714285715</v>
      </c>
    </row>
    <row r="24" ht="20.35" customHeight="1">
      <c r="A24" s="653">
        <v>45227</v>
      </c>
      <c r="B24" s="985" cm="1">
        <f t="array" ref="B24">'tracking - Table 3-1'!D890</f>
        <v>84.25</v>
      </c>
      <c r="C24" s="103" cm="1">
        <f t="array" ref="C24">IF(ISBLANK(B24),"",B24*2.2046226218)</f>
        <v>185.739455886650</v>
      </c>
      <c r="D24" s="987"/>
      <c r="E24" s="975" cm="1">
        <f t="array" ref="E24">B24-B23</f>
        <v>-1.2571428571429</v>
      </c>
      <c r="F24" s="975" cm="1">
        <f t="array" ref="F24">C24-C23</f>
        <v>-2.771525581692</v>
      </c>
      <c r="G24" s="975" cm="1">
        <f t="array" ref="G24">SUM(E$15:E24)</f>
        <v>2.5214285714286</v>
      </c>
    </row>
    <row r="25" ht="20.55" customHeight="1">
      <c r="A25" s="988">
        <v>45258</v>
      </c>
      <c r="B25" s="989" cm="1">
        <f t="array" ref="B25">'tracking - Table 3-1'!D890</f>
        <v>84.25</v>
      </c>
      <c r="C25" s="940" cm="1">
        <f t="array" ref="C25">IF(ISBLANK(B25),"",B25*2.2046226218)</f>
        <v>185.739455886650</v>
      </c>
      <c r="D25" s="990"/>
      <c r="E25" s="991" cm="1">
        <f t="array" ref="E25">B25-B24</f>
        <v>0</v>
      </c>
      <c r="F25" s="991" cm="1">
        <f t="array" ref="F25">C25-C24</f>
        <v>0</v>
      </c>
      <c r="G25" s="991" cm="1">
        <f t="array" ref="G25">SUM(E$15:E25)</f>
        <v>2.5214285714286</v>
      </c>
    </row>
    <row r="26" ht="20.55" customHeight="1">
      <c r="A26" s="46"/>
      <c r="B26" s="46"/>
      <c r="C26" s="46"/>
      <c r="D26" s="46"/>
      <c r="E26" s="992" cm="1">
        <f t="array" ref="E26">SUM(E15:E25)</f>
        <v>2.5214285714286</v>
      </c>
      <c r="F26" s="992" cm="1">
        <f t="array" ref="F26">IF(ISBLANK(E$26),"",E$26*2.2046226218)</f>
        <v>5.55879846782435</v>
      </c>
      <c r="G26" s="46"/>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9.xml><?xml version="1.0" encoding="utf-8"?>
<worksheet xmlns:r="http://schemas.openxmlformats.org/officeDocument/2006/relationships" xmlns="http://schemas.openxmlformats.org/spreadsheetml/2006/main">
  <sheetPr>
    <pageSetUpPr fitToPage="1"/>
  </sheetPr>
  <dimension ref="A1:J16"/>
  <sheetViews>
    <sheetView workbookViewId="0" showGridLines="0" defaultGridColor="1">
      <pane topLeftCell="A3" xSplit="0" ySplit="2" activePane="bottomLeft" state="frozen"/>
    </sheetView>
  </sheetViews>
  <sheetFormatPr defaultColWidth="16.3333" defaultRowHeight="18" customHeight="1" outlineLevelRow="0" outlineLevelCol="0"/>
  <cols>
    <col min="1" max="1" width="8.22656" style="993" customWidth="1"/>
    <col min="2" max="2" width="9.5" style="993" customWidth="1"/>
    <col min="3" max="4" width="8.51562" style="993" customWidth="1"/>
    <col min="5" max="5" width="9.5" style="993" customWidth="1"/>
    <col min="6" max="6" width="9.51562" style="993" customWidth="1"/>
    <col min="7" max="10" width="8.51562" style="993" customWidth="1"/>
    <col min="11" max="16384" width="16.3516" style="993" customWidth="1"/>
  </cols>
  <sheetData>
    <row r="1" ht="20.35" customHeight="1">
      <c r="A1" t="s" s="218">
        <v>790</v>
      </c>
      <c r="B1" s="217"/>
      <c r="C1" s="217"/>
      <c r="D1" s="217"/>
      <c r="E1" t="s" s="218">
        <v>789</v>
      </c>
      <c r="F1" s="217"/>
      <c r="G1" s="217"/>
      <c r="H1" s="217"/>
      <c r="I1" s="217"/>
      <c r="J1" s="217"/>
    </row>
    <row r="2" ht="20.55" customHeight="1">
      <c r="A2" t="s" s="8">
        <v>1564</v>
      </c>
      <c r="B2" t="s" s="8">
        <v>1565</v>
      </c>
      <c r="C2" t="s" s="8">
        <v>1566</v>
      </c>
      <c r="D2" t="s" s="8">
        <v>1567</v>
      </c>
      <c r="E2" t="s" s="8">
        <v>1565</v>
      </c>
      <c r="F2" t="s" s="8">
        <v>1564</v>
      </c>
      <c r="G2" t="s" s="8">
        <v>1566</v>
      </c>
      <c r="H2" s="7"/>
      <c r="I2" t="s" s="8">
        <v>1568</v>
      </c>
      <c r="J2" s="7"/>
    </row>
    <row r="3" ht="20.55" customHeight="1">
      <c r="A3" s="64" cm="1">
        <f t="array" ref="A3">'tracking - Table 3-1-1'!B24</f>
        <v>84.25</v>
      </c>
      <c r="B3" s="994">
        <v>0.2</v>
      </c>
      <c r="C3" s="937" cm="1">
        <f t="array" ref="C3">A3*B3</f>
        <v>16.85</v>
      </c>
      <c r="D3" s="937" cm="1">
        <f t="array" ref="D3">A3*(1-B3)</f>
        <v>67.40000000000001</v>
      </c>
      <c r="E3" s="994">
        <v>0.2</v>
      </c>
      <c r="F3" s="937" cm="1">
        <f t="array" ref="F3">$D$3/(1-E3)</f>
        <v>84.25</v>
      </c>
      <c r="G3" s="937" cm="1">
        <f t="array" ref="G3">F3*E3</f>
        <v>16.85</v>
      </c>
      <c r="H3" s="82"/>
      <c r="I3" s="937" cm="1">
        <f t="array" ref="I3">F3-$A$3</f>
        <v>0</v>
      </c>
      <c r="J3" s="937"/>
    </row>
    <row r="4" ht="20.35" customHeight="1">
      <c r="A4" s="103" cm="1">
        <f t="array" ref="A4">IF(ISBLANK(A3),"",A3*2.2046226218)</f>
        <v>185.739455886650</v>
      </c>
      <c r="B4" s="125" cm="1">
        <f t="array" ref="B4">C4/A3</f>
        <v>0.16379821958457</v>
      </c>
      <c r="C4" s="103">
        <v>13.8</v>
      </c>
      <c r="D4" s="103" cm="1">
        <f t="array" ref="D4">A3*(1-B4)</f>
        <v>70.45</v>
      </c>
      <c r="E4" s="124">
        <v>0.18</v>
      </c>
      <c r="F4" s="103" cm="1">
        <f t="array" ref="F4">$D$3/(1-E4)</f>
        <v>82.19512195121951</v>
      </c>
      <c r="G4" s="103" cm="1">
        <f t="array" ref="G4">F4*E4</f>
        <v>14.7951219512195</v>
      </c>
      <c r="H4" s="32"/>
      <c r="I4" s="103" cm="1">
        <f t="array" ref="I4">F4-$A$3</f>
        <v>-2.0548780487805</v>
      </c>
      <c r="J4" s="103"/>
    </row>
    <row r="5" ht="20.35" customHeight="1">
      <c r="A5" s="32"/>
      <c r="B5" s="32"/>
      <c r="C5" s="32"/>
      <c r="D5" s="995"/>
      <c r="E5" s="996">
        <v>0.15</v>
      </c>
      <c r="F5" s="997" cm="1">
        <f t="array" ref="F5">$D$3/(1-E5)</f>
        <v>79.2941176470588</v>
      </c>
      <c r="G5" s="103" cm="1">
        <f t="array" ref="G5">F5*E5</f>
        <v>11.8941176470588</v>
      </c>
      <c r="H5" s="32"/>
      <c r="I5" s="998" cm="1">
        <f t="array" ref="I5">F5-$A$3</f>
        <v>-4.9558823529412</v>
      </c>
      <c r="J5" s="103"/>
    </row>
    <row r="6" ht="20.35" customHeight="1">
      <c r="A6" s="32"/>
      <c r="B6" s="32"/>
      <c r="C6" s="68"/>
      <c r="D6" s="995"/>
      <c r="E6" s="996">
        <v>0.12</v>
      </c>
      <c r="F6" s="997" cm="1">
        <f t="array" ref="F6">$D$3/(1-E6)</f>
        <v>76.59090909090909</v>
      </c>
      <c r="G6" s="103" cm="1">
        <f t="array" ref="G6">F6*E6</f>
        <v>9.19090909090909</v>
      </c>
      <c r="H6" s="32"/>
      <c r="I6" s="998" cm="1">
        <f t="array" ref="I6">F6-$A$3</f>
        <v>-7.6590909090909</v>
      </c>
      <c r="J6" s="103"/>
    </row>
    <row r="7" ht="20.35" customHeight="1">
      <c r="A7" t="s" s="23">
        <v>1569</v>
      </c>
      <c r="B7" s="125" cm="1">
        <f t="array" ref="B7">C7/$A$3</f>
        <v>0.189910979228487</v>
      </c>
      <c r="C7" s="68">
        <v>16</v>
      </c>
      <c r="D7" s="32"/>
      <c r="E7" s="999">
        <v>0.1</v>
      </c>
      <c r="F7" s="997" cm="1">
        <f t="array" ref="F7">$D$3/(1-E7)</f>
        <v>74.8888888888889</v>
      </c>
      <c r="G7" s="103" cm="1">
        <f t="array" ref="G7">F7*E7</f>
        <v>7.48888888888889</v>
      </c>
      <c r="H7" s="32"/>
      <c r="I7" s="998" cm="1">
        <f t="array" ref="I7">F7-$A$3</f>
        <v>-9.3611111111111</v>
      </c>
      <c r="J7" s="103"/>
    </row>
    <row r="8" ht="20.35" customHeight="1">
      <c r="A8" s="32"/>
      <c r="B8" s="125" cm="1">
        <f t="array" ref="B8">C8/$A$3</f>
        <v>0.166172106824926</v>
      </c>
      <c r="C8" s="103">
        <v>14</v>
      </c>
      <c r="D8" s="32"/>
      <c r="E8" s="124">
        <v>0.08</v>
      </c>
      <c r="F8" s="103" cm="1">
        <f t="array" ref="F8">$D$3/(1-E8)</f>
        <v>73.2608695652174</v>
      </c>
      <c r="G8" s="103" cm="1">
        <f t="array" ref="G8">F8*E8</f>
        <v>5.86086956521739</v>
      </c>
      <c r="H8" s="32"/>
      <c r="I8" s="103" cm="1">
        <f t="array" ref="I8">F8-$A$3</f>
        <v>-10.9891304347826</v>
      </c>
      <c r="J8" s="103"/>
    </row>
    <row r="9" ht="20.35" customHeight="1">
      <c r="A9" s="32"/>
      <c r="B9" s="125" cm="1">
        <f t="array" ref="B9">C9/$A$3</f>
        <v>0.142433234421365</v>
      </c>
      <c r="C9" s="103">
        <v>12</v>
      </c>
      <c r="D9" s="32"/>
      <c r="E9" s="124">
        <v>0.06</v>
      </c>
      <c r="F9" s="103" cm="1">
        <f t="array" ref="F9">$D$3/(1-E9)</f>
        <v>71.7021276595745</v>
      </c>
      <c r="G9" s="103" cm="1">
        <f t="array" ref="G9">F9*E9</f>
        <v>4.30212765957447</v>
      </c>
      <c r="H9" s="32"/>
      <c r="I9" s="103" cm="1">
        <f t="array" ref="I9">F9-$A$3</f>
        <v>-12.5478723404255</v>
      </c>
      <c r="J9" s="103"/>
    </row>
    <row r="10" ht="20.35" customHeight="1">
      <c r="A10" s="32"/>
      <c r="B10" s="125" cm="1">
        <f t="array" ref="B10">C10/$A$3</f>
        <v>0.118694362017804</v>
      </c>
      <c r="C10" s="103">
        <v>10</v>
      </c>
      <c r="D10" s="32"/>
      <c r="E10" s="124">
        <v>0.05</v>
      </c>
      <c r="F10" s="103" cm="1">
        <f t="array" ref="F10">$D$3/(1-E10)</f>
        <v>70.9473684210526</v>
      </c>
      <c r="G10" s="103" cm="1">
        <f t="array" ref="G10">F10*E10</f>
        <v>3.54736842105263</v>
      </c>
      <c r="H10" s="32"/>
      <c r="I10" s="103" cm="1">
        <f t="array" ref="I10">F10-$A$3</f>
        <v>-13.3026315789474</v>
      </c>
      <c r="J10" s="103"/>
    </row>
    <row r="11" ht="20.35" customHeight="1">
      <c r="A11" s="32"/>
      <c r="B11" s="125"/>
      <c r="C11" s="103"/>
      <c r="D11" s="32"/>
      <c r="E11" s="124"/>
      <c r="F11" s="103"/>
      <c r="G11" s="103"/>
      <c r="H11" s="32"/>
      <c r="I11" s="103"/>
      <c r="J11" s="103"/>
    </row>
    <row r="12" ht="20.35" customHeight="1">
      <c r="A12" s="32"/>
      <c r="B12" s="125"/>
      <c r="C12" s="103"/>
      <c r="D12" s="103" cm="1">
        <f t="array" ref="D12">F12-G12</f>
        <v>73.95</v>
      </c>
      <c r="E12" s="124">
        <v>0.15</v>
      </c>
      <c r="F12" s="103">
        <v>87</v>
      </c>
      <c r="G12" s="103" cm="1">
        <f t="array" ref="G12">F12*E12</f>
        <v>13.05</v>
      </c>
      <c r="H12" s="32"/>
      <c r="I12" s="103" cm="1">
        <f t="array" ref="I12">F12-$A$3</f>
        <v>2.75</v>
      </c>
      <c r="J12" s="103"/>
    </row>
    <row r="13" ht="20.35" customHeight="1">
      <c r="A13" s="32"/>
      <c r="B13" s="32"/>
      <c r="C13" s="103"/>
      <c r="D13" s="103" cm="1">
        <f t="array" ref="D13">F13-G13</f>
        <v>74.7</v>
      </c>
      <c r="E13" s="125">
        <v>0.1</v>
      </c>
      <c r="F13" s="103">
        <v>83</v>
      </c>
      <c r="G13" s="103" cm="1">
        <f t="array" ref="G13">F13*E13</f>
        <v>8.300000000000001</v>
      </c>
      <c r="H13" s="32"/>
      <c r="I13" s="103" cm="1">
        <f t="array" ref="I13">F13-$A$3</f>
        <v>-1.25</v>
      </c>
      <c r="J13" s="103"/>
    </row>
    <row r="14" ht="20.35" customHeight="1">
      <c r="A14" s="32"/>
      <c r="B14" s="125"/>
      <c r="C14" s="103"/>
      <c r="D14" s="103" cm="1">
        <f t="array" ref="D14">F14-G14</f>
        <v>75.05</v>
      </c>
      <c r="E14" s="124">
        <v>0.05</v>
      </c>
      <c r="F14" s="103">
        <v>79</v>
      </c>
      <c r="G14" s="103" cm="1">
        <f t="array" ref="G14">F14*E14</f>
        <v>3.95</v>
      </c>
      <c r="H14" s="32"/>
      <c r="I14" s="103" cm="1">
        <f t="array" ref="I14">F14-$A$3</f>
        <v>-5.25</v>
      </c>
      <c r="J14" s="103"/>
    </row>
    <row r="15" ht="20.35" customHeight="1">
      <c r="A15" s="32"/>
      <c r="B15" s="125"/>
      <c r="C15" s="103"/>
      <c r="D15" s="32"/>
      <c r="E15" s="124"/>
      <c r="F15" s="103"/>
      <c r="G15" s="103"/>
      <c r="H15" s="32"/>
      <c r="I15" s="103"/>
      <c r="J15" s="103"/>
    </row>
    <row r="16" ht="20.35" customHeight="1">
      <c r="A16" s="32"/>
      <c r="B16" s="125"/>
      <c r="C16" s="103"/>
      <c r="D16" s="103" cm="1">
        <f t="array" ref="D16">F16-G16</f>
        <v>68.77500000000001</v>
      </c>
      <c r="E16" s="125" cm="1">
        <f t="array" ref="E16">G16/F16</f>
        <v>0.20948275862069</v>
      </c>
      <c r="F16" s="997">
        <v>87</v>
      </c>
      <c r="G16" s="103" cm="1">
        <f t="array" ref="G16">C3+I16/2</f>
        <v>18.225</v>
      </c>
      <c r="H16" s="32"/>
      <c r="I16" s="998" cm="1">
        <f t="array" ref="I16">F16-$A$3</f>
        <v>2.75</v>
      </c>
      <c r="J16" s="103"/>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0.xml><?xml version="1.0" encoding="utf-8"?>
<worksheet xmlns:r="http://schemas.openxmlformats.org/officeDocument/2006/relationships" xmlns="http://schemas.openxmlformats.org/spreadsheetml/2006/main">
  <sheetPr>
    <pageSetUpPr fitToPage="1"/>
  </sheetPr>
  <dimension ref="A1:O18"/>
  <sheetViews>
    <sheetView workbookViewId="0" showGridLines="0" defaultGridColor="1">
      <pane topLeftCell="C2" xSplit="2" ySplit="1" activePane="bottomRight" state="frozen"/>
    </sheetView>
  </sheetViews>
  <sheetFormatPr defaultColWidth="16.3333" defaultRowHeight="18" customHeight="1" outlineLevelRow="0" outlineLevelCol="0"/>
  <cols>
    <col min="1" max="1" width="2.78125" style="1000" customWidth="1"/>
    <col min="2" max="2" width="17" style="1000" customWidth="1"/>
    <col min="3" max="5" width="16.3516" style="1000" customWidth="1"/>
    <col min="6" max="15" width="8.24219" style="1000" customWidth="1"/>
    <col min="16" max="16384" width="16.3516" style="1000" customWidth="1"/>
  </cols>
  <sheetData>
    <row r="1" ht="20.55" customHeight="1">
      <c r="A1" s="7"/>
      <c r="B1" s="7"/>
      <c r="C1" t="s" s="111">
        <v>969</v>
      </c>
      <c r="D1" t="s" s="111">
        <v>1523</v>
      </c>
      <c r="E1" s="7"/>
      <c r="F1" t="s" s="8">
        <v>1572</v>
      </c>
      <c r="G1" s="7"/>
      <c r="H1" t="s" s="8">
        <v>969</v>
      </c>
      <c r="I1" s="7"/>
      <c r="J1" s="7"/>
      <c r="K1" s="7"/>
      <c r="L1" s="7"/>
      <c r="M1" s="7"/>
      <c r="N1" s="7"/>
      <c r="O1" s="7"/>
    </row>
    <row r="2" ht="20.55" customHeight="1">
      <c r="A2" t="s" s="223">
        <v>1387</v>
      </c>
      <c r="B2" t="s" s="10">
        <v>1573</v>
      </c>
      <c r="C2" s="11" cm="1">
        <f t="array" ref="C2">SUM(F2:O2)</f>
        <v>0</v>
      </c>
      <c r="D2" s="937" cm="1">
        <f t="array" ref="D2">C2*2.2046226218</f>
        <v>0</v>
      </c>
      <c r="E2" t="s" s="891">
        <v>1574</v>
      </c>
      <c r="F2" s="64"/>
      <c r="G2" s="64"/>
      <c r="H2" s="64"/>
      <c r="I2" s="64"/>
      <c r="J2" s="64"/>
      <c r="K2" s="64"/>
      <c r="L2" s="64"/>
      <c r="M2" s="64"/>
      <c r="N2" s="64"/>
      <c r="O2" s="64"/>
    </row>
    <row r="3" ht="20.35" customHeight="1">
      <c r="A3" s="250"/>
      <c r="B3" t="s" s="17">
        <v>1527</v>
      </c>
      <c r="C3" s="18" cm="1">
        <f t="array" ref="C3">SUM(F3)+SUM(H3:O3)*2</f>
        <v>54.6</v>
      </c>
      <c r="D3" s="103" cm="1">
        <f t="array" ref="D3">C3*2.2046226218</f>
        <v>120.372395150280</v>
      </c>
      <c r="E3" t="s" s="565">
        <v>1575</v>
      </c>
      <c r="F3" s="68">
        <v>20</v>
      </c>
      <c r="G3" s="68"/>
      <c r="H3" s="68">
        <v>10</v>
      </c>
      <c r="I3" s="68">
        <v>5</v>
      </c>
      <c r="J3" s="68">
        <v>2.3</v>
      </c>
      <c r="K3" s="68"/>
      <c r="L3" s="68"/>
      <c r="M3" s="68"/>
      <c r="N3" s="68"/>
      <c r="O3" s="68"/>
    </row>
    <row r="4" ht="20.35" customHeight="1">
      <c r="A4" s="250"/>
      <c r="B4" t="s" s="17">
        <v>1534</v>
      </c>
      <c r="C4" s="18" cm="1">
        <f t="array" ref="C4">SUM(F4)+SUM(H4:O4)*2</f>
        <v>9</v>
      </c>
      <c r="D4" s="103" cm="1">
        <f t="array" ref="D4">C4*2.2046226218</f>
        <v>19.8416035962</v>
      </c>
      <c r="E4" t="s" s="565">
        <v>1576</v>
      </c>
      <c r="F4" s="68">
        <v>1.5</v>
      </c>
      <c r="G4" s="68"/>
      <c r="H4" s="68">
        <v>2.5</v>
      </c>
      <c r="I4" s="68">
        <v>1.25</v>
      </c>
      <c r="J4" s="68"/>
      <c r="K4" s="68"/>
      <c r="L4" s="68"/>
      <c r="M4" s="68"/>
      <c r="N4" s="68"/>
      <c r="O4" s="68"/>
    </row>
    <row r="5" ht="20.35" customHeight="1">
      <c r="A5" s="250"/>
      <c r="B5" t="s" s="17">
        <v>1535</v>
      </c>
      <c r="C5" s="18" cm="1">
        <f t="array" ref="C5">SUM(F5)+SUM(H5:O5)*2</f>
        <v>11.5</v>
      </c>
      <c r="D5" s="103" cm="1">
        <f t="array" ref="D5">C5*2.2046226218</f>
        <v>25.3531601507</v>
      </c>
      <c r="E5" t="s" s="565">
        <v>1577</v>
      </c>
      <c r="F5" s="68">
        <v>1.5</v>
      </c>
      <c r="G5" s="68"/>
      <c r="H5" s="68">
        <v>2.5</v>
      </c>
      <c r="I5" s="68">
        <v>2.5</v>
      </c>
      <c r="J5" s="68"/>
      <c r="K5" s="68"/>
      <c r="L5" s="68"/>
      <c r="M5" s="68"/>
      <c r="N5" s="68"/>
      <c r="O5" s="68"/>
    </row>
    <row r="6" ht="20.35" customHeight="1">
      <c r="A6" s="250"/>
      <c r="B6" t="s" s="17">
        <v>1536</v>
      </c>
      <c r="C6" s="18" cm="1">
        <f t="array" ref="C6">SUM(F6)+SUM(H6:O6)*2</f>
        <v>11.5</v>
      </c>
      <c r="D6" s="103" cm="1">
        <f t="array" ref="D6">C6*2.2046226218</f>
        <v>25.3531601507</v>
      </c>
      <c r="E6" t="s" s="565">
        <v>1575</v>
      </c>
      <c r="F6" s="68">
        <v>1.5</v>
      </c>
      <c r="G6" s="68"/>
      <c r="H6" s="68">
        <v>2.5</v>
      </c>
      <c r="I6" s="68">
        <v>2.5</v>
      </c>
      <c r="J6" s="68"/>
      <c r="K6" s="68"/>
      <c r="L6" s="68"/>
      <c r="M6" s="68"/>
      <c r="N6" s="68"/>
      <c r="O6" s="68"/>
    </row>
    <row r="7" ht="20.35" customHeight="1">
      <c r="A7" s="250"/>
      <c r="B7" t="s" s="17">
        <v>1530</v>
      </c>
      <c r="C7" s="18" cm="1">
        <f t="array" ref="C7">SUM(F7)+SUM(H7:O7)*2</f>
        <v>11.5</v>
      </c>
      <c r="D7" s="103" cm="1">
        <f t="array" ref="D7">C7*2.2046226218</f>
        <v>25.3531601507</v>
      </c>
      <c r="E7" t="s" s="565">
        <v>1578</v>
      </c>
      <c r="F7" s="68">
        <v>1.5</v>
      </c>
      <c r="G7" s="68"/>
      <c r="H7" s="68">
        <v>2.5</v>
      </c>
      <c r="I7" s="68">
        <v>2.5</v>
      </c>
      <c r="J7" s="68"/>
      <c r="K7" s="68"/>
      <c r="L7" s="68"/>
      <c r="M7" s="68"/>
      <c r="N7" s="68"/>
      <c r="O7" s="68"/>
    </row>
    <row r="8" ht="20.35" customHeight="1">
      <c r="A8" s="250"/>
      <c r="B8" s="28"/>
      <c r="C8" s="29"/>
      <c r="D8" s="32"/>
      <c r="E8" s="99"/>
      <c r="F8" s="32"/>
      <c r="G8" s="32"/>
      <c r="H8" s="32"/>
      <c r="I8" s="32"/>
      <c r="J8" s="32"/>
      <c r="K8" s="68"/>
      <c r="L8" s="68"/>
      <c r="M8" s="68"/>
      <c r="N8" s="68"/>
      <c r="O8" s="68"/>
    </row>
    <row r="9" ht="20.35" customHeight="1">
      <c r="A9" t="s" s="237">
        <v>1386</v>
      </c>
      <c r="B9" t="s" s="17">
        <v>1579</v>
      </c>
      <c r="C9" s="18" cm="1">
        <f t="array" ref="C9">SUM(F9)+SUM(H9:O9)*2</f>
        <v>52.26</v>
      </c>
      <c r="D9" s="103" cm="1">
        <f t="array" ref="D9">C9*2.2046226218</f>
        <v>115.213578215268</v>
      </c>
      <c r="E9" t="s" s="565">
        <v>1580</v>
      </c>
      <c r="F9" s="68">
        <v>20</v>
      </c>
      <c r="G9" s="68"/>
      <c r="H9" s="68">
        <v>10</v>
      </c>
      <c r="I9" s="68">
        <v>5</v>
      </c>
      <c r="J9" s="68">
        <v>1.13</v>
      </c>
      <c r="K9" s="68"/>
      <c r="L9" s="68"/>
      <c r="M9" s="68"/>
      <c r="N9" s="68"/>
      <c r="O9" s="68"/>
    </row>
    <row r="10" ht="20.35" customHeight="1">
      <c r="A10" s="250"/>
      <c r="B10" t="s" s="17">
        <v>1581</v>
      </c>
      <c r="C10" s="18" cm="1">
        <f t="array" ref="C10">SUM(F10)+SUM(H10:O10)*2</f>
        <v>40</v>
      </c>
      <c r="D10" s="103" cm="1">
        <f t="array" ref="D10">C10*2.2046226218</f>
        <v>88.184904872</v>
      </c>
      <c r="E10" t="s" s="565">
        <v>1582</v>
      </c>
      <c r="F10" s="68">
        <v>20</v>
      </c>
      <c r="G10" s="68"/>
      <c r="H10" s="68">
        <v>10</v>
      </c>
      <c r="I10" s="68"/>
      <c r="J10" s="68"/>
      <c r="K10" s="68"/>
      <c r="L10" s="68"/>
      <c r="M10" s="68"/>
      <c r="N10" s="68"/>
      <c r="O10" s="68"/>
    </row>
    <row r="11" ht="20.35" customHeight="1">
      <c r="A11" s="250"/>
      <c r="B11" s="28"/>
      <c r="C11" s="18" cm="1">
        <f t="array" ref="C11">SUM(F11)+SUM(H11:O11)*2</f>
        <v>12.5</v>
      </c>
      <c r="D11" s="103" cm="1">
        <f t="array" ref="D11">C11*2.2046226218</f>
        <v>27.5577827725</v>
      </c>
      <c r="E11" t="s" s="565">
        <v>1578</v>
      </c>
      <c r="F11" s="68">
        <v>1.5</v>
      </c>
      <c r="G11" s="68"/>
      <c r="H11" s="68">
        <v>2.5</v>
      </c>
      <c r="I11" s="68">
        <v>2.5</v>
      </c>
      <c r="J11" s="68">
        <v>0.5</v>
      </c>
      <c r="K11" s="68"/>
      <c r="L11" s="68"/>
      <c r="M11" s="68"/>
      <c r="N11" s="68"/>
      <c r="O11" s="68"/>
    </row>
    <row r="12" ht="20.35" customHeight="1">
      <c r="A12" s="250"/>
      <c r="B12" t="s" s="17">
        <v>1532</v>
      </c>
      <c r="C12" s="18" cm="1">
        <f t="array" ref="C12">SUM(F12)+SUM(H12:O12)*2</f>
        <v>9</v>
      </c>
      <c r="D12" s="103" cm="1">
        <f t="array" ref="D12">C12*2.2046226218</f>
        <v>19.8416035962</v>
      </c>
      <c r="E12" t="s" s="565">
        <v>1583</v>
      </c>
      <c r="F12" s="68">
        <v>1.5</v>
      </c>
      <c r="G12" s="68"/>
      <c r="H12" s="68">
        <v>2.5</v>
      </c>
      <c r="I12" s="68">
        <v>1.25</v>
      </c>
      <c r="J12" s="68"/>
      <c r="K12" s="68"/>
      <c r="L12" s="68"/>
      <c r="M12" s="68"/>
      <c r="N12" s="68"/>
      <c r="O12" s="68"/>
    </row>
    <row r="13" ht="20.35" customHeight="1">
      <c r="A13" s="250"/>
      <c r="B13" t="s" s="17">
        <v>1533</v>
      </c>
      <c r="C13" s="18" cm="1">
        <f t="array" ref="C13">SUM(F13)+SUM(H13:O13)*2</f>
        <v>11.5</v>
      </c>
      <c r="D13" s="103" cm="1">
        <f t="array" ref="D13">C13*2.2046226218</f>
        <v>25.3531601507</v>
      </c>
      <c r="E13" t="s" s="565">
        <v>1584</v>
      </c>
      <c r="F13" s="68">
        <v>1.5</v>
      </c>
      <c r="G13" s="68"/>
      <c r="H13" s="68">
        <v>2.5</v>
      </c>
      <c r="I13" s="68">
        <v>2.5</v>
      </c>
      <c r="J13" s="68"/>
      <c r="K13" s="68"/>
      <c r="L13" s="68"/>
      <c r="M13" s="68"/>
      <c r="N13" s="68"/>
      <c r="O13" s="68"/>
    </row>
    <row r="14" ht="20.35" customHeight="1">
      <c r="A14" s="250"/>
      <c r="B14" t="s" s="17">
        <v>1585</v>
      </c>
      <c r="C14" s="18" cm="1">
        <f t="array" ref="C14">SUM(F14)+SUM(H14:O14)*2</f>
        <v>36.86</v>
      </c>
      <c r="D14" s="103" cm="1">
        <f t="array" ref="D14">C14*2.2046226218</f>
        <v>81.26238983954801</v>
      </c>
      <c r="E14" s="99"/>
      <c r="F14" s="68">
        <v>20</v>
      </c>
      <c r="G14" s="68"/>
      <c r="H14" s="68">
        <v>5</v>
      </c>
      <c r="I14" s="68">
        <v>2.3</v>
      </c>
      <c r="J14" s="68">
        <v>1.13</v>
      </c>
      <c r="K14" s="68"/>
      <c r="L14" s="68"/>
      <c r="M14" s="68"/>
      <c r="N14" s="68"/>
      <c r="O14" s="68"/>
    </row>
    <row r="15" ht="20.35" customHeight="1">
      <c r="A15" s="250"/>
      <c r="B15" s="28"/>
      <c r="C15" s="18"/>
      <c r="D15" s="103"/>
      <c r="E15" s="99"/>
      <c r="F15" s="68"/>
      <c r="G15" s="68"/>
      <c r="H15" s="68"/>
      <c r="I15" s="68"/>
      <c r="J15" s="68"/>
      <c r="K15" s="68"/>
      <c r="L15" s="68"/>
      <c r="M15" s="68"/>
      <c r="N15" s="68"/>
      <c r="O15" s="68"/>
    </row>
    <row r="16" ht="20.35" customHeight="1">
      <c r="A16" s="250"/>
      <c r="B16" s="28"/>
      <c r="C16" s="18"/>
      <c r="D16" s="103"/>
      <c r="E16" s="99"/>
      <c r="F16" s="68"/>
      <c r="G16" s="68"/>
      <c r="H16" s="68"/>
      <c r="I16" s="68"/>
      <c r="J16" s="68"/>
      <c r="K16" s="68"/>
      <c r="L16" s="68"/>
      <c r="M16" s="68"/>
      <c r="N16" s="68"/>
      <c r="O16" s="68"/>
    </row>
    <row r="17" ht="20.35" customHeight="1">
      <c r="A17" s="250"/>
      <c r="B17" s="28"/>
      <c r="C17" s="18"/>
      <c r="D17" s="103"/>
      <c r="E17" s="99"/>
      <c r="F17" s="68"/>
      <c r="G17" s="68"/>
      <c r="H17" s="68"/>
      <c r="I17" s="68"/>
      <c r="J17" s="68"/>
      <c r="K17" s="68"/>
      <c r="L17" s="68"/>
      <c r="M17" s="68"/>
      <c r="N17" s="68"/>
      <c r="O17" s="68"/>
    </row>
    <row r="18" ht="20.35" customHeight="1">
      <c r="A18" s="250"/>
      <c r="B18" s="28"/>
      <c r="C18" s="18" cm="1">
        <f t="array" ref="C18">SUM(F18)+SUM(H18:O18)*2</f>
        <v>11</v>
      </c>
      <c r="D18" s="103" cm="1">
        <f t="array" ref="D18">C18*2.2046226218</f>
        <v>24.2508488398</v>
      </c>
      <c r="E18" s="99"/>
      <c r="F18" s="68">
        <v>1.5</v>
      </c>
      <c r="G18" s="68"/>
      <c r="H18" s="68">
        <v>2.5</v>
      </c>
      <c r="I18" s="68">
        <v>1.25</v>
      </c>
      <c r="J18" s="68">
        <v>0.5</v>
      </c>
      <c r="K18" s="68">
        <v>0.5</v>
      </c>
      <c r="L18" s="68"/>
      <c r="M18" s="68"/>
      <c r="N18" s="68"/>
      <c r="O18" s="68"/>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101.xml><?xml version="1.0" encoding="utf-8"?>
<worksheet xmlns:r="http://schemas.openxmlformats.org/officeDocument/2006/relationships" xmlns="http://schemas.openxmlformats.org/spreadsheetml/2006/main">
  <sheetPr>
    <pageSetUpPr fitToPage="1"/>
  </sheetPr>
  <dimension ref="A1:N13"/>
  <sheetViews>
    <sheetView workbookViewId="0" showGridLines="0" defaultGridColor="1">
      <pane topLeftCell="A2" xSplit="0" ySplit="1" activePane="bottomLeft" state="frozen"/>
    </sheetView>
  </sheetViews>
  <sheetFormatPr defaultColWidth="16.3333" defaultRowHeight="18" customHeight="1" outlineLevelRow="0" outlineLevelCol="0"/>
  <cols>
    <col min="1" max="1" width="19" style="1001" customWidth="1"/>
    <col min="2" max="4" width="16.3516" style="1001" customWidth="1"/>
    <col min="5" max="5" width="19.3516" style="1001" customWidth="1"/>
    <col min="6" max="8" width="16.3516" style="1001" customWidth="1"/>
    <col min="9" max="9" width="17.8516" style="1001" customWidth="1"/>
    <col min="10" max="14" width="16.3516" style="1001" customWidth="1"/>
    <col min="15" max="16384" width="16.3516" style="1001" customWidth="1"/>
  </cols>
  <sheetData>
    <row r="1" ht="20.55" customHeight="1">
      <c r="A1" t="s" s="111">
        <v>1588</v>
      </c>
      <c r="B1" t="s" s="111">
        <v>1589</v>
      </c>
      <c r="C1" s="576"/>
      <c r="D1" t="s" s="111">
        <v>1590</v>
      </c>
      <c r="E1" t="s" s="111">
        <v>1591</v>
      </c>
      <c r="F1" t="s" s="111">
        <v>1592</v>
      </c>
      <c r="G1" s="576"/>
      <c r="H1" t="s" s="111">
        <v>1593</v>
      </c>
      <c r="I1" t="s" s="111">
        <v>1594</v>
      </c>
      <c r="J1" t="s" s="111">
        <v>1595</v>
      </c>
      <c r="K1" s="576"/>
      <c r="L1" t="s" s="111">
        <v>1596</v>
      </c>
      <c r="M1" s="576"/>
      <c r="N1" t="s" s="111">
        <v>1597</v>
      </c>
    </row>
    <row r="2" ht="20.55" customHeight="1">
      <c r="A2" t="s" s="45">
        <v>1598</v>
      </c>
      <c r="B2" t="s" s="15">
        <v>1599</v>
      </c>
      <c r="C2" s="937"/>
      <c r="D2" s="937"/>
      <c r="E2" t="s" s="45">
        <v>1598</v>
      </c>
      <c r="F2" t="s" s="15">
        <v>1600</v>
      </c>
      <c r="G2" s="937"/>
      <c r="H2" s="937"/>
      <c r="I2" t="s" s="45">
        <v>1601</v>
      </c>
      <c r="J2" t="s" s="15">
        <v>1599</v>
      </c>
      <c r="K2" s="937"/>
      <c r="L2" s="937"/>
      <c r="M2" s="937"/>
      <c r="N2" s="937"/>
    </row>
    <row r="3" ht="20.35" customHeight="1">
      <c r="A3" t="s" s="50">
        <v>1602</v>
      </c>
      <c r="B3" t="s" s="23">
        <v>1603</v>
      </c>
      <c r="C3" s="103"/>
      <c r="D3" s="103"/>
      <c r="E3" t="s" s="50">
        <v>1604</v>
      </c>
      <c r="F3" t="s" s="23">
        <v>1605</v>
      </c>
      <c r="G3" s="103"/>
      <c r="H3" s="103"/>
      <c r="I3" t="s" s="50">
        <v>1606</v>
      </c>
      <c r="J3" t="s" s="23">
        <v>1607</v>
      </c>
      <c r="K3" s="103"/>
      <c r="L3" s="103"/>
      <c r="M3" s="103"/>
      <c r="N3" s="103"/>
    </row>
    <row r="4" ht="20.35" customHeight="1">
      <c r="A4" t="s" s="50">
        <v>1608</v>
      </c>
      <c r="B4" t="s" s="23">
        <v>1609</v>
      </c>
      <c r="C4" s="103"/>
      <c r="D4" s="103"/>
      <c r="E4" t="s" s="50">
        <v>1610</v>
      </c>
      <c r="F4" t="s" s="23">
        <v>1611</v>
      </c>
      <c r="G4" s="103"/>
      <c r="H4" s="103"/>
      <c r="I4" t="s" s="50">
        <v>1612</v>
      </c>
      <c r="J4" t="s" s="23">
        <v>1613</v>
      </c>
      <c r="K4" s="103"/>
      <c r="L4" s="103"/>
      <c r="M4" s="103"/>
      <c r="N4" s="103"/>
    </row>
    <row r="5" ht="20.35" customHeight="1">
      <c r="A5" t="s" s="50">
        <v>1614</v>
      </c>
      <c r="B5" t="s" s="23">
        <v>1615</v>
      </c>
      <c r="C5" s="103"/>
      <c r="D5" s="103"/>
      <c r="E5" t="s" s="50">
        <v>1616</v>
      </c>
      <c r="F5" t="s" s="23">
        <v>1617</v>
      </c>
      <c r="G5" s="103"/>
      <c r="H5" s="103"/>
      <c r="I5" t="s" s="50">
        <v>1618</v>
      </c>
      <c r="J5" t="s" s="23">
        <v>1619</v>
      </c>
      <c r="K5" s="103"/>
      <c r="L5" s="103"/>
      <c r="M5" s="103"/>
      <c r="N5" s="103"/>
    </row>
    <row r="6" ht="20.35" customHeight="1">
      <c r="A6" t="s" s="50">
        <v>1620</v>
      </c>
      <c r="B6" s="68"/>
      <c r="C6" s="103"/>
      <c r="D6" s="103"/>
      <c r="E6" s="51"/>
      <c r="F6" s="103"/>
      <c r="G6" s="103"/>
      <c r="H6" s="103"/>
      <c r="I6" t="s" s="50">
        <v>1621</v>
      </c>
      <c r="J6" t="s" s="23">
        <v>1622</v>
      </c>
      <c r="K6" s="103"/>
      <c r="L6" s="103"/>
      <c r="M6" s="103"/>
      <c r="N6" s="103"/>
    </row>
    <row r="7" ht="20.35" customHeight="1">
      <c r="A7" s="68"/>
      <c r="B7" s="68"/>
      <c r="C7" s="103"/>
      <c r="D7" s="103"/>
      <c r="E7" s="103"/>
      <c r="F7" s="103"/>
      <c r="G7" s="103"/>
      <c r="H7" s="103"/>
      <c r="I7" t="s" s="50">
        <v>1620</v>
      </c>
      <c r="J7" s="103"/>
      <c r="K7" s="103"/>
      <c r="L7" s="103"/>
      <c r="M7" s="103"/>
      <c r="N7" s="103"/>
    </row>
    <row r="8" ht="20.35" customHeight="1">
      <c r="A8" s="32"/>
      <c r="B8" s="32"/>
      <c r="C8" s="32"/>
      <c r="D8" s="32"/>
      <c r="E8" s="32"/>
      <c r="F8" s="32"/>
      <c r="G8" s="32"/>
      <c r="H8" s="32"/>
      <c r="I8" s="32"/>
      <c r="J8" s="32"/>
      <c r="K8" s="32"/>
      <c r="L8" s="32"/>
      <c r="M8" s="32"/>
      <c r="N8" s="32"/>
    </row>
    <row r="9" ht="20.35" customHeight="1">
      <c r="A9" s="68"/>
      <c r="B9" s="68"/>
      <c r="C9" s="103"/>
      <c r="D9" s="103"/>
      <c r="E9" s="103"/>
      <c r="F9" s="103"/>
      <c r="G9" s="103"/>
      <c r="H9" s="103"/>
      <c r="I9" s="103"/>
      <c r="J9" s="103"/>
      <c r="K9" s="103"/>
      <c r="L9" s="103"/>
      <c r="M9" s="103"/>
      <c r="N9" s="103"/>
    </row>
    <row r="10" ht="20.35" customHeight="1">
      <c r="A10" s="68"/>
      <c r="B10" s="68"/>
      <c r="C10" s="103"/>
      <c r="D10" s="103"/>
      <c r="E10" s="103"/>
      <c r="F10" s="103"/>
      <c r="G10" s="103"/>
      <c r="H10" s="103"/>
      <c r="I10" s="103"/>
      <c r="J10" s="103"/>
      <c r="K10" s="103"/>
      <c r="L10" s="103"/>
      <c r="M10" s="103"/>
      <c r="N10" s="103"/>
    </row>
    <row r="11" ht="20.35" customHeight="1">
      <c r="A11" s="68"/>
      <c r="B11" s="68"/>
      <c r="C11" s="103"/>
      <c r="D11" s="103"/>
      <c r="E11" s="103"/>
      <c r="F11" s="103"/>
      <c r="G11" s="103"/>
      <c r="H11" s="103"/>
      <c r="I11" s="103"/>
      <c r="J11" s="103"/>
      <c r="K11" s="103"/>
      <c r="L11" s="103"/>
      <c r="M11" s="103"/>
      <c r="N11" s="103"/>
    </row>
    <row r="12" ht="20.35" customHeight="1">
      <c r="A12" s="68"/>
      <c r="B12" s="68"/>
      <c r="C12" s="103"/>
      <c r="D12" s="103"/>
      <c r="E12" s="103"/>
      <c r="F12" s="103"/>
      <c r="G12" s="103"/>
      <c r="H12" s="103"/>
      <c r="I12" s="103"/>
      <c r="J12" s="103"/>
      <c r="K12" s="103"/>
      <c r="L12" s="103"/>
      <c r="M12" s="103"/>
      <c r="N12" s="103"/>
    </row>
    <row r="13" ht="20.35" customHeight="1">
      <c r="A13" s="68"/>
      <c r="B13" s="68"/>
      <c r="C13" s="103"/>
      <c r="D13" s="103"/>
      <c r="E13" s="103"/>
      <c r="F13" s="103"/>
      <c r="G13" s="103"/>
      <c r="H13" s="103"/>
      <c r="I13" s="103"/>
      <c r="J13" s="103"/>
      <c r="K13" s="103"/>
      <c r="L13" s="103"/>
      <c r="M13" s="103"/>
      <c r="N13" s="103"/>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102.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103.xml><?xml version="1.0" encoding="utf-8"?>
<worksheet xmlns:r="http://schemas.openxmlformats.org/officeDocument/2006/relationships" xmlns="http://schemas.openxmlformats.org/spreadsheetml/2006/main">
  <sheetPr>
    <pageSetUpPr fitToPage="1"/>
  </sheetPr>
  <dimension ref="A1:K6"/>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2.5" style="1002" customWidth="1"/>
    <col min="2" max="4" width="16.3516" style="1002" customWidth="1"/>
    <col min="5" max="5" width="3.03125" style="1002" customWidth="1"/>
    <col min="6" max="7" width="16.3516" style="1002" customWidth="1"/>
    <col min="8" max="8" width="3.03125" style="1002" customWidth="1"/>
    <col min="9" max="11" width="16.3516" style="1002" customWidth="1"/>
    <col min="12" max="16384" width="16.3516" style="1002" customWidth="1"/>
  </cols>
  <sheetData>
    <row r="1" ht="20.55" customHeight="1">
      <c r="A1" s="7"/>
      <c r="B1" t="s" s="111">
        <v>1626</v>
      </c>
      <c r="C1" t="s" s="111">
        <v>1627</v>
      </c>
      <c r="D1" t="s" s="111">
        <v>1628</v>
      </c>
      <c r="E1" s="576"/>
      <c r="F1" t="s" s="111">
        <v>1629</v>
      </c>
      <c r="G1" t="s" s="111">
        <v>1630</v>
      </c>
      <c r="H1" s="576"/>
      <c r="I1" t="s" s="111">
        <v>1631</v>
      </c>
      <c r="J1" t="s" s="111">
        <v>1632</v>
      </c>
      <c r="K1" s="576"/>
    </row>
    <row r="2" ht="20.55" customHeight="1">
      <c r="A2" t="s" s="1003">
        <v>1633</v>
      </c>
      <c r="B2" s="1004">
        <v>43798</v>
      </c>
      <c r="C2" s="1005">
        <v>43800</v>
      </c>
      <c r="D2" s="1005">
        <v>43814</v>
      </c>
      <c r="E2" s="82"/>
      <c r="F2" s="82" cm="1">
        <f t="array" ref="F2">D2-C2</f>
        <v>14</v>
      </c>
      <c r="G2" s="82" cm="1">
        <f t="array" ref="G2">J2-D2</f>
        <v>39</v>
      </c>
      <c r="H2" s="82"/>
      <c r="I2" s="82" cm="1">
        <f t="array" ref="I2">J2-C2</f>
        <v>53</v>
      </c>
      <c r="J2" s="1005">
        <v>43853</v>
      </c>
      <c r="K2" s="64"/>
    </row>
    <row r="3" ht="20.35" customHeight="1">
      <c r="A3" t="s" s="1006">
        <v>1634</v>
      </c>
      <c r="B3" s="1007">
        <v>43798</v>
      </c>
      <c r="C3" s="1008">
        <v>43800</v>
      </c>
      <c r="D3" s="1008">
        <v>43814</v>
      </c>
      <c r="E3" s="32"/>
      <c r="F3" s="68" cm="1">
        <f t="array" ref="F3">D3-C3</f>
        <v>14</v>
      </c>
      <c r="G3" s="68" cm="1">
        <f t="array" ref="G3">J3-D3</f>
        <v>39</v>
      </c>
      <c r="H3" s="32"/>
      <c r="I3" s="68" cm="1">
        <f t="array" ref="I3">J3-C3</f>
        <v>53</v>
      </c>
      <c r="J3" s="1008">
        <v>43853</v>
      </c>
      <c r="K3" s="68"/>
    </row>
    <row r="4" ht="20.35" customHeight="1">
      <c r="A4" t="s" s="1006">
        <v>1635</v>
      </c>
      <c r="B4" s="1007">
        <v>43798</v>
      </c>
      <c r="C4" s="1008">
        <v>43801</v>
      </c>
      <c r="D4" s="1008">
        <v>43814</v>
      </c>
      <c r="E4" s="32"/>
      <c r="F4" s="68" cm="1">
        <f t="array" ref="F4">D4-C4</f>
        <v>13</v>
      </c>
      <c r="G4" s="68" cm="1">
        <f t="array" ref="G4">J4-D4</f>
        <v>39</v>
      </c>
      <c r="H4" s="32"/>
      <c r="I4" s="68" cm="1">
        <f t="array" ref="I4">J4-C4</f>
        <v>52</v>
      </c>
      <c r="J4" s="1008">
        <v>43853</v>
      </c>
      <c r="K4" s="68"/>
    </row>
    <row r="5" ht="20.55" customHeight="1">
      <c r="A5" t="s" s="1009">
        <v>1636</v>
      </c>
      <c r="B5" s="1010">
        <v>43798</v>
      </c>
      <c r="C5" s="1011">
        <v>43801</v>
      </c>
      <c r="D5" s="1011">
        <v>43814</v>
      </c>
      <c r="E5" s="73"/>
      <c r="F5" s="74" cm="1">
        <f t="array" ref="F5">D5-C5</f>
        <v>13</v>
      </c>
      <c r="G5" s="74" cm="1">
        <f t="array" ref="G5">J5-D5</f>
        <v>39</v>
      </c>
      <c r="H5" s="73"/>
      <c r="I5" s="74" cm="1">
        <f t="array" ref="I5">J5-C5</f>
        <v>52</v>
      </c>
      <c r="J5" s="1011">
        <v>43853</v>
      </c>
      <c r="K5" s="74"/>
    </row>
    <row r="6" ht="20.55" customHeight="1">
      <c r="A6" s="46"/>
      <c r="B6" s="1012" cm="1">
        <f t="array" ref="B6">AVERAGE(B2:B5)</f>
        <v>43798</v>
      </c>
      <c r="C6" s="1012" cm="1">
        <f t="array" ref="C6">AVERAGE(C2:C5)</f>
        <v>43800.5</v>
      </c>
      <c r="D6" s="1012" cm="1">
        <f t="array" ref="D6">AVERAGE(D2:D5)</f>
        <v>43814</v>
      </c>
      <c r="E6" s="46"/>
      <c r="F6" s="992">
        <v>13.5</v>
      </c>
      <c r="G6" s="1013">
        <v>39</v>
      </c>
      <c r="H6" s="46"/>
      <c r="I6" s="992">
        <v>52.5</v>
      </c>
      <c r="J6" s="1014"/>
      <c r="K6" s="46"/>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4.xml><?xml version="1.0" encoding="utf-8"?>
<worksheet xmlns:r="http://schemas.openxmlformats.org/officeDocument/2006/relationships" xmlns="http://schemas.openxmlformats.org/spreadsheetml/2006/main">
  <sheetPr>
    <pageSetUpPr fitToPage="1"/>
  </sheetPr>
  <dimension ref="A1:K5"/>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2.5" style="1015" customWidth="1"/>
    <col min="2" max="4" width="16.3516" style="1015" customWidth="1"/>
    <col min="5" max="5" width="3.03125" style="1015" customWidth="1"/>
    <col min="6" max="7" width="16.3516" style="1015" customWidth="1"/>
    <col min="8" max="8" width="3.03125" style="1015" customWidth="1"/>
    <col min="9" max="11" width="16.3516" style="1015" customWidth="1"/>
    <col min="12" max="16384" width="16.3516" style="1015" customWidth="1"/>
  </cols>
  <sheetData>
    <row r="1" ht="20.55" customHeight="1">
      <c r="A1" s="7"/>
      <c r="B1" t="s" s="111">
        <v>1626</v>
      </c>
      <c r="C1" t="s" s="111">
        <v>1627</v>
      </c>
      <c r="D1" t="s" s="111">
        <v>1628</v>
      </c>
      <c r="E1" s="576"/>
      <c r="F1" t="s" s="111">
        <v>1629</v>
      </c>
      <c r="G1" t="s" s="111">
        <v>1630</v>
      </c>
      <c r="H1" s="576"/>
      <c r="I1" t="s" s="111">
        <v>1631</v>
      </c>
      <c r="J1" t="s" s="111">
        <v>1632</v>
      </c>
      <c r="K1" s="576"/>
    </row>
    <row r="2" ht="20.55" customHeight="1">
      <c r="A2" t="s" s="1003">
        <v>1633</v>
      </c>
      <c r="B2" s="1004">
        <v>43911</v>
      </c>
      <c r="C2" s="1005">
        <v>43912</v>
      </c>
      <c r="D2" s="1005">
        <v>43926</v>
      </c>
      <c r="E2" s="82"/>
      <c r="F2" s="82" cm="1">
        <f t="array" ref="F2">IF(ISBLANK(D2),TODAY(),D2)-C2</f>
        <v>14</v>
      </c>
      <c r="G2" s="82" cm="1">
        <f t="array" ref="G2">J2-D2</f>
        <v>56</v>
      </c>
      <c r="H2" s="82"/>
      <c r="I2" s="82" cm="1">
        <f t="array" ref="I2">TODAY()-C2</f>
        <v>2244</v>
      </c>
      <c r="J2" s="1005">
        <v>43982</v>
      </c>
      <c r="K2" s="64"/>
    </row>
    <row r="3" ht="20.35" customHeight="1">
      <c r="A3" t="s" s="1006">
        <v>1634</v>
      </c>
      <c r="B3" s="1007">
        <v>43911</v>
      </c>
      <c r="C3" s="1008">
        <v>43912</v>
      </c>
      <c r="D3" s="1008">
        <v>43926</v>
      </c>
      <c r="E3" s="32"/>
      <c r="F3" s="68" cm="1">
        <f t="array" ref="F3">IF(ISBLANK(D3),TODAY(),D3)-C3</f>
        <v>14</v>
      </c>
      <c r="G3" s="68" cm="1">
        <f t="array" ref="G3">J3-D3</f>
        <v>56</v>
      </c>
      <c r="H3" s="32"/>
      <c r="I3" s="68" cm="1">
        <f t="array" ref="I3">TODAY()-C3</f>
        <v>2244</v>
      </c>
      <c r="J3" s="1008">
        <v>43982</v>
      </c>
      <c r="K3" s="68"/>
    </row>
    <row r="4" ht="20.55" customHeight="1">
      <c r="A4" t="s" s="1009">
        <v>1635</v>
      </c>
      <c r="B4" s="1010">
        <v>43911</v>
      </c>
      <c r="C4" s="1011">
        <v>43912</v>
      </c>
      <c r="D4" s="1011">
        <v>43926</v>
      </c>
      <c r="E4" s="73"/>
      <c r="F4" s="74" cm="1">
        <f t="array" ref="F4">IF(ISBLANK(D4),TODAY(),D4)-C4</f>
        <v>14</v>
      </c>
      <c r="G4" s="74" cm="1">
        <f t="array" ref="G4">J4-D4</f>
        <v>56</v>
      </c>
      <c r="H4" s="73"/>
      <c r="I4" s="74" cm="1">
        <f t="array" ref="I4">TODAY()-C4</f>
        <v>2244</v>
      </c>
      <c r="J4" s="1011">
        <v>43982</v>
      </c>
      <c r="K4" s="74"/>
    </row>
    <row r="5" ht="20.55" customHeight="1">
      <c r="A5" s="46"/>
      <c r="B5" s="1012" cm="1">
        <f t="array" ref="B5">AVERAGE(B2:B4)</f>
        <v>43911</v>
      </c>
      <c r="C5" s="1012" cm="1">
        <f t="array" ref="C5">AVERAGE(C2:C4)</f>
        <v>43912</v>
      </c>
      <c r="D5" s="1012" cm="1">
        <f t="array" ref="D5">_xlfn.IFERROR(AVERAGE(D2:D4),"")</f>
        <v>43926</v>
      </c>
      <c r="E5" s="46"/>
      <c r="F5" s="992">
        <v>14</v>
      </c>
      <c r="G5" s="1013">
        <v>56</v>
      </c>
      <c r="H5" s="46"/>
      <c r="I5" s="992">
        <v>2244</v>
      </c>
      <c r="J5" s="46"/>
      <c r="K5" s="46"/>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5.xml><?xml version="1.0" encoding="utf-8"?>
<worksheet xmlns:r="http://schemas.openxmlformats.org/officeDocument/2006/relationships" xmlns="http://schemas.openxmlformats.org/spreadsheetml/2006/main">
  <sheetPr>
    <pageSetUpPr fitToPage="1"/>
  </sheetPr>
  <dimension ref="A1:K4"/>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2.5" style="1016" customWidth="1"/>
    <col min="2" max="4" width="16.3516" style="1016" customWidth="1"/>
    <col min="5" max="5" width="3.03125" style="1016" customWidth="1"/>
    <col min="6" max="7" width="16.3516" style="1016" customWidth="1"/>
    <col min="8" max="8" width="3.03125" style="1016" customWidth="1"/>
    <col min="9" max="11" width="16.3516" style="1016" customWidth="1"/>
    <col min="12" max="16384" width="16.3516" style="1016" customWidth="1"/>
  </cols>
  <sheetData>
    <row r="1" ht="20.55" customHeight="1">
      <c r="A1" s="7"/>
      <c r="B1" t="s" s="111">
        <v>1626</v>
      </c>
      <c r="C1" t="s" s="111">
        <v>1627</v>
      </c>
      <c r="D1" t="s" s="111">
        <v>1628</v>
      </c>
      <c r="E1" s="576"/>
      <c r="F1" t="s" s="111">
        <v>1629</v>
      </c>
      <c r="G1" t="s" s="111">
        <v>1630</v>
      </c>
      <c r="H1" s="576"/>
      <c r="I1" t="s" s="111">
        <v>1631</v>
      </c>
      <c r="J1" t="s" s="111">
        <v>1632</v>
      </c>
      <c r="K1" s="576"/>
    </row>
    <row r="2" ht="20.55" customHeight="1">
      <c r="A2" t="s" s="1003">
        <v>1633</v>
      </c>
      <c r="B2" s="1004">
        <v>44037</v>
      </c>
      <c r="C2" s="1005">
        <v>44039</v>
      </c>
      <c r="D2" s="1005"/>
      <c r="E2" s="82"/>
      <c r="F2" s="82" cm="1">
        <f t="array" ref="F2">IF(ISBLANK(D2),TODAY(),D2)-C2</f>
        <v>2117</v>
      </c>
      <c r="G2" s="82" cm="1">
        <f t="array" ref="G2">IF(ISBLANK(D2),TODAY()-TODAY(),TODAY()-D2)</f>
        <v>0</v>
      </c>
      <c r="H2" s="82"/>
      <c r="I2" s="82" cm="1">
        <f t="array" ref="I2">TODAY()-C2</f>
        <v>2117</v>
      </c>
      <c r="J2" s="82"/>
      <c r="K2" s="64"/>
    </row>
    <row r="3" ht="20.55" customHeight="1">
      <c r="A3" t="s" s="1009">
        <v>1634</v>
      </c>
      <c r="B3" s="1010">
        <v>44037</v>
      </c>
      <c r="C3" s="1011">
        <v>44039</v>
      </c>
      <c r="D3" s="1011"/>
      <c r="E3" s="73"/>
      <c r="F3" s="74" cm="1">
        <f t="array" ref="F3">IF(ISBLANK(D3),TODAY(),D3)-C3</f>
        <v>2117</v>
      </c>
      <c r="G3" s="74" cm="1">
        <f t="array" ref="G3">IF(ISBLANK(D3),TODAY()-TODAY(),TODAY()-D3)</f>
        <v>0</v>
      </c>
      <c r="H3" s="73"/>
      <c r="I3" s="74" cm="1">
        <f t="array" ref="I3">TODAY()-C3</f>
        <v>2117</v>
      </c>
      <c r="J3" s="73"/>
      <c r="K3" s="74"/>
    </row>
    <row r="4" ht="20.55" customHeight="1">
      <c r="A4" s="46"/>
      <c r="B4" s="1012" cm="1">
        <f t="array" ref="B4">AVERAGE(B2:B3)</f>
        <v>44037</v>
      </c>
      <c r="C4" s="1012" cm="1">
        <f t="array" ref="C4">AVERAGE(C2:C3)</f>
        <v>44039</v>
      </c>
      <c r="D4" t="str" s="46" cm="1">
        <f t="array" ref="D4">_xlfn.IFERROR(AVERAGE(D2:D3),"")</f>
      </c>
      <c r="E4" s="46"/>
      <c r="F4" s="992">
        <v>2117</v>
      </c>
      <c r="G4" s="1013">
        <v>0</v>
      </c>
      <c r="H4" s="46"/>
      <c r="I4" s="992">
        <v>2117</v>
      </c>
      <c r="J4" s="46"/>
      <c r="K4" s="46"/>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6.xml><?xml version="1.0" encoding="utf-8"?>
<worksheet xmlns:r="http://schemas.openxmlformats.org/officeDocument/2006/relationships" xmlns="http://schemas.openxmlformats.org/spreadsheetml/2006/main">
  <sheetPr>
    <pageSetUpPr fitToPage="1"/>
  </sheetPr>
  <dimension ref="A1:I11"/>
  <sheetViews>
    <sheetView workbookViewId="0" showGridLines="0" defaultGridColor="1">
      <pane topLeftCell="C2" xSplit="2" ySplit="1" activePane="bottomRight" state="frozen"/>
    </sheetView>
  </sheetViews>
  <sheetFormatPr defaultColWidth="16.3333" defaultRowHeight="18" customHeight="1" outlineLevelRow="0" outlineLevelCol="0"/>
  <cols>
    <col min="1" max="1" width="10.6719" style="1017" customWidth="1"/>
    <col min="2" max="2" width="3.35156" style="1017" customWidth="1"/>
    <col min="3" max="9" width="5.11719" style="1017" customWidth="1"/>
    <col min="10" max="16384" width="16.3516" style="1017" customWidth="1"/>
  </cols>
  <sheetData>
    <row r="1" ht="20.55" customHeight="1">
      <c r="A1" s="7"/>
      <c r="B1" s="7"/>
      <c r="C1" t="s" s="919">
        <v>1379</v>
      </c>
      <c r="D1" t="s" s="919">
        <v>1380</v>
      </c>
      <c r="E1" t="s" s="919">
        <v>1381</v>
      </c>
      <c r="F1" t="s" s="919">
        <v>1382</v>
      </c>
      <c r="G1" t="s" s="919">
        <v>1383</v>
      </c>
      <c r="H1" t="s" s="919">
        <v>1384</v>
      </c>
      <c r="I1" t="s" s="919">
        <v>1385</v>
      </c>
    </row>
    <row r="2" ht="20.55" customHeight="1">
      <c r="A2" s="1018">
        <v>43794</v>
      </c>
      <c r="B2" s="224"/>
      <c r="C2" s="524"/>
      <c r="D2" s="82"/>
      <c r="E2" s="82"/>
      <c r="F2" s="82"/>
      <c r="G2" s="1019"/>
      <c r="H2" s="1019"/>
      <c r="I2" s="1020"/>
    </row>
    <row r="3" ht="20.35" customHeight="1">
      <c r="A3" s="281">
        <v>43801</v>
      </c>
      <c r="B3" s="1021">
        <v>1</v>
      </c>
      <c r="C3" s="1022"/>
      <c r="D3" s="1023"/>
      <c r="E3" s="1023"/>
      <c r="F3" s="1023"/>
      <c r="G3" s="1023"/>
      <c r="H3" s="1023"/>
      <c r="I3" s="1023"/>
    </row>
    <row r="4" ht="20.35" customHeight="1">
      <c r="A4" s="281">
        <v>43808</v>
      </c>
      <c r="B4" s="1021">
        <v>2</v>
      </c>
      <c r="C4" s="1022"/>
      <c r="D4" s="1023"/>
      <c r="E4" s="1023"/>
      <c r="F4" s="1023"/>
      <c r="G4" s="1023"/>
      <c r="H4" s="1023"/>
      <c r="I4" s="1024"/>
    </row>
    <row r="5" ht="20.35" customHeight="1">
      <c r="A5" s="281">
        <v>43815</v>
      </c>
      <c r="B5" s="1021">
        <v>3</v>
      </c>
      <c r="C5" s="1025"/>
      <c r="D5" s="1024"/>
      <c r="E5" s="1024"/>
      <c r="F5" s="1024"/>
      <c r="G5" s="1024"/>
      <c r="H5" s="1024"/>
      <c r="I5" s="1024"/>
    </row>
    <row r="6" ht="20.35" customHeight="1">
      <c r="A6" s="281">
        <v>43822</v>
      </c>
      <c r="B6" s="1021">
        <v>4</v>
      </c>
      <c r="C6" s="1025"/>
      <c r="D6" s="1024"/>
      <c r="E6" s="1024"/>
      <c r="F6" s="1024"/>
      <c r="G6" s="1024"/>
      <c r="H6" s="1024"/>
      <c r="I6" s="1024"/>
    </row>
    <row r="7" ht="20.35" customHeight="1">
      <c r="A7" s="281">
        <v>43829</v>
      </c>
      <c r="B7" s="1021">
        <v>5</v>
      </c>
      <c r="C7" s="1025"/>
      <c r="D7" s="1024"/>
      <c r="E7" s="1024"/>
      <c r="F7" s="1024"/>
      <c r="G7" s="1024"/>
      <c r="H7" s="1024"/>
      <c r="I7" s="1024"/>
    </row>
    <row r="8" ht="20.35" customHeight="1">
      <c r="A8" s="281">
        <v>43471</v>
      </c>
      <c r="B8" s="1021">
        <v>6</v>
      </c>
      <c r="C8" s="1025"/>
      <c r="D8" s="1024"/>
      <c r="E8" s="1024"/>
      <c r="F8" s="1024"/>
      <c r="G8" s="1024"/>
      <c r="H8" s="1024"/>
      <c r="I8" s="1024"/>
    </row>
    <row r="9" ht="20.35" customHeight="1">
      <c r="A9" s="281">
        <v>43478</v>
      </c>
      <c r="B9" s="1021">
        <v>7</v>
      </c>
      <c r="C9" s="1025"/>
      <c r="D9" s="1024"/>
      <c r="E9" s="1024"/>
      <c r="F9" s="1024"/>
      <c r="G9" s="1024"/>
      <c r="H9" s="1024"/>
      <c r="I9" s="1024"/>
    </row>
    <row r="10" ht="20.35" customHeight="1">
      <c r="A10" s="281">
        <v>43485</v>
      </c>
      <c r="B10" s="1021">
        <v>8</v>
      </c>
      <c r="C10" s="1025"/>
      <c r="D10" s="1024"/>
      <c r="E10" s="1024"/>
      <c r="F10" s="32"/>
      <c r="G10" s="32"/>
      <c r="H10" s="32"/>
      <c r="I10" s="1026"/>
    </row>
    <row r="11" ht="20.35" customHeight="1">
      <c r="A11" s="281">
        <v>43492</v>
      </c>
      <c r="B11" s="28"/>
      <c r="C11" s="29"/>
      <c r="D11" s="32"/>
      <c r="E11" s="32"/>
      <c r="F11" s="32"/>
      <c r="G11" s="32"/>
      <c r="H11" s="32"/>
      <c r="I11"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107.xml><?xml version="1.0" encoding="utf-8"?>
<worksheet xmlns:r="http://schemas.openxmlformats.org/officeDocument/2006/relationships" xmlns="http://schemas.openxmlformats.org/spreadsheetml/2006/main">
  <sheetPr>
    <pageSetUpPr fitToPage="1"/>
  </sheetPr>
  <dimension ref="A1:J12"/>
  <sheetViews>
    <sheetView workbookViewId="0" showGridLines="0" defaultGridColor="1">
      <pane topLeftCell="C2" xSplit="2" ySplit="1" activePane="bottomRight" state="frozen"/>
    </sheetView>
  </sheetViews>
  <sheetFormatPr defaultColWidth="16.3333" defaultRowHeight="18" customHeight="1" outlineLevelRow="0" outlineLevelCol="0"/>
  <cols>
    <col min="1" max="1" width="10.6719" style="1027" customWidth="1"/>
    <col min="2" max="2" width="3.35156" style="1027" customWidth="1"/>
    <col min="3" max="3" width="10" style="1027" customWidth="1"/>
    <col min="4" max="9" width="9.85156" style="1027" customWidth="1"/>
    <col min="10" max="10" width="16.3516" style="1027" customWidth="1"/>
    <col min="11" max="16384" width="16.3516" style="1027" customWidth="1"/>
  </cols>
  <sheetData>
    <row r="1" ht="20.55" customHeight="1">
      <c r="A1" s="7"/>
      <c r="B1" s="7"/>
      <c r="C1" t="s" s="919">
        <v>1379</v>
      </c>
      <c r="D1" t="s" s="919">
        <v>1380</v>
      </c>
      <c r="E1" t="s" s="919">
        <v>1381</v>
      </c>
      <c r="F1" t="s" s="919">
        <v>1382</v>
      </c>
      <c r="G1" t="s" s="919">
        <v>1383</v>
      </c>
      <c r="H1" t="s" s="919">
        <v>1384</v>
      </c>
      <c r="I1" t="s" s="919">
        <v>1385</v>
      </c>
      <c r="J1" s="576"/>
    </row>
    <row r="2" ht="20.55" customHeight="1">
      <c r="A2" s="1018">
        <v>43906</v>
      </c>
      <c r="B2" s="224"/>
      <c r="C2" s="922"/>
      <c r="D2" s="923"/>
      <c r="E2" s="923"/>
      <c r="F2" s="923"/>
      <c r="G2" s="1028"/>
      <c r="H2" s="1028"/>
      <c r="I2" s="1028"/>
      <c r="J2" t="s" s="15">
        <v>1641</v>
      </c>
    </row>
    <row r="3" ht="20.35" customHeight="1">
      <c r="A3" s="281">
        <v>43913</v>
      </c>
      <c r="B3" s="1021">
        <v>1</v>
      </c>
      <c r="C3" s="1029"/>
      <c r="D3" s="1030"/>
      <c r="E3" s="1030"/>
      <c r="F3" t="s" s="1031">
        <v>1642</v>
      </c>
      <c r="G3" s="1030"/>
      <c r="H3" t="s" s="1031">
        <v>1642</v>
      </c>
      <c r="I3" s="1030"/>
      <c r="J3" t="s" s="23">
        <v>1643</v>
      </c>
    </row>
    <row r="4" ht="20.35" customHeight="1">
      <c r="A4" s="281">
        <v>43920</v>
      </c>
      <c r="B4" s="1021">
        <v>2</v>
      </c>
      <c r="C4" s="1029"/>
      <c r="D4" t="s" s="1031">
        <v>1642</v>
      </c>
      <c r="E4" s="1030"/>
      <c r="F4" t="s" s="1031">
        <v>625</v>
      </c>
      <c r="G4" t="s" s="1031">
        <v>1642</v>
      </c>
      <c r="H4" t="s" s="1031">
        <v>625</v>
      </c>
      <c r="I4" t="s" s="1031">
        <v>1644</v>
      </c>
      <c r="J4" t="s" s="23">
        <v>1645</v>
      </c>
    </row>
    <row r="5" ht="20.35" customHeight="1">
      <c r="A5" s="281">
        <v>43927</v>
      </c>
      <c r="B5" s="1021">
        <v>3</v>
      </c>
      <c r="C5" t="s" s="1032">
        <v>1644</v>
      </c>
      <c r="D5" s="1033"/>
      <c r="E5" t="s" s="1034">
        <v>1646</v>
      </c>
      <c r="F5" t="s" s="1034">
        <v>1647</v>
      </c>
      <c r="G5" s="1033"/>
      <c r="H5" s="1033"/>
      <c r="I5" s="1033"/>
      <c r="J5" t="s" s="23">
        <v>1648</v>
      </c>
    </row>
    <row r="6" ht="20.35" customHeight="1">
      <c r="A6" s="281">
        <v>43934</v>
      </c>
      <c r="B6" s="1021">
        <v>4</v>
      </c>
      <c r="C6" t="s" s="1032">
        <v>1649</v>
      </c>
      <c r="D6" t="s" s="1034">
        <v>1650</v>
      </c>
      <c r="E6" t="s" s="1034">
        <v>1651</v>
      </c>
      <c r="F6" s="1033"/>
      <c r="G6" s="1033"/>
      <c r="H6" t="s" s="1034">
        <v>1642</v>
      </c>
      <c r="I6" t="s" s="1034">
        <v>1387</v>
      </c>
      <c r="J6" t="s" s="23">
        <v>1652</v>
      </c>
    </row>
    <row r="7" ht="20.35" customHeight="1">
      <c r="A7" s="281">
        <v>43941</v>
      </c>
      <c r="B7" s="1021">
        <v>5</v>
      </c>
      <c r="C7" t="s" s="1032">
        <v>1653</v>
      </c>
      <c r="D7" t="s" s="1034">
        <v>1651</v>
      </c>
      <c r="E7" s="1033"/>
      <c r="F7" s="1033"/>
      <c r="G7" s="1033"/>
      <c r="H7" t="s" s="1034">
        <v>1642</v>
      </c>
      <c r="I7" s="1033"/>
      <c r="J7" s="32"/>
    </row>
    <row r="8" ht="20.35" customHeight="1">
      <c r="A8" s="281">
        <v>43948</v>
      </c>
      <c r="B8" s="1021">
        <v>6</v>
      </c>
      <c r="C8" s="1035"/>
      <c r="D8" t="s" s="1034">
        <v>1654</v>
      </c>
      <c r="E8" s="1033"/>
      <c r="F8" s="1033"/>
      <c r="G8" t="s" s="1034">
        <v>1655</v>
      </c>
      <c r="H8" s="1033"/>
      <c r="I8" s="1033"/>
      <c r="J8" t="s" s="23">
        <v>1656</v>
      </c>
    </row>
    <row r="9" ht="20.35" customHeight="1">
      <c r="A9" s="281">
        <v>43955</v>
      </c>
      <c r="B9" s="1021">
        <v>7</v>
      </c>
      <c r="C9" s="1035"/>
      <c r="D9" s="1033"/>
      <c r="E9" t="s" s="1034">
        <v>1651</v>
      </c>
      <c r="F9" s="1033"/>
      <c r="G9" s="1033"/>
      <c r="H9" t="s" s="1034">
        <v>1642</v>
      </c>
      <c r="I9" s="1033"/>
      <c r="J9" s="32"/>
    </row>
    <row r="10" ht="20.35" customHeight="1">
      <c r="A10" s="281">
        <v>43962</v>
      </c>
      <c r="B10" s="1021">
        <v>8</v>
      </c>
      <c r="C10" s="1035"/>
      <c r="D10" s="1033"/>
      <c r="E10" t="s" s="1034">
        <v>1657</v>
      </c>
      <c r="F10" s="1033"/>
      <c r="G10" s="1033"/>
      <c r="H10" s="1033"/>
      <c r="I10" t="s" s="1036">
        <v>1642</v>
      </c>
      <c r="J10" t="s" s="23">
        <v>1658</v>
      </c>
    </row>
    <row r="11" ht="20.35" customHeight="1">
      <c r="A11" s="281">
        <v>43969</v>
      </c>
      <c r="B11" s="1021">
        <v>9</v>
      </c>
      <c r="C11" s="1035"/>
      <c r="D11" s="1033"/>
      <c r="E11" t="s" s="1034">
        <v>1642</v>
      </c>
      <c r="F11" s="1033"/>
      <c r="G11" s="1033"/>
      <c r="H11" s="1033"/>
      <c r="I11" s="1033"/>
      <c r="J11" s="32"/>
    </row>
    <row r="12" ht="20.35" customHeight="1">
      <c r="A12" s="281">
        <v>43976</v>
      </c>
      <c r="B12" s="1021">
        <v>10</v>
      </c>
      <c r="C12" s="1035"/>
      <c r="D12" s="1033"/>
      <c r="E12" t="s" s="1034">
        <v>1642</v>
      </c>
      <c r="F12" s="1033"/>
      <c r="G12" s="1033"/>
      <c r="H12" s="1033"/>
      <c r="I12" s="1026"/>
      <c r="J12"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108.xml><?xml version="1.0" encoding="utf-8"?>
<worksheet xmlns:r="http://schemas.openxmlformats.org/officeDocument/2006/relationships" xmlns="http://schemas.openxmlformats.org/spreadsheetml/2006/main">
  <sheetPr>
    <pageSetUpPr fitToPage="1"/>
  </sheetPr>
  <dimension ref="A1:D14"/>
  <sheetViews>
    <sheetView workbookViewId="0" showGridLines="0" defaultGridColor="1">
      <pane topLeftCell="B1" xSplit="1" ySplit="0" activePane="topRight" state="frozen"/>
    </sheetView>
  </sheetViews>
  <sheetFormatPr defaultColWidth="16.3333" defaultRowHeight="18" customHeight="1" outlineLevelRow="0" outlineLevelCol="0"/>
  <cols>
    <col min="1" max="4" width="16.3516" style="1037" customWidth="1"/>
    <col min="5" max="16384" width="16.3516" style="1037" customWidth="1"/>
  </cols>
  <sheetData>
    <row r="1" ht="20.35" customHeight="1">
      <c r="A1" t="s" s="17">
        <v>1660</v>
      </c>
      <c r="B1" t="s" s="602">
        <v>1661</v>
      </c>
      <c r="C1" t="s" s="23">
        <v>1662</v>
      </c>
      <c r="D1" t="s" s="23">
        <v>1663</v>
      </c>
    </row>
    <row r="2" ht="20.35" customHeight="1">
      <c r="A2" t="s" s="17">
        <v>1664</v>
      </c>
      <c r="B2" t="s" s="602">
        <v>1665</v>
      </c>
      <c r="C2" s="32"/>
      <c r="D2" t="s" s="23">
        <v>1666</v>
      </c>
    </row>
    <row r="3" ht="20.35" customHeight="1">
      <c r="A3" s="28"/>
      <c r="B3" s="29"/>
      <c r="C3" s="32"/>
      <c r="D3" s="32"/>
    </row>
    <row r="4" ht="20.35" customHeight="1">
      <c r="A4" t="s" s="17">
        <v>1667</v>
      </c>
      <c r="B4" t="s" s="602">
        <v>1668</v>
      </c>
      <c r="C4" t="s" s="23">
        <v>1669</v>
      </c>
      <c r="D4" s="32"/>
    </row>
    <row r="5" ht="20.35" customHeight="1">
      <c r="A5" s="28"/>
      <c r="B5" s="29"/>
      <c r="C5" s="32"/>
      <c r="D5" s="32"/>
    </row>
    <row r="6" ht="20.35" customHeight="1">
      <c r="A6" t="s" s="17">
        <v>1670</v>
      </c>
      <c r="B6" t="s" s="602">
        <v>654</v>
      </c>
      <c r="C6" t="s" s="23">
        <v>1671</v>
      </c>
      <c r="D6" s="32"/>
    </row>
    <row r="7" ht="20.35" customHeight="1">
      <c r="A7" s="28"/>
      <c r="B7" t="s" s="602">
        <v>1672</v>
      </c>
      <c r="C7" t="s" s="23">
        <v>1673</v>
      </c>
      <c r="D7" s="32"/>
    </row>
    <row r="8" ht="20.35" customHeight="1">
      <c r="A8" s="28"/>
      <c r="B8" t="s" s="602">
        <v>1674</v>
      </c>
      <c r="C8" t="s" s="23">
        <v>1675</v>
      </c>
      <c r="D8" s="32"/>
    </row>
    <row r="9" ht="20.35" customHeight="1">
      <c r="A9" s="28"/>
      <c r="B9" t="s" s="602">
        <v>1676</v>
      </c>
      <c r="C9" t="s" s="23">
        <v>1677</v>
      </c>
      <c r="D9" s="32"/>
    </row>
    <row r="10" ht="20.35" customHeight="1">
      <c r="A10" s="28"/>
      <c r="B10" s="29"/>
      <c r="C10" s="32"/>
      <c r="D10" s="32"/>
    </row>
    <row r="11" ht="20.35" customHeight="1">
      <c r="A11" t="s" s="17">
        <v>1678</v>
      </c>
      <c r="B11" t="s" s="602">
        <v>1679</v>
      </c>
      <c r="C11" t="s" s="23">
        <v>1675</v>
      </c>
      <c r="D11" s="32"/>
    </row>
    <row r="12" ht="20.35" customHeight="1">
      <c r="A12" t="s" s="17">
        <v>1680</v>
      </c>
      <c r="B12" s="18">
        <v>5.4</v>
      </c>
      <c r="C12" s="68">
        <v>6.5</v>
      </c>
      <c r="D12" s="32"/>
    </row>
    <row r="13" ht="20.35" customHeight="1">
      <c r="A13" t="s" s="17">
        <v>1681</v>
      </c>
      <c r="B13" s="18">
        <v>10.8</v>
      </c>
      <c r="C13" s="68">
        <v>13.5</v>
      </c>
      <c r="D13" s="32"/>
    </row>
    <row r="14" ht="20.35" customHeight="1">
      <c r="A14" t="s" s="17">
        <v>1682</v>
      </c>
      <c r="B14" s="18">
        <v>2.7</v>
      </c>
      <c r="C14" s="68">
        <v>8.1</v>
      </c>
      <c r="D14"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9.xml><?xml version="1.0" encoding="utf-8"?>
<worksheet xmlns:r="http://schemas.openxmlformats.org/officeDocument/2006/relationships" xmlns="http://schemas.openxmlformats.org/spreadsheetml/2006/main">
  <sheetPr>
    <pageSetUpPr fitToPage="1"/>
  </sheetPr>
  <dimension ref="A1:F12"/>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6" width="16.3516" style="1038" customWidth="1"/>
    <col min="7" max="16384" width="16.3516" style="1038" customWidth="1"/>
  </cols>
  <sheetData>
    <row r="1" ht="20.55" customHeight="1">
      <c r="A1" s="7"/>
      <c r="B1" t="s" s="8">
        <v>1684</v>
      </c>
      <c r="C1" s="7"/>
      <c r="D1" s="7"/>
      <c r="E1" s="7"/>
      <c r="F1" s="7"/>
    </row>
    <row r="2" ht="20.55" customHeight="1">
      <c r="A2" t="s" s="10">
        <v>1685</v>
      </c>
      <c r="B2" s="524"/>
      <c r="C2" s="82"/>
      <c r="D2" s="82"/>
      <c r="E2" s="82"/>
      <c r="F2" s="82"/>
    </row>
    <row r="3" ht="20.35" customHeight="1">
      <c r="A3" t="s" s="17">
        <v>1686</v>
      </c>
      <c r="B3" s="29"/>
      <c r="C3" s="32"/>
      <c r="D3" s="32"/>
      <c r="E3" s="32"/>
      <c r="F3" s="32"/>
    </row>
    <row r="4" ht="20.35" customHeight="1">
      <c r="A4" s="28"/>
      <c r="B4" s="29"/>
      <c r="C4" s="32"/>
      <c r="D4" s="32"/>
      <c r="E4" s="32"/>
      <c r="F4" s="32"/>
    </row>
    <row r="5" ht="20.35" customHeight="1">
      <c r="A5" s="28"/>
      <c r="B5" s="29"/>
      <c r="C5" s="32"/>
      <c r="D5" s="32"/>
      <c r="E5" s="32"/>
      <c r="F5" s="32"/>
    </row>
    <row r="6" ht="20.35" customHeight="1">
      <c r="A6" s="28"/>
      <c r="B6" s="29"/>
      <c r="C6" s="32"/>
      <c r="D6" s="32"/>
      <c r="E6" s="32"/>
      <c r="F6" s="32"/>
    </row>
    <row r="7" ht="20.35" customHeight="1">
      <c r="A7" s="28"/>
      <c r="B7" s="29"/>
      <c r="C7" s="32"/>
      <c r="D7" s="1039"/>
      <c r="E7" s="32"/>
      <c r="F7" s="32"/>
    </row>
    <row r="8" ht="20.35" customHeight="1">
      <c r="A8" s="28"/>
      <c r="B8" s="29"/>
      <c r="C8" s="32"/>
      <c r="D8" s="32"/>
      <c r="E8" s="32"/>
      <c r="F8" s="32"/>
    </row>
    <row r="9" ht="20.35" customHeight="1">
      <c r="A9" s="28"/>
      <c r="B9" s="29"/>
      <c r="C9" s="32"/>
      <c r="D9" s="32"/>
      <c r="E9" s="32"/>
      <c r="F9" s="32"/>
    </row>
    <row r="10" ht="20.35" customHeight="1">
      <c r="A10" s="28"/>
      <c r="B10" s="29"/>
      <c r="C10" s="32"/>
      <c r="D10" s="32"/>
      <c r="E10" s="32"/>
      <c r="F10" s="32"/>
    </row>
    <row r="11" ht="20.35" customHeight="1">
      <c r="A11" s="28"/>
      <c r="B11" s="29"/>
      <c r="C11" s="32"/>
      <c r="D11" s="32"/>
      <c r="E11" s="32"/>
      <c r="F11" s="32"/>
    </row>
    <row r="12" ht="20.35" customHeight="1">
      <c r="A12" t="s" s="17">
        <v>1687</v>
      </c>
      <c r="B12" s="29"/>
      <c r="C12" s="32"/>
      <c r="D12" s="32"/>
      <c r="E12" s="32"/>
      <c r="F12"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0.xml><?xml version="1.0" encoding="utf-8"?>
<worksheet xmlns:r="http://schemas.openxmlformats.org/officeDocument/2006/relationships" xmlns="http://schemas.openxmlformats.org/spreadsheetml/2006/main">
  <sheetPr>
    <pageSetUpPr fitToPage="1"/>
  </sheetPr>
  <dimension ref="A1:K22"/>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3516" style="1040" customWidth="1"/>
    <col min="2" max="2" width="17.8516" style="1040" customWidth="1"/>
    <col min="3" max="4" width="16.3516" style="1040" customWidth="1"/>
    <col min="5" max="5" width="11.7734" style="1040" customWidth="1"/>
    <col min="6" max="6" width="4.40625" style="1040" customWidth="1"/>
    <col min="7" max="11" width="16.3516" style="1040" customWidth="1"/>
    <col min="12" max="16384" width="16.3516" style="1040" customWidth="1"/>
  </cols>
  <sheetData>
    <row r="1" ht="20.55" customHeight="1">
      <c r="A1" s="7"/>
      <c r="B1" t="s" s="8">
        <v>1689</v>
      </c>
      <c r="C1" t="s" s="8">
        <v>1690</v>
      </c>
      <c r="D1" t="s" s="8">
        <v>1632</v>
      </c>
      <c r="E1" t="s" s="8">
        <v>1691</v>
      </c>
      <c r="F1" s="7"/>
      <c r="G1" t="s" s="8">
        <v>1692</v>
      </c>
      <c r="H1" t="s" s="8">
        <v>1693</v>
      </c>
      <c r="I1" t="s" s="8">
        <v>1694</v>
      </c>
      <c r="J1" s="7"/>
      <c r="K1" s="7"/>
    </row>
    <row r="2" ht="20.55" customHeight="1">
      <c r="A2" t="s" s="475">
        <v>1695</v>
      </c>
      <c r="B2" t="s" s="1041">
        <v>1696</v>
      </c>
      <c r="C2" s="1042">
        <v>43798</v>
      </c>
      <c r="D2" s="1042">
        <v>43853</v>
      </c>
      <c r="E2" s="64" cm="1">
        <f t="array" ref="E2">D2-C2</f>
        <v>55</v>
      </c>
      <c r="F2" s="82" cm="1">
        <f t="array" ref="F2">D2-C2</f>
        <v>55</v>
      </c>
      <c r="G2" t="s" s="891">
        <v>11</v>
      </c>
      <c r="H2" s="1043">
        <v>12</v>
      </c>
      <c r="I2" s="1044" cm="1">
        <f t="array" ref="I2">SUM(H2:H5)</f>
        <v>50</v>
      </c>
      <c r="J2" s="1045" cm="1">
        <f t="array" ref="J2">I2/0.64</f>
        <v>78.125</v>
      </c>
      <c r="K2" s="1045"/>
    </row>
    <row r="3" ht="20.35" customHeight="1">
      <c r="A3" t="s" s="102">
        <v>1697</v>
      </c>
      <c r="B3" t="s" s="602">
        <v>1696</v>
      </c>
      <c r="C3" s="1046">
        <v>43798</v>
      </c>
      <c r="D3" s="1046">
        <v>43853</v>
      </c>
      <c r="E3" s="68" cm="1">
        <f t="array" ref="E3">D3-C3</f>
        <v>55</v>
      </c>
      <c r="F3" s="68" cm="1">
        <f t="array" ref="F3">D3-C3</f>
        <v>55</v>
      </c>
      <c r="G3" t="s" s="565">
        <v>11</v>
      </c>
      <c r="H3" s="1047">
        <v>13</v>
      </c>
      <c r="I3" s="1048" cm="1">
        <f t="array" ref="I3">I2/28.3495</f>
        <v>1.76369953614702</v>
      </c>
      <c r="J3" s="1049" cm="1">
        <f t="array" ref="J3">AVERAGE(H2:H5)</f>
        <v>12.5</v>
      </c>
      <c r="K3" t="s" s="23">
        <v>1698</v>
      </c>
    </row>
    <row r="4" ht="20.35" customHeight="1">
      <c r="A4" t="s" s="102">
        <v>1699</v>
      </c>
      <c r="B4" t="s" s="602">
        <v>1696</v>
      </c>
      <c r="C4" s="1046">
        <v>43798</v>
      </c>
      <c r="D4" s="1046">
        <v>43853</v>
      </c>
      <c r="E4" s="68" cm="1">
        <f t="array" ref="E4">D4-C4</f>
        <v>55</v>
      </c>
      <c r="F4" s="68" cm="1">
        <f t="array" ref="F4">D4-C4</f>
        <v>55</v>
      </c>
      <c r="G4" t="s" s="565">
        <v>11</v>
      </c>
      <c r="H4" s="1047">
        <v>12</v>
      </c>
      <c r="I4" s="32"/>
      <c r="J4" s="1050"/>
      <c r="K4" s="1050"/>
    </row>
    <row r="5" ht="20.35" customHeight="1">
      <c r="A5" s="1051">
        <v>1</v>
      </c>
      <c r="B5" t="s" s="602">
        <v>1696</v>
      </c>
      <c r="C5" s="1046">
        <v>43798</v>
      </c>
      <c r="D5" s="1046">
        <v>43853</v>
      </c>
      <c r="E5" s="68" cm="1">
        <f t="array" ref="E5">D5-C5</f>
        <v>55</v>
      </c>
      <c r="F5" s="68" cm="1">
        <f t="array" ref="F5">D5-C5</f>
        <v>55</v>
      </c>
      <c r="G5" t="s" s="565">
        <v>11</v>
      </c>
      <c r="H5" s="1047">
        <v>13</v>
      </c>
      <c r="I5" s="32"/>
      <c r="J5" s="32"/>
      <c r="K5" s="32"/>
    </row>
    <row r="6" ht="20.35" customHeight="1">
      <c r="A6" s="477"/>
      <c r="B6" s="29"/>
      <c r="C6" s="32"/>
      <c r="D6" s="32"/>
      <c r="E6" s="32"/>
      <c r="F6" s="68"/>
      <c r="G6" s="1047"/>
      <c r="H6" s="1047"/>
      <c r="I6" s="32"/>
      <c r="J6" s="32"/>
      <c r="K6" s="32"/>
    </row>
    <row r="7" ht="20.35" customHeight="1">
      <c r="A7" t="s" s="102">
        <v>1700</v>
      </c>
      <c r="B7" t="s" s="602">
        <v>1701</v>
      </c>
      <c r="C7" s="1046">
        <v>43911</v>
      </c>
      <c r="D7" s="1046">
        <v>43982</v>
      </c>
      <c r="E7" s="68" cm="1">
        <f t="array" ref="E7">IF(ISBLANK(D7),TODAY(),D7)-C7</f>
        <v>71</v>
      </c>
      <c r="F7" s="68" cm="1">
        <f t="array" ref="F7">IF(ISBLANK(D7),TODAY(),D7)-C7</f>
        <v>71</v>
      </c>
      <c r="G7" t="s" s="565">
        <v>1702</v>
      </c>
      <c r="H7" s="1047" cm="1">
        <f t="array" ref="H7">11.1+3.95</f>
        <v>15.05</v>
      </c>
      <c r="I7" s="1049" cm="1">
        <f t="array" ref="I7">SUM(H7:H9)</f>
        <v>48.2</v>
      </c>
      <c r="J7" s="1050" cm="1">
        <f t="array" ref="J7">I7/0.64</f>
        <v>75.3125</v>
      </c>
      <c r="K7" s="1050"/>
    </row>
    <row r="8" ht="20.35" customHeight="1">
      <c r="A8" t="s" s="102">
        <v>1703</v>
      </c>
      <c r="B8" t="s" s="602">
        <v>1701</v>
      </c>
      <c r="C8" s="1046">
        <v>43911</v>
      </c>
      <c r="D8" s="1046">
        <v>43982</v>
      </c>
      <c r="E8" s="68" cm="1">
        <f t="array" ref="E8">IF(ISBLANK(D8),TODAY(),D8)-C8</f>
        <v>71</v>
      </c>
      <c r="F8" s="68" cm="1">
        <f t="array" ref="F8">IF(ISBLANK(D8),TODAY(),D8)-C8</f>
        <v>71</v>
      </c>
      <c r="G8" t="s" s="565">
        <v>1704</v>
      </c>
      <c r="H8" s="1047">
        <v>21.15</v>
      </c>
      <c r="I8" s="1048" cm="1">
        <f t="array" ref="I8">I7/28.3495</f>
        <v>1.70020635284573</v>
      </c>
      <c r="J8" s="1049" cm="1">
        <f t="array" ref="J8">_xlfn.IFERROR(AVERAGE(H7:H9),0)</f>
        <v>16.0666666666667</v>
      </c>
      <c r="K8" t="s" s="23">
        <v>1698</v>
      </c>
    </row>
    <row r="9" ht="20.35" customHeight="1">
      <c r="A9" t="s" s="102">
        <v>1705</v>
      </c>
      <c r="B9" t="s" s="602">
        <v>1701</v>
      </c>
      <c r="C9" s="1046">
        <v>43911</v>
      </c>
      <c r="D9" s="1046">
        <v>43982</v>
      </c>
      <c r="E9" s="68" cm="1">
        <f t="array" ref="E9">IF(ISBLANK(D9),TODAY(),D9)-C9</f>
        <v>71</v>
      </c>
      <c r="F9" s="68" cm="1">
        <f t="array" ref="F9">IF(ISBLANK(D9),TODAY(),D9)-C9</f>
        <v>71</v>
      </c>
      <c r="G9" t="s" s="565">
        <v>1706</v>
      </c>
      <c r="H9" s="1047">
        <v>12</v>
      </c>
      <c r="I9" s="32"/>
      <c r="J9" s="1050"/>
      <c r="K9" s="1050"/>
    </row>
    <row r="10" ht="20.35" customHeight="1">
      <c r="A10" s="477"/>
      <c r="B10" s="29"/>
      <c r="C10" s="32"/>
      <c r="D10" s="32"/>
      <c r="E10" s="32"/>
      <c r="F10" s="68"/>
      <c r="G10" s="1047"/>
      <c r="H10" s="1047"/>
      <c r="I10" s="32"/>
      <c r="J10" s="32"/>
      <c r="K10" s="32"/>
    </row>
    <row r="11" ht="20.35" customHeight="1">
      <c r="A11" t="s" s="102">
        <v>1707</v>
      </c>
      <c r="B11" t="s" s="602">
        <v>1708</v>
      </c>
      <c r="C11" s="1046">
        <v>44037</v>
      </c>
      <c r="D11" s="1046">
        <v>44115</v>
      </c>
      <c r="E11" s="68" cm="1">
        <f t="array" ref="E11">IF(ISBLANK(D11),TODAY(),D11)-C11</f>
        <v>78</v>
      </c>
      <c r="F11" s="68" cm="1">
        <f t="array" ref="F11">IF(ISBLANK(D11),TODAY(),D11)-C11</f>
        <v>78</v>
      </c>
      <c r="G11" s="1047"/>
      <c r="H11" s="1047">
        <v>17</v>
      </c>
      <c r="I11" s="1049" cm="1">
        <f t="array" ref="I11">SUM(H11:H12)</f>
        <v>28.5</v>
      </c>
      <c r="J11" s="1050" cm="1">
        <f t="array" ref="J11">I11/0.64</f>
        <v>44.53125</v>
      </c>
      <c r="K11" s="32"/>
    </row>
    <row r="12" ht="20.35" customHeight="1">
      <c r="A12" t="s" s="102">
        <v>1709</v>
      </c>
      <c r="B12" t="s" s="602">
        <v>1708</v>
      </c>
      <c r="C12" s="1046">
        <v>44037</v>
      </c>
      <c r="D12" s="1046">
        <v>44121</v>
      </c>
      <c r="E12" s="68" cm="1">
        <f t="array" ref="E12">IF(ISBLANK(D12),TODAY(),D12)-C12</f>
        <v>84</v>
      </c>
      <c r="F12" s="68" cm="1">
        <f t="array" ref="F12">IF(ISBLANK(D12),TODAY(),D12)-C12</f>
        <v>84</v>
      </c>
      <c r="G12" s="1047"/>
      <c r="H12" s="1047">
        <v>11.5</v>
      </c>
      <c r="I12" s="1048" cm="1">
        <f t="array" ref="I12">I11/28.3495</f>
        <v>1.0053087356038</v>
      </c>
      <c r="J12" s="1049" cm="1">
        <f t="array" ref="J12">_xlfn.IFERROR(AVERAGE(H11:H12),0)</f>
        <v>14.25</v>
      </c>
      <c r="K12" t="s" s="23">
        <v>1698</v>
      </c>
    </row>
    <row r="13" ht="20.35" customHeight="1">
      <c r="A13" s="477"/>
      <c r="B13" s="29"/>
      <c r="C13" s="32"/>
      <c r="D13" s="32"/>
      <c r="E13" s="32"/>
      <c r="F13" s="32"/>
      <c r="G13" s="1047"/>
      <c r="H13" s="1047"/>
      <c r="I13" s="32"/>
      <c r="J13" s="32"/>
      <c r="K13" s="32"/>
    </row>
    <row r="14" ht="20.35" customHeight="1">
      <c r="A14" s="1051">
        <v>4</v>
      </c>
      <c r="B14" t="s" s="602">
        <v>1708</v>
      </c>
      <c r="C14" s="1046">
        <v>44077</v>
      </c>
      <c r="D14" s="32"/>
      <c r="E14" s="68" cm="1">
        <f t="array" ref="E14">IF(ISBLANK(D14),TODAY(),D14)-C14</f>
        <v>2079</v>
      </c>
      <c r="F14" s="68" cm="1">
        <f t="array" ref="F14">IF(ISBLANK(D14),TODAY(),D14)-C14</f>
        <v>2079</v>
      </c>
      <c r="G14" s="1047"/>
      <c r="H14" s="1047">
        <v>8</v>
      </c>
      <c r="I14" s="32"/>
      <c r="J14" s="32"/>
      <c r="K14" s="32"/>
    </row>
    <row r="15" ht="20.35" customHeight="1">
      <c r="A15" s="477"/>
      <c r="B15" s="29"/>
      <c r="C15" s="32"/>
      <c r="D15" s="32"/>
      <c r="E15" s="32"/>
      <c r="F15" s="68"/>
      <c r="G15" s="1047"/>
      <c r="H15" s="1047"/>
      <c r="I15" s="32"/>
      <c r="J15" s="32"/>
      <c r="K15" s="32"/>
    </row>
    <row r="16" ht="20.35" customHeight="1">
      <c r="A16" t="s" s="102">
        <v>1710</v>
      </c>
      <c r="B16" t="s" s="602">
        <v>1711</v>
      </c>
      <c r="C16" s="1046">
        <v>44121</v>
      </c>
      <c r="D16" s="1046">
        <v>44199</v>
      </c>
      <c r="E16" s="68" cm="1">
        <f t="array" ref="E16">IF(ISBLANK(D16),TODAY(),D16)-C16</f>
        <v>78</v>
      </c>
      <c r="F16" s="68" cm="1">
        <f t="array" ref="F16">IF(ISBLANK(D16),TODAY(),D16)-C16</f>
        <v>78</v>
      </c>
      <c r="G16" s="1047"/>
      <c r="H16" s="1047">
        <v>17</v>
      </c>
      <c r="I16" s="1049" cm="1">
        <f t="array" ref="I16">SUM(H16:H17)</f>
        <v>17</v>
      </c>
      <c r="J16" s="1050" cm="1">
        <f t="array" ref="J16">I16/0.64</f>
        <v>26.5625</v>
      </c>
      <c r="K16" s="32"/>
    </row>
    <row r="17" ht="20.35" customHeight="1">
      <c r="A17" t="s" s="102">
        <v>1712</v>
      </c>
      <c r="B17" s="29"/>
      <c r="C17" s="1046">
        <v>44122</v>
      </c>
      <c r="D17" t="s" s="565">
        <v>1713</v>
      </c>
      <c r="E17" s="68"/>
      <c r="F17" s="68"/>
      <c r="G17" s="1047"/>
      <c r="H17" s="1047"/>
      <c r="I17" s="32"/>
      <c r="J17" s="1049" cm="1">
        <f t="array" ref="J17">_xlfn.IFERROR(AVERAGE(H16:H17),0)</f>
        <v>17</v>
      </c>
      <c r="K17" s="32"/>
    </row>
    <row r="18" ht="20.35" customHeight="1">
      <c r="A18" s="477"/>
      <c r="B18" s="29"/>
      <c r="C18" s="32"/>
      <c r="D18" s="32"/>
      <c r="E18" s="32"/>
      <c r="F18" s="68"/>
      <c r="G18" s="1047"/>
      <c r="H18" s="1047"/>
      <c r="I18" s="32"/>
      <c r="J18" s="32"/>
      <c r="K18" s="32"/>
    </row>
    <row r="19" ht="20.35" customHeight="1">
      <c r="A19" t="s" s="102">
        <v>1714</v>
      </c>
      <c r="B19" s="29"/>
      <c r="C19" s="1046">
        <v>44179</v>
      </c>
      <c r="D19" s="32"/>
      <c r="E19" s="68" cm="1">
        <f t="array" ref="E19">IF(ISBLANK(D19),TODAY(),D19)-C19</f>
        <v>1977</v>
      </c>
      <c r="F19" s="68" cm="1">
        <f t="array" ref="F19">IF(ISBLANK(D19),TODAY(),D19)-C19</f>
        <v>1977</v>
      </c>
      <c r="G19" s="1047"/>
      <c r="H19" s="1047"/>
      <c r="I19" s="1049" cm="1">
        <f t="array" ref="I19">SUM(H19:H20)</f>
        <v>0</v>
      </c>
      <c r="J19" s="1050" cm="1">
        <f t="array" ref="J19">I19/0.64</f>
        <v>0</v>
      </c>
      <c r="K19" s="32"/>
    </row>
    <row r="20" ht="20.35" customHeight="1">
      <c r="A20" t="s" s="102">
        <v>1715</v>
      </c>
      <c r="B20" s="29"/>
      <c r="C20" s="1046">
        <v>44179</v>
      </c>
      <c r="D20" s="32"/>
      <c r="E20" s="68" cm="1">
        <f t="array" ref="E20">IF(ISBLANK(D20),TODAY(),D20)-C20</f>
        <v>1977</v>
      </c>
      <c r="F20" s="68" cm="1">
        <f t="array" ref="F20">IF(ISBLANK(D20),TODAY(),D20)-C20</f>
        <v>1977</v>
      </c>
      <c r="G20" s="1047"/>
      <c r="H20" s="1047"/>
      <c r="I20" s="32"/>
      <c r="J20" s="1049" cm="1">
        <f t="array" ref="J20">_xlfn.IFERROR(AVERAGE(H19:H20),0)</f>
        <v>0</v>
      </c>
      <c r="K20" s="32"/>
    </row>
    <row r="21" ht="20.55" customHeight="1">
      <c r="A21" s="1052"/>
      <c r="B21" s="85"/>
      <c r="C21" s="73"/>
      <c r="D21" s="73"/>
      <c r="E21" s="73"/>
      <c r="F21" s="74"/>
      <c r="G21" s="1053"/>
      <c r="H21" s="1053"/>
      <c r="I21" s="73"/>
      <c r="J21" s="73"/>
      <c r="K21" s="73"/>
    </row>
    <row r="22" ht="20.55" customHeight="1">
      <c r="A22" s="46"/>
      <c r="B22" s="46"/>
      <c r="C22" s="46"/>
      <c r="D22" s="46"/>
      <c r="E22" s="46"/>
      <c r="F22" s="46"/>
      <c r="G22" s="1054"/>
      <c r="H22" s="1054" cm="1">
        <f t="array" ref="H22">AVERAGE(H2:H21)</f>
        <v>13.7909090909091</v>
      </c>
      <c r="I22" s="1054" cm="1">
        <f t="array" ref="I22">SUM(H2:H21)</f>
        <v>151.7</v>
      </c>
      <c r="J22" s="79" cm="1">
        <f t="array" ref="J22">I$22*5000</f>
        <v>758500</v>
      </c>
      <c r="K22" s="46"/>
    </row>
  </sheetData>
  <mergeCells count="1">
    <mergeCell ref="E1:F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1.xml><?xml version="1.0" encoding="utf-8"?>
<worksheet xmlns:r="http://schemas.openxmlformats.org/officeDocument/2006/relationships" xmlns="http://schemas.openxmlformats.org/spreadsheetml/2006/main">
  <sheetPr>
    <pageSetUpPr fitToPage="1"/>
  </sheetPr>
  <dimension ref="A1:AD38"/>
  <sheetViews>
    <sheetView workbookViewId="0" showGridLines="0" defaultGridColor="1">
      <pane topLeftCell="C2" xSplit="2" ySplit="1" activePane="bottomRight" state="frozen"/>
    </sheetView>
  </sheetViews>
  <sheetFormatPr defaultColWidth="16.3333" defaultRowHeight="18" customHeight="1" outlineLevelRow="0" outlineLevelCol="0"/>
  <cols>
    <col min="1" max="1" width="10.6719" style="1055" customWidth="1"/>
    <col min="2" max="2" width="3.35156" style="1055" customWidth="1"/>
    <col min="3" max="3" width="10" style="1055" customWidth="1"/>
    <col min="4" max="9" width="9.85156" style="1055" customWidth="1"/>
    <col min="10" max="10" width="16.3516" style="1055" customWidth="1"/>
    <col min="11" max="11" width="7.24219" style="1055" customWidth="1"/>
    <col min="12" max="12" width="3.99219" style="1055" customWidth="1"/>
    <col min="13" max="19" width="9.85156" style="1055" customWidth="1"/>
    <col min="20" max="20" width="16.3516" style="1055" customWidth="1"/>
    <col min="21" max="21" width="7.24219" style="1055" customWidth="1"/>
    <col min="22" max="22" width="3.99219" style="1055" customWidth="1"/>
    <col min="23" max="29" width="9.85156" style="1055" customWidth="1"/>
    <col min="30" max="30" width="16.3516" style="1055" customWidth="1"/>
    <col min="31" max="16384" width="16.3516" style="1055" customWidth="1"/>
  </cols>
  <sheetData>
    <row r="1" ht="20.55" customHeight="1">
      <c r="A1" s="7"/>
      <c r="B1" s="7"/>
      <c r="C1" t="s" s="919">
        <v>1379</v>
      </c>
      <c r="D1" t="s" s="919">
        <v>1380</v>
      </c>
      <c r="E1" t="s" s="919">
        <v>1381</v>
      </c>
      <c r="F1" t="s" s="919">
        <v>1382</v>
      </c>
      <c r="G1" t="s" s="919">
        <v>1383</v>
      </c>
      <c r="H1" t="s" s="919">
        <v>1384</v>
      </c>
      <c r="I1" t="s" s="919">
        <v>1385</v>
      </c>
      <c r="J1" s="576"/>
      <c r="K1" s="576"/>
      <c r="L1" s="576"/>
      <c r="M1" t="s" s="919">
        <v>1379</v>
      </c>
      <c r="N1" t="s" s="919">
        <v>1380</v>
      </c>
      <c r="O1" t="s" s="919">
        <v>1381</v>
      </c>
      <c r="P1" t="s" s="919">
        <v>1382</v>
      </c>
      <c r="Q1" t="s" s="919">
        <v>1383</v>
      </c>
      <c r="R1" t="s" s="919">
        <v>1384</v>
      </c>
      <c r="S1" t="s" s="919">
        <v>1385</v>
      </c>
      <c r="T1" s="576"/>
      <c r="U1" s="576"/>
      <c r="V1" s="576"/>
      <c r="W1" t="s" s="919">
        <v>1379</v>
      </c>
      <c r="X1" t="s" s="919">
        <v>1380</v>
      </c>
      <c r="Y1" t="s" s="919">
        <v>1381</v>
      </c>
      <c r="Z1" t="s" s="919">
        <v>1382</v>
      </c>
      <c r="AA1" t="s" s="919">
        <v>1383</v>
      </c>
      <c r="AB1" t="s" s="919">
        <v>1384</v>
      </c>
      <c r="AC1" t="s" s="919">
        <v>1385</v>
      </c>
      <c r="AD1" s="576"/>
    </row>
    <row r="2" ht="20.55" customHeight="1">
      <c r="A2" s="1018">
        <v>44032</v>
      </c>
      <c r="B2" s="224"/>
      <c r="C2" s="922"/>
      <c r="D2" s="923"/>
      <c r="E2" s="923"/>
      <c r="F2" s="923"/>
      <c r="G2" s="1028"/>
      <c r="H2" s="1028"/>
      <c r="I2" s="1028"/>
      <c r="J2" t="s" s="15">
        <v>1641</v>
      </c>
      <c r="K2" s="1005" cm="1">
        <f t="array" ref="K2">$A2</f>
        <v>44032</v>
      </c>
      <c r="L2" s="82"/>
      <c r="M2" s="1056"/>
      <c r="N2" s="1056"/>
      <c r="O2" s="1056"/>
      <c r="P2" s="1056"/>
      <c r="Q2" s="1056"/>
      <c r="R2" s="1056"/>
      <c r="S2" s="1056"/>
      <c r="T2" s="82"/>
      <c r="U2" s="1005" cm="1">
        <f t="array" ref="U2">$A2</f>
        <v>44032</v>
      </c>
      <c r="V2" s="82"/>
      <c r="W2" s="1056"/>
      <c r="X2" s="1056"/>
      <c r="Y2" s="1056"/>
      <c r="Z2" s="1056"/>
      <c r="AA2" s="1056"/>
      <c r="AB2" s="1056"/>
      <c r="AC2" s="1056"/>
      <c r="AD2" s="82"/>
    </row>
    <row r="3" ht="20.35" customHeight="1">
      <c r="A3" s="281">
        <v>44039</v>
      </c>
      <c r="B3" s="1021">
        <v>1</v>
      </c>
      <c r="C3" s="1029"/>
      <c r="D3" s="1030"/>
      <c r="E3" s="1030"/>
      <c r="F3" s="1030"/>
      <c r="G3" s="1030"/>
      <c r="H3" s="1030"/>
      <c r="I3" s="1030"/>
      <c r="J3" t="s" s="23">
        <v>1643</v>
      </c>
      <c r="K3" s="1008" cm="1">
        <f t="array" ref="K3">$A3</f>
        <v>44039</v>
      </c>
      <c r="L3" s="32"/>
      <c r="M3" s="1057"/>
      <c r="N3" s="1057"/>
      <c r="O3" s="1057"/>
      <c r="P3" s="1057"/>
      <c r="Q3" s="1057"/>
      <c r="R3" s="1057"/>
      <c r="S3" s="1057"/>
      <c r="T3" s="32"/>
      <c r="U3" s="1008" cm="1">
        <f t="array" ref="U3">$A3</f>
        <v>44039</v>
      </c>
      <c r="V3" s="32"/>
      <c r="W3" s="1057"/>
      <c r="X3" s="1057"/>
      <c r="Y3" s="1057"/>
      <c r="Z3" s="1057"/>
      <c r="AA3" s="1057"/>
      <c r="AB3" s="1057"/>
      <c r="AC3" s="1057"/>
      <c r="AD3" s="32"/>
    </row>
    <row r="4" ht="20.35" customHeight="1">
      <c r="A4" s="1058">
        <v>44046</v>
      </c>
      <c r="B4" s="1059">
        <v>2</v>
      </c>
      <c r="C4" s="1029"/>
      <c r="D4" s="1030"/>
      <c r="E4" s="1030"/>
      <c r="F4" s="1030"/>
      <c r="G4" s="1030"/>
      <c r="H4" s="1030"/>
      <c r="I4" s="1030"/>
      <c r="J4" t="s" s="23">
        <v>1645</v>
      </c>
      <c r="K4" s="1008" cm="1">
        <f t="array" ref="K4">$A4</f>
        <v>44046</v>
      </c>
      <c r="L4" s="32"/>
      <c r="M4" s="1057"/>
      <c r="N4" s="1057"/>
      <c r="O4" s="1057"/>
      <c r="P4" s="1057"/>
      <c r="Q4" s="1057"/>
      <c r="R4" s="1057"/>
      <c r="S4" s="1057"/>
      <c r="T4" s="32"/>
      <c r="U4" s="1008" cm="1">
        <f t="array" ref="U4">$A4</f>
        <v>44046</v>
      </c>
      <c r="V4" s="32"/>
      <c r="W4" s="1057"/>
      <c r="X4" s="1057"/>
      <c r="Y4" s="1057"/>
      <c r="Z4" s="1057"/>
      <c r="AA4" s="1057"/>
      <c r="AB4" s="1057"/>
      <c r="AC4" s="1057"/>
      <c r="AD4" s="32"/>
    </row>
    <row r="5" ht="20.35" customHeight="1">
      <c r="A5" s="1058">
        <v>44053</v>
      </c>
      <c r="B5" s="1059">
        <v>3</v>
      </c>
      <c r="C5" s="1029"/>
      <c r="D5" s="1030"/>
      <c r="E5" s="1030"/>
      <c r="F5" s="1030"/>
      <c r="G5" s="1030"/>
      <c r="H5" s="1030"/>
      <c r="I5" s="1030"/>
      <c r="J5" t="s" s="23">
        <v>1648</v>
      </c>
      <c r="K5" s="1008" cm="1">
        <f t="array" ref="K5">$A5</f>
        <v>44053</v>
      </c>
      <c r="L5" s="32"/>
      <c r="M5" s="1057"/>
      <c r="N5" s="1057"/>
      <c r="O5" s="1057"/>
      <c r="P5" s="1057"/>
      <c r="Q5" s="1057"/>
      <c r="R5" s="1057"/>
      <c r="S5" s="1057"/>
      <c r="T5" s="32"/>
      <c r="U5" s="1008" cm="1">
        <f t="array" ref="U5">$A5</f>
        <v>44053</v>
      </c>
      <c r="V5" s="32"/>
      <c r="W5" s="1057"/>
      <c r="X5" s="1057"/>
      <c r="Y5" s="1057"/>
      <c r="Z5" s="1057"/>
      <c r="AA5" s="1057"/>
      <c r="AB5" s="1057"/>
      <c r="AC5" s="1057"/>
      <c r="AD5" s="32"/>
    </row>
    <row r="6" ht="20.35" customHeight="1">
      <c r="A6" s="1058">
        <v>44060</v>
      </c>
      <c r="B6" s="1059">
        <v>4</v>
      </c>
      <c r="C6" s="1035"/>
      <c r="D6" s="1033"/>
      <c r="E6" s="1033"/>
      <c r="F6" s="1033"/>
      <c r="G6" s="1033"/>
      <c r="H6" s="1033"/>
      <c r="I6" s="1033"/>
      <c r="J6" t="s" s="23">
        <v>1652</v>
      </c>
      <c r="K6" s="1008" cm="1">
        <f t="array" ref="K6">$A6</f>
        <v>44060</v>
      </c>
      <c r="L6" s="32"/>
      <c r="M6" s="1057"/>
      <c r="N6" s="1057"/>
      <c r="O6" s="1057"/>
      <c r="P6" s="1057"/>
      <c r="Q6" s="1057"/>
      <c r="R6" s="1057"/>
      <c r="S6" s="1057"/>
      <c r="T6" s="32"/>
      <c r="U6" s="1008" cm="1">
        <f t="array" ref="U6">$A6</f>
        <v>44060</v>
      </c>
      <c r="V6" s="32"/>
      <c r="W6" s="1057"/>
      <c r="X6" s="1057"/>
      <c r="Y6" s="1057"/>
      <c r="Z6" s="1057"/>
      <c r="AA6" s="1057"/>
      <c r="AB6" s="1057"/>
      <c r="AC6" s="1057"/>
      <c r="AD6" s="32"/>
    </row>
    <row r="7" ht="20.35" customHeight="1">
      <c r="A7" s="1058">
        <v>44067</v>
      </c>
      <c r="B7" s="1059">
        <v>5</v>
      </c>
      <c r="C7" s="1035"/>
      <c r="D7" s="1033"/>
      <c r="E7" s="1033"/>
      <c r="F7" s="1033"/>
      <c r="G7" s="1033"/>
      <c r="H7" s="1033"/>
      <c r="I7" s="1033"/>
      <c r="J7" s="32"/>
      <c r="K7" s="1008" cm="1">
        <f t="array" ref="K7">$A7</f>
        <v>44067</v>
      </c>
      <c r="L7" s="32"/>
      <c r="M7" s="1057"/>
      <c r="N7" s="1057"/>
      <c r="O7" s="1057"/>
      <c r="P7" s="1057"/>
      <c r="Q7" s="1057"/>
      <c r="R7" s="1057"/>
      <c r="S7" s="1057"/>
      <c r="T7" s="32"/>
      <c r="U7" s="1008" cm="1">
        <f t="array" ref="U7">$A7</f>
        <v>44067</v>
      </c>
      <c r="V7" s="32"/>
      <c r="W7" s="1057"/>
      <c r="X7" s="1057"/>
      <c r="Y7" s="1057"/>
      <c r="Z7" s="1057"/>
      <c r="AA7" s="1057"/>
      <c r="AB7" s="1057"/>
      <c r="AC7" s="1057"/>
      <c r="AD7" s="32"/>
    </row>
    <row r="8" ht="20.35" customHeight="1">
      <c r="A8" s="1058">
        <v>44074</v>
      </c>
      <c r="B8" s="1059">
        <v>6</v>
      </c>
      <c r="C8" s="1035"/>
      <c r="D8" s="1033"/>
      <c r="E8" s="1033"/>
      <c r="F8" s="1033"/>
      <c r="G8" s="1033"/>
      <c r="H8" s="1033"/>
      <c r="I8" s="1033"/>
      <c r="J8" s="32"/>
      <c r="K8" s="1008" cm="1">
        <f t="array" ref="K8">$A8</f>
        <v>44074</v>
      </c>
      <c r="L8" s="68">
        <v>1</v>
      </c>
      <c r="M8" s="1060"/>
      <c r="N8" s="1060"/>
      <c r="O8" s="1060"/>
      <c r="P8" s="1030"/>
      <c r="Q8" s="1030"/>
      <c r="R8" s="1030"/>
      <c r="S8" s="1030"/>
      <c r="T8" t="s" s="23">
        <v>1717</v>
      </c>
      <c r="U8" s="1008" cm="1">
        <f t="array" ref="U8">$A8</f>
        <v>44074</v>
      </c>
      <c r="V8" s="32"/>
      <c r="W8" s="1057"/>
      <c r="X8" s="1057"/>
      <c r="Y8" s="1057"/>
      <c r="Z8" s="1057"/>
      <c r="AA8" s="1057"/>
      <c r="AB8" s="1057"/>
      <c r="AC8" s="1057"/>
      <c r="AD8" s="32"/>
    </row>
    <row r="9" ht="20.35" customHeight="1">
      <c r="A9" s="281">
        <v>44081</v>
      </c>
      <c r="B9" s="1021">
        <v>7</v>
      </c>
      <c r="C9" s="1035"/>
      <c r="D9" s="1033"/>
      <c r="E9" s="1033"/>
      <c r="F9" s="1033"/>
      <c r="G9" s="1033"/>
      <c r="H9" s="1033"/>
      <c r="I9" s="1033"/>
      <c r="J9" s="32"/>
      <c r="K9" s="1008" cm="1">
        <f t="array" ref="K9">$A9</f>
        <v>44081</v>
      </c>
      <c r="L9" s="68">
        <v>2</v>
      </c>
      <c r="M9" s="1030"/>
      <c r="N9" s="1030"/>
      <c r="O9" s="1030"/>
      <c r="P9" s="1030"/>
      <c r="Q9" s="1030"/>
      <c r="R9" s="1030"/>
      <c r="S9" s="1030"/>
      <c r="T9" s="32"/>
      <c r="U9" s="1008" cm="1">
        <f t="array" ref="U9">$A9</f>
        <v>44081</v>
      </c>
      <c r="V9" s="32"/>
      <c r="W9" s="1057"/>
      <c r="X9" s="1057"/>
      <c r="Y9" s="1057"/>
      <c r="Z9" s="1057"/>
      <c r="AA9" s="1057"/>
      <c r="AB9" s="1057"/>
      <c r="AC9" s="1057"/>
      <c r="AD9" s="32"/>
    </row>
    <row r="10" ht="20.35" customHeight="1">
      <c r="A10" s="281">
        <v>44088</v>
      </c>
      <c r="B10" s="1021">
        <v>8</v>
      </c>
      <c r="C10" t="s" s="1032">
        <v>1646</v>
      </c>
      <c r="D10" s="1033"/>
      <c r="E10" s="1033"/>
      <c r="F10" s="1033"/>
      <c r="G10" s="1033"/>
      <c r="H10" s="1033"/>
      <c r="I10" s="1033"/>
      <c r="J10" t="s" s="23">
        <v>1658</v>
      </c>
      <c r="K10" s="1008" cm="1">
        <f t="array" ref="K10">$A10</f>
        <v>44088</v>
      </c>
      <c r="L10" s="68">
        <v>3</v>
      </c>
      <c r="M10" t="s" s="1031">
        <v>1633</v>
      </c>
      <c r="N10" s="1030"/>
      <c r="O10" s="1030"/>
      <c r="P10" s="1030"/>
      <c r="Q10" s="1030"/>
      <c r="R10" s="1030"/>
      <c r="S10" s="1030"/>
      <c r="T10" s="32"/>
      <c r="U10" s="1008" cm="1">
        <f t="array" ref="U10">$A10</f>
        <v>44088</v>
      </c>
      <c r="V10" s="32"/>
      <c r="W10" s="1057"/>
      <c r="X10" s="1057"/>
      <c r="Y10" s="1057"/>
      <c r="Z10" s="1057"/>
      <c r="AA10" s="1057"/>
      <c r="AB10" s="1057"/>
      <c r="AC10" s="1057"/>
      <c r="AD10" s="32"/>
    </row>
    <row r="11" ht="20.35" customHeight="1">
      <c r="A11" s="281">
        <v>44095</v>
      </c>
      <c r="B11" s="1021">
        <v>9</v>
      </c>
      <c r="C11" s="1035"/>
      <c r="D11" s="1033"/>
      <c r="E11" s="1033"/>
      <c r="F11" s="1033"/>
      <c r="G11" s="1033"/>
      <c r="H11" s="1033"/>
      <c r="I11" s="1033"/>
      <c r="J11" s="32"/>
      <c r="K11" s="1008" cm="1">
        <f t="array" ref="K11">$A11</f>
        <v>44095</v>
      </c>
      <c r="L11" s="68">
        <v>4</v>
      </c>
      <c r="M11" s="1033"/>
      <c r="N11" s="1033"/>
      <c r="O11" s="1033"/>
      <c r="P11" s="1033"/>
      <c r="Q11" s="1033"/>
      <c r="R11" s="1033"/>
      <c r="S11" s="1033"/>
      <c r="T11" s="32"/>
      <c r="U11" s="1008" cm="1">
        <f t="array" ref="U11">$A11</f>
        <v>44095</v>
      </c>
      <c r="V11" s="32"/>
      <c r="W11" s="1057"/>
      <c r="X11" s="1057"/>
      <c r="Y11" s="1057"/>
      <c r="Z11" s="1057"/>
      <c r="AA11" s="1057"/>
      <c r="AB11" s="1057"/>
      <c r="AC11" s="1057"/>
      <c r="AD11" s="32"/>
    </row>
    <row r="12" ht="20.35" customHeight="1">
      <c r="A12" s="281">
        <v>44102</v>
      </c>
      <c r="B12" s="1021">
        <v>10</v>
      </c>
      <c r="C12" s="1035"/>
      <c r="D12" s="1033"/>
      <c r="E12" s="1033"/>
      <c r="F12" s="1033"/>
      <c r="G12" s="1033"/>
      <c r="H12" s="1033"/>
      <c r="I12" s="1033"/>
      <c r="J12" s="32"/>
      <c r="K12" s="1008" cm="1">
        <f t="array" ref="K12">$A12</f>
        <v>44102</v>
      </c>
      <c r="L12" s="68">
        <v>5</v>
      </c>
      <c r="M12" s="1033"/>
      <c r="N12" s="1033"/>
      <c r="O12" s="1033"/>
      <c r="P12" s="1033"/>
      <c r="Q12" s="1033"/>
      <c r="R12" s="1033"/>
      <c r="S12" s="1033"/>
      <c r="T12" s="32"/>
      <c r="U12" s="1008" cm="1">
        <f t="array" ref="U12">$A12</f>
        <v>44102</v>
      </c>
      <c r="V12" s="32"/>
      <c r="W12" s="1057"/>
      <c r="X12" s="1057"/>
      <c r="Y12" s="1057"/>
      <c r="Z12" s="1057"/>
      <c r="AA12" s="1057"/>
      <c r="AB12" s="1057"/>
      <c r="AC12" s="1057"/>
      <c r="AD12" s="32"/>
    </row>
    <row r="13" ht="20.35" customHeight="1">
      <c r="A13" s="1058">
        <v>44109</v>
      </c>
      <c r="B13" s="1021">
        <v>11</v>
      </c>
      <c r="C13" s="1035"/>
      <c r="D13" s="1033"/>
      <c r="E13" s="1033"/>
      <c r="F13" s="1033"/>
      <c r="G13" s="1033"/>
      <c r="H13" s="1033"/>
      <c r="I13" s="1026"/>
      <c r="J13" s="32"/>
      <c r="K13" s="1008" cm="1">
        <f t="array" ref="K13">$A13</f>
        <v>44109</v>
      </c>
      <c r="L13" s="68">
        <v>6</v>
      </c>
      <c r="M13" s="1033"/>
      <c r="N13" s="1033"/>
      <c r="O13" s="1033"/>
      <c r="P13" s="1033"/>
      <c r="Q13" s="1033"/>
      <c r="R13" s="1033"/>
      <c r="S13" s="1033"/>
      <c r="T13" s="32"/>
      <c r="U13" s="1008" cm="1">
        <f t="array" ref="U13">$A13</f>
        <v>44109</v>
      </c>
      <c r="V13" s="32"/>
      <c r="W13" s="1057"/>
      <c r="X13" s="1057"/>
      <c r="Y13" s="1057"/>
      <c r="Z13" s="1057"/>
      <c r="AA13" s="1057"/>
      <c r="AB13" s="1057"/>
      <c r="AC13" s="1057"/>
      <c r="AD13" s="32"/>
    </row>
    <row r="14" ht="20.35" customHeight="1">
      <c r="A14" s="1058">
        <v>44116</v>
      </c>
      <c r="B14" s="1021">
        <v>12</v>
      </c>
      <c r="C14" s="1035"/>
      <c r="D14" s="1033"/>
      <c r="E14" s="1033"/>
      <c r="F14" s="1033"/>
      <c r="G14" s="1033"/>
      <c r="H14" s="1026"/>
      <c r="I14" s="1060"/>
      <c r="J14" s="32"/>
      <c r="K14" s="1008" cm="1">
        <f t="array" ref="K14">$A14</f>
        <v>44116</v>
      </c>
      <c r="L14" s="68">
        <v>7</v>
      </c>
      <c r="M14" s="1033"/>
      <c r="N14" s="1033"/>
      <c r="O14" s="1033"/>
      <c r="P14" s="1033"/>
      <c r="Q14" s="1033"/>
      <c r="R14" s="1033"/>
      <c r="S14" s="1033"/>
      <c r="T14" s="32"/>
      <c r="U14" s="1008" cm="1">
        <f t="array" ref="U14">$A14</f>
        <v>44116</v>
      </c>
      <c r="V14" s="32"/>
      <c r="W14" s="1057"/>
      <c r="X14" s="1057"/>
      <c r="Y14" s="1057"/>
      <c r="Z14" s="1057"/>
      <c r="AA14" s="1057"/>
      <c r="AB14" s="1060"/>
      <c r="AC14" s="1030"/>
      <c r="AD14" t="s" s="23">
        <v>1718</v>
      </c>
    </row>
    <row r="15" ht="20.35" customHeight="1">
      <c r="A15" s="1058">
        <v>44123</v>
      </c>
      <c r="B15" s="28"/>
      <c r="C15" s="1061"/>
      <c r="D15" s="1060"/>
      <c r="E15" s="1060"/>
      <c r="F15" s="1060"/>
      <c r="G15" s="1060"/>
      <c r="H15" s="1030"/>
      <c r="I15" t="s" s="1062">
        <v>1719</v>
      </c>
      <c r="J15" s="32"/>
      <c r="K15" s="1008" cm="1">
        <f t="array" ref="K15">$A15</f>
        <v>44123</v>
      </c>
      <c r="L15" s="68">
        <v>8</v>
      </c>
      <c r="M15" s="1033"/>
      <c r="N15" s="1033"/>
      <c r="O15" s="1033"/>
      <c r="P15" s="1033"/>
      <c r="Q15" s="1033"/>
      <c r="R15" s="1033"/>
      <c r="S15" s="1033"/>
      <c r="T15" s="32"/>
      <c r="U15" s="1008" cm="1">
        <f t="array" ref="U15">$A15</f>
        <v>44123</v>
      </c>
      <c r="V15" s="68">
        <v>1</v>
      </c>
      <c r="W15" s="1030"/>
      <c r="X15" s="1030"/>
      <c r="Y15" s="1030"/>
      <c r="Z15" s="1030"/>
      <c r="AA15" s="1030"/>
      <c r="AB15" s="1030"/>
      <c r="AC15" s="1030"/>
      <c r="AD15" s="32"/>
    </row>
    <row r="16" ht="20.35" customHeight="1">
      <c r="A16" s="1058">
        <v>44130</v>
      </c>
      <c r="B16" s="28"/>
      <c r="C16" s="1063"/>
      <c r="D16" s="1057"/>
      <c r="E16" s="1057"/>
      <c r="F16" s="1057"/>
      <c r="G16" s="1057"/>
      <c r="H16" s="1057"/>
      <c r="I16" s="1057"/>
      <c r="J16" s="32"/>
      <c r="K16" s="1008" cm="1">
        <f t="array" ref="K16">$A16</f>
        <v>44130</v>
      </c>
      <c r="L16" s="68">
        <v>9</v>
      </c>
      <c r="M16" s="1033"/>
      <c r="N16" s="1033"/>
      <c r="O16" s="1033"/>
      <c r="P16" s="1033"/>
      <c r="Q16" s="1033"/>
      <c r="R16" s="1033"/>
      <c r="S16" s="1033"/>
      <c r="T16" s="32"/>
      <c r="U16" s="1008" cm="1">
        <f t="array" ref="U16">$A16</f>
        <v>44130</v>
      </c>
      <c r="V16" s="68">
        <v>2</v>
      </c>
      <c r="W16" s="1030"/>
      <c r="X16" s="1030"/>
      <c r="Y16" s="1030"/>
      <c r="Z16" s="1030"/>
      <c r="AA16" s="1030"/>
      <c r="AB16" s="1030"/>
      <c r="AC16" s="1030"/>
      <c r="AD16" s="32"/>
    </row>
    <row r="17" ht="20.35" customHeight="1">
      <c r="A17" s="281">
        <v>44137</v>
      </c>
      <c r="B17" s="28"/>
      <c r="C17" s="1063"/>
      <c r="D17" s="1057"/>
      <c r="E17" s="1057"/>
      <c r="F17" s="1057"/>
      <c r="G17" s="1057"/>
      <c r="H17" s="1057"/>
      <c r="I17" s="1057"/>
      <c r="J17" s="32"/>
      <c r="K17" s="1008" cm="1">
        <f t="array" ref="K17">$A17</f>
        <v>44137</v>
      </c>
      <c r="L17" s="68">
        <v>10</v>
      </c>
      <c r="M17" s="1033"/>
      <c r="N17" s="1033"/>
      <c r="O17" s="1033"/>
      <c r="P17" s="1033"/>
      <c r="Q17" s="1033"/>
      <c r="R17" s="1033"/>
      <c r="S17" s="1026"/>
      <c r="T17" s="32"/>
      <c r="U17" s="1008" cm="1">
        <f t="array" ref="U17">$A17</f>
        <v>44137</v>
      </c>
      <c r="V17" s="68">
        <v>3</v>
      </c>
      <c r="W17" s="1033"/>
      <c r="X17" s="1033"/>
      <c r="Y17" s="1033"/>
      <c r="Z17" s="1033"/>
      <c r="AA17" s="1033"/>
      <c r="AB17" s="1033"/>
      <c r="AC17" s="1033"/>
      <c r="AD17" s="32"/>
    </row>
    <row r="18" ht="20.35" customHeight="1">
      <c r="A18" s="281">
        <v>44144</v>
      </c>
      <c r="B18" s="28"/>
      <c r="C18" s="1063"/>
      <c r="D18" s="1057"/>
      <c r="E18" s="1057"/>
      <c r="F18" s="1057"/>
      <c r="G18" s="1057"/>
      <c r="H18" s="1057"/>
      <c r="I18" s="1057"/>
      <c r="J18" s="32"/>
      <c r="K18" s="1008" cm="1">
        <f t="array" ref="K18">$A18</f>
        <v>44144</v>
      </c>
      <c r="L18" s="32"/>
      <c r="M18" s="1057"/>
      <c r="N18" s="1057"/>
      <c r="O18" s="1057"/>
      <c r="P18" s="1057"/>
      <c r="Q18" s="1057"/>
      <c r="R18" s="1057"/>
      <c r="S18" s="1057"/>
      <c r="T18" s="32"/>
      <c r="U18" s="1008" cm="1">
        <f t="array" ref="U18">$A18</f>
        <v>44144</v>
      </c>
      <c r="V18" s="68">
        <v>4</v>
      </c>
      <c r="W18" s="1033"/>
      <c r="X18" s="1033"/>
      <c r="Y18" s="1033"/>
      <c r="Z18" s="1033"/>
      <c r="AA18" s="1033"/>
      <c r="AB18" s="1033"/>
      <c r="AC18" s="1033"/>
      <c r="AD18" s="32"/>
    </row>
    <row r="19" ht="20.35" customHeight="1">
      <c r="A19" s="281">
        <v>44151</v>
      </c>
      <c r="B19" s="28"/>
      <c r="C19" s="1063"/>
      <c r="D19" s="1057"/>
      <c r="E19" s="1057"/>
      <c r="F19" s="1057"/>
      <c r="G19" s="1057"/>
      <c r="H19" s="1057"/>
      <c r="I19" s="1057"/>
      <c r="J19" s="32"/>
      <c r="K19" s="1008" cm="1">
        <f t="array" ref="K19">$A19</f>
        <v>44151</v>
      </c>
      <c r="L19" s="32"/>
      <c r="M19" s="1057"/>
      <c r="N19" s="1057"/>
      <c r="O19" s="1057"/>
      <c r="P19" s="1057"/>
      <c r="Q19" s="1057"/>
      <c r="R19" s="1057"/>
      <c r="S19" s="1057"/>
      <c r="T19" s="32"/>
      <c r="U19" s="1008" cm="1">
        <f t="array" ref="U19">$A19</f>
        <v>44151</v>
      </c>
      <c r="V19" s="68">
        <v>5</v>
      </c>
      <c r="W19" s="1033"/>
      <c r="X19" s="1033"/>
      <c r="Y19" s="1033"/>
      <c r="Z19" s="1033"/>
      <c r="AA19" s="1033"/>
      <c r="AB19" s="1033"/>
      <c r="AC19" s="1033"/>
      <c r="AD19" s="32"/>
    </row>
    <row r="20" ht="20.35" customHeight="1">
      <c r="A20" s="281">
        <v>44158</v>
      </c>
      <c r="B20" s="28"/>
      <c r="C20" s="1063"/>
      <c r="D20" s="1057"/>
      <c r="E20" s="1057"/>
      <c r="F20" s="1057"/>
      <c r="G20" s="1057"/>
      <c r="H20" s="1057"/>
      <c r="I20" s="1057"/>
      <c r="J20" s="32"/>
      <c r="K20" s="1008" cm="1">
        <f t="array" ref="K20">$A20</f>
        <v>44158</v>
      </c>
      <c r="L20" s="32"/>
      <c r="M20" s="1057"/>
      <c r="N20" s="1057"/>
      <c r="O20" s="1057"/>
      <c r="P20" s="1057"/>
      <c r="Q20" s="1057"/>
      <c r="R20" s="1057"/>
      <c r="S20" s="1057"/>
      <c r="T20" s="32"/>
      <c r="U20" s="1008" cm="1">
        <f t="array" ref="U20">$A20</f>
        <v>44158</v>
      </c>
      <c r="V20" s="68">
        <v>6</v>
      </c>
      <c r="W20" s="1033"/>
      <c r="X20" s="1033"/>
      <c r="Y20" s="1033"/>
      <c r="Z20" s="1033"/>
      <c r="AA20" s="1033"/>
      <c r="AB20" s="1033"/>
      <c r="AC20" s="1033"/>
      <c r="AD20" s="32"/>
    </row>
    <row r="21" ht="20.35" customHeight="1">
      <c r="A21" s="281">
        <v>44165</v>
      </c>
      <c r="B21" s="28"/>
      <c r="C21" s="1063"/>
      <c r="D21" s="1057"/>
      <c r="E21" s="1057"/>
      <c r="F21" s="1057"/>
      <c r="G21" s="1057"/>
      <c r="H21" s="1057"/>
      <c r="I21" s="1057"/>
      <c r="J21" s="32"/>
      <c r="K21" s="1008" cm="1">
        <f t="array" ref="K21">$A21</f>
        <v>44165</v>
      </c>
      <c r="L21" s="32"/>
      <c r="M21" s="1057"/>
      <c r="N21" s="1057"/>
      <c r="O21" s="1057"/>
      <c r="P21" s="1057"/>
      <c r="Q21" s="1057"/>
      <c r="R21" s="1057"/>
      <c r="S21" s="1057"/>
      <c r="T21" s="32"/>
      <c r="U21" s="1008" cm="1">
        <f t="array" ref="U21">$A21</f>
        <v>44165</v>
      </c>
      <c r="V21" s="68">
        <v>7</v>
      </c>
      <c r="W21" s="1033"/>
      <c r="X21" s="1033"/>
      <c r="Y21" s="1033"/>
      <c r="Z21" s="1033"/>
      <c r="AA21" s="1033"/>
      <c r="AB21" s="1033"/>
      <c r="AC21" s="1033"/>
      <c r="AD21" s="32"/>
    </row>
    <row r="22" ht="20.35" customHeight="1">
      <c r="A22" s="1058">
        <v>44172</v>
      </c>
      <c r="B22" s="28"/>
      <c r="C22" s="1063"/>
      <c r="D22" s="1057"/>
      <c r="E22" s="1057"/>
      <c r="F22" s="1057"/>
      <c r="G22" s="1057"/>
      <c r="H22" s="1057"/>
      <c r="I22" s="1057"/>
      <c r="J22" s="32"/>
      <c r="K22" s="1008" cm="1">
        <f t="array" ref="K22">$A22</f>
        <v>44172</v>
      </c>
      <c r="L22" s="32"/>
      <c r="M22" s="1057"/>
      <c r="N22" s="1057"/>
      <c r="O22" s="1057"/>
      <c r="P22" s="1057"/>
      <c r="Q22" s="1057"/>
      <c r="R22" s="1057"/>
      <c r="S22" s="1057"/>
      <c r="T22" s="32"/>
      <c r="U22" s="1008" cm="1">
        <f t="array" ref="U22">$A22</f>
        <v>44172</v>
      </c>
      <c r="V22" s="68">
        <v>8</v>
      </c>
      <c r="W22" s="1033"/>
      <c r="X22" s="1033"/>
      <c r="Y22" s="1033"/>
      <c r="Z22" s="1033"/>
      <c r="AA22" s="1033"/>
      <c r="AB22" s="1033"/>
      <c r="AC22" s="1033"/>
      <c r="AD22" s="32"/>
    </row>
    <row r="23" ht="20.35" customHeight="1">
      <c r="A23" s="1058">
        <v>44179</v>
      </c>
      <c r="B23" s="1021">
        <v>1</v>
      </c>
      <c r="C23" s="1029"/>
      <c r="D23" s="1030"/>
      <c r="E23" s="1030"/>
      <c r="F23" s="1030"/>
      <c r="G23" s="1030"/>
      <c r="H23" s="1030"/>
      <c r="I23" s="1030"/>
      <c r="J23" s="32"/>
      <c r="K23" s="1008" cm="1">
        <f t="array" ref="K23">$A23</f>
        <v>44179</v>
      </c>
      <c r="L23" s="68">
        <v>1</v>
      </c>
      <c r="M23" s="1030"/>
      <c r="N23" s="1030"/>
      <c r="O23" s="1030"/>
      <c r="P23" s="1030"/>
      <c r="Q23" s="1030"/>
      <c r="R23" s="1030"/>
      <c r="S23" s="1030"/>
      <c r="T23" s="32"/>
      <c r="U23" s="1008" cm="1">
        <f t="array" ref="U23">$A23</f>
        <v>44179</v>
      </c>
      <c r="V23" s="68">
        <v>9</v>
      </c>
      <c r="W23" s="1033"/>
      <c r="X23" s="1033"/>
      <c r="Y23" s="1033"/>
      <c r="Z23" s="1033"/>
      <c r="AA23" s="1033"/>
      <c r="AB23" s="1033"/>
      <c r="AC23" s="1033"/>
      <c r="AD23" s="32"/>
    </row>
    <row r="24" ht="20.35" customHeight="1">
      <c r="A24" s="1058">
        <v>44186</v>
      </c>
      <c r="B24" s="1021">
        <v>2</v>
      </c>
      <c r="C24" s="1029"/>
      <c r="D24" s="1030"/>
      <c r="E24" s="1030"/>
      <c r="F24" s="1030"/>
      <c r="G24" s="1030"/>
      <c r="H24" s="1030"/>
      <c r="I24" s="1030"/>
      <c r="J24" s="32"/>
      <c r="K24" s="1008" cm="1">
        <f t="array" ref="K24">$A24</f>
        <v>44186</v>
      </c>
      <c r="L24" s="68">
        <v>2</v>
      </c>
      <c r="M24" s="1030"/>
      <c r="N24" s="1030"/>
      <c r="O24" s="1030"/>
      <c r="P24" s="1030"/>
      <c r="Q24" s="1030"/>
      <c r="R24" s="1030"/>
      <c r="S24" s="1030"/>
      <c r="T24" s="32"/>
      <c r="U24" s="1008" cm="1">
        <f t="array" ref="U24">$A24</f>
        <v>44186</v>
      </c>
      <c r="V24" s="68">
        <v>10</v>
      </c>
      <c r="W24" s="1033"/>
      <c r="X24" s="1033"/>
      <c r="Y24" s="1033"/>
      <c r="Z24" s="1033"/>
      <c r="AA24" s="1033"/>
      <c r="AB24" s="1033"/>
      <c r="AC24" s="1033"/>
      <c r="AD24" s="32"/>
    </row>
    <row r="25" ht="20.35" customHeight="1">
      <c r="A25" s="1058">
        <v>44193</v>
      </c>
      <c r="B25" s="1021">
        <v>3</v>
      </c>
      <c r="C25" s="1029"/>
      <c r="D25" s="1030"/>
      <c r="E25" s="1030"/>
      <c r="F25" s="1030"/>
      <c r="G25" s="1030"/>
      <c r="H25" s="1030"/>
      <c r="I25" s="1030"/>
      <c r="J25" s="32"/>
      <c r="K25" s="1008" cm="1">
        <f t="array" ref="K25">$A25</f>
        <v>44193</v>
      </c>
      <c r="L25" s="68">
        <v>3</v>
      </c>
      <c r="M25" s="1030"/>
      <c r="N25" s="1030"/>
      <c r="O25" s="1030"/>
      <c r="P25" s="1030"/>
      <c r="Q25" s="1030"/>
      <c r="R25" s="1030"/>
      <c r="S25" s="1030"/>
      <c r="T25" s="32"/>
      <c r="U25" s="1008" cm="1">
        <f t="array" ref="U25">$A25</f>
        <v>44193</v>
      </c>
      <c r="V25" s="68">
        <v>11</v>
      </c>
      <c r="W25" s="1033"/>
      <c r="X25" s="1033"/>
      <c r="Y25" s="1033"/>
      <c r="Z25" s="1033"/>
      <c r="AA25" s="1033"/>
      <c r="AB25" s="1033"/>
      <c r="AC25" s="1026"/>
      <c r="AD25" s="32"/>
    </row>
    <row r="26" ht="20.35" customHeight="1">
      <c r="A26" s="1058">
        <v>44200</v>
      </c>
      <c r="B26" s="1021">
        <v>4</v>
      </c>
      <c r="C26" s="1029"/>
      <c r="D26" s="1030"/>
      <c r="E26" s="1030"/>
      <c r="F26" s="1030"/>
      <c r="G26" s="1030"/>
      <c r="H26" s="1030"/>
      <c r="I26" s="1030"/>
      <c r="J26" s="32"/>
      <c r="K26" s="1008" cm="1">
        <f t="array" ref="K26">$A26</f>
        <v>44200</v>
      </c>
      <c r="L26" s="68">
        <v>4</v>
      </c>
      <c r="M26" s="1030"/>
      <c r="N26" s="1030"/>
      <c r="O26" s="1030"/>
      <c r="P26" s="1030"/>
      <c r="Q26" s="1030"/>
      <c r="R26" s="1030"/>
      <c r="S26" s="1030"/>
      <c r="T26" s="32"/>
      <c r="U26" s="1008" cm="1">
        <f t="array" ref="U26">$A26</f>
        <v>44200</v>
      </c>
      <c r="V26" s="32"/>
      <c r="W26" s="1057"/>
      <c r="X26" s="1057"/>
      <c r="Y26" s="1057"/>
      <c r="Z26" s="1057"/>
      <c r="AA26" s="1057"/>
      <c r="AB26" s="1057"/>
      <c r="AC26" s="1057"/>
      <c r="AD26" s="32"/>
    </row>
    <row r="27" ht="20.35" customHeight="1">
      <c r="A27" s="1058">
        <v>44207</v>
      </c>
      <c r="B27" s="1021">
        <v>1</v>
      </c>
      <c r="C27" s="1029"/>
      <c r="D27" s="1030"/>
      <c r="E27" s="1030"/>
      <c r="F27" s="1030"/>
      <c r="G27" s="1033"/>
      <c r="H27" s="1033"/>
      <c r="I27" s="1033"/>
      <c r="J27" s="32"/>
      <c r="K27" s="1008" cm="1">
        <f t="array" ref="K27">$A27</f>
        <v>44207</v>
      </c>
      <c r="L27" s="68">
        <v>1</v>
      </c>
      <c r="M27" s="1030"/>
      <c r="N27" s="1030"/>
      <c r="O27" s="1030"/>
      <c r="P27" s="1030"/>
      <c r="Q27" s="1033"/>
      <c r="R27" s="1033"/>
      <c r="S27" s="1033"/>
      <c r="T27" s="32"/>
      <c r="U27" s="1008" cm="1">
        <f t="array" ref="U27">$A27</f>
        <v>44207</v>
      </c>
      <c r="V27" s="32"/>
      <c r="W27" s="1057"/>
      <c r="X27" s="1057"/>
      <c r="Y27" s="1057"/>
      <c r="Z27" s="1057"/>
      <c r="AA27" s="1057"/>
      <c r="AB27" s="1057"/>
      <c r="AC27" s="1057"/>
      <c r="AD27" s="32"/>
    </row>
    <row r="28" ht="20.35" customHeight="1">
      <c r="A28" s="1058">
        <v>44214</v>
      </c>
      <c r="B28" s="1021">
        <v>2</v>
      </c>
      <c r="C28" s="1035"/>
      <c r="D28" s="1033"/>
      <c r="E28" s="1033"/>
      <c r="F28" s="1033"/>
      <c r="G28" s="1033"/>
      <c r="H28" s="1033"/>
      <c r="I28" s="1033"/>
      <c r="J28" s="32"/>
      <c r="K28" s="1008" cm="1">
        <f t="array" ref="K28">$A28</f>
        <v>44214</v>
      </c>
      <c r="L28" s="68">
        <v>2</v>
      </c>
      <c r="M28" s="1033"/>
      <c r="N28" s="1033"/>
      <c r="O28" s="1033"/>
      <c r="P28" s="1033"/>
      <c r="Q28" s="1033"/>
      <c r="R28" s="1033"/>
      <c r="S28" s="1033"/>
      <c r="T28" s="32"/>
      <c r="U28" s="1008" cm="1">
        <f t="array" ref="U28">$A28</f>
        <v>44214</v>
      </c>
      <c r="V28" s="32"/>
      <c r="W28" s="1057"/>
      <c r="X28" s="1057"/>
      <c r="Y28" s="1057"/>
      <c r="Z28" s="1057"/>
      <c r="AA28" s="1057"/>
      <c r="AB28" s="1057"/>
      <c r="AC28" s="1057"/>
      <c r="AD28" s="32"/>
    </row>
    <row r="29" ht="20.35" customHeight="1">
      <c r="A29" s="1058">
        <v>44221</v>
      </c>
      <c r="B29" s="1021">
        <v>3</v>
      </c>
      <c r="C29" s="1035"/>
      <c r="D29" s="1033"/>
      <c r="E29" s="1033"/>
      <c r="F29" s="1033"/>
      <c r="G29" s="1033"/>
      <c r="H29" s="1033"/>
      <c r="I29" s="1033"/>
      <c r="J29" s="32"/>
      <c r="K29" s="1008" cm="1">
        <f t="array" ref="K29">$A29</f>
        <v>44221</v>
      </c>
      <c r="L29" s="68">
        <v>3</v>
      </c>
      <c r="M29" s="1033"/>
      <c r="N29" s="1033"/>
      <c r="O29" s="1033"/>
      <c r="P29" s="1033"/>
      <c r="Q29" s="1033"/>
      <c r="R29" s="1033"/>
      <c r="S29" s="1033"/>
      <c r="T29" s="32"/>
      <c r="U29" s="1008" cm="1">
        <f t="array" ref="U29">$A29</f>
        <v>44221</v>
      </c>
      <c r="V29" s="32"/>
      <c r="W29" s="1057"/>
      <c r="X29" s="1057"/>
      <c r="Y29" s="1057"/>
      <c r="Z29" s="1057"/>
      <c r="AA29" s="1057"/>
      <c r="AB29" s="1057"/>
      <c r="AC29" s="1057"/>
      <c r="AD29" s="32"/>
    </row>
    <row r="30" ht="20.35" customHeight="1">
      <c r="A30" s="1058">
        <v>44228</v>
      </c>
      <c r="B30" s="1021">
        <v>4</v>
      </c>
      <c r="C30" s="1035"/>
      <c r="D30" s="1033"/>
      <c r="E30" s="1033"/>
      <c r="F30" s="1033"/>
      <c r="G30" s="1033"/>
      <c r="H30" t="s" s="1034">
        <v>1372</v>
      </c>
      <c r="I30" s="1033"/>
      <c r="J30" s="32"/>
      <c r="K30" s="1008" cm="1">
        <f t="array" ref="K30">$A30</f>
        <v>44228</v>
      </c>
      <c r="L30" s="68">
        <v>4</v>
      </c>
      <c r="M30" s="1033"/>
      <c r="N30" s="1033"/>
      <c r="O30" s="1033"/>
      <c r="P30" s="1033"/>
      <c r="Q30" s="1033"/>
      <c r="R30" t="s" s="1034">
        <v>1372</v>
      </c>
      <c r="S30" s="1033"/>
      <c r="T30" s="32"/>
      <c r="U30" s="1008" cm="1">
        <f t="array" ref="U30">$A30</f>
        <v>44228</v>
      </c>
      <c r="V30" s="32"/>
      <c r="W30" s="1057"/>
      <c r="X30" s="1057"/>
      <c r="Y30" s="1057"/>
      <c r="Z30" s="1057"/>
      <c r="AA30" s="1057"/>
      <c r="AB30" s="1057"/>
      <c r="AC30" s="1057"/>
      <c r="AD30" s="32"/>
    </row>
    <row r="31" ht="20.35" customHeight="1">
      <c r="A31" s="1058">
        <v>44235</v>
      </c>
      <c r="B31" s="1021">
        <v>5</v>
      </c>
      <c r="C31" s="1035"/>
      <c r="D31" s="1033"/>
      <c r="E31" s="1033"/>
      <c r="F31" s="1033"/>
      <c r="G31" s="1033"/>
      <c r="H31" s="1033"/>
      <c r="I31" s="1033"/>
      <c r="J31" s="32"/>
      <c r="K31" s="1008" cm="1">
        <f t="array" ref="K31">$A31</f>
        <v>44235</v>
      </c>
      <c r="L31" s="68">
        <v>5</v>
      </c>
      <c r="M31" s="1033"/>
      <c r="N31" s="1033"/>
      <c r="O31" s="1033"/>
      <c r="P31" s="1033"/>
      <c r="Q31" s="1033"/>
      <c r="R31" s="1033"/>
      <c r="S31" s="1033"/>
      <c r="T31" s="32"/>
      <c r="U31" s="1008" cm="1">
        <f t="array" ref="U31">$A31</f>
        <v>44235</v>
      </c>
      <c r="V31" s="32"/>
      <c r="W31" s="1057"/>
      <c r="X31" s="1057"/>
      <c r="Y31" s="1057"/>
      <c r="Z31" s="1057"/>
      <c r="AA31" s="1057"/>
      <c r="AB31" s="1057"/>
      <c r="AC31" s="1057"/>
      <c r="AD31" s="32"/>
    </row>
    <row r="32" ht="20.35" customHeight="1">
      <c r="A32" s="1058">
        <v>44242</v>
      </c>
      <c r="B32" s="1021">
        <v>6</v>
      </c>
      <c r="C32" s="1035"/>
      <c r="D32" s="1033"/>
      <c r="E32" s="1033"/>
      <c r="F32" s="1033"/>
      <c r="G32" s="1033"/>
      <c r="H32" s="1033"/>
      <c r="I32" s="1033"/>
      <c r="J32" s="32"/>
      <c r="K32" s="1008" cm="1">
        <f t="array" ref="K32">$A32</f>
        <v>44242</v>
      </c>
      <c r="L32" s="68">
        <v>6</v>
      </c>
      <c r="M32" s="1033"/>
      <c r="N32" s="1033"/>
      <c r="O32" s="1033"/>
      <c r="P32" s="1033"/>
      <c r="Q32" s="1033"/>
      <c r="R32" s="1033"/>
      <c r="S32" s="1033"/>
      <c r="T32" s="32"/>
      <c r="U32" s="1008" cm="1">
        <f t="array" ref="U32">$A32</f>
        <v>44242</v>
      </c>
      <c r="V32" s="32"/>
      <c r="W32" s="1057"/>
      <c r="X32" s="1057"/>
      <c r="Y32" s="1057"/>
      <c r="Z32" s="1057"/>
      <c r="AA32" s="1057"/>
      <c r="AB32" s="1057"/>
      <c r="AC32" s="1057"/>
      <c r="AD32" s="32"/>
    </row>
    <row r="33" ht="20.35" customHeight="1">
      <c r="A33" s="1058">
        <v>44249</v>
      </c>
      <c r="B33" s="1021">
        <v>7</v>
      </c>
      <c r="C33" s="1035"/>
      <c r="D33" s="1033"/>
      <c r="E33" s="1033"/>
      <c r="F33" s="1033"/>
      <c r="G33" s="1033"/>
      <c r="H33" s="1033"/>
      <c r="I33" s="1033"/>
      <c r="J33" s="32"/>
      <c r="K33" s="1008" cm="1">
        <f t="array" ref="K33">$A33</f>
        <v>44249</v>
      </c>
      <c r="L33" s="68">
        <v>7</v>
      </c>
      <c r="M33" s="1033"/>
      <c r="N33" s="1033"/>
      <c r="O33" s="1033"/>
      <c r="P33" s="1033"/>
      <c r="Q33" s="1033"/>
      <c r="R33" s="1033"/>
      <c r="S33" s="1033"/>
      <c r="T33" s="32"/>
      <c r="U33" s="1008" cm="1">
        <f t="array" ref="U33">$A33</f>
        <v>44249</v>
      </c>
      <c r="V33" s="32"/>
      <c r="W33" s="1057"/>
      <c r="X33" s="1057"/>
      <c r="Y33" s="1057"/>
      <c r="Z33" s="1057"/>
      <c r="AA33" s="1057"/>
      <c r="AB33" s="1057"/>
      <c r="AC33" s="1057"/>
      <c r="AD33" s="32"/>
    </row>
    <row r="34" ht="20.35" customHeight="1">
      <c r="A34" s="1058">
        <v>44256</v>
      </c>
      <c r="B34" s="1021">
        <v>8</v>
      </c>
      <c r="C34" s="1035"/>
      <c r="D34" s="1033"/>
      <c r="E34" s="1033"/>
      <c r="F34" s="1033"/>
      <c r="G34" s="1033"/>
      <c r="H34" s="1033"/>
      <c r="I34" s="1033"/>
      <c r="J34" s="32"/>
      <c r="K34" s="1008" cm="1">
        <f t="array" ref="K34">$A34</f>
        <v>44256</v>
      </c>
      <c r="L34" s="68">
        <v>8</v>
      </c>
      <c r="M34" s="1033"/>
      <c r="N34" s="1033"/>
      <c r="O34" s="1033"/>
      <c r="P34" s="1033"/>
      <c r="Q34" s="1033"/>
      <c r="R34" s="1033"/>
      <c r="S34" s="1033"/>
      <c r="T34" s="32"/>
      <c r="U34" s="1008" cm="1">
        <f t="array" ref="U34">$A34</f>
        <v>44256</v>
      </c>
      <c r="V34" s="32"/>
      <c r="W34" s="1057"/>
      <c r="X34" s="1057"/>
      <c r="Y34" s="1057"/>
      <c r="Z34" s="1057"/>
      <c r="AA34" s="1057"/>
      <c r="AB34" s="1057"/>
      <c r="AC34" s="1057"/>
      <c r="AD34" s="32"/>
    </row>
    <row r="35" ht="20.35" customHeight="1">
      <c r="A35" s="1058">
        <v>44263</v>
      </c>
      <c r="B35" s="1021">
        <v>9</v>
      </c>
      <c r="C35" s="1035"/>
      <c r="D35" s="1033"/>
      <c r="E35" s="1033"/>
      <c r="F35" s="1033"/>
      <c r="G35" s="1033"/>
      <c r="H35" s="1033"/>
      <c r="I35" s="1033"/>
      <c r="J35" s="32"/>
      <c r="K35" s="1008" cm="1">
        <f t="array" ref="K35">$A35</f>
        <v>44263</v>
      </c>
      <c r="L35" s="68">
        <v>9</v>
      </c>
      <c r="M35" s="1033"/>
      <c r="N35" s="1033"/>
      <c r="O35" s="1033"/>
      <c r="P35" s="1033"/>
      <c r="Q35" s="1033"/>
      <c r="R35" s="1033"/>
      <c r="S35" s="1033"/>
      <c r="T35" s="32"/>
      <c r="U35" s="1008" cm="1">
        <f t="array" ref="U35">$A35</f>
        <v>44263</v>
      </c>
      <c r="V35" s="32"/>
      <c r="W35" s="1057"/>
      <c r="X35" s="1057"/>
      <c r="Y35" s="1057"/>
      <c r="Z35" s="1057"/>
      <c r="AA35" s="1057"/>
      <c r="AB35" s="1057"/>
      <c r="AC35" s="1057"/>
      <c r="AD35" s="32"/>
    </row>
    <row r="36" ht="20.35" customHeight="1">
      <c r="A36" s="1058">
        <v>44270</v>
      </c>
      <c r="B36" s="1021">
        <v>10</v>
      </c>
      <c r="C36" s="1035"/>
      <c r="D36" s="1033"/>
      <c r="E36" s="1033"/>
      <c r="F36" s="1033"/>
      <c r="G36" s="1033"/>
      <c r="H36" s="1033"/>
      <c r="I36" s="1033"/>
      <c r="J36" s="32"/>
      <c r="K36" s="1008" cm="1">
        <f t="array" ref="K36">$A36</f>
        <v>44270</v>
      </c>
      <c r="L36" s="68">
        <v>10</v>
      </c>
      <c r="M36" s="1033"/>
      <c r="N36" s="1033"/>
      <c r="O36" s="1033"/>
      <c r="P36" s="1033"/>
      <c r="Q36" s="1033"/>
      <c r="R36" s="1033"/>
      <c r="S36" s="1033"/>
      <c r="T36" s="32"/>
      <c r="U36" s="1008" cm="1">
        <f t="array" ref="U36">$A36</f>
        <v>44270</v>
      </c>
      <c r="V36" s="32"/>
      <c r="W36" s="1057"/>
      <c r="X36" s="1057"/>
      <c r="Y36" s="1057"/>
      <c r="Z36" s="1057"/>
      <c r="AA36" s="1057"/>
      <c r="AB36" s="1057"/>
      <c r="AC36" s="1057"/>
      <c r="AD36" s="32"/>
    </row>
    <row r="37" ht="20.35" customHeight="1">
      <c r="A37" s="1058">
        <v>44277</v>
      </c>
      <c r="B37" s="28"/>
      <c r="C37" s="1035"/>
      <c r="D37" s="1033"/>
      <c r="E37" s="1033"/>
      <c r="F37" s="1033"/>
      <c r="G37" s="1033"/>
      <c r="H37" s="1033"/>
      <c r="I37" s="1033"/>
      <c r="J37" s="32"/>
      <c r="K37" s="1008" cm="1">
        <f t="array" ref="K37">$A37</f>
        <v>44277</v>
      </c>
      <c r="L37" s="32"/>
      <c r="M37" s="1033"/>
      <c r="N37" s="1033"/>
      <c r="O37" s="1033"/>
      <c r="P37" s="1033"/>
      <c r="Q37" s="1033"/>
      <c r="R37" s="1033"/>
      <c r="S37" s="1026"/>
      <c r="T37" s="32"/>
      <c r="U37" s="1008" cm="1">
        <f t="array" ref="U37">$A37</f>
        <v>44277</v>
      </c>
      <c r="V37" s="32"/>
      <c r="W37" s="1057"/>
      <c r="X37" s="1057"/>
      <c r="Y37" s="1057"/>
      <c r="Z37" s="1057"/>
      <c r="AA37" s="1057"/>
      <c r="AB37" s="1057"/>
      <c r="AC37" s="1057"/>
      <c r="AD37" s="32"/>
    </row>
    <row r="38" ht="20.35" customHeight="1">
      <c r="A38" s="1058">
        <v>44284</v>
      </c>
      <c r="B38" s="28"/>
      <c r="C38" s="1063"/>
      <c r="D38" s="1057"/>
      <c r="E38" s="1057"/>
      <c r="F38" s="1057"/>
      <c r="G38" s="1057"/>
      <c r="H38" s="1057"/>
      <c r="I38" s="1057"/>
      <c r="J38" s="32"/>
      <c r="K38" s="1008" cm="1">
        <f t="array" ref="K38">$A38</f>
        <v>44284</v>
      </c>
      <c r="L38" s="32"/>
      <c r="M38" s="1057"/>
      <c r="N38" s="1057"/>
      <c r="O38" s="1057"/>
      <c r="P38" s="1057"/>
      <c r="Q38" s="1057"/>
      <c r="R38" s="1057"/>
      <c r="S38" s="1057"/>
      <c r="T38" s="32"/>
      <c r="U38" s="1008" cm="1">
        <f t="array" ref="U38">$A38</f>
        <v>44284</v>
      </c>
      <c r="V38" s="32"/>
      <c r="W38" s="1057"/>
      <c r="X38" s="1057"/>
      <c r="Y38" s="1057"/>
      <c r="Z38" s="1057"/>
      <c r="AA38" s="1057"/>
      <c r="AB38" s="1057"/>
      <c r="AC38" s="1057"/>
      <c r="AD38"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2.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5" width="16.3516" style="1064" customWidth="1"/>
    <col min="6" max="16384" width="16.3516" style="1064" customWidth="1"/>
  </cols>
  <sheetData>
    <row r="1" ht="28" customHeight="1">
      <c r="A1" t="s" s="90">
        <v>61</v>
      </c>
      <c r="B1" s="90"/>
      <c r="C1" s="90"/>
      <c r="D1" s="90"/>
      <c r="E1" s="90"/>
    </row>
    <row r="2" ht="20.55" customHeight="1">
      <c r="A2" s="7"/>
      <c r="B2" s="7"/>
      <c r="C2" s="7"/>
      <c r="D2" s="7"/>
      <c r="E2" s="7"/>
    </row>
    <row r="3" ht="20.55" customHeight="1">
      <c r="A3" s="224"/>
      <c r="B3" s="524"/>
      <c r="C3" s="82"/>
      <c r="D3" s="82"/>
      <c r="E3" s="82"/>
    </row>
    <row r="4" ht="20.35" customHeight="1">
      <c r="A4" s="28"/>
      <c r="B4" s="29"/>
      <c r="C4" s="32"/>
      <c r="D4" s="32"/>
      <c r="E4" s="32"/>
    </row>
    <row r="5" ht="20.35" customHeight="1">
      <c r="A5" s="28"/>
      <c r="B5" s="29"/>
      <c r="C5" s="32"/>
      <c r="D5" s="32"/>
      <c r="E5" s="32"/>
    </row>
    <row r="6" ht="20.35" customHeight="1">
      <c r="A6" s="28"/>
      <c r="B6" s="29"/>
      <c r="C6" s="32"/>
      <c r="D6" s="32"/>
      <c r="E6" s="32"/>
    </row>
    <row r="7" ht="20.35" customHeight="1">
      <c r="A7" s="28"/>
      <c r="B7" s="29"/>
      <c r="C7" s="32"/>
      <c r="D7" s="32"/>
      <c r="E7" s="32"/>
    </row>
    <row r="8" ht="20.35" customHeight="1">
      <c r="A8" s="28"/>
      <c r="B8" s="29"/>
      <c r="C8" s="32"/>
      <c r="D8" s="32"/>
      <c r="E8" s="32"/>
    </row>
    <row r="9" ht="20.35" customHeight="1">
      <c r="A9" s="28"/>
      <c r="B9" s="29"/>
      <c r="C9" s="32"/>
      <c r="D9" s="32"/>
      <c r="E9" s="32"/>
    </row>
    <row r="10" ht="20.35" customHeight="1">
      <c r="A10" s="28"/>
      <c r="B10" s="29"/>
      <c r="C10" s="32"/>
      <c r="D10" s="32"/>
      <c r="E10" s="32"/>
    </row>
    <row r="11" ht="20.35" customHeight="1">
      <c r="A11" s="28"/>
      <c r="B11" s="29"/>
      <c r="C11" s="32"/>
      <c r="D11" s="32"/>
      <c r="E11" s="32"/>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3.xml><?xml version="1.0" encoding="utf-8"?>
<worksheet xmlns:r="http://schemas.openxmlformats.org/officeDocument/2006/relationships" xmlns="http://schemas.openxmlformats.org/spreadsheetml/2006/main">
  <sheetPr>
    <pageSetUpPr fitToPage="1"/>
  </sheetPr>
  <dimension ref="A1:D20"/>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4" width="16.3516" style="1065" customWidth="1"/>
    <col min="5" max="16384" width="16.3516" style="1065" customWidth="1"/>
  </cols>
  <sheetData>
    <row r="1" ht="20.55" customHeight="1">
      <c r="A1" s="7"/>
      <c r="B1" t="s" s="8">
        <v>1723</v>
      </c>
      <c r="C1" t="s" s="8">
        <v>1724</v>
      </c>
      <c r="D1" t="s" s="8">
        <v>1725</v>
      </c>
    </row>
    <row r="2" ht="20.55" customHeight="1">
      <c r="A2" t="s" s="10">
        <v>1726</v>
      </c>
      <c r="B2" s="11">
        <v>100</v>
      </c>
      <c r="C2" s="48">
        <v>620</v>
      </c>
      <c r="D2" s="1066" cm="1">
        <f t="array" ref="D2">C2/B2</f>
        <v>6.2</v>
      </c>
    </row>
    <row r="3" ht="20.35" customHeight="1">
      <c r="A3" t="s" s="17">
        <v>1727</v>
      </c>
      <c r="B3" s="18">
        <v>125</v>
      </c>
      <c r="C3" s="26">
        <v>1680</v>
      </c>
      <c r="D3" s="995" cm="1">
        <f t="array" ref="D3">C3/B3</f>
        <v>13.44</v>
      </c>
    </row>
    <row r="4" ht="20.35" customHeight="1">
      <c r="A4" t="s" s="17">
        <v>1728</v>
      </c>
      <c r="B4" s="18">
        <v>1000</v>
      </c>
      <c r="C4" s="26">
        <v>839</v>
      </c>
      <c r="D4" s="995" cm="1">
        <f t="array" ref="D4">C4/B4</f>
        <v>0.839</v>
      </c>
    </row>
    <row r="5" ht="20.35" customHeight="1">
      <c r="A5" t="s" s="17">
        <v>1444</v>
      </c>
      <c r="B5" s="18">
        <v>250</v>
      </c>
      <c r="C5" s="26">
        <v>2100</v>
      </c>
      <c r="D5" s="995" cm="1">
        <f t="array" ref="D5">C5/B5</f>
        <v>8.4</v>
      </c>
    </row>
    <row r="6" ht="20.35" customHeight="1">
      <c r="A6" t="s" s="17">
        <v>1729</v>
      </c>
      <c r="B6" s="18">
        <v>980</v>
      </c>
      <c r="C6" s="26">
        <v>1700</v>
      </c>
      <c r="D6" s="995" cm="1">
        <f t="array" ref="D6">C6/B6</f>
        <v>1.73469387755102</v>
      </c>
    </row>
    <row r="7" ht="20.35" customHeight="1">
      <c r="A7" t="s" s="17">
        <v>1730</v>
      </c>
      <c r="B7" s="18">
        <v>1000</v>
      </c>
      <c r="C7" s="26">
        <v>800</v>
      </c>
      <c r="D7" s="995" cm="1">
        <f t="array" ref="D7">C7/B7</f>
        <v>0.8</v>
      </c>
    </row>
    <row r="8" ht="20.35" customHeight="1">
      <c r="A8" t="s" s="17">
        <v>1731</v>
      </c>
      <c r="B8" s="18">
        <v>1000</v>
      </c>
      <c r="C8" s="26">
        <v>3450</v>
      </c>
      <c r="D8" s="995" cm="1">
        <f t="array" ref="D8">C8/B8</f>
        <v>3.45</v>
      </c>
    </row>
    <row r="9" ht="20.35" customHeight="1">
      <c r="A9" s="28"/>
      <c r="B9" s="29"/>
      <c r="C9" s="26"/>
      <c r="D9" s="995"/>
    </row>
    <row r="10" ht="20.35" customHeight="1">
      <c r="A10" t="s" s="17">
        <v>1732</v>
      </c>
      <c r="B10" s="18">
        <v>1000</v>
      </c>
      <c r="C10" s="26">
        <v>369</v>
      </c>
      <c r="D10" s="995" cm="1">
        <f t="array" ref="D10">C10/B10</f>
        <v>0.369</v>
      </c>
    </row>
    <row r="11" ht="20.35" customHeight="1">
      <c r="A11" t="s" s="17">
        <v>1733</v>
      </c>
      <c r="B11" s="18">
        <v>1000</v>
      </c>
      <c r="C11" s="26">
        <v>799</v>
      </c>
      <c r="D11" s="995" cm="1">
        <f t="array" ref="D11">C11/B11</f>
        <v>0.799</v>
      </c>
    </row>
    <row r="12" ht="20.35" customHeight="1">
      <c r="A12" s="28"/>
      <c r="B12" s="29"/>
      <c r="C12" s="26"/>
      <c r="D12" s="995"/>
    </row>
    <row r="13" ht="20.35" customHeight="1">
      <c r="A13" t="s" s="17">
        <v>1734</v>
      </c>
      <c r="B13" s="18">
        <v>380</v>
      </c>
      <c r="C13" s="26">
        <v>989</v>
      </c>
      <c r="D13" s="995" cm="1">
        <f t="array" ref="D13">C13/B13</f>
        <v>2.60263157894737</v>
      </c>
    </row>
    <row r="14" ht="20.35" customHeight="1">
      <c r="A14" t="s" s="17">
        <v>1735</v>
      </c>
      <c r="B14" s="18">
        <v>100</v>
      </c>
      <c r="C14" s="26">
        <v>1399</v>
      </c>
      <c r="D14" s="995" cm="1">
        <f t="array" ref="D14">C14/B14</f>
        <v>13.99</v>
      </c>
    </row>
    <row r="15" ht="20.35" customHeight="1">
      <c r="A15" t="s" s="17">
        <v>1729</v>
      </c>
      <c r="B15" s="18">
        <v>980</v>
      </c>
      <c r="C15" s="26">
        <v>1700</v>
      </c>
      <c r="D15" s="995" cm="1">
        <f t="array" ref="D15">C15/B15</f>
        <v>1.73469387755102</v>
      </c>
    </row>
    <row r="16" ht="20.35" customHeight="1">
      <c r="A16" t="s" s="17">
        <v>1736</v>
      </c>
      <c r="B16" s="18">
        <v>1</v>
      </c>
      <c r="C16" s="26">
        <v>50</v>
      </c>
      <c r="D16" s="995" cm="1">
        <f t="array" ref="D16">C16/B16</f>
        <v>50</v>
      </c>
    </row>
    <row r="17" ht="20.35" customHeight="1">
      <c r="A17" t="s" s="17">
        <v>1737</v>
      </c>
      <c r="B17" s="18">
        <v>1</v>
      </c>
      <c r="C17" s="26">
        <v>400</v>
      </c>
      <c r="D17" s="995" cm="1">
        <f t="array" ref="D17">C17/B17</f>
        <v>400</v>
      </c>
    </row>
    <row r="18" ht="20.35" customHeight="1">
      <c r="A18" t="s" s="17">
        <v>1738</v>
      </c>
      <c r="B18" s="29"/>
      <c r="C18" s="26"/>
      <c r="D18" s="995"/>
    </row>
    <row r="19" ht="20.35" customHeight="1">
      <c r="A19" t="s" s="17">
        <v>1424</v>
      </c>
      <c r="B19" s="18">
        <v>1</v>
      </c>
      <c r="C19" s="26">
        <v>50</v>
      </c>
      <c r="D19" s="995" cm="1">
        <f t="array" ref="D19">C19/B19</f>
        <v>50</v>
      </c>
    </row>
    <row r="20" ht="20.35" customHeight="1">
      <c r="A20" t="s" s="17">
        <v>1739</v>
      </c>
      <c r="B20" s="18">
        <v>1</v>
      </c>
      <c r="C20" s="26">
        <v>3290</v>
      </c>
      <c r="D20" s="995" cm="1">
        <f t="array" ref="D20">C20/B20</f>
        <v>3290</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4.xml><?xml version="1.0" encoding="utf-8"?>
<worksheet xmlns:r="http://schemas.openxmlformats.org/officeDocument/2006/relationships" xmlns="http://schemas.openxmlformats.org/spreadsheetml/2006/main">
  <sheetPr>
    <pageSetUpPr fitToPage="1"/>
  </sheetPr>
  <dimension ref="A1:E36"/>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20.1719" style="1067" customWidth="1"/>
    <col min="2" max="5" width="16.3516" style="1067" customWidth="1"/>
    <col min="6" max="16384" width="16.3516" style="1067" customWidth="1"/>
  </cols>
  <sheetData>
    <row r="1" ht="20.55" customHeight="1">
      <c r="A1" s="7"/>
      <c r="B1" s="7"/>
      <c r="C1" t="s" s="8">
        <v>1741</v>
      </c>
      <c r="D1" t="s" s="8">
        <v>1742</v>
      </c>
      <c r="E1" s="7"/>
    </row>
    <row r="2" ht="20.55" customHeight="1">
      <c r="A2" t="s" s="10">
        <v>1743</v>
      </c>
      <c r="B2" s="524"/>
      <c r="C2" s="82"/>
      <c r="D2" s="1066"/>
      <c r="E2" s="82"/>
    </row>
    <row r="3" ht="20.35" customHeight="1">
      <c r="A3" t="s" s="1068">
        <v>1744</v>
      </c>
      <c r="B3" s="29"/>
      <c r="C3" s="68">
        <v>14</v>
      </c>
      <c r="D3" s="995" cm="1">
        <f t="array" ref="D3">C3*'comida - Table 2'!D3</f>
        <v>188.16</v>
      </c>
      <c r="E3" s="32"/>
    </row>
    <row r="4" ht="20.35" customHeight="1">
      <c r="A4" t="s" s="1068">
        <v>1728</v>
      </c>
      <c r="B4" s="29"/>
      <c r="C4" s="68" cm="1">
        <f t="array" ref="C4">183*1.5</f>
        <v>274.5</v>
      </c>
      <c r="D4" s="995" cm="1">
        <f t="array" ref="D4">C4*'comida - Table 2'!D4</f>
        <v>230.3055</v>
      </c>
      <c r="E4" s="68" cm="1">
        <f t="array" ref="E4">C4/2</f>
        <v>137.25</v>
      </c>
    </row>
    <row r="5" ht="20.35" customHeight="1">
      <c r="A5" t="s" s="1068">
        <v>1732</v>
      </c>
      <c r="B5" s="29"/>
      <c r="C5" s="32"/>
      <c r="D5" s="995" cm="1">
        <f t="array" ref="D5">C5*'comida - Table 2'!D5</f>
        <v>0</v>
      </c>
      <c r="E5" s="32"/>
    </row>
    <row r="6" ht="20.35" customHeight="1">
      <c r="A6" t="s" s="1068">
        <v>1444</v>
      </c>
      <c r="B6" s="29"/>
      <c r="C6" s="68" cm="1">
        <f t="array" ref="C6">28*1.5</f>
        <v>42</v>
      </c>
      <c r="D6" s="995" cm="1">
        <f t="array" ref="D6">C6*'comida - Table 2'!D5</f>
        <v>352.8</v>
      </c>
      <c r="E6" t="s" s="565">
        <v>1745</v>
      </c>
    </row>
    <row r="7" ht="20.35" customHeight="1">
      <c r="A7" t="s" s="1068">
        <v>1729</v>
      </c>
      <c r="B7" s="29"/>
      <c r="C7" s="68" cm="1">
        <f t="array" ref="C7">20*1.5</f>
        <v>30</v>
      </c>
      <c r="D7" s="995" cm="1">
        <f t="array" ref="D7">C7*'comida - Table 2'!D6</f>
        <v>52.0408163265306</v>
      </c>
      <c r="E7" s="1069" cm="1">
        <f t="array" ref="E7">SUM(D3:D7)</f>
        <v>823.306316326531</v>
      </c>
    </row>
    <row r="8" ht="20.35" customHeight="1">
      <c r="A8" s="1070"/>
      <c r="B8" s="29"/>
      <c r="C8" s="32"/>
      <c r="D8" s="995"/>
      <c r="E8" s="32"/>
    </row>
    <row r="9" ht="20.35" customHeight="1">
      <c r="A9" t="s" s="17">
        <v>1746</v>
      </c>
      <c r="B9" s="29"/>
      <c r="C9" s="32"/>
      <c r="D9" s="995"/>
      <c r="E9" s="32"/>
    </row>
    <row r="10" ht="20.35" customHeight="1">
      <c r="A10" t="s" s="1068">
        <v>1728</v>
      </c>
      <c r="B10" s="18" cm="1">
        <f t="array" ref="B10">C10*1.5</f>
        <v>541.5</v>
      </c>
      <c r="C10" s="68">
        <v>361</v>
      </c>
      <c r="D10" s="995" cm="1">
        <f t="array" ref="D10">C10*'comida - Table 2'!D4</f>
        <v>302.879</v>
      </c>
      <c r="E10" s="32"/>
    </row>
    <row r="11" ht="20.35" customHeight="1">
      <c r="A11" t="s" s="1068">
        <v>1727</v>
      </c>
      <c r="B11" s="18" cm="1">
        <f t="array" ref="B11">C11*1.5</f>
        <v>21</v>
      </c>
      <c r="C11" s="68">
        <v>14</v>
      </c>
      <c r="D11" s="995" cm="1">
        <f t="array" ref="D11">C11*'comida - Table 2'!$D$3</f>
        <v>188.16</v>
      </c>
      <c r="E11" s="32"/>
    </row>
    <row r="12" ht="20.35" customHeight="1">
      <c r="A12" t="s" s="1068">
        <v>1729</v>
      </c>
      <c r="B12" s="18" cm="1">
        <f t="array" ref="B12">C12*1.5</f>
        <v>30</v>
      </c>
      <c r="C12" s="68">
        <v>20</v>
      </c>
      <c r="D12" s="995" cm="1">
        <f t="array" ref="D12">C12*'comida - Table 2'!$D$6</f>
        <v>34.6938775510204</v>
      </c>
      <c r="E12" s="32"/>
    </row>
    <row r="13" ht="20.35" customHeight="1">
      <c r="A13" t="s" s="1068">
        <v>1732</v>
      </c>
      <c r="B13" s="18" cm="1">
        <f t="array" ref="B13">C13*1.5</f>
        <v>15</v>
      </c>
      <c r="C13" s="68">
        <v>10</v>
      </c>
      <c r="D13" s="995" cm="1">
        <f t="array" ref="D13">C13*'comida - Table 2'!$D$10</f>
        <v>3.69</v>
      </c>
      <c r="E13" s="32"/>
    </row>
    <row r="14" ht="20.35" customHeight="1">
      <c r="A14" s="1070"/>
      <c r="B14" s="29"/>
      <c r="C14" s="32"/>
      <c r="D14" s="995" cm="1">
        <f t="array" ref="D14">C14*'comida - Table 2'!$D$11</f>
        <v>0</v>
      </c>
      <c r="E14" s="99"/>
    </row>
    <row r="15" ht="20.35" customHeight="1">
      <c r="A15" t="s" s="1068">
        <v>12</v>
      </c>
      <c r="B15" t="s" s="609">
        <v>1747</v>
      </c>
      <c r="C15" t="s" s="565">
        <v>1748</v>
      </c>
      <c r="D15" s="995"/>
      <c r="E15" s="1071"/>
    </row>
    <row r="16" ht="20.35" customHeight="1">
      <c r="A16" t="s" s="1068">
        <v>1730</v>
      </c>
      <c r="B16" s="18" cm="1">
        <f t="array" ref="B16">C16*1.5</f>
        <v>169.5</v>
      </c>
      <c r="C16" s="68">
        <v>113</v>
      </c>
      <c r="D16" s="995" cm="1">
        <f t="array" ref="D16">C16*'comida - Table 2'!D7</f>
        <v>90.40000000000001</v>
      </c>
      <c r="E16" s="1069" cm="1">
        <f t="array" ref="E16">SUM(D10:D16)</f>
        <v>619.822877551020</v>
      </c>
    </row>
    <row r="17" ht="20.35" customHeight="1">
      <c r="A17" s="28"/>
      <c r="B17" s="29"/>
      <c r="C17" s="32"/>
      <c r="D17" s="32"/>
      <c r="E17" s="32"/>
    </row>
    <row r="18" ht="20.35" customHeight="1">
      <c r="A18" t="s" s="17">
        <v>1749</v>
      </c>
      <c r="B18" s="29"/>
      <c r="C18" s="32"/>
      <c r="D18" s="995"/>
      <c r="E18" s="32"/>
    </row>
    <row r="19" ht="20.35" customHeight="1">
      <c r="A19" t="s" s="1068">
        <v>1728</v>
      </c>
      <c r="B19" s="29"/>
      <c r="C19" s="68" cm="1">
        <f t="array" ref="C19">120+418</f>
        <v>538</v>
      </c>
      <c r="D19" s="995" cm="1">
        <f t="array" ref="D19">C19*'comida - Table 2'!D4</f>
        <v>451.382</v>
      </c>
      <c r="E19" s="32"/>
    </row>
    <row r="20" ht="20.35" customHeight="1">
      <c r="A20" t="s" s="1068">
        <v>1727</v>
      </c>
      <c r="B20" s="29"/>
      <c r="C20" s="68">
        <v>14</v>
      </c>
      <c r="D20" s="995" cm="1">
        <f t="array" ref="D20">C20*'comida - Table 2'!D3</f>
        <v>188.16</v>
      </c>
      <c r="E20" s="99"/>
    </row>
    <row r="21" ht="20.35" customHeight="1">
      <c r="A21" t="s" s="1068">
        <v>1732</v>
      </c>
      <c r="B21" s="29"/>
      <c r="C21" s="68">
        <v>10</v>
      </c>
      <c r="D21" s="995" cm="1">
        <f t="array" ref="D21">C21*'comida - Table 2'!D10</f>
        <v>3.69</v>
      </c>
      <c r="E21" s="1069" cm="1">
        <f t="array" ref="E21">SUM(D19:D21)</f>
        <v>643.232</v>
      </c>
    </row>
    <row r="22" ht="20.35" customHeight="1">
      <c r="A22" s="28"/>
      <c r="B22" s="1072"/>
      <c r="C22" s="1039"/>
      <c r="D22" s="995"/>
      <c r="E22" s="32"/>
    </row>
    <row r="23" ht="20.35" customHeight="1">
      <c r="A23" t="s" s="17">
        <v>1750</v>
      </c>
      <c r="B23" s="29"/>
      <c r="C23" s="32"/>
      <c r="D23" s="995"/>
      <c r="E23" s="32"/>
    </row>
    <row r="24" ht="20.35" customHeight="1">
      <c r="A24" t="s" s="1068">
        <v>1728</v>
      </c>
      <c r="B24" s="29"/>
      <c r="C24" s="68">
        <v>500</v>
      </c>
      <c r="D24" s="995" cm="1">
        <f t="array" ref="D24">C24*'comida - Table 2'!D4</f>
        <v>419.5</v>
      </c>
      <c r="E24" s="32"/>
    </row>
    <row r="25" ht="20.35" customHeight="1">
      <c r="A25" t="s" s="1068">
        <v>1727</v>
      </c>
      <c r="B25" s="29"/>
      <c r="C25" s="68">
        <v>14</v>
      </c>
      <c r="D25" s="995" cm="1">
        <f t="array" ref="D25">C25*'comida - Table 2'!$D$3</f>
        <v>188.16</v>
      </c>
      <c r="E25" s="32"/>
    </row>
    <row r="26" ht="20.35" customHeight="1">
      <c r="A26" t="s" s="1068">
        <v>1732</v>
      </c>
      <c r="B26" s="29"/>
      <c r="C26" s="68">
        <v>10</v>
      </c>
      <c r="D26" s="995" cm="1">
        <f t="array" ref="D26">C26*'comida - Table 2'!$D$10</f>
        <v>3.69</v>
      </c>
      <c r="E26" s="32"/>
    </row>
    <row r="27" ht="20.35" customHeight="1">
      <c r="A27" t="s" s="1068">
        <v>1729</v>
      </c>
      <c r="B27" s="29"/>
      <c r="C27" s="68">
        <v>15</v>
      </c>
      <c r="D27" s="995" cm="1">
        <f t="array" ref="D27">C27*'comida - Table 2'!$D$6</f>
        <v>26.0204081632653</v>
      </c>
      <c r="E27" t="s" s="565">
        <v>1751</v>
      </c>
    </row>
    <row r="28" ht="20.35" customHeight="1">
      <c r="A28" t="s" s="1068">
        <v>1752</v>
      </c>
      <c r="B28" s="29"/>
      <c r="C28" s="68">
        <v>12</v>
      </c>
      <c r="D28" s="995" cm="1">
        <f t="array" ref="D28">C28*'comida - Table 2'!$D$11</f>
        <v>9.587999999999999</v>
      </c>
      <c r="E28" s="1069" cm="1">
        <f t="array" ref="E28">SUM(D24:D28)</f>
        <v>646.9584081632649</v>
      </c>
    </row>
    <row r="29" ht="20.35" customHeight="1">
      <c r="A29" s="28"/>
      <c r="B29" s="29"/>
      <c r="C29" s="32"/>
      <c r="D29" s="32"/>
      <c r="E29" s="32"/>
    </row>
    <row r="30" ht="20.35" customHeight="1">
      <c r="A30" t="s" s="17">
        <v>1372</v>
      </c>
      <c r="B30" s="29"/>
      <c r="C30" s="32"/>
      <c r="D30" s="32"/>
      <c r="E30" s="32"/>
    </row>
    <row r="31" ht="20.35" customHeight="1">
      <c r="A31" s="1070"/>
      <c r="B31" s="29"/>
      <c r="C31" s="32"/>
      <c r="D31" s="32"/>
      <c r="E31" s="32"/>
    </row>
    <row r="32" ht="20.35" customHeight="1">
      <c r="A32" s="1070"/>
      <c r="B32" s="29"/>
      <c r="C32" s="32"/>
      <c r="D32" s="32"/>
      <c r="E32" s="32"/>
    </row>
    <row r="33" ht="20.35" customHeight="1">
      <c r="A33" s="1070"/>
      <c r="B33" s="29"/>
      <c r="C33" s="32"/>
      <c r="D33" s="32"/>
      <c r="E33" s="32"/>
    </row>
    <row r="34" ht="20.35" customHeight="1">
      <c r="A34" s="1070"/>
      <c r="B34" s="29"/>
      <c r="C34" s="32"/>
      <c r="D34" s="32"/>
      <c r="E34" s="99"/>
    </row>
    <row r="35" ht="20.35" customHeight="1">
      <c r="A35" s="1070"/>
      <c r="B35" s="29"/>
      <c r="C35" s="32"/>
      <c r="D35" s="32"/>
      <c r="E35" s="1071"/>
    </row>
    <row r="36" ht="20.35" customHeight="1">
      <c r="A36" s="1070"/>
      <c r="B36" s="29"/>
      <c r="C36" s="32"/>
      <c r="D36" s="32"/>
      <c r="E36"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5.xml><?xml version="1.0" encoding="utf-8"?>
<worksheet xmlns:r="http://schemas.openxmlformats.org/officeDocument/2006/relationships" xmlns="http://schemas.openxmlformats.org/spreadsheetml/2006/main">
  <sheetPr>
    <pageSetUpPr fitToPage="1"/>
  </sheetPr>
  <dimension ref="A1:D47"/>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20.1719" style="1073" customWidth="1"/>
    <col min="2" max="4" width="16.3516" style="1073" customWidth="1"/>
    <col min="5" max="16384" width="16.3516" style="1073" customWidth="1"/>
  </cols>
  <sheetData>
    <row r="1" ht="20.55" customHeight="1">
      <c r="A1" s="7"/>
      <c r="B1" t="s" s="8">
        <v>1741</v>
      </c>
      <c r="C1" t="s" s="8">
        <v>1742</v>
      </c>
      <c r="D1" s="7"/>
    </row>
    <row r="2" ht="20.55" customHeight="1">
      <c r="A2" t="s" s="10">
        <v>1754</v>
      </c>
      <c r="B2" s="524"/>
      <c r="C2" s="1066"/>
      <c r="D2" s="82"/>
    </row>
    <row r="3" ht="20.35" customHeight="1">
      <c r="A3" t="s" s="1068">
        <v>1755</v>
      </c>
      <c r="B3" s="18">
        <v>1</v>
      </c>
      <c r="C3" s="995" cm="1">
        <f t="array" ref="C3">B3*'comida - Table 2'!D20</f>
        <v>3290</v>
      </c>
      <c r="D3" s="32"/>
    </row>
    <row r="4" ht="20.35" customHeight="1">
      <c r="A4" t="s" s="1068">
        <v>1733</v>
      </c>
      <c r="B4" s="18">
        <v>100</v>
      </c>
      <c r="C4" s="995" cm="1">
        <f t="array" ref="C4">B4*'comida - Table 2'!D11</f>
        <v>79.90000000000001</v>
      </c>
      <c r="D4" s="32"/>
    </row>
    <row r="5" ht="20.35" customHeight="1">
      <c r="A5" t="s" s="1068">
        <v>1732</v>
      </c>
      <c r="B5" s="18">
        <v>2</v>
      </c>
      <c r="C5" s="995" cm="1">
        <f t="array" ref="C5">B5*'comida - Table 2'!D10</f>
        <v>0.738</v>
      </c>
      <c r="D5" s="32"/>
    </row>
    <row r="6" ht="20.35" customHeight="1">
      <c r="A6" t="s" s="1068">
        <v>1756</v>
      </c>
      <c r="B6" s="18">
        <v>5</v>
      </c>
      <c r="C6" s="995" cm="1">
        <f t="array" ref="C6">B6*'comida - Table 2'!D19</f>
        <v>250</v>
      </c>
      <c r="D6" t="s" s="565">
        <v>1757</v>
      </c>
    </row>
    <row r="7" ht="20.35" customHeight="1">
      <c r="A7" t="s" s="1068">
        <v>1731</v>
      </c>
      <c r="B7" s="18">
        <v>480</v>
      </c>
      <c r="C7" s="995" cm="1">
        <f t="array" ref="C7">B7*'comida - Table 2'!D4</f>
        <v>402.72</v>
      </c>
      <c r="D7" s="1069" cm="1">
        <f t="array" ref="D7">SUM(C3:C7)</f>
        <v>4023.358</v>
      </c>
    </row>
    <row r="8" ht="20.35" customHeight="1">
      <c r="A8" s="1070"/>
      <c r="B8" s="29"/>
      <c r="C8" s="995"/>
      <c r="D8" s="32"/>
    </row>
    <row r="9" ht="20.35" customHeight="1">
      <c r="A9" t="s" s="17">
        <v>1758</v>
      </c>
      <c r="B9" s="29"/>
      <c r="C9" s="995"/>
      <c r="D9" s="32"/>
    </row>
    <row r="10" ht="20.35" customHeight="1">
      <c r="A10" t="s" s="1068">
        <v>1444</v>
      </c>
      <c r="B10" s="18">
        <v>113</v>
      </c>
      <c r="C10" s="995" cm="1">
        <f t="array" ref="C10">B10*'comida - Table 2'!D5</f>
        <v>949.2</v>
      </c>
      <c r="D10" s="32"/>
    </row>
    <row r="11" ht="20.35" customHeight="1">
      <c r="A11" t="s" s="1068">
        <v>1733</v>
      </c>
      <c r="B11" s="18" cm="1">
        <f t="array" ref="B11">149+25</f>
        <v>174</v>
      </c>
      <c r="C11" s="995" cm="1">
        <f t="array" ref="C11">B11*'comida - Table 2'!D11</f>
        <v>139.026</v>
      </c>
      <c r="D11" s="32"/>
    </row>
    <row r="12" ht="20.35" customHeight="1">
      <c r="A12" t="s" s="1068">
        <v>1424</v>
      </c>
      <c r="B12" s="18">
        <v>1</v>
      </c>
      <c r="C12" s="995" cm="1">
        <f t="array" ref="C12">B12*'comida - Table 2'!D19</f>
        <v>50</v>
      </c>
      <c r="D12" s="32"/>
    </row>
    <row r="13" ht="20.35" customHeight="1">
      <c r="A13" t="s" s="1068">
        <v>1732</v>
      </c>
      <c r="B13" s="18">
        <v>3</v>
      </c>
      <c r="C13" s="995" cm="1">
        <f t="array" ref="C13">B13*'comida - Table 2'!D10</f>
        <v>1.107</v>
      </c>
      <c r="D13" s="32"/>
    </row>
    <row r="14" ht="20.35" customHeight="1">
      <c r="A14" t="s" s="1068">
        <v>1759</v>
      </c>
      <c r="B14" s="18">
        <v>4</v>
      </c>
      <c r="C14" s="995" cm="1">
        <f t="array" ref="C14">B14*'comida - Table 2'!D12</f>
        <v>0</v>
      </c>
      <c r="D14" s="32"/>
    </row>
    <row r="15" ht="20.35" customHeight="1">
      <c r="A15" t="s" s="1068">
        <v>1760</v>
      </c>
      <c r="B15" s="18">
        <v>15</v>
      </c>
      <c r="C15" s="995"/>
      <c r="D15" s="32"/>
    </row>
    <row r="16" ht="20.35" customHeight="1">
      <c r="A16" t="s" s="1068">
        <v>1728</v>
      </c>
      <c r="B16" s="18">
        <v>163</v>
      </c>
      <c r="C16" s="995" cm="1">
        <f t="array" ref="C16">B16*'comida - Table 2'!D4</f>
        <v>136.757</v>
      </c>
      <c r="D16" t="s" s="565">
        <v>1761</v>
      </c>
    </row>
    <row r="17" ht="20.35" customHeight="1">
      <c r="A17" t="s" s="1068">
        <v>1726</v>
      </c>
      <c r="B17" s="18">
        <v>4</v>
      </c>
      <c r="C17" s="995" cm="1">
        <f t="array" ref="C17">B17*'comida - Table 2'!D2</f>
        <v>24.8</v>
      </c>
      <c r="D17" s="1069" cm="1">
        <f t="array" ref="D17">SUM(C10:C17)</f>
        <v>1300.89</v>
      </c>
    </row>
    <row r="18" ht="20.35" customHeight="1">
      <c r="A18" s="1070"/>
      <c r="B18" s="29"/>
      <c r="C18" s="995"/>
      <c r="D18" s="32"/>
    </row>
    <row r="19" ht="20.35" customHeight="1">
      <c r="A19" t="s" s="17">
        <v>1762</v>
      </c>
      <c r="B19" s="29"/>
      <c r="C19" s="995"/>
      <c r="D19" s="32"/>
    </row>
    <row r="20" ht="20.35" customHeight="1">
      <c r="A20" t="s" s="1068">
        <v>1728</v>
      </c>
      <c r="B20" s="29"/>
      <c r="C20" s="995"/>
      <c r="D20" s="32"/>
    </row>
    <row r="21" ht="20.35" customHeight="1">
      <c r="A21" t="s" s="1068">
        <v>1733</v>
      </c>
      <c r="B21" s="29"/>
      <c r="C21" s="995"/>
      <c r="D21" s="32"/>
    </row>
    <row r="22" ht="20.35" customHeight="1">
      <c r="A22" t="s" s="1068">
        <v>1444</v>
      </c>
      <c r="B22" s="29"/>
      <c r="C22" s="995"/>
      <c r="D22" s="32"/>
    </row>
    <row r="23" ht="20.35" customHeight="1">
      <c r="A23" t="s" s="1068">
        <v>1756</v>
      </c>
      <c r="B23" s="29"/>
      <c r="C23" s="995"/>
      <c r="D23" s="32"/>
    </row>
    <row r="24" ht="20.35" customHeight="1">
      <c r="A24" t="s" s="1068">
        <v>1763</v>
      </c>
      <c r="B24" s="29"/>
      <c r="C24" s="995"/>
      <c r="D24" s="99"/>
    </row>
    <row r="25" ht="20.35" customHeight="1">
      <c r="A25" s="1070"/>
      <c r="B25" s="29"/>
      <c r="C25" s="995"/>
      <c r="D25" s="1071"/>
    </row>
    <row r="26" ht="20.35" customHeight="1">
      <c r="A26" s="28"/>
      <c r="B26" s="29"/>
      <c r="C26" s="32"/>
      <c r="D26" s="32"/>
    </row>
    <row r="27" ht="20.35" customHeight="1">
      <c r="A27" t="s" s="17">
        <v>1764</v>
      </c>
      <c r="B27" s="29"/>
      <c r="C27" s="995"/>
      <c r="D27" s="32"/>
    </row>
    <row r="28" ht="20.35" customHeight="1">
      <c r="A28" t="s" s="1068">
        <v>1444</v>
      </c>
      <c r="B28" s="18">
        <v>66</v>
      </c>
      <c r="C28" s="995" cm="1">
        <f t="array" ref="C28">B28*'comida - Table 2'!D5</f>
        <v>554.4</v>
      </c>
      <c r="D28" s="32"/>
    </row>
    <row r="29" ht="20.35" customHeight="1">
      <c r="A29" t="s" s="1068">
        <v>1756</v>
      </c>
      <c r="B29" s="18">
        <v>2</v>
      </c>
      <c r="C29" s="995" cm="1">
        <f t="array" ref="C29">B29*'comida - Table 2'!D19</f>
        <v>100</v>
      </c>
      <c r="D29" s="32"/>
    </row>
    <row r="30" ht="20.35" customHeight="1">
      <c r="A30" t="s" s="1068">
        <v>1733</v>
      </c>
      <c r="B30" s="18">
        <v>200</v>
      </c>
      <c r="C30" s="995" cm="1">
        <f t="array" ref="C30">B30*'comida - Table 2'!D11</f>
        <v>159.8</v>
      </c>
      <c r="D30" s="32"/>
    </row>
    <row r="31" ht="20.35" customHeight="1">
      <c r="A31" t="s" s="1068">
        <v>1728</v>
      </c>
      <c r="B31" s="18">
        <v>217</v>
      </c>
      <c r="C31" s="995" cm="1">
        <f t="array" ref="C31">B31*'comida - Table 2'!D4</f>
        <v>182.063</v>
      </c>
      <c r="D31" s="99"/>
    </row>
    <row r="32" ht="20.35" customHeight="1">
      <c r="A32" t="s" s="1068">
        <v>1730</v>
      </c>
      <c r="B32" s="18">
        <v>240</v>
      </c>
      <c r="C32" s="995" cm="1">
        <f t="array" ref="C32">B32*'comida - Table 2'!D7</f>
        <v>192</v>
      </c>
      <c r="D32" s="1069" cm="1">
        <f t="array" ref="D32">SUM(C28:C32)</f>
        <v>1188.263</v>
      </c>
    </row>
    <row r="33" ht="20.35" customHeight="1">
      <c r="A33" s="28"/>
      <c r="B33" s="1072"/>
      <c r="C33" s="995"/>
      <c r="D33" s="32"/>
    </row>
    <row r="34" ht="20.35" customHeight="1">
      <c r="A34" t="s" s="17">
        <v>1372</v>
      </c>
      <c r="B34" s="29"/>
      <c r="C34" s="995"/>
      <c r="D34" s="32"/>
    </row>
    <row r="35" ht="20.35" customHeight="1">
      <c r="A35" s="1070"/>
      <c r="B35" s="29"/>
      <c r="C35" s="995"/>
      <c r="D35" s="32"/>
    </row>
    <row r="36" ht="20.35" customHeight="1">
      <c r="A36" s="1070"/>
      <c r="B36" s="29"/>
      <c r="C36" s="995"/>
      <c r="D36" s="32"/>
    </row>
    <row r="37" ht="20.35" customHeight="1">
      <c r="A37" s="1070"/>
      <c r="B37" s="29"/>
      <c r="C37" s="995"/>
      <c r="D37" s="32"/>
    </row>
    <row r="38" ht="20.35" customHeight="1">
      <c r="A38" s="1070"/>
      <c r="B38" s="29"/>
      <c r="C38" s="32"/>
      <c r="D38" s="99"/>
    </row>
    <row r="39" ht="20.35" customHeight="1">
      <c r="A39" s="1070"/>
      <c r="B39" s="29"/>
      <c r="C39" s="32"/>
      <c r="D39" s="1071"/>
    </row>
    <row r="40" ht="20.35" customHeight="1">
      <c r="A40" s="28"/>
      <c r="B40" s="29"/>
      <c r="C40" s="32"/>
      <c r="D40" s="32"/>
    </row>
    <row r="41" ht="20.35" customHeight="1">
      <c r="A41" t="s" s="17">
        <v>1372</v>
      </c>
      <c r="B41" s="29"/>
      <c r="C41" s="32"/>
      <c r="D41" s="32"/>
    </row>
    <row r="42" ht="20.35" customHeight="1">
      <c r="A42" s="1070"/>
      <c r="B42" s="29"/>
      <c r="C42" s="32"/>
      <c r="D42" s="32"/>
    </row>
    <row r="43" ht="20.35" customHeight="1">
      <c r="A43" s="1070"/>
      <c r="B43" s="29"/>
      <c r="C43" s="32"/>
      <c r="D43" s="32"/>
    </row>
    <row r="44" ht="20.35" customHeight="1">
      <c r="A44" s="1070"/>
      <c r="B44" s="29"/>
      <c r="C44" s="32"/>
      <c r="D44" s="32"/>
    </row>
    <row r="45" ht="20.35" customHeight="1">
      <c r="A45" s="1070"/>
      <c r="B45" s="29"/>
      <c r="C45" s="32"/>
      <c r="D45" s="99"/>
    </row>
    <row r="46" ht="20.35" customHeight="1">
      <c r="A46" s="1070"/>
      <c r="B46" s="29"/>
      <c r="C46" s="32"/>
      <c r="D46" s="1071"/>
    </row>
    <row r="47" ht="20.35" customHeight="1">
      <c r="A47" s="1070"/>
      <c r="B47" s="29"/>
      <c r="C47" s="32"/>
      <c r="D47"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6.xml><?xml version="1.0" encoding="utf-8"?>
<worksheet xmlns:r="http://schemas.openxmlformats.org/officeDocument/2006/relationships" xmlns="http://schemas.openxmlformats.org/spreadsheetml/2006/main">
  <sheetPr>
    <pageSetUpPr fitToPage="1"/>
  </sheetPr>
  <dimension ref="A1:D42"/>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20.1719" style="1074" customWidth="1"/>
    <col min="2" max="4" width="16.3516" style="1074" customWidth="1"/>
    <col min="5" max="16384" width="16.3516" style="1074" customWidth="1"/>
  </cols>
  <sheetData>
    <row r="1" ht="20.55" customHeight="1">
      <c r="A1" s="7"/>
      <c r="B1" t="s" s="8">
        <v>1741</v>
      </c>
      <c r="C1" t="s" s="8">
        <v>1742</v>
      </c>
      <c r="D1" s="7"/>
    </row>
    <row r="2" ht="20.55" customHeight="1">
      <c r="A2" t="s" s="10">
        <v>1766</v>
      </c>
      <c r="B2" s="524"/>
      <c r="C2" s="1066"/>
      <c r="D2" s="82"/>
    </row>
    <row r="3" ht="20.35" customHeight="1">
      <c r="A3" t="s" s="1068">
        <v>1734</v>
      </c>
      <c r="B3" s="18" cm="1">
        <f t="array" ref="B3">760</f>
        <v>760</v>
      </c>
      <c r="C3" s="995" cm="1">
        <f t="array" ref="C3">B3*'comida - Table 2'!D13</f>
        <v>1978</v>
      </c>
      <c r="D3" s="32"/>
    </row>
    <row r="4" ht="20.35" customHeight="1">
      <c r="A4" t="s" s="1068">
        <v>1735</v>
      </c>
      <c r="B4" s="18" cm="1">
        <f t="array" ref="B4">100</f>
        <v>100</v>
      </c>
      <c r="C4" s="995" cm="1">
        <f t="array" ref="C4">B4*'comida - Table 2'!D14</f>
        <v>1399</v>
      </c>
      <c r="D4" s="32"/>
    </row>
    <row r="5" ht="20.35" customHeight="1">
      <c r="A5" t="s" s="1068">
        <v>1729</v>
      </c>
      <c r="B5" s="18">
        <v>80</v>
      </c>
      <c r="C5" s="995" cm="1">
        <f t="array" ref="C5">B5*'comida - Table 2'!D15</f>
        <v>138.775510204082</v>
      </c>
      <c r="D5" s="32"/>
    </row>
    <row r="6" ht="20.35" customHeight="1">
      <c r="A6" t="s" s="1068">
        <v>1767</v>
      </c>
      <c r="B6" s="18">
        <v>2</v>
      </c>
      <c r="C6" s="995" cm="1">
        <f t="array" ref="C6">B6*'comida - Table 2'!D16</f>
        <v>100</v>
      </c>
      <c r="D6" t="s" s="565">
        <v>1768</v>
      </c>
    </row>
    <row r="7" ht="20.35" customHeight="1">
      <c r="A7" t="s" s="1068">
        <v>1738</v>
      </c>
      <c r="B7" s="29"/>
      <c r="C7" s="32"/>
      <c r="D7" s="1069" cm="1">
        <f t="array" ref="D7">SUM(C3:C7)</f>
        <v>3615.775510204080</v>
      </c>
    </row>
    <row r="8" ht="20.35" customHeight="1">
      <c r="A8" s="28"/>
      <c r="B8" s="29"/>
      <c r="C8" s="32"/>
      <c r="D8" s="32"/>
    </row>
    <row r="9" ht="20.35" customHeight="1">
      <c r="A9" t="s" s="17">
        <v>1439</v>
      </c>
      <c r="B9" s="29"/>
      <c r="C9" s="32"/>
      <c r="D9" s="32"/>
    </row>
    <row r="10" ht="20.35" customHeight="1">
      <c r="A10" t="s" s="1068">
        <v>1439</v>
      </c>
      <c r="B10" s="29"/>
      <c r="C10" s="32"/>
      <c r="D10" s="1071"/>
    </row>
    <row r="11" ht="20.35" customHeight="1">
      <c r="A11" s="1070"/>
      <c r="B11" s="29"/>
      <c r="C11" s="32"/>
      <c r="D11" s="32"/>
    </row>
    <row r="12" ht="20.35" customHeight="1">
      <c r="A12" t="s" s="17">
        <v>1769</v>
      </c>
      <c r="B12" s="29"/>
      <c r="C12" s="32"/>
      <c r="D12" s="32"/>
    </row>
    <row r="13" ht="20.35" customHeight="1">
      <c r="A13" t="s" s="1068">
        <v>1728</v>
      </c>
      <c r="B13" s="18">
        <v>85</v>
      </c>
      <c r="C13" s="995" cm="1">
        <f t="array" ref="C13">B13*'comida - Table 2'!D4</f>
        <v>71.315</v>
      </c>
      <c r="D13" t="s" s="565">
        <v>1770</v>
      </c>
    </row>
    <row r="14" ht="20.35" customHeight="1">
      <c r="A14" t="s" s="1068">
        <v>1424</v>
      </c>
      <c r="B14" s="18">
        <v>1</v>
      </c>
      <c r="C14" s="68" cm="1">
        <f t="array" ref="C14">3000/12</f>
        <v>250</v>
      </c>
      <c r="D14" s="1069" cm="1">
        <f t="array" ref="D14">SUM(C13:C14)</f>
        <v>321.315</v>
      </c>
    </row>
    <row r="15" ht="20.35" customHeight="1">
      <c r="A15" s="28"/>
      <c r="B15" s="29"/>
      <c r="C15" s="32"/>
      <c r="D15" s="32"/>
    </row>
    <row r="16" ht="20.35" customHeight="1">
      <c r="A16" t="s" s="17">
        <v>1771</v>
      </c>
      <c r="B16" s="29"/>
      <c r="C16" s="32"/>
      <c r="D16" s="32"/>
    </row>
    <row r="17" ht="20.35" customHeight="1">
      <c r="A17" t="s" s="1068">
        <v>1772</v>
      </c>
      <c r="B17" s="18">
        <v>750</v>
      </c>
      <c r="C17" s="68">
        <v>6990</v>
      </c>
      <c r="D17" s="32"/>
    </row>
    <row r="18" ht="20.35" customHeight="1">
      <c r="A18" t="s" s="1068">
        <v>1737</v>
      </c>
      <c r="B18" s="18">
        <v>1</v>
      </c>
      <c r="C18" s="995" cm="1">
        <f t="array" ref="C18">'comida - Table 2'!D17*B18</f>
        <v>400</v>
      </c>
      <c r="D18" s="32"/>
    </row>
    <row r="19" ht="20.35" customHeight="1">
      <c r="A19" t="s" s="1068">
        <v>1767</v>
      </c>
      <c r="B19" s="18">
        <v>2</v>
      </c>
      <c r="C19" s="995" cm="1">
        <f t="array" ref="C19">'comida - Table 2'!D16*B19</f>
        <v>100</v>
      </c>
      <c r="D19" s="32"/>
    </row>
    <row r="20" ht="20.35" customHeight="1">
      <c r="A20" t="s" s="1068">
        <v>1773</v>
      </c>
      <c r="B20" s="18">
        <v>1</v>
      </c>
      <c r="C20" s="32"/>
      <c r="D20" t="s" s="565">
        <v>1774</v>
      </c>
    </row>
    <row r="21" ht="20.35" customHeight="1">
      <c r="A21" t="s" s="1068">
        <v>1775</v>
      </c>
      <c r="B21" s="18">
        <v>1</v>
      </c>
      <c r="C21" s="32"/>
      <c r="D21" s="1069" cm="1">
        <f t="array" ref="D21">SUM(C17:C21)</f>
        <v>7490</v>
      </c>
    </row>
    <row r="22" ht="20.35" customHeight="1">
      <c r="A22" s="1070"/>
      <c r="B22" s="29"/>
      <c r="C22" s="32"/>
      <c r="D22" s="32"/>
    </row>
    <row r="23" ht="20.35" customHeight="1">
      <c r="A23" t="s" s="17">
        <v>1776</v>
      </c>
      <c r="B23" s="29"/>
      <c r="C23" s="32"/>
      <c r="D23" s="32"/>
    </row>
    <row r="24" ht="20.35" customHeight="1">
      <c r="A24" t="s" s="1068">
        <v>1772</v>
      </c>
      <c r="B24" s="29"/>
      <c r="C24" s="32"/>
      <c r="D24" s="32"/>
    </row>
    <row r="25" ht="20.35" customHeight="1">
      <c r="A25" t="s" s="1068">
        <v>1777</v>
      </c>
      <c r="B25" s="29"/>
      <c r="C25" s="32"/>
      <c r="D25" s="32"/>
    </row>
    <row r="26" ht="20.35" customHeight="1">
      <c r="A26" t="s" s="1068">
        <v>1737</v>
      </c>
      <c r="B26" s="29"/>
      <c r="C26" s="32"/>
      <c r="D26" s="32"/>
    </row>
    <row r="27" ht="20.35" customHeight="1">
      <c r="A27" t="s" s="1068">
        <v>1767</v>
      </c>
      <c r="B27" s="29"/>
      <c r="C27" s="32"/>
      <c r="D27" s="32"/>
    </row>
    <row r="28" ht="20.35" customHeight="1">
      <c r="A28" t="s" s="1068">
        <v>1778</v>
      </c>
      <c r="B28" s="29"/>
      <c r="C28" s="32"/>
      <c r="D28" s="32"/>
    </row>
    <row r="29" ht="20.35" customHeight="1">
      <c r="A29" t="s" s="1068">
        <v>1779</v>
      </c>
      <c r="B29" s="29"/>
      <c r="C29" s="32"/>
      <c r="D29" t="s" s="565">
        <v>1774</v>
      </c>
    </row>
    <row r="30" ht="20.35" customHeight="1">
      <c r="A30" t="s" s="1068">
        <v>1424</v>
      </c>
      <c r="B30" s="29"/>
      <c r="C30" s="32"/>
      <c r="D30" s="1069" cm="1">
        <f t="array" ref="D30">SUM(C24:C30)</f>
        <v>0</v>
      </c>
    </row>
    <row r="31" ht="20.35" customHeight="1">
      <c r="A31" s="1070"/>
      <c r="B31" s="29"/>
      <c r="C31" s="32"/>
      <c r="D31" s="32"/>
    </row>
    <row r="32" ht="20.35" customHeight="1">
      <c r="A32" t="s" s="17">
        <v>1780</v>
      </c>
      <c r="B32" s="29"/>
      <c r="C32" s="32"/>
      <c r="D32" s="32"/>
    </row>
    <row r="33" ht="20.35" customHeight="1">
      <c r="A33" t="s" s="1068">
        <v>1781</v>
      </c>
      <c r="B33" s="18">
        <v>1</v>
      </c>
      <c r="C33" s="68">
        <v>4000</v>
      </c>
      <c r="D33" s="32"/>
    </row>
    <row r="34" ht="20.35" customHeight="1">
      <c r="A34" t="s" s="1068">
        <v>1731</v>
      </c>
      <c r="B34" s="29"/>
      <c r="C34" s="32"/>
      <c r="D34" s="32"/>
    </row>
    <row r="35" ht="20.35" customHeight="1">
      <c r="A35" t="s" s="1068">
        <v>1782</v>
      </c>
      <c r="B35" s="29"/>
      <c r="C35" s="32"/>
      <c r="D35" s="32"/>
    </row>
    <row r="36" ht="20.35" customHeight="1">
      <c r="A36" t="s" s="1068">
        <v>1767</v>
      </c>
      <c r="B36" s="29"/>
      <c r="C36" s="32"/>
      <c r="D36" s="32"/>
    </row>
    <row r="37" ht="20.35" customHeight="1">
      <c r="A37" t="s" s="1068">
        <v>1783</v>
      </c>
      <c r="B37" s="29"/>
      <c r="C37" s="32"/>
      <c r="D37" s="32"/>
    </row>
    <row r="38" ht="20.35" customHeight="1">
      <c r="A38" t="s" s="1068">
        <v>1784</v>
      </c>
      <c r="B38" s="29"/>
      <c r="C38" s="32"/>
      <c r="D38" s="32"/>
    </row>
    <row r="39" ht="20.35" customHeight="1">
      <c r="A39" t="s" s="1068">
        <v>1444</v>
      </c>
      <c r="B39" s="29"/>
      <c r="C39" s="32"/>
      <c r="D39" s="32"/>
    </row>
    <row r="40" ht="20.35" customHeight="1">
      <c r="A40" t="s" s="1068">
        <v>1728</v>
      </c>
      <c r="B40" s="29"/>
      <c r="C40" s="32"/>
      <c r="D40" s="32"/>
    </row>
    <row r="41" ht="20.35" customHeight="1">
      <c r="A41" t="s" s="1068">
        <v>1732</v>
      </c>
      <c r="B41" s="29"/>
      <c r="C41" s="32"/>
      <c r="D41" t="s" s="565">
        <v>1774</v>
      </c>
    </row>
    <row r="42" ht="20.35" customHeight="1">
      <c r="A42" t="s" s="1068">
        <v>1785</v>
      </c>
      <c r="B42" s="29"/>
      <c r="C42" s="32"/>
      <c r="D42" s="1069" cm="1">
        <f t="array" ref="D42">SUM(C33:C42)</f>
        <v>4000</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7.xml><?xml version="1.0" encoding="utf-8"?>
<worksheet xmlns:r="http://schemas.openxmlformats.org/officeDocument/2006/relationships" xmlns="http://schemas.openxmlformats.org/spreadsheetml/2006/main">
  <sheetPr>
    <pageSetUpPr fitToPage="1"/>
  </sheetPr>
  <dimension ref="A1:C14"/>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8516" style="1075" customWidth="1"/>
    <col min="2" max="2" width="56.7109" style="1075" customWidth="1"/>
    <col min="3" max="3" width="61.0312" style="1075" customWidth="1"/>
    <col min="4" max="16384" width="16.3516" style="1075" customWidth="1"/>
  </cols>
  <sheetData>
    <row r="1" ht="20.55" customHeight="1">
      <c r="A1" s="7"/>
      <c r="B1" s="7"/>
      <c r="C1" s="7"/>
    </row>
    <row r="2" ht="32.55" customHeight="1">
      <c r="A2" t="s" s="10">
        <v>1788</v>
      </c>
      <c r="B2" t="s" s="1076">
        <v>1789</v>
      </c>
      <c r="C2" t="s" s="891">
        <v>1790</v>
      </c>
    </row>
    <row r="3" ht="20.35" customHeight="1">
      <c r="A3" t="s" s="17">
        <v>1791</v>
      </c>
      <c r="B3" s="613"/>
      <c r="C3" s="99"/>
    </row>
    <row r="4" ht="20.35" customHeight="1">
      <c r="A4" s="28"/>
      <c r="B4" s="613"/>
      <c r="C4" s="99"/>
    </row>
    <row r="5" ht="20.35" customHeight="1">
      <c r="A5" s="28"/>
      <c r="B5" s="613"/>
      <c r="C5" s="99"/>
    </row>
    <row r="6" ht="20.35" customHeight="1">
      <c r="A6" s="28"/>
      <c r="B6" s="613"/>
      <c r="C6" s="99"/>
    </row>
    <row r="7" ht="20.35" customHeight="1">
      <c r="A7" s="28"/>
      <c r="B7" s="613"/>
      <c r="C7" s="99"/>
    </row>
    <row r="8" ht="20.35" customHeight="1">
      <c r="A8" s="28"/>
      <c r="B8" s="613"/>
      <c r="C8" s="99"/>
    </row>
    <row r="9" ht="20.35" customHeight="1">
      <c r="A9" t="s" s="17">
        <v>1792</v>
      </c>
      <c r="B9" t="s" s="609">
        <v>1793</v>
      </c>
      <c r="C9" s="99"/>
    </row>
    <row r="10" ht="68.35" customHeight="1">
      <c r="A10" t="s" s="17">
        <v>1794</v>
      </c>
      <c r="B10" t="s" s="609">
        <v>1795</v>
      </c>
      <c r="C10" s="99"/>
    </row>
    <row r="11" ht="20.35" customHeight="1">
      <c r="A11" s="28"/>
      <c r="B11" s="613"/>
      <c r="C11" s="99"/>
    </row>
    <row r="12" ht="32.35" customHeight="1">
      <c r="A12" t="s" s="17">
        <v>1796</v>
      </c>
      <c r="B12" t="s" s="609">
        <v>1797</v>
      </c>
      <c r="C12" s="99"/>
    </row>
    <row r="13" ht="20.35" customHeight="1">
      <c r="A13" t="s" s="17">
        <v>1798</v>
      </c>
      <c r="B13" s="613"/>
      <c r="C13" s="99"/>
    </row>
    <row r="14" ht="20.35" customHeight="1">
      <c r="A14" t="s" s="17">
        <v>1799</v>
      </c>
      <c r="B14" s="613"/>
      <c r="C14" s="99"/>
    </row>
  </sheetData>
  <hyperlinks>
    <hyperlink ref="B2" r:id="rId1" location="" tooltip="" display="https://www.triedandtruerecipe.com/riso-al-forno-baked-risotto/"/>
    <hyperlink ref="C2" r:id="rId2" location="" tooltip="" display="https://www.reddit.com/r/EatCheapAndHealthy/comments/r4yigd/i_learned_about_an_italian_peasant_dish_called/"/>
    <hyperlink ref="B9" r:id="rId3" location="" tooltip="" display="https://www.recipetineats.com/flan-patissier-french-custard-tart/"/>
    <hyperlink ref="B10" r:id="rId4" location="" tooltip="" display="https://www.americastestkitchen.com/recipes/2722-molasses-spice-lemon-sandwich-cookies?pac=7N3W%2Bys/Z4NF16D7SsnD5LMjy2uTbDo2VGlIva1BpY0=%0A&amp;extcode=NSAKH28IG&amp;utm_source=instagram&amp;utm_medium=photo&amp;utm_content=molassescookies&amp;utm_campaign=atkthanksgiving"/>
    <hyperlink ref="B12" r:id="rId5" location="" tooltip="" display="https://en.wikipedia.org/wiki/Quince_cheese"/>
  </hyperlink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8.xml><?xml version="1.0" encoding="utf-8"?>
<worksheet xmlns:r="http://schemas.openxmlformats.org/officeDocument/2006/relationships" xmlns="http://schemas.openxmlformats.org/spreadsheetml/2006/main">
  <sheetPr>
    <pageSetUpPr fitToPage="1"/>
  </sheetPr>
  <dimension ref="A1:E17"/>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5" width="16.3516" style="1077" customWidth="1"/>
    <col min="6" max="16384" width="16.3516" style="1077" customWidth="1"/>
  </cols>
  <sheetData>
    <row r="1" ht="20.55" customHeight="1">
      <c r="A1" s="7"/>
      <c r="B1" s="7"/>
      <c r="C1" s="7"/>
      <c r="D1" s="7"/>
      <c r="E1" s="7"/>
    </row>
    <row r="2" ht="20.55" customHeight="1">
      <c r="A2" t="s" s="10">
        <v>1801</v>
      </c>
      <c r="B2" s="11">
        <v>6500</v>
      </c>
      <c r="C2" s="82"/>
      <c r="D2" s="82"/>
      <c r="E2" s="82"/>
    </row>
    <row r="3" ht="20.35" customHeight="1">
      <c r="A3" t="s" s="17">
        <v>1802</v>
      </c>
      <c r="B3" s="18">
        <v>3500</v>
      </c>
      <c r="C3" s="32"/>
      <c r="D3" s="32"/>
      <c r="E3" s="32"/>
    </row>
    <row r="4" ht="20.35" customHeight="1">
      <c r="A4" t="s" s="17">
        <v>1803</v>
      </c>
      <c r="B4" s="18">
        <v>9500</v>
      </c>
      <c r="C4" s="32"/>
      <c r="D4" s="32"/>
      <c r="E4" s="32"/>
    </row>
    <row r="5" ht="20.35" customHeight="1">
      <c r="A5" t="s" s="17">
        <v>1804</v>
      </c>
      <c r="B5" s="18">
        <v>2300</v>
      </c>
      <c r="C5" s="32"/>
      <c r="D5" s="32"/>
      <c r="E5" s="32"/>
    </row>
    <row r="6" ht="20.35" customHeight="1">
      <c r="A6" t="s" s="17">
        <v>1805</v>
      </c>
      <c r="B6" s="18">
        <v>1400</v>
      </c>
      <c r="C6" s="32"/>
      <c r="D6" s="32"/>
      <c r="E6" s="32"/>
    </row>
    <row r="7" ht="20.35" customHeight="1">
      <c r="A7" t="s" s="17">
        <v>1759</v>
      </c>
      <c r="B7" s="18" cm="1">
        <f t="array" ref="B7">6000</f>
        <v>6000</v>
      </c>
      <c r="C7" s="32"/>
      <c r="D7" s="32"/>
      <c r="E7" s="32"/>
    </row>
    <row r="8" ht="20.35" customHeight="1">
      <c r="A8" t="s" s="17">
        <v>1444</v>
      </c>
      <c r="B8" s="18">
        <v>2000</v>
      </c>
      <c r="C8" s="32"/>
      <c r="D8" s="32"/>
      <c r="E8" s="32"/>
    </row>
    <row r="9" ht="20.35" customHeight="1">
      <c r="A9" t="s" s="17">
        <v>1806</v>
      </c>
      <c r="B9" s="18">
        <v>2400</v>
      </c>
      <c r="C9" s="32"/>
      <c r="D9" s="32"/>
      <c r="E9" s="32"/>
    </row>
    <row r="10" ht="20.35" customHeight="1">
      <c r="A10" t="s" s="17">
        <v>1807</v>
      </c>
      <c r="B10" s="18">
        <v>1500</v>
      </c>
      <c r="C10" s="32"/>
      <c r="D10" s="32"/>
      <c r="E10" s="32"/>
    </row>
    <row r="11" ht="20.35" customHeight="1">
      <c r="A11" t="s" s="17">
        <v>1808</v>
      </c>
      <c r="B11" s="18">
        <v>1500</v>
      </c>
      <c r="C11" s="32"/>
      <c r="D11" s="32"/>
      <c r="E11" s="32"/>
    </row>
    <row r="12" ht="20.35" customHeight="1">
      <c r="A12" t="s" s="17">
        <v>1809</v>
      </c>
      <c r="B12" s="18">
        <v>3000</v>
      </c>
      <c r="C12" s="32"/>
      <c r="D12" s="32"/>
      <c r="E12" s="32"/>
    </row>
    <row r="13" ht="20.35" customHeight="1">
      <c r="A13" s="28"/>
      <c r="B13" s="29"/>
      <c r="C13" s="32"/>
      <c r="D13" s="32"/>
      <c r="E13" s="32"/>
    </row>
    <row r="14" ht="20.35" customHeight="1">
      <c r="A14" t="s" s="17">
        <v>1810</v>
      </c>
      <c r="B14" s="18" cm="1">
        <f t="array" ref="B14">1550*2</f>
        <v>3100</v>
      </c>
      <c r="C14" s="32"/>
      <c r="D14" s="32"/>
      <c r="E14" s="32"/>
    </row>
    <row r="15" ht="20.35" customHeight="1">
      <c r="A15" t="s" s="17">
        <v>1733</v>
      </c>
      <c r="B15" s="18">
        <v>4100</v>
      </c>
      <c r="C15" s="32"/>
      <c r="D15" s="32"/>
      <c r="E15" s="32"/>
    </row>
    <row r="16" ht="20.35" customHeight="1">
      <c r="A16" t="s" s="17">
        <v>1811</v>
      </c>
      <c r="B16" s="18">
        <v>2000</v>
      </c>
      <c r="C16" s="32"/>
      <c r="D16" s="32"/>
      <c r="E16" s="32"/>
    </row>
    <row r="17" ht="20.35" customHeight="1">
      <c r="A17" s="28"/>
      <c r="B17" s="29"/>
      <c r="C17" s="32"/>
      <c r="D17" s="32"/>
      <c r="E17" s="32"/>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9.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120.xml><?xml version="1.0" encoding="utf-8"?>
<worksheet xmlns:r="http://schemas.openxmlformats.org/officeDocument/2006/relationships" xmlns="http://schemas.openxmlformats.org/spreadsheetml/2006/main">
  <sheetPr>
    <pageSetUpPr fitToPage="1"/>
  </sheetPr>
  <dimension ref="A2:E9"/>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5" width="16.3516" style="1078" customWidth="1"/>
    <col min="6" max="16384" width="16.3516" style="1078" customWidth="1"/>
  </cols>
  <sheetData>
    <row r="1" ht="28" customHeight="1">
      <c r="A1" t="s" s="90">
        <v>1814</v>
      </c>
      <c r="B1" s="90"/>
      <c r="C1" s="90"/>
      <c r="D1" s="90"/>
      <c r="E1" s="90"/>
    </row>
    <row r="2" ht="32.55" customHeight="1">
      <c r="A2" s="7"/>
      <c r="B2" t="s" s="8">
        <v>1816</v>
      </c>
      <c r="C2" s="7"/>
      <c r="D2" t="s" s="8">
        <v>1817</v>
      </c>
      <c r="E2" t="s" s="8">
        <v>1818</v>
      </c>
    </row>
    <row r="3" ht="20.55" customHeight="1">
      <c r="A3" s="1079">
        <v>2016</v>
      </c>
      <c r="B3" s="81">
        <v>9890000</v>
      </c>
      <c r="C3" s="48"/>
      <c r="D3" s="1080">
        <v>10790000</v>
      </c>
      <c r="E3" s="1080">
        <v>11890000</v>
      </c>
    </row>
    <row r="4" ht="20.35" customHeight="1">
      <c r="A4" s="1021">
        <v>2017</v>
      </c>
      <c r="B4" s="83" cm="1">
        <f t="array" ref="B4">B3*(90%)^1</f>
        <v>8901000</v>
      </c>
      <c r="C4" s="26" cm="1">
        <f t="array" ref="C4">-74175</f>
        <v>-74175</v>
      </c>
      <c r="D4" s="26" cm="1">
        <f t="array" ref="D4">D3-B4</f>
        <v>1889000</v>
      </c>
      <c r="E4" s="26" cm="1">
        <f t="array" ref="E4">E3-B4</f>
        <v>2989000</v>
      </c>
    </row>
    <row r="5" ht="20.35" customHeight="1">
      <c r="A5" s="1021">
        <v>2018</v>
      </c>
      <c r="B5" s="83" cm="1">
        <f t="array" ref="B5">B4*(90%)^1</f>
        <v>8010900</v>
      </c>
      <c r="C5" s="26" cm="1">
        <f t="array" ref="C5">-66757</f>
        <v>-66757</v>
      </c>
      <c r="D5" s="26" cm="1">
        <f t="array" ref="D5">D3-B5</f>
        <v>2779100</v>
      </c>
      <c r="E5" s="26" cm="1">
        <f t="array" ref="E5">E3-B5</f>
        <v>3879100</v>
      </c>
    </row>
    <row r="6" ht="20.35" customHeight="1">
      <c r="A6" s="1021">
        <v>2019</v>
      </c>
      <c r="B6" s="83" cm="1">
        <f t="array" ref="B6">B5*(90%)^1</f>
        <v>7209810</v>
      </c>
      <c r="C6" s="26">
        <v>-60081.75</v>
      </c>
      <c r="D6" s="26" cm="1">
        <f t="array" ref="D6">D3-B6</f>
        <v>3580190</v>
      </c>
      <c r="E6" s="26" cm="1">
        <f t="array" ref="E6">E3-B6</f>
        <v>4680190</v>
      </c>
    </row>
    <row r="7" ht="20.35" customHeight="1">
      <c r="A7" s="1021">
        <v>2020</v>
      </c>
      <c r="B7" s="83" cm="1">
        <f t="array" ref="B7">B6*(90%)^1</f>
        <v>6488829</v>
      </c>
      <c r="C7" s="26">
        <v>-54073.575</v>
      </c>
      <c r="D7" s="26" cm="1">
        <f t="array" ref="D7">D3-B7</f>
        <v>4301171</v>
      </c>
      <c r="E7" s="26" cm="1">
        <f t="array" ref="E7">E3-B7</f>
        <v>5401171</v>
      </c>
    </row>
    <row r="8" ht="20.35" customHeight="1">
      <c r="A8" s="1021">
        <v>2021</v>
      </c>
      <c r="B8" s="83" cm="1">
        <f t="array" ref="B8">B7*(90%)^1</f>
        <v>5839946.1</v>
      </c>
      <c r="C8" s="26"/>
      <c r="D8" s="26" cm="1">
        <f t="array" ref="D8">D3-B8</f>
        <v>4950053.9</v>
      </c>
      <c r="E8" s="26" cm="1">
        <f t="array" ref="E8">E3-B8</f>
        <v>6050053.9</v>
      </c>
    </row>
    <row r="9" ht="20.35" customHeight="1">
      <c r="A9" s="28"/>
      <c r="B9" s="83"/>
      <c r="C9" s="26"/>
      <c r="D9" s="26"/>
      <c r="E9" s="26"/>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1.xml><?xml version="1.0" encoding="utf-8"?>
<worksheet xmlns:r="http://schemas.openxmlformats.org/officeDocument/2006/relationships" xmlns="http://schemas.openxmlformats.org/spreadsheetml/2006/main">
  <sheetPr>
    <pageSetUpPr fitToPage="1"/>
  </sheetPr>
  <dimension ref="A2:E35"/>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5" width="16.3516" style="1081" customWidth="1"/>
    <col min="6" max="16384" width="16.3516" style="1081" customWidth="1"/>
  </cols>
  <sheetData>
    <row r="1" ht="28" customHeight="1">
      <c r="A1" t="s" s="90">
        <v>579</v>
      </c>
      <c r="B1" s="90"/>
      <c r="C1" s="90"/>
      <c r="D1" s="90"/>
      <c r="E1" s="90"/>
    </row>
    <row r="2" ht="20.55" customHeight="1">
      <c r="A2" s="7"/>
      <c r="B2" s="220">
        <v>2016</v>
      </c>
      <c r="C2" s="220">
        <v>2017</v>
      </c>
      <c r="D2" s="220">
        <v>2018</v>
      </c>
      <c r="E2" s="220">
        <v>2019</v>
      </c>
    </row>
    <row r="3" ht="20.55" customHeight="1">
      <c r="A3" t="s" s="10">
        <v>1820</v>
      </c>
      <c r="B3" s="81"/>
      <c r="C3" s="48"/>
      <c r="D3" s="48"/>
      <c r="E3" s="48"/>
    </row>
    <row r="4" ht="32.35" customHeight="1">
      <c r="A4" t="s" s="17">
        <v>1817</v>
      </c>
      <c r="B4" s="83">
        <v>11890000</v>
      </c>
      <c r="C4" s="26">
        <v>12190000</v>
      </c>
      <c r="D4" s="26"/>
      <c r="E4" s="26"/>
    </row>
    <row r="5" ht="32.35" customHeight="1">
      <c r="A5" t="s" s="17">
        <v>1818</v>
      </c>
      <c r="B5" s="83">
        <v>10790000</v>
      </c>
      <c r="C5" s="26">
        <v>12790000</v>
      </c>
      <c r="D5" s="26"/>
      <c r="E5" s="26"/>
    </row>
    <row r="6" ht="32.35" customHeight="1">
      <c r="A6" t="s" s="17">
        <v>1821</v>
      </c>
      <c r="B6" s="83">
        <v>16990000</v>
      </c>
      <c r="C6" s="26">
        <v>16990000</v>
      </c>
      <c r="D6" s="26"/>
      <c r="E6" s="26"/>
    </row>
    <row r="7" ht="20.35" customHeight="1">
      <c r="A7" s="28"/>
      <c r="B7" s="83"/>
      <c r="C7" s="26"/>
      <c r="D7" s="26"/>
      <c r="E7" s="26"/>
    </row>
    <row r="8" ht="20.35" customHeight="1">
      <c r="A8" t="s" s="17">
        <v>1822</v>
      </c>
      <c r="B8" s="83"/>
      <c r="C8" s="26"/>
      <c r="D8" s="26"/>
      <c r="E8" s="26"/>
    </row>
    <row r="9" ht="20.35" customHeight="1">
      <c r="A9" t="s" s="17">
        <v>1823</v>
      </c>
      <c r="B9" s="83">
        <v>18390000</v>
      </c>
      <c r="C9" s="26">
        <v>13990000</v>
      </c>
      <c r="D9" s="26"/>
      <c r="E9" s="26"/>
    </row>
    <row r="10" ht="20.35" customHeight="1">
      <c r="A10" s="28"/>
      <c r="B10" s="83"/>
      <c r="C10" s="26"/>
      <c r="D10" s="26"/>
      <c r="E10" s="26"/>
    </row>
    <row r="11" ht="20.35" customHeight="1">
      <c r="A11" t="s" s="17">
        <v>1824</v>
      </c>
      <c r="B11" s="83"/>
      <c r="C11" s="26"/>
      <c r="D11" s="26"/>
      <c r="E11" s="26"/>
    </row>
    <row r="12" ht="20.35" customHeight="1">
      <c r="A12" t="s" s="17">
        <v>1825</v>
      </c>
      <c r="B12" s="83">
        <v>10990000</v>
      </c>
      <c r="C12" s="26"/>
      <c r="D12" s="26"/>
      <c r="E12" s="26"/>
    </row>
    <row r="13" ht="32.35" customHeight="1">
      <c r="A13" t="s" s="17">
        <v>1826</v>
      </c>
      <c r="B13" s="83">
        <v>16490000</v>
      </c>
      <c r="C13" s="26"/>
      <c r="D13" s="26"/>
      <c r="E13" s="26"/>
    </row>
    <row r="14" ht="20.35" customHeight="1">
      <c r="A14" s="28"/>
      <c r="B14" s="83"/>
      <c r="C14" s="26"/>
      <c r="D14" s="26"/>
      <c r="E14" s="26"/>
    </row>
    <row r="15" ht="20.35" customHeight="1">
      <c r="A15" t="s" s="17">
        <v>1827</v>
      </c>
      <c r="B15" s="83"/>
      <c r="C15" s="26"/>
      <c r="D15" s="26"/>
      <c r="E15" s="26"/>
    </row>
    <row r="16" ht="43.35" customHeight="1">
      <c r="A16" t="s" s="17">
        <v>1828</v>
      </c>
      <c r="B16" s="83">
        <v>16190000</v>
      </c>
      <c r="C16" s="26">
        <v>16890000</v>
      </c>
      <c r="D16" s="26"/>
      <c r="E16" s="26"/>
    </row>
    <row r="17" ht="20.35" customHeight="1">
      <c r="A17" s="28"/>
      <c r="B17" s="83"/>
      <c r="C17" s="26"/>
      <c r="D17" s="26"/>
      <c r="E17" s="26"/>
    </row>
    <row r="18" ht="20.35" customHeight="1">
      <c r="A18" t="s" s="17">
        <v>1829</v>
      </c>
      <c r="B18" s="83"/>
      <c r="C18" s="26"/>
      <c r="D18" s="26"/>
      <c r="E18" s="26"/>
    </row>
    <row r="19" ht="56.35" customHeight="1">
      <c r="A19" t="s" s="17">
        <v>1830</v>
      </c>
      <c r="B19" s="83">
        <v>16290000</v>
      </c>
      <c r="C19" s="26"/>
      <c r="D19" s="26"/>
      <c r="E19" s="26"/>
    </row>
    <row r="20" ht="44.35" customHeight="1">
      <c r="A20" t="s" s="17">
        <v>1831</v>
      </c>
      <c r="B20" s="83">
        <v>19290000</v>
      </c>
      <c r="C20" s="26"/>
      <c r="D20" s="26"/>
      <c r="E20" s="26"/>
    </row>
    <row r="21" ht="20.35" customHeight="1">
      <c r="A21" s="28"/>
      <c r="B21" s="83"/>
      <c r="C21" s="26"/>
      <c r="D21" s="26"/>
      <c r="E21" s="26"/>
    </row>
    <row r="22" ht="20.35" customHeight="1">
      <c r="A22" t="s" s="17">
        <v>1832</v>
      </c>
      <c r="B22" s="83"/>
      <c r="C22" s="26"/>
      <c r="D22" s="26"/>
      <c r="E22" s="26"/>
    </row>
    <row r="23" ht="32.35" customHeight="1">
      <c r="A23" t="s" s="17">
        <v>1833</v>
      </c>
      <c r="B23" s="83">
        <v>16990000</v>
      </c>
      <c r="C23" s="26"/>
      <c r="D23" s="26"/>
      <c r="E23" s="26"/>
    </row>
    <row r="24" ht="20.35" customHeight="1">
      <c r="A24" t="s" s="17">
        <v>1834</v>
      </c>
      <c r="B24" s="83">
        <v>15490000</v>
      </c>
      <c r="C24" s="26"/>
      <c r="D24" s="26"/>
      <c r="E24" s="26"/>
    </row>
    <row r="25" ht="20.35" customHeight="1">
      <c r="A25" s="28"/>
      <c r="B25" s="83"/>
      <c r="C25" s="26"/>
      <c r="D25" s="26"/>
      <c r="E25" s="26"/>
    </row>
    <row r="26" ht="20.35" customHeight="1">
      <c r="A26" t="s" s="17">
        <v>1835</v>
      </c>
      <c r="B26" s="83"/>
      <c r="C26" s="26"/>
      <c r="D26" s="26"/>
      <c r="E26" s="26"/>
    </row>
    <row r="27" ht="20.35" customHeight="1">
      <c r="A27" t="s" s="17">
        <v>1836</v>
      </c>
      <c r="B27" s="83">
        <v>21600000</v>
      </c>
      <c r="C27" s="26">
        <v>18900000</v>
      </c>
      <c r="D27" s="26"/>
      <c r="E27" s="26"/>
    </row>
    <row r="28" ht="20.35" customHeight="1">
      <c r="A28" s="28"/>
      <c r="B28" s="83"/>
      <c r="C28" s="26"/>
      <c r="D28" s="26"/>
      <c r="E28" s="26"/>
    </row>
    <row r="29" ht="20.35" customHeight="1">
      <c r="A29" t="s" s="17">
        <v>1837</v>
      </c>
      <c r="B29" s="83"/>
      <c r="C29" s="26"/>
      <c r="D29" s="26"/>
      <c r="E29" s="26"/>
    </row>
    <row r="30" ht="32.35" customHeight="1">
      <c r="A30" t="s" s="17">
        <v>1838</v>
      </c>
      <c r="B30" s="83">
        <v>19790000</v>
      </c>
      <c r="C30" s="26"/>
      <c r="D30" s="26">
        <v>14690000</v>
      </c>
      <c r="E30" s="26"/>
    </row>
    <row r="31" ht="20.35" customHeight="1">
      <c r="A31" t="s" s="17">
        <v>1839</v>
      </c>
      <c r="B31" s="83"/>
      <c r="C31" s="26">
        <v>14890000</v>
      </c>
      <c r="D31" s="26" cm="1">
        <f t="array" ref="D31">13690000</f>
        <v>13690000</v>
      </c>
      <c r="E31" s="26"/>
    </row>
    <row r="32" ht="32.35" customHeight="1">
      <c r="A32" t="s" s="17">
        <v>1840</v>
      </c>
      <c r="B32" s="83"/>
      <c r="C32" s="26">
        <v>16390000</v>
      </c>
      <c r="D32" s="26"/>
      <c r="E32" s="26"/>
    </row>
    <row r="33" ht="32.35" customHeight="1">
      <c r="A33" t="s" s="17">
        <v>1841</v>
      </c>
      <c r="B33" s="83"/>
      <c r="C33" s="26">
        <v>12990000</v>
      </c>
      <c r="D33" s="26">
        <v>11990000</v>
      </c>
      <c r="E33" s="26"/>
    </row>
    <row r="34" ht="20.35" customHeight="1">
      <c r="A34" s="28"/>
      <c r="B34" s="83"/>
      <c r="C34" s="26"/>
      <c r="D34" s="26"/>
      <c r="E34" s="26"/>
    </row>
    <row r="35" ht="20.35" customHeight="1">
      <c r="A35" s="28"/>
      <c r="B35" s="83"/>
      <c r="C35" s="26"/>
      <c r="D35" s="26"/>
      <c r="E35" s="26"/>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2.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5" width="16.3516" style="1082" customWidth="1"/>
    <col min="6" max="16384" width="16.3516" style="1082" customWidth="1"/>
  </cols>
  <sheetData>
    <row r="1" ht="28" customHeight="1">
      <c r="A1" t="s" s="90">
        <v>1842</v>
      </c>
      <c r="B1" s="90"/>
      <c r="C1" s="90"/>
      <c r="D1" s="90"/>
      <c r="E1" s="90"/>
    </row>
    <row r="2" ht="20.55" customHeight="1">
      <c r="A2" s="7"/>
      <c r="B2" s="7"/>
      <c r="C2" s="7"/>
      <c r="D2" s="7"/>
      <c r="E2" s="7"/>
    </row>
    <row r="3" ht="20.55" customHeight="1">
      <c r="A3" s="1083">
        <v>10000</v>
      </c>
      <c r="B3" s="81"/>
      <c r="C3" s="891"/>
      <c r="D3" s="48"/>
      <c r="E3" s="48"/>
    </row>
    <row r="4" ht="20.35" customHeight="1">
      <c r="A4" s="1084">
        <v>20000</v>
      </c>
      <c r="B4" s="83"/>
      <c r="C4" s="565"/>
      <c r="D4" s="26"/>
      <c r="E4" s="26"/>
    </row>
    <row r="5" ht="20.35" customHeight="1">
      <c r="A5" s="1084">
        <v>30000</v>
      </c>
      <c r="B5" s="83">
        <v>403000</v>
      </c>
      <c r="C5" t="s" s="565">
        <v>1844</v>
      </c>
      <c r="D5" s="26"/>
      <c r="E5" s="26"/>
    </row>
    <row r="6" ht="20.35" customHeight="1">
      <c r="A6" s="1084"/>
      <c r="B6" s="83"/>
      <c r="C6" s="565"/>
      <c r="D6" s="26"/>
      <c r="E6" s="26"/>
    </row>
    <row r="7" ht="20.35" customHeight="1">
      <c r="A7" s="1084"/>
      <c r="B7" s="83"/>
      <c r="C7" s="565"/>
      <c r="D7" s="26"/>
      <c r="E7" s="26"/>
    </row>
    <row r="8" ht="20.35" customHeight="1">
      <c r="A8" s="1084"/>
      <c r="B8" s="83"/>
      <c r="C8" s="565"/>
      <c r="D8" s="26"/>
      <c r="E8" s="26"/>
    </row>
    <row r="9" ht="20.35" customHeight="1">
      <c r="A9" s="1084"/>
      <c r="B9" s="83"/>
      <c r="C9" s="565"/>
      <c r="D9" s="26"/>
      <c r="E9" s="26"/>
    </row>
    <row r="10" ht="20.35" customHeight="1">
      <c r="A10" s="1084"/>
      <c r="B10" s="83"/>
      <c r="C10" s="565"/>
      <c r="D10" s="26"/>
      <c r="E10" s="26"/>
    </row>
    <row r="11" ht="20.35" customHeight="1">
      <c r="A11" s="1084"/>
      <c r="B11" s="83"/>
      <c r="C11" s="565"/>
      <c r="D11" s="26"/>
      <c r="E11" s="26"/>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3.xml><?xml version="1.0" encoding="utf-8"?>
<worksheet xmlns:r="http://schemas.openxmlformats.org/officeDocument/2006/relationships" xmlns="http://schemas.openxmlformats.org/spreadsheetml/2006/main">
  <sheetPr>
    <pageSetUpPr fitToPage="1"/>
  </sheetPr>
  <dimension ref="A2:E5"/>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5" width="16.3516" style="1085" customWidth="1"/>
    <col min="6" max="16384" width="16.3516" style="1085" customWidth="1"/>
  </cols>
  <sheetData>
    <row r="1" ht="28" customHeight="1">
      <c r="A1" t="s" s="90">
        <v>80</v>
      </c>
      <c r="B1" s="90"/>
      <c r="C1" s="90"/>
      <c r="D1" s="90"/>
      <c r="E1" s="90"/>
    </row>
    <row r="2" ht="20.55" customHeight="1">
      <c r="A2" s="7"/>
      <c r="B2" t="s" s="8">
        <v>83</v>
      </c>
      <c r="C2" t="s" s="8">
        <v>84</v>
      </c>
      <c r="D2" t="s" s="8">
        <v>1846</v>
      </c>
      <c r="E2" s="7"/>
    </row>
    <row r="3" ht="20.55" customHeight="1">
      <c r="A3" t="s" s="10">
        <v>33</v>
      </c>
      <c r="B3" s="11">
        <v>15000</v>
      </c>
      <c r="C3" s="64" cm="1">
        <f t="array" ref="C3">B3*12</f>
        <v>180000</v>
      </c>
      <c r="D3" s="64" cm="1">
        <f t="array" ref="D3">C3*5</f>
        <v>900000</v>
      </c>
      <c r="E3" s="82"/>
    </row>
    <row r="4" ht="20.55" customHeight="1">
      <c r="A4" t="s" s="41">
        <v>18</v>
      </c>
      <c r="B4" s="42">
        <v>0</v>
      </c>
      <c r="C4" s="74" cm="1">
        <f t="array" ref="C4">B4*12</f>
        <v>0</v>
      </c>
      <c r="D4" s="74" cm="1">
        <f t="array" ref="D4">C4*5</f>
        <v>0</v>
      </c>
      <c r="E4" s="73"/>
    </row>
    <row r="5" ht="20.55" customHeight="1">
      <c r="A5" s="46"/>
      <c r="B5" s="1086" cm="1">
        <f t="array" ref="B5">SUM(B3:B4)</f>
        <v>15000</v>
      </c>
      <c r="C5" s="1086" cm="1">
        <f t="array" ref="C5">SUM(C3:C4)</f>
        <v>180000</v>
      </c>
      <c r="D5" s="1086" cm="1">
        <f t="array" ref="D5">SUM(D3:D4)</f>
        <v>900000</v>
      </c>
      <c r="E5" s="46"/>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4.xml><?xml version="1.0" encoding="utf-8"?>
<worksheet xmlns:r="http://schemas.openxmlformats.org/officeDocument/2006/relationships" xmlns="http://schemas.openxmlformats.org/spreadsheetml/2006/main">
  <sheetPr>
    <pageSetUpPr fitToPage="1"/>
  </sheetPr>
  <dimension ref="A2:G76"/>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5" width="16.3516" style="1087" customWidth="1"/>
    <col min="6" max="6" width="5.20312" style="1087" customWidth="1"/>
    <col min="7" max="7" width="16.3516" style="1087" customWidth="1"/>
    <col min="8" max="16384" width="16.3516" style="1087" customWidth="1"/>
  </cols>
  <sheetData>
    <row r="1" ht="28" customHeight="1">
      <c r="A1" t="s" s="90">
        <v>52</v>
      </c>
      <c r="B1" s="90"/>
      <c r="C1" s="90"/>
      <c r="D1" s="90"/>
      <c r="E1" s="90"/>
      <c r="F1" s="90"/>
      <c r="G1" s="90"/>
    </row>
    <row r="2" ht="20.55" customHeight="1">
      <c r="A2" s="7"/>
      <c r="B2" t="s" s="8">
        <v>1848</v>
      </c>
      <c r="C2" t="s" s="8">
        <v>1849</v>
      </c>
      <c r="D2" s="437"/>
      <c r="E2" t="s" s="8">
        <v>1850</v>
      </c>
      <c r="F2" s="7"/>
      <c r="G2" s="7"/>
    </row>
    <row r="3" ht="20.55" customHeight="1">
      <c r="A3" s="224"/>
      <c r="B3" s="11">
        <v>3826</v>
      </c>
      <c r="C3" s="64">
        <v>41.02</v>
      </c>
      <c r="D3" s="1066"/>
      <c r="E3" s="48">
        <v>29904</v>
      </c>
      <c r="F3" s="48"/>
      <c r="G3" s="48"/>
    </row>
    <row r="4" ht="20.35" customHeight="1">
      <c r="A4" s="28"/>
      <c r="B4" s="18">
        <v>4079</v>
      </c>
      <c r="C4" s="68">
        <v>25.96</v>
      </c>
      <c r="D4" s="995" cm="1">
        <f t="array" ref="D4">(B4-B3)/C4</f>
        <v>9.74576271186441</v>
      </c>
      <c r="E4" s="26"/>
      <c r="F4" s="26"/>
      <c r="G4" s="26"/>
    </row>
    <row r="5" ht="20.35" customHeight="1">
      <c r="A5" s="28"/>
      <c r="B5" s="18">
        <v>4501</v>
      </c>
      <c r="C5" s="32"/>
      <c r="D5" s="995"/>
      <c r="E5" s="26"/>
      <c r="F5" s="26"/>
      <c r="G5" s="26"/>
    </row>
    <row r="6" ht="20.35" customHeight="1">
      <c r="A6" s="28"/>
      <c r="B6" s="18">
        <v>4764</v>
      </c>
      <c r="C6" s="32"/>
      <c r="D6" s="995"/>
      <c r="E6" s="26"/>
      <c r="F6" s="26"/>
      <c r="G6" s="26"/>
    </row>
    <row r="7" ht="20.35" customHeight="1">
      <c r="A7" s="28"/>
      <c r="B7" s="18">
        <v>5003</v>
      </c>
      <c r="C7" s="68">
        <v>28.28</v>
      </c>
      <c r="D7" s="995" cm="1">
        <f t="array" ref="D7">(B7-B6)/C7</f>
        <v>8.45120226308345</v>
      </c>
      <c r="E7" s="26">
        <v>21124</v>
      </c>
      <c r="F7" s="26"/>
      <c r="G7" s="26"/>
    </row>
    <row r="8" ht="20.35" customHeight="1">
      <c r="A8" s="28"/>
      <c r="B8" s="18">
        <v>5300</v>
      </c>
      <c r="C8" s="995">
        <v>29.4</v>
      </c>
      <c r="D8" s="995" cm="1">
        <f t="array" ref="D8">(B8-B7)/C8</f>
        <v>10.1020408163265</v>
      </c>
      <c r="E8" s="26">
        <v>22106</v>
      </c>
      <c r="F8" s="26"/>
      <c r="G8" s="26"/>
    </row>
    <row r="9" ht="20.35" customHeight="1">
      <c r="A9" s="28"/>
      <c r="B9" s="18">
        <v>5500</v>
      </c>
      <c r="C9" s="68">
        <v>19.89</v>
      </c>
      <c r="D9" s="995" cm="1">
        <f t="array" ref="D9">(B9-B8)/C9</f>
        <v>10.0553041729512</v>
      </c>
      <c r="E9" s="26">
        <v>14958</v>
      </c>
      <c r="F9" s="26"/>
      <c r="G9" s="26"/>
    </row>
    <row r="10" ht="20.35" customHeight="1">
      <c r="A10" s="28"/>
      <c r="B10" s="18">
        <v>5908</v>
      </c>
      <c r="C10" s="32"/>
      <c r="D10" s="995"/>
      <c r="E10" s="26"/>
      <c r="F10" s="26"/>
      <c r="G10" s="26"/>
    </row>
    <row r="11" ht="20.35" customHeight="1">
      <c r="A11" s="28"/>
      <c r="B11" s="18">
        <v>6561</v>
      </c>
      <c r="C11" s="68">
        <v>30.83</v>
      </c>
      <c r="D11" s="995"/>
      <c r="E11" s="26">
        <v>23307</v>
      </c>
      <c r="F11" s="26"/>
      <c r="G11" s="26"/>
    </row>
    <row r="12" ht="20.35" customHeight="1">
      <c r="A12" s="28"/>
      <c r="B12" s="18">
        <v>7031</v>
      </c>
      <c r="C12" s="68">
        <v>13.73</v>
      </c>
      <c r="D12" s="995"/>
      <c r="E12" s="26">
        <v>10000</v>
      </c>
      <c r="F12" s="26"/>
      <c r="G12" s="26"/>
    </row>
    <row r="13" ht="20.35" customHeight="1">
      <c r="A13" s="28"/>
      <c r="B13" s="1088"/>
      <c r="C13" s="1089"/>
      <c r="D13" s="1090"/>
      <c r="E13" s="1091"/>
      <c r="F13" s="1091"/>
      <c r="G13" s="1091"/>
    </row>
    <row r="14" ht="20.35" customHeight="1">
      <c r="A14" s="1092">
        <v>42884</v>
      </c>
      <c r="B14" s="29"/>
      <c r="C14" s="68">
        <v>42.08</v>
      </c>
      <c r="D14" s="995"/>
      <c r="E14" s="26">
        <v>30000</v>
      </c>
      <c r="F14" s="26"/>
      <c r="G14" s="26"/>
    </row>
    <row r="15" ht="20.35" customHeight="1">
      <c r="A15" s="1092">
        <v>42898</v>
      </c>
      <c r="B15" s="29"/>
      <c r="C15" s="68">
        <v>24.12</v>
      </c>
      <c r="D15" s="995"/>
      <c r="E15" s="26">
        <v>17632</v>
      </c>
      <c r="F15" s="26"/>
      <c r="G15" s="26"/>
    </row>
    <row r="16" ht="20.35" customHeight="1">
      <c r="A16" s="1092">
        <v>42912</v>
      </c>
      <c r="B16" s="578">
        <v>10550</v>
      </c>
      <c r="C16" s="68">
        <v>33.38</v>
      </c>
      <c r="D16" s="995"/>
      <c r="E16" s="26">
        <v>24131</v>
      </c>
      <c r="F16" s="26"/>
      <c r="G16" s="26"/>
    </row>
    <row r="17" ht="20.35" customHeight="1">
      <c r="A17" s="1092">
        <v>42919</v>
      </c>
      <c r="B17" s="578">
        <v>10768</v>
      </c>
      <c r="C17" s="68">
        <v>22.12</v>
      </c>
      <c r="D17" s="995" cm="1">
        <f t="array" ref="D17">(B17-B16)/C17</f>
        <v>9.855334538878839</v>
      </c>
      <c r="E17" s="26">
        <v>15884</v>
      </c>
      <c r="F17" s="26"/>
      <c r="G17" s="26"/>
    </row>
    <row r="18" ht="20.35" customHeight="1">
      <c r="A18" s="1092">
        <v>42926</v>
      </c>
      <c r="B18" s="578">
        <v>10950</v>
      </c>
      <c r="C18" s="32"/>
      <c r="D18" s="995"/>
      <c r="E18" s="26"/>
      <c r="F18" s="26"/>
      <c r="G18" s="26"/>
    </row>
    <row r="19" ht="20.35" customHeight="1">
      <c r="A19" s="1092">
        <v>42947</v>
      </c>
      <c r="B19" s="578">
        <v>11503</v>
      </c>
      <c r="C19" s="68">
        <v>41.42</v>
      </c>
      <c r="D19" s="995" cm="1">
        <f t="array" ref="D19">(B19-B18)/C19</f>
        <v>13.3510381458233</v>
      </c>
      <c r="E19" s="26">
        <v>29573</v>
      </c>
      <c r="F19" s="26"/>
      <c r="G19" s="26"/>
    </row>
    <row r="20" ht="20.35" customHeight="1">
      <c r="A20" s="1092">
        <v>42961</v>
      </c>
      <c r="B20" s="578">
        <v>11866</v>
      </c>
      <c r="C20" s="68">
        <v>34.16</v>
      </c>
      <c r="D20" s="995" cm="1">
        <f t="array" ref="D20">(B20-B19)/C20</f>
        <v>10.6264637002342</v>
      </c>
      <c r="E20" s="26">
        <v>24767</v>
      </c>
      <c r="F20" s="26"/>
      <c r="G20" s="26"/>
    </row>
    <row r="21" ht="20.35" customHeight="1">
      <c r="A21" s="1092">
        <v>42975</v>
      </c>
      <c r="B21" s="578">
        <v>12312</v>
      </c>
      <c r="C21" s="68">
        <v>42.25</v>
      </c>
      <c r="D21" s="995" cm="1">
        <f t="array" ref="D21">(B21-B20)/C21</f>
        <v>10.5562130177515</v>
      </c>
      <c r="E21" s="26">
        <v>30674</v>
      </c>
      <c r="F21" s="26"/>
      <c r="G21" s="26" cm="1">
        <f t="array" ref="G21">SUM(E20:E21)</f>
        <v>55441</v>
      </c>
    </row>
    <row r="22" ht="20.35" customHeight="1">
      <c r="A22" s="1092">
        <v>42989</v>
      </c>
      <c r="B22" s="578">
        <v>12718</v>
      </c>
      <c r="C22" s="68">
        <v>36.42</v>
      </c>
      <c r="D22" s="995" cm="1">
        <f t="array" ref="D22">(B22-B21)/C22</f>
        <v>11.1477210323998</v>
      </c>
      <c r="E22" s="26">
        <v>26403</v>
      </c>
      <c r="F22" s="26"/>
      <c r="G22" s="26"/>
    </row>
    <row r="23" ht="20.35" customHeight="1">
      <c r="A23" s="1092">
        <v>42996</v>
      </c>
      <c r="B23" s="578">
        <v>12930</v>
      </c>
      <c r="C23" s="68">
        <v>20.38</v>
      </c>
      <c r="D23" s="995" cm="1">
        <f t="array" ref="D23">(B23-B22)/C23</f>
        <v>10.4023552502453</v>
      </c>
      <c r="E23" s="26">
        <v>14894</v>
      </c>
      <c r="F23" s="26"/>
      <c r="G23" s="26" cm="1">
        <f t="array" ref="G23">SUM(E22:E23)</f>
        <v>41297</v>
      </c>
    </row>
    <row r="24" ht="20.35" customHeight="1">
      <c r="A24" s="1092">
        <v>43012</v>
      </c>
      <c r="B24" s="578">
        <v>13330</v>
      </c>
      <c r="C24" s="68">
        <v>36.32</v>
      </c>
      <c r="D24" s="995" cm="1">
        <f t="array" ref="D24">(B24-B23)/C24</f>
        <v>11.0132158590308</v>
      </c>
      <c r="E24" s="26">
        <v>28075</v>
      </c>
      <c r="F24" s="26"/>
      <c r="G24" s="26"/>
    </row>
    <row r="25" ht="20.35" customHeight="1">
      <c r="A25" s="1092">
        <v>43017</v>
      </c>
      <c r="B25" s="578">
        <v>13737</v>
      </c>
      <c r="C25" s="68">
        <v>29.59</v>
      </c>
      <c r="D25" s="995" cm="1">
        <f t="array" ref="D25">(B25-B24)/C25</f>
        <v>13.7546468401487</v>
      </c>
      <c r="E25" s="26">
        <v>22018</v>
      </c>
      <c r="F25" s="26"/>
      <c r="G25" s="26"/>
    </row>
    <row r="26" ht="20.35" customHeight="1">
      <c r="A26" s="1092">
        <v>43031</v>
      </c>
      <c r="B26" s="578">
        <v>14137</v>
      </c>
      <c r="C26" s="68">
        <v>36.35</v>
      </c>
      <c r="D26" s="995" cm="1">
        <f t="array" ref="D26">(B26-B25)/C26</f>
        <v>11.0041265474553</v>
      </c>
      <c r="E26" s="26">
        <v>26717</v>
      </c>
      <c r="F26" s="26"/>
      <c r="G26" s="26" cm="1">
        <f t="array" ref="G26">SUM(E24:E26)</f>
        <v>76810</v>
      </c>
    </row>
    <row r="27" ht="20.35" customHeight="1">
      <c r="A27" s="1092">
        <v>43046</v>
      </c>
      <c r="B27" s="578">
        <v>14538</v>
      </c>
      <c r="C27" s="68">
        <v>34.73</v>
      </c>
      <c r="D27" s="995" cm="1">
        <f t="array" ref="D27">(B27-B26)/C27</f>
        <v>11.5462136481428</v>
      </c>
      <c r="E27" s="26">
        <v>25668</v>
      </c>
      <c r="F27" s="26"/>
      <c r="G27" s="26"/>
    </row>
    <row r="28" ht="20.35" customHeight="1">
      <c r="A28" s="1092">
        <v>43059</v>
      </c>
      <c r="B28" s="578">
        <v>14961</v>
      </c>
      <c r="C28" s="68">
        <v>39.19</v>
      </c>
      <c r="D28" s="995" cm="1">
        <f t="array" ref="D28">(B28-B27)/C28</f>
        <v>10.7935697882113</v>
      </c>
      <c r="E28" s="26" cm="1">
        <f t="array" ref="E28">29355</f>
        <v>29355</v>
      </c>
      <c r="F28" s="26"/>
      <c r="G28" s="26" cm="1">
        <f t="array" ref="G28">SUM(E27:E28)</f>
        <v>55023</v>
      </c>
    </row>
    <row r="29" ht="20.35" customHeight="1">
      <c r="A29" s="1092">
        <v>43073</v>
      </c>
      <c r="B29" s="578">
        <v>15298</v>
      </c>
      <c r="C29" s="68">
        <v>31.81</v>
      </c>
      <c r="D29" s="995" cm="1">
        <f t="array" ref="D29">(B29-B28)/C29</f>
        <v>10.594152782144</v>
      </c>
      <c r="E29" s="26">
        <v>24173</v>
      </c>
      <c r="F29" s="26"/>
      <c r="G29" s="26"/>
    </row>
    <row r="30" ht="20.35" customHeight="1">
      <c r="A30" s="1092">
        <v>43085</v>
      </c>
      <c r="B30" s="578">
        <v>15756</v>
      </c>
      <c r="C30" s="68">
        <v>42.79</v>
      </c>
      <c r="D30" s="995" cm="1">
        <f t="array" ref="D30">(B30-B29)/C30</f>
        <v>10.7034353820986</v>
      </c>
      <c r="E30" s="26">
        <v>32991</v>
      </c>
      <c r="F30" s="26"/>
      <c r="G30" s="26" cm="1">
        <f t="array" ref="G30">SUM(E29:E30)</f>
        <v>57164</v>
      </c>
    </row>
    <row r="31" ht="20.35" customHeight="1">
      <c r="A31" s="1092">
        <v>43101</v>
      </c>
      <c r="B31" s="578">
        <v>16157</v>
      </c>
      <c r="C31" s="68">
        <v>37.62</v>
      </c>
      <c r="D31" s="995" cm="1">
        <f t="array" ref="D31">(B31-B30)/C31</f>
        <v>10.6592238171186</v>
      </c>
      <c r="E31" s="26" cm="1">
        <f t="array" ref="E31">28667</f>
        <v>28667</v>
      </c>
      <c r="F31" s="26"/>
      <c r="G31" s="26"/>
    </row>
    <row r="32" ht="20.35" customHeight="1">
      <c r="A32" s="1092">
        <v>43115</v>
      </c>
      <c r="B32" s="578">
        <v>16560</v>
      </c>
      <c r="C32" s="995">
        <v>39.1</v>
      </c>
      <c r="D32" s="995" cm="1">
        <f t="array" ref="D32">(B32-B31)/C32</f>
        <v>10.306905370844</v>
      </c>
      <c r="E32" s="26">
        <v>29524</v>
      </c>
      <c r="F32" s="26"/>
      <c r="G32" s="26"/>
    </row>
    <row r="33" ht="20.35" customHeight="1">
      <c r="A33" s="1092">
        <v>43122</v>
      </c>
      <c r="B33" s="578">
        <v>16755</v>
      </c>
      <c r="C33" s="68">
        <v>17.22</v>
      </c>
      <c r="D33" s="995" cm="1">
        <f t="array" ref="D33">(B33-B32)/C33</f>
        <v>11.3240418118467</v>
      </c>
      <c r="E33" s="26" cm="1">
        <f t="array" ref="E33">13105</f>
        <v>13105</v>
      </c>
      <c r="F33" s="26"/>
      <c r="G33" s="26" cm="1">
        <f t="array" ref="G33">SUM(E31:E33)</f>
        <v>71296</v>
      </c>
    </row>
    <row r="34" ht="20.35" customHeight="1">
      <c r="A34" s="1092">
        <v>43136</v>
      </c>
      <c r="B34" s="578">
        <v>17173</v>
      </c>
      <c r="C34" s="68" cm="1">
        <f t="array" ref="C34">36.42</f>
        <v>36.42</v>
      </c>
      <c r="D34" s="995" cm="1">
        <f t="array" ref="D34">(B34-B33)/C34</f>
        <v>11.4772103239978</v>
      </c>
      <c r="E34" s="26" cm="1">
        <f t="array" ref="E34">28229</f>
        <v>28229</v>
      </c>
      <c r="F34" s="26"/>
      <c r="G34" s="26"/>
    </row>
    <row r="35" ht="20.35" customHeight="1">
      <c r="A35" s="1092">
        <v>43143</v>
      </c>
      <c r="B35" s="578">
        <v>17398</v>
      </c>
      <c r="C35" s="68">
        <v>22.05</v>
      </c>
      <c r="D35" s="995" cm="1">
        <f t="array" ref="D35">(B35-B34)/C35</f>
        <v>10.2040816326531</v>
      </c>
      <c r="E35" s="26">
        <v>17200</v>
      </c>
      <c r="F35" s="26"/>
      <c r="G35" s="26"/>
    </row>
    <row r="36" ht="20.35" customHeight="1">
      <c r="A36" s="1092">
        <v>43157</v>
      </c>
      <c r="B36" s="578">
        <v>17871</v>
      </c>
      <c r="C36" s="68">
        <v>40.74</v>
      </c>
      <c r="D36" s="995" cm="1">
        <f t="array" ref="D36">(B36-B35)/C36</f>
        <v>11.6102110947472</v>
      </c>
      <c r="E36" s="26" cm="1">
        <f t="array" ref="E36">31371</f>
        <v>31371</v>
      </c>
      <c r="F36" s="26"/>
      <c r="G36" s="26" cm="1">
        <f t="array" ref="G36">SUM(E34:E36)</f>
        <v>76800</v>
      </c>
    </row>
    <row r="37" ht="20.35" customHeight="1">
      <c r="A37" s="1092">
        <v>43164</v>
      </c>
      <c r="B37" s="578">
        <v>18071</v>
      </c>
      <c r="C37" s="68" cm="1">
        <f t="array" ref="C37">18.32</f>
        <v>18.32</v>
      </c>
      <c r="D37" s="995" cm="1">
        <f t="array" ref="D37">(B37-B36)/C37</f>
        <v>10.9170305676856</v>
      </c>
      <c r="E37" s="26" cm="1">
        <f t="array" ref="E37">13851</f>
        <v>13851</v>
      </c>
      <c r="F37" s="26"/>
      <c r="G37" s="26"/>
    </row>
    <row r="38" ht="20.35" customHeight="1">
      <c r="A38" s="1092">
        <v>43178</v>
      </c>
      <c r="B38" s="578">
        <v>18384</v>
      </c>
      <c r="C38" s="68">
        <v>28.83</v>
      </c>
      <c r="D38" s="995" cm="1">
        <f t="array" ref="D38">(B38-B37)/C38</f>
        <v>10.8567464446757</v>
      </c>
      <c r="E38" s="26" cm="1">
        <f t="array" ref="E38">21477</f>
        <v>21477</v>
      </c>
      <c r="F38" s="26"/>
      <c r="G38" s="26" cm="1">
        <f t="array" ref="G38">SUM(E37:E38)</f>
        <v>35328</v>
      </c>
    </row>
    <row r="39" ht="20.35" customHeight="1">
      <c r="A39" s="1092">
        <v>43203</v>
      </c>
      <c r="B39" s="578">
        <v>18827</v>
      </c>
      <c r="C39" s="68">
        <v>39.03</v>
      </c>
      <c r="D39" s="995" cm="1">
        <f t="array" ref="D39">(B39-B38)/C39</f>
        <v>11.3502434025109</v>
      </c>
      <c r="E39" s="26" cm="1">
        <f t="array" ref="E39">29777</f>
        <v>29777</v>
      </c>
      <c r="F39" s="26"/>
      <c r="G39" s="26"/>
    </row>
    <row r="40" ht="20.35" customHeight="1">
      <c r="A40" s="1092">
        <v>43217</v>
      </c>
      <c r="B40" s="578">
        <v>19220</v>
      </c>
      <c r="C40" s="68" cm="1">
        <f t="array" ref="C40">34.93</f>
        <v>34.93</v>
      </c>
      <c r="D40" s="995" cm="1">
        <f t="array" ref="D40">(B40-B39)/C40</f>
        <v>11.2510735757229</v>
      </c>
      <c r="E40" s="26" cm="1">
        <f t="array" ref="E40">27002</f>
        <v>27002</v>
      </c>
      <c r="F40" s="26"/>
      <c r="G40" s="26" cm="1">
        <f t="array" ref="G40">SUM(E39:E40)</f>
        <v>56779</v>
      </c>
    </row>
    <row r="41" ht="20.35" customHeight="1">
      <c r="A41" s="1092">
        <v>43234</v>
      </c>
      <c r="B41" s="578">
        <v>19632</v>
      </c>
      <c r="C41" s="68" cm="1">
        <f t="array" ref="C41">36.04</f>
        <v>36.04</v>
      </c>
      <c r="D41" s="995" cm="1">
        <f t="array" ref="D41">(B41-B40)/C41</f>
        <v>11.4317425083241</v>
      </c>
      <c r="E41" s="26" cm="1">
        <f t="array" ref="E41">28287</f>
        <v>28287</v>
      </c>
      <c r="F41" s="26"/>
      <c r="G41" s="26"/>
    </row>
    <row r="42" ht="20.35" customHeight="1">
      <c r="A42" s="1092">
        <v>43241</v>
      </c>
      <c r="B42" s="578">
        <v>20068</v>
      </c>
      <c r="C42" s="68" cm="1">
        <f t="array" ref="C42">31.12</f>
        <v>31.12</v>
      </c>
      <c r="D42" s="995" cm="1">
        <f t="array" ref="D42">(B42-B41)/C42</f>
        <v>14.0102827763496</v>
      </c>
      <c r="E42" s="26" cm="1">
        <f t="array" ref="E42">25736</f>
        <v>25736</v>
      </c>
      <c r="F42" s="26"/>
      <c r="G42" s="26" cm="1">
        <f t="array" ref="G42">SUM(E41:E42)</f>
        <v>54023</v>
      </c>
    </row>
    <row r="43" ht="20.35" customHeight="1">
      <c r="A43" s="1092">
        <v>43255</v>
      </c>
      <c r="B43" s="578">
        <v>20401</v>
      </c>
      <c r="C43" s="68">
        <v>28.66</v>
      </c>
      <c r="D43" s="995" cm="1">
        <f t="array" ref="D43">(B43-B42)/C43</f>
        <v>11.6189811584089</v>
      </c>
      <c r="E43" s="26" cm="1">
        <f t="array" ref="E43">23125</f>
        <v>23125</v>
      </c>
      <c r="F43" s="26"/>
      <c r="G43" s="26"/>
    </row>
    <row r="44" ht="20.35" customHeight="1">
      <c r="A44" s="1092">
        <v>43271</v>
      </c>
      <c r="B44" s="578">
        <v>20821</v>
      </c>
      <c r="C44" s="68">
        <v>37.96</v>
      </c>
      <c r="D44" s="995" cm="1">
        <f t="array" ref="D44">(B44-B43)/C44</f>
        <v>11.0642781875659</v>
      </c>
      <c r="E44" s="30" cm="1">
        <f t="array" ref="E44">31016</f>
        <v>31016</v>
      </c>
      <c r="F44" s="30"/>
      <c r="G44" s="30" cm="1">
        <f t="array" ref="G44">SUM(E43:E44)</f>
        <v>54141</v>
      </c>
    </row>
    <row r="45" ht="20.35" customHeight="1">
      <c r="A45" s="1092">
        <v>43290</v>
      </c>
      <c r="B45" s="578">
        <v>21152</v>
      </c>
      <c r="C45" s="68" cm="1">
        <f t="array" ref="C45">32.13</f>
        <v>32.13</v>
      </c>
      <c r="D45" s="995" cm="1">
        <f t="array" ref="D45">(B45-B44)/C45</f>
        <v>10.3018985371927</v>
      </c>
      <c r="E45" s="26" cm="1">
        <f t="array" ref="E45">26155</f>
        <v>26155</v>
      </c>
      <c r="F45" s="26"/>
      <c r="G45" s="26"/>
    </row>
    <row r="46" ht="20.35" customHeight="1">
      <c r="A46" s="1092">
        <v>43305</v>
      </c>
      <c r="B46" s="578">
        <v>21439</v>
      </c>
      <c r="C46" s="68" cm="1">
        <f t="array" ref="C46">27.02</f>
        <v>27.02</v>
      </c>
      <c r="D46" s="995" cm="1">
        <f t="array" ref="D46">(B46-B45)/C46</f>
        <v>10.6217616580311</v>
      </c>
      <c r="E46" s="26" cm="1">
        <f t="array" ref="E46">22532</f>
        <v>22532</v>
      </c>
      <c r="F46" s="26"/>
      <c r="G46" s="26" cm="1">
        <f t="array" ref="G46">SUM(E45:E46)</f>
        <v>48687</v>
      </c>
    </row>
    <row r="47" ht="20.35" customHeight="1">
      <c r="A47" s="1092">
        <v>43326</v>
      </c>
      <c r="B47" s="578">
        <v>21890</v>
      </c>
      <c r="C47" s="995">
        <v>38</v>
      </c>
      <c r="D47" s="995" cm="1">
        <f t="array" ref="D47">(B47-B46)/C47</f>
        <v>11.8684210526316</v>
      </c>
      <c r="E47" s="26" cm="1">
        <f t="array" ref="E47">31499</f>
        <v>31499</v>
      </c>
      <c r="F47" s="26"/>
      <c r="G47" s="26"/>
    </row>
    <row r="48" ht="20.35" customHeight="1">
      <c r="A48" s="1092">
        <v>43339</v>
      </c>
      <c r="B48" s="578">
        <v>22262</v>
      </c>
      <c r="C48" s="68" cm="1">
        <f t="array" ref="C48">31.22</f>
        <v>31.22</v>
      </c>
      <c r="D48" s="995" cm="1">
        <f t="array" ref="D48">(B48-B47)/C48</f>
        <v>11.9154388212684</v>
      </c>
      <c r="E48" s="26" cm="1">
        <f t="array" ref="E48">26003</f>
        <v>26003</v>
      </c>
      <c r="F48" s="26"/>
      <c r="G48" s="26" cm="1">
        <f t="array" ref="G48">SUM(E47:E48)</f>
        <v>57502</v>
      </c>
    </row>
    <row r="49" ht="20.35" customHeight="1">
      <c r="A49" s="1092">
        <v>43360</v>
      </c>
      <c r="B49" s="578" cm="1">
        <f t="array" ref="B49">22702</f>
        <v>22702</v>
      </c>
      <c r="C49" s="68" cm="1">
        <f t="array" ref="C49">36.78</f>
        <v>36.78</v>
      </c>
      <c r="D49" s="995" cm="1">
        <f t="array" ref="D49">(B49-B48)/C49</f>
        <v>11.963023382273</v>
      </c>
      <c r="E49" s="26" cm="1">
        <f t="array" ref="E49">C49*850</f>
        <v>31263</v>
      </c>
      <c r="F49" s="26"/>
      <c r="G49" s="26" cm="1">
        <f t="array" ref="G49">E49</f>
        <v>31263</v>
      </c>
    </row>
    <row r="50" ht="20.35" customHeight="1">
      <c r="A50" s="1092">
        <v>43374</v>
      </c>
      <c r="B50" s="578">
        <v>23069</v>
      </c>
      <c r="C50" s="68">
        <v>29.63</v>
      </c>
      <c r="D50" s="995" cm="1">
        <f t="array" ref="D50">(B50-B49)/C50</f>
        <v>12.3860951738103</v>
      </c>
      <c r="E50" s="26" cm="1">
        <f t="array" ref="E50">25508</f>
        <v>25508</v>
      </c>
      <c r="F50" s="26"/>
      <c r="G50" s="26"/>
    </row>
    <row r="51" ht="20.35" customHeight="1">
      <c r="A51" s="1092">
        <v>43396</v>
      </c>
      <c r="B51" s="578">
        <v>23532</v>
      </c>
      <c r="C51" s="68">
        <v>42.17</v>
      </c>
      <c r="D51" s="995" cm="1">
        <f t="array" ref="D51">(B51-B50)/C51</f>
        <v>10.9793692198245</v>
      </c>
      <c r="E51" s="26" cm="1">
        <f t="array" ref="E51">36980</f>
        <v>36980</v>
      </c>
      <c r="F51" s="26"/>
      <c r="G51" s="26" cm="1">
        <f t="array" ref="G51">SUM(E50:E51)</f>
        <v>62488</v>
      </c>
    </row>
    <row r="52" ht="20.35" customHeight="1">
      <c r="A52" s="1092">
        <v>43409</v>
      </c>
      <c r="B52" s="578">
        <v>24051</v>
      </c>
      <c r="C52" s="68">
        <v>37.96</v>
      </c>
      <c r="D52" s="995" cm="1">
        <f t="array" ref="D52">(B52-B51)/C52</f>
        <v>13.6722866174921</v>
      </c>
      <c r="E52" s="26">
        <v>33023</v>
      </c>
      <c r="F52" s="26"/>
      <c r="G52" s="26"/>
    </row>
    <row r="53" ht="20.35" customHeight="1">
      <c r="A53" s="1092">
        <v>43423</v>
      </c>
      <c r="B53" s="578">
        <v>24425</v>
      </c>
      <c r="C53" s="68" cm="1">
        <f t="array" ref="C53">33.63</f>
        <v>33.63</v>
      </c>
      <c r="D53" s="995" cm="1">
        <f t="array" ref="D53">(B53-B52)/C53</f>
        <v>11.1210228962236</v>
      </c>
      <c r="E53" s="26" cm="1">
        <f t="array" ref="E53">28824</f>
        <v>28824</v>
      </c>
      <c r="F53" s="26"/>
      <c r="G53" s="26" cm="1">
        <f t="array" ref="G53">SUM(E52:E53)</f>
        <v>61847</v>
      </c>
    </row>
    <row r="54" ht="20.35" customHeight="1">
      <c r="A54" s="1092">
        <v>43437</v>
      </c>
      <c r="B54" s="578">
        <v>24794</v>
      </c>
      <c r="C54" s="68" cm="1">
        <f t="array" ref="C54">35.05</f>
        <v>35.05</v>
      </c>
      <c r="D54" s="995" cm="1">
        <f t="array" ref="D54">(B54-B53)/C54</f>
        <v>10.527817403709</v>
      </c>
      <c r="E54" s="26" cm="1">
        <f t="array" ref="E54">29615</f>
        <v>29615</v>
      </c>
      <c r="F54" s="26"/>
      <c r="G54" s="26"/>
    </row>
    <row r="55" ht="20.35" customHeight="1">
      <c r="A55" s="1092">
        <v>43452</v>
      </c>
      <c r="B55" s="578">
        <v>25259</v>
      </c>
      <c r="C55" s="68" cm="1">
        <f t="array" ref="C55">39.15</f>
        <v>39.15</v>
      </c>
      <c r="D55" s="995" cm="1">
        <f t="array" ref="D55">(B55-B54)/C55</f>
        <v>11.8773946360153</v>
      </c>
      <c r="E55" s="26" cm="1">
        <f t="array" ref="E55">32732</f>
        <v>32732</v>
      </c>
      <c r="F55" s="26"/>
      <c r="G55" s="26"/>
    </row>
    <row r="56" ht="20.35" customHeight="1">
      <c r="A56" s="1092">
        <v>43464</v>
      </c>
      <c r="B56" s="578">
        <v>25572</v>
      </c>
      <c r="C56" s="68" cm="1">
        <f t="array" ref="C56">28.43</f>
        <v>28.43</v>
      </c>
      <c r="D56" s="995" cm="1">
        <f t="array" ref="D56">(B56-B55)/C56</f>
        <v>11.0094970102005</v>
      </c>
      <c r="E56" s="26" cm="1">
        <f t="array" ref="E56">24535</f>
        <v>24535</v>
      </c>
      <c r="F56" s="26"/>
      <c r="G56" s="26" cm="1">
        <f t="array" ref="G56">SUM(E54:E56)</f>
        <v>86882</v>
      </c>
    </row>
    <row r="57" ht="20.35" customHeight="1">
      <c r="A57" s="1092">
        <v>43473</v>
      </c>
      <c r="B57" s="578">
        <v>25999</v>
      </c>
      <c r="C57" s="68" cm="1">
        <f t="array" ref="C57">28.66</f>
        <v>28.66</v>
      </c>
      <c r="D57" s="995" cm="1">
        <f t="array" ref="D57">(B57-B56)/C57</f>
        <v>14.8988136775994</v>
      </c>
      <c r="E57" s="26" cm="1">
        <f t="array" ref="E57">23383</f>
        <v>23383</v>
      </c>
      <c r="F57" s="26"/>
      <c r="G57" s="26"/>
    </row>
    <row r="58" ht="20.35" customHeight="1">
      <c r="A58" s="1092">
        <v>43486</v>
      </c>
      <c r="B58" s="578">
        <v>26300</v>
      </c>
      <c r="C58" s="68">
        <v>26.88</v>
      </c>
      <c r="D58" s="995" cm="1">
        <f t="array" ref="D58">(B58-B57)/C58</f>
        <v>11.1979166666667</v>
      </c>
      <c r="E58" s="26">
        <v>21662</v>
      </c>
      <c r="F58" s="26"/>
      <c r="G58" s="26" cm="1">
        <f t="array" ref="G58">SUM(E57:E58)</f>
        <v>45045</v>
      </c>
    </row>
    <row r="59" ht="20.35" customHeight="1">
      <c r="A59" s="1092">
        <v>43500</v>
      </c>
      <c r="B59" s="578">
        <v>26605</v>
      </c>
      <c r="C59" s="68" cm="1">
        <f t="array" ref="C59">28.84</f>
        <v>28.84</v>
      </c>
      <c r="D59" s="995" cm="1">
        <f t="array" ref="D59">(B59-B58)/C59</f>
        <v>10.5755894590846</v>
      </c>
      <c r="E59" s="26" cm="1">
        <f t="array" ref="E59">22925</f>
        <v>22925</v>
      </c>
      <c r="F59" s="26"/>
      <c r="G59" s="26"/>
    </row>
    <row r="60" ht="20.35" customHeight="1">
      <c r="A60" s="1092">
        <v>43514</v>
      </c>
      <c r="B60" s="578">
        <v>26894</v>
      </c>
      <c r="C60" s="68">
        <v>26.34</v>
      </c>
      <c r="D60" s="995" cm="1">
        <f t="array" ref="D60">(B60-B59)/C60</f>
        <v>10.9719058466211</v>
      </c>
      <c r="E60" s="26" cm="1">
        <f t="array" ref="E60">20647</f>
        <v>20647</v>
      </c>
      <c r="F60" s="26"/>
      <c r="G60" s="26" cm="1">
        <f t="array" ref="G60">SUM(E59:E60)</f>
        <v>43572</v>
      </c>
    </row>
    <row r="61" ht="20.35" customHeight="1">
      <c r="A61" s="1092">
        <v>43528</v>
      </c>
      <c r="B61" s="578">
        <v>27258</v>
      </c>
      <c r="C61" s="68" cm="1">
        <f t="array" ref="C61">32.505</f>
        <v>32.505</v>
      </c>
      <c r="D61" s="995" cm="1">
        <f t="array" ref="D61">(B61-B60)/C61</f>
        <v>11.1982771881249</v>
      </c>
      <c r="E61" s="26" cm="1">
        <f t="array" ref="E61">25094</f>
        <v>25094</v>
      </c>
      <c r="F61" s="26"/>
      <c r="G61" s="26"/>
    </row>
    <row r="62" ht="20.35" customHeight="1">
      <c r="A62" s="1092">
        <v>43542</v>
      </c>
      <c r="B62" s="578">
        <v>27606</v>
      </c>
      <c r="C62" s="68" cm="1">
        <f t="array" ref="C62">30.908</f>
        <v>30.908</v>
      </c>
      <c r="D62" s="995" cm="1">
        <f t="array" ref="D62">(B62-B61)/C62</f>
        <v>11.2592209136793</v>
      </c>
      <c r="E62" s="26" cm="1">
        <f t="array" ref="E62">24139</f>
        <v>24139</v>
      </c>
      <c r="F62" s="26"/>
      <c r="G62" s="26" cm="1">
        <f t="array" ref="G62">SUM(E61:E62)</f>
        <v>49233</v>
      </c>
    </row>
    <row r="63" ht="20.35" customHeight="1">
      <c r="A63" s="1092">
        <v>43556</v>
      </c>
      <c r="B63" s="578">
        <v>28015</v>
      </c>
      <c r="C63" s="68" cm="1">
        <f t="array" ref="C63">37.567</f>
        <v>37.567</v>
      </c>
      <c r="D63" s="995" cm="1">
        <f t="array" ref="D63">(B63-B62)/C63</f>
        <v>10.8872148428142</v>
      </c>
      <c r="E63" s="26" cm="1">
        <f t="array" ref="E63">29791</f>
        <v>29791</v>
      </c>
      <c r="F63" s="26"/>
      <c r="G63" s="26"/>
    </row>
    <row r="64" ht="20.35" customHeight="1">
      <c r="A64" s="1092">
        <v>43563</v>
      </c>
      <c r="B64" s="578">
        <v>28490</v>
      </c>
      <c r="C64" s="68" cm="1">
        <f t="array" ref="C64">31.584</f>
        <v>31.584</v>
      </c>
      <c r="D64" s="995" cm="1">
        <f t="array" ref="D64">(B64-B63)/C64</f>
        <v>15.0392603850051</v>
      </c>
      <c r="E64" s="26" cm="1">
        <f t="array" ref="E64">25267</f>
        <v>25267</v>
      </c>
      <c r="F64" s="26"/>
      <c r="G64" s="26"/>
    </row>
    <row r="65" ht="20.35" customHeight="1">
      <c r="A65" s="1092">
        <v>43578</v>
      </c>
      <c r="B65" s="578"/>
      <c r="C65" s="68">
        <v>25.721</v>
      </c>
      <c r="D65" s="995"/>
      <c r="E65" s="26" cm="1">
        <f t="array" ref="E65">20654</f>
        <v>20654</v>
      </c>
      <c r="F65" s="26"/>
      <c r="G65" s="26" cm="1">
        <f t="array" ref="G65">SUM(E63:E65)</f>
        <v>75712</v>
      </c>
    </row>
    <row r="66" ht="20.35" customHeight="1">
      <c r="A66" s="1092">
        <v>43591</v>
      </c>
      <c r="B66" s="578">
        <v>29021</v>
      </c>
      <c r="C66" s="68" cm="1">
        <f t="array" ref="C66">21.432</f>
        <v>21.432</v>
      </c>
      <c r="D66" s="995" cm="1">
        <f t="array" ref="D66">(B66-B64)/SUM(C65:C66)</f>
        <v>11.2612134964901</v>
      </c>
      <c r="E66" s="26" cm="1">
        <f t="array" ref="E66">17274</f>
        <v>17274</v>
      </c>
      <c r="F66" s="26"/>
      <c r="G66" s="26" cm="1">
        <f t="array" ref="G66">E66</f>
        <v>17274</v>
      </c>
    </row>
    <row r="67" ht="20.35" customHeight="1">
      <c r="A67" s="1092">
        <v>43621</v>
      </c>
      <c r="B67" s="578">
        <v>29440</v>
      </c>
      <c r="C67" s="68" cm="1">
        <f t="array" ref="C67">35.358</f>
        <v>35.358</v>
      </c>
      <c r="D67" s="995" cm="1">
        <f t="array" ref="D67">(B67-B66)/C67</f>
        <v>11.8502177724984</v>
      </c>
      <c r="E67" s="26" cm="1">
        <f t="array" ref="E67">29347</f>
        <v>29347</v>
      </c>
      <c r="F67" s="26"/>
      <c r="G67" s="26"/>
    </row>
    <row r="68" ht="20.35" customHeight="1">
      <c r="A68" s="1092">
        <v>43622</v>
      </c>
      <c r="B68" s="578">
        <v>29898</v>
      </c>
      <c r="C68" s="68" cm="1">
        <f t="array" ref="C68">35.358</f>
        <v>35.358</v>
      </c>
      <c r="D68" s="995" cm="1">
        <f t="array" ref="D68">(B68-B67)/C68</f>
        <v>12.9532213360484</v>
      </c>
      <c r="E68" s="26">
        <v>30000</v>
      </c>
      <c r="F68" s="26"/>
      <c r="G68" s="26"/>
    </row>
    <row r="69" ht="20.35" customHeight="1">
      <c r="A69" s="1092">
        <v>43654</v>
      </c>
      <c r="B69" s="578">
        <v>30356</v>
      </c>
      <c r="C69" s="68">
        <v>36.7</v>
      </c>
      <c r="D69" s="995" cm="1">
        <f t="array" ref="D69">(B69-B68)/C69</f>
        <v>12.4795640326975</v>
      </c>
      <c r="E69" s="26" cm="1">
        <f t="array" ref="E69">29507</f>
        <v>29507</v>
      </c>
      <c r="F69" s="26"/>
      <c r="G69" s="26"/>
    </row>
    <row r="70" ht="20.35" customHeight="1">
      <c r="A70" s="1092">
        <v>43682</v>
      </c>
      <c r="B70" s="578">
        <v>30775</v>
      </c>
      <c r="C70" s="68">
        <v>36.63</v>
      </c>
      <c r="D70" s="995" cm="1">
        <f t="array" ref="D70">(B70-B69)/C70</f>
        <v>11.4387114387114</v>
      </c>
      <c r="E70" s="26">
        <v>30073</v>
      </c>
      <c r="F70" s="26"/>
      <c r="G70" s="26"/>
    </row>
    <row r="71" ht="20.35" customHeight="1">
      <c r="A71" s="1092">
        <v>43719</v>
      </c>
      <c r="B71" s="578" cm="1">
        <f t="array" ref="B71">31292</f>
        <v>31292</v>
      </c>
      <c r="C71" s="68" cm="1">
        <f t="array" ref="C71">38.071</f>
        <v>38.071</v>
      </c>
      <c r="D71" s="995" cm="1">
        <f t="array" ref="D71">(B71-B70)/C71</f>
        <v>13.579890205143</v>
      </c>
      <c r="E71" s="26" cm="1">
        <f t="array" ref="E71">30000</f>
        <v>30000</v>
      </c>
      <c r="F71" s="26"/>
      <c r="G71" s="26"/>
    </row>
    <row r="72" ht="20.35" customHeight="1">
      <c r="A72" s="1092"/>
      <c r="B72" s="578"/>
      <c r="C72" s="32"/>
      <c r="D72" s="995"/>
      <c r="E72" s="26"/>
      <c r="F72" s="26"/>
      <c r="G72" s="26"/>
    </row>
    <row r="73" ht="20.35" customHeight="1">
      <c r="A73" s="1092"/>
      <c r="B73" s="578">
        <v>33200</v>
      </c>
      <c r="C73" s="32"/>
      <c r="D73" s="995"/>
      <c r="E73" s="26"/>
      <c r="F73" s="26"/>
      <c r="G73" s="26"/>
    </row>
    <row r="74" ht="20.35" customHeight="1">
      <c r="A74" s="1092">
        <v>44091</v>
      </c>
      <c r="B74" s="578">
        <v>33700</v>
      </c>
      <c r="C74" s="68">
        <v>41.667</v>
      </c>
      <c r="D74" s="995" cm="1">
        <f t="array" ref="D74">(B74-B73)/C74</f>
        <v>11.999904000768</v>
      </c>
      <c r="E74" s="26">
        <v>30000</v>
      </c>
      <c r="F74" s="26"/>
      <c r="G74" s="26"/>
    </row>
    <row r="75" ht="20.55" customHeight="1">
      <c r="A75" s="1093"/>
      <c r="B75" s="1094"/>
      <c r="C75" s="73"/>
      <c r="D75" s="1095"/>
      <c r="E75" s="1096"/>
      <c r="F75" s="44"/>
      <c r="G75" s="44"/>
    </row>
    <row r="76" ht="20.55" customHeight="1">
      <c r="A76" s="46"/>
      <c r="B76" s="1086"/>
      <c r="C76" s="1086" cm="1">
        <f t="array" ref="C76">SUM(C3:C75)</f>
        <v>2109.651</v>
      </c>
      <c r="D76" s="1097"/>
      <c r="E76" s="79" cm="1">
        <f t="array" ref="E76">SUM(E3:E75)</f>
        <v>1631153</v>
      </c>
      <c r="F76" s="46"/>
      <c r="G76" s="46"/>
    </row>
  </sheetData>
  <mergeCells count="1">
    <mergeCell ref="A1:G1"/>
  </mergeCells>
  <conditionalFormatting sqref="E28:G28 E32:G39 E41:G42 E44:G51">
    <cfRule type="expression" dxfId="29" priority="1" stopIfTrue="1">
      <formula>AND(YEAR($A28)=YEAR(E28),MONTH($A28)=MONTH(E28),DAY($A28)=DAY(E28))</formula>
    </cfRule>
  </conditionalFormatting>
  <conditionalFormatting sqref="E52:G52 E61:G61 E64:G67 F68:G75">
    <cfRule type="cellIs" dxfId="30" priority="1" operator="equal" stopIfTrue="1">
      <formula>0</formula>
    </cfRule>
  </conditionalFormatting>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5.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126.xml><?xml version="1.0" encoding="utf-8"?>
<worksheet xmlns:r="http://schemas.openxmlformats.org/officeDocument/2006/relationships" xmlns="http://schemas.openxmlformats.org/spreadsheetml/2006/main">
  <sheetPr>
    <pageSetUpPr fitToPage="1"/>
  </sheetPr>
  <dimension ref="A2:F24"/>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1" width="23.1562" style="1098" customWidth="1"/>
    <col min="2" max="6" width="16.3516" style="1098" customWidth="1"/>
    <col min="7" max="16384" width="16.3516" style="1098" customWidth="1"/>
  </cols>
  <sheetData>
    <row r="1" ht="28" customHeight="1">
      <c r="A1" t="s" s="90">
        <v>1853</v>
      </c>
      <c r="B1" s="90"/>
      <c r="C1" s="90"/>
      <c r="D1" s="90"/>
      <c r="E1" s="90"/>
      <c r="F1" s="90"/>
    </row>
    <row r="2" ht="20.55" customHeight="1">
      <c r="A2" s="7"/>
      <c r="B2" t="s" s="8">
        <v>1855</v>
      </c>
      <c r="C2" t="s" s="8">
        <v>1856</v>
      </c>
      <c r="D2" t="s" s="8">
        <v>1857</v>
      </c>
      <c r="E2" s="7"/>
      <c r="F2" s="7"/>
    </row>
    <row r="3" ht="20.55" customHeight="1">
      <c r="A3" t="s" s="10">
        <v>1858</v>
      </c>
      <c r="B3" t="s" s="1041">
        <v>1859</v>
      </c>
      <c r="C3" s="64">
        <v>10</v>
      </c>
      <c r="D3" s="48">
        <v>832</v>
      </c>
      <c r="E3" s="82"/>
      <c r="F3" s="82"/>
    </row>
    <row r="4" ht="20.35" customHeight="1">
      <c r="A4" t="s" s="17">
        <v>1860</v>
      </c>
      <c r="B4" t="s" s="602">
        <v>1861</v>
      </c>
      <c r="C4" s="68">
        <v>10</v>
      </c>
      <c r="D4" s="26">
        <v>13992</v>
      </c>
      <c r="E4" s="32"/>
      <c r="F4" s="32"/>
    </row>
    <row r="5" ht="20.35" customHeight="1">
      <c r="A5" t="s" s="17">
        <v>1862</v>
      </c>
      <c r="B5" s="29"/>
      <c r="C5" s="68">
        <v>28</v>
      </c>
      <c r="D5" s="26">
        <v>10412</v>
      </c>
      <c r="E5" s="32"/>
      <c r="F5" s="32"/>
    </row>
    <row r="6" ht="20.35" customHeight="1">
      <c r="A6" t="s" s="17">
        <v>1863</v>
      </c>
      <c r="B6" s="29"/>
      <c r="C6" s="32"/>
      <c r="D6" s="26">
        <v>9521</v>
      </c>
      <c r="E6" s="32"/>
      <c r="F6" s="32"/>
    </row>
    <row r="7" ht="20.35" customHeight="1">
      <c r="A7" t="s" s="17">
        <v>1864</v>
      </c>
      <c r="B7" s="29"/>
      <c r="C7" s="32"/>
      <c r="D7" s="26">
        <v>3980</v>
      </c>
      <c r="E7" s="32"/>
      <c r="F7" s="32"/>
    </row>
    <row r="8" ht="20.35" customHeight="1">
      <c r="A8" t="s" s="17">
        <v>1865</v>
      </c>
      <c r="B8" t="s" s="602">
        <v>1866</v>
      </c>
      <c r="C8" s="68">
        <v>30</v>
      </c>
      <c r="D8" s="26">
        <v>12176</v>
      </c>
      <c r="E8" s="32"/>
      <c r="F8" s="32"/>
    </row>
    <row r="9" ht="20.35" customHeight="1">
      <c r="A9" t="s" s="17">
        <v>1867</v>
      </c>
      <c r="B9" s="29"/>
      <c r="C9" s="32"/>
      <c r="D9" s="26">
        <v>3681</v>
      </c>
      <c r="E9" s="32"/>
      <c r="F9" s="32"/>
    </row>
    <row r="10" ht="20.35" customHeight="1">
      <c r="A10" t="s" s="17">
        <v>1868</v>
      </c>
      <c r="B10" s="29"/>
      <c r="C10" s="32"/>
      <c r="D10" s="26">
        <v>3190</v>
      </c>
      <c r="E10" s="32"/>
      <c r="F10" s="32"/>
    </row>
    <row r="11" ht="20.35" customHeight="1">
      <c r="A11" t="s" s="17">
        <v>1869</v>
      </c>
      <c r="B11" s="29"/>
      <c r="C11" s="32"/>
      <c r="D11" s="26">
        <v>4490</v>
      </c>
      <c r="E11" s="32"/>
      <c r="F11" s="32"/>
    </row>
    <row r="12" ht="20.35" customHeight="1">
      <c r="A12" s="28"/>
      <c r="B12" s="29"/>
      <c r="C12" s="32"/>
      <c r="D12" s="26"/>
      <c r="E12" s="32"/>
      <c r="F12" s="32"/>
    </row>
    <row r="13" ht="20.35" customHeight="1">
      <c r="A13" s="28"/>
      <c r="B13" s="29"/>
      <c r="C13" s="32"/>
      <c r="D13" s="26"/>
      <c r="E13" s="32"/>
      <c r="F13" s="32"/>
    </row>
    <row r="14" ht="20.35" customHeight="1">
      <c r="A14" s="28"/>
      <c r="B14" s="29"/>
      <c r="C14" s="32"/>
      <c r="D14" s="26"/>
      <c r="E14" s="32"/>
      <c r="F14" s="32"/>
    </row>
    <row r="15" ht="20.35" customHeight="1">
      <c r="A15" s="28"/>
      <c r="B15" s="29"/>
      <c r="C15" s="32"/>
      <c r="D15" s="26"/>
      <c r="E15" s="32"/>
      <c r="F15" s="32"/>
    </row>
    <row r="16" ht="20.35" customHeight="1">
      <c r="A16" s="28"/>
      <c r="B16" s="29"/>
      <c r="C16" s="32"/>
      <c r="D16" s="26"/>
      <c r="E16" s="32"/>
      <c r="F16" s="32"/>
    </row>
    <row r="17" ht="20.35" customHeight="1">
      <c r="A17" s="28"/>
      <c r="B17" s="29"/>
      <c r="C17" s="32"/>
      <c r="D17" s="26"/>
      <c r="E17" s="32"/>
      <c r="F17" s="32"/>
    </row>
    <row r="18" ht="20.35" customHeight="1">
      <c r="A18" s="28"/>
      <c r="B18" s="29"/>
      <c r="C18" s="32"/>
      <c r="D18" s="26"/>
      <c r="E18" s="32"/>
      <c r="F18" s="32"/>
    </row>
    <row r="19" ht="20.35" customHeight="1">
      <c r="A19" s="28"/>
      <c r="B19" s="29"/>
      <c r="C19" s="32"/>
      <c r="D19" s="26"/>
      <c r="E19" s="32"/>
      <c r="F19" s="32"/>
    </row>
    <row r="20" ht="20.35" customHeight="1">
      <c r="A20" s="28"/>
      <c r="B20" s="29"/>
      <c r="C20" s="32"/>
      <c r="D20" s="26"/>
      <c r="E20" s="32"/>
      <c r="F20" s="32"/>
    </row>
    <row r="21" ht="20.35" customHeight="1">
      <c r="A21" s="28"/>
      <c r="B21" s="29"/>
      <c r="C21" s="32"/>
      <c r="D21" s="26"/>
      <c r="E21" s="32"/>
      <c r="F21" s="32"/>
    </row>
    <row r="22" ht="20.35" customHeight="1">
      <c r="A22" s="28"/>
      <c r="B22" s="29"/>
      <c r="C22" s="32"/>
      <c r="D22" s="26"/>
      <c r="E22" s="32"/>
      <c r="F22" s="32"/>
    </row>
    <row r="23" ht="20.55" customHeight="1">
      <c r="A23" s="84"/>
      <c r="B23" s="85"/>
      <c r="C23" s="73"/>
      <c r="D23" s="44"/>
      <c r="E23" s="73"/>
      <c r="F23" s="73"/>
    </row>
    <row r="24" ht="20.55" customHeight="1">
      <c r="A24" s="46"/>
      <c r="B24" s="46"/>
      <c r="C24" s="46"/>
      <c r="D24" s="79"/>
      <c r="E24" s="46"/>
      <c r="F24" s="46"/>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7.xml><?xml version="1.0" encoding="utf-8"?>
<worksheet xmlns:r="http://schemas.openxmlformats.org/officeDocument/2006/relationships" xmlns="http://schemas.openxmlformats.org/spreadsheetml/2006/main">
  <sheetPr>
    <pageSetUpPr fitToPage="1"/>
  </sheetPr>
  <dimension ref="A1:G20"/>
  <sheetViews>
    <sheetView workbookViewId="0" showGridLines="0" defaultGridColor="1">
      <pane topLeftCell="B2" xSplit="1" ySplit="1" activePane="bottomRight" state="frozen"/>
    </sheetView>
  </sheetViews>
  <sheetFormatPr defaultColWidth="16.3333" defaultRowHeight="18" customHeight="1" outlineLevelRow="0" outlineLevelCol="0"/>
  <cols>
    <col min="1" max="1" width="16.3516" style="1099" customWidth="1"/>
    <col min="2" max="2" width="9.8125" style="1099" customWidth="1"/>
    <col min="3" max="3" width="16.3516" style="1099" customWidth="1"/>
    <col min="4" max="4" width="18.0781" style="1099" customWidth="1"/>
    <col min="5" max="7" width="16.3516" style="1099" customWidth="1"/>
    <col min="8" max="16384" width="16.3516" style="1099" customWidth="1"/>
  </cols>
  <sheetData>
    <row r="1" ht="20.55" customHeight="1">
      <c r="A1" s="7"/>
      <c r="B1" s="7"/>
      <c r="C1" s="7"/>
      <c r="D1" s="7"/>
      <c r="E1" s="7"/>
      <c r="F1" s="7"/>
      <c r="G1" s="220">
        <v>2020</v>
      </c>
    </row>
    <row r="2" ht="20.55" customHeight="1">
      <c r="A2" t="s" s="10">
        <v>1871</v>
      </c>
      <c r="B2" s="524"/>
      <c r="C2" s="48"/>
      <c r="D2" t="s" s="15">
        <v>1872</v>
      </c>
      <c r="E2" s="48"/>
      <c r="F2" s="48"/>
      <c r="G2" s="48"/>
    </row>
    <row r="3" ht="20.35" customHeight="1">
      <c r="A3" s="28"/>
      <c r="B3" s="29"/>
      <c r="C3" s="26"/>
      <c r="D3" s="26">
        <v>900000</v>
      </c>
      <c r="E3" s="26"/>
      <c r="F3" s="26"/>
      <c r="G3" s="26"/>
    </row>
    <row r="4" ht="20.35" customHeight="1">
      <c r="A4" s="28"/>
      <c r="B4" s="29"/>
      <c r="C4" s="26"/>
      <c r="D4" s="26"/>
      <c r="E4" s="26"/>
      <c r="F4" s="26"/>
      <c r="G4" s="26"/>
    </row>
    <row r="5" ht="20.35" customHeight="1">
      <c r="A5" t="s" s="17">
        <v>1873</v>
      </c>
      <c r="B5" s="29"/>
      <c r="C5" s="26"/>
      <c r="D5" t="s" s="23">
        <v>1874</v>
      </c>
      <c r="E5" s="26"/>
      <c r="F5" s="26"/>
      <c r="G5" t="s" s="23">
        <v>1874</v>
      </c>
    </row>
    <row r="6" ht="20.35" customHeight="1">
      <c r="A6" s="28"/>
      <c r="B6" s="29"/>
      <c r="C6" s="26"/>
      <c r="D6" s="26">
        <v>1300000</v>
      </c>
      <c r="E6" s="26"/>
      <c r="F6" s="26"/>
      <c r="G6" s="26">
        <v>1500000</v>
      </c>
    </row>
    <row r="7" ht="20.35" customHeight="1">
      <c r="A7" s="28"/>
      <c r="B7" s="29"/>
      <c r="C7" s="26"/>
      <c r="D7" s="26"/>
      <c r="E7" s="26"/>
      <c r="F7" s="26"/>
      <c r="G7" s="26"/>
    </row>
    <row r="8" ht="20.35" customHeight="1">
      <c r="A8" t="s" s="17">
        <v>1875</v>
      </c>
      <c r="B8" s="29"/>
      <c r="C8" t="s" s="23">
        <v>1876</v>
      </c>
      <c r="D8" t="s" s="23">
        <v>1877</v>
      </c>
      <c r="E8" t="s" s="23">
        <v>1878</v>
      </c>
      <c r="F8" t="s" s="23">
        <v>1879</v>
      </c>
      <c r="G8" t="s" s="23">
        <v>1880</v>
      </c>
    </row>
    <row r="9" ht="20.35" customHeight="1">
      <c r="A9" s="28"/>
      <c r="B9" s="29"/>
      <c r="C9" s="26">
        <v>1500000</v>
      </c>
      <c r="D9" s="26">
        <v>2800000</v>
      </c>
      <c r="E9" s="26">
        <v>2200000</v>
      </c>
      <c r="F9" s="26">
        <v>1800000</v>
      </c>
      <c r="G9" s="26">
        <v>2000000</v>
      </c>
    </row>
    <row r="10" ht="20.35" customHeight="1">
      <c r="A10" s="28"/>
      <c r="B10" s="29"/>
      <c r="C10" s="26"/>
      <c r="D10" s="26"/>
      <c r="E10" s="26"/>
      <c r="F10" s="26"/>
      <c r="G10" s="26"/>
    </row>
    <row r="11" ht="20.35" customHeight="1">
      <c r="A11" t="s" s="17">
        <v>1881</v>
      </c>
      <c r="B11" s="29"/>
      <c r="C11" s="26"/>
      <c r="D11" t="s" s="23">
        <v>1882</v>
      </c>
      <c r="E11" t="s" s="23">
        <v>1883</v>
      </c>
      <c r="F11" s="26"/>
      <c r="G11" s="26"/>
    </row>
    <row r="12" ht="20.35" customHeight="1">
      <c r="A12" s="28"/>
      <c r="B12" s="29"/>
      <c r="C12" s="26"/>
      <c r="D12" s="26">
        <v>1000000</v>
      </c>
      <c r="E12" s="26">
        <v>1300000</v>
      </c>
      <c r="F12" s="26"/>
      <c r="G12" s="26"/>
    </row>
    <row r="13" ht="20.35" customHeight="1">
      <c r="A13" s="28"/>
      <c r="B13" s="29"/>
      <c r="C13" s="26"/>
      <c r="D13" s="26"/>
      <c r="E13" s="26"/>
      <c r="F13" s="26"/>
      <c r="G13" s="26"/>
    </row>
    <row r="14" ht="20.35" customHeight="1">
      <c r="A14" t="s" s="17">
        <v>1884</v>
      </c>
      <c r="B14" s="29"/>
      <c r="C14" s="26"/>
      <c r="D14" t="s" s="23">
        <v>1885</v>
      </c>
      <c r="E14" s="26"/>
      <c r="F14" s="26"/>
      <c r="G14" s="26"/>
    </row>
    <row r="15" ht="20.35" customHeight="1">
      <c r="A15" s="28"/>
      <c r="B15" s="29"/>
      <c r="C15" s="26"/>
      <c r="D15" s="26">
        <v>1200000</v>
      </c>
      <c r="E15" s="26"/>
      <c r="F15" s="26"/>
      <c r="G15" s="26"/>
    </row>
    <row r="16" ht="20.35" customHeight="1">
      <c r="A16" s="28"/>
      <c r="B16" s="29"/>
      <c r="C16" s="26"/>
      <c r="D16" s="26"/>
      <c r="E16" s="26"/>
      <c r="F16" s="26"/>
      <c r="G16" s="26"/>
    </row>
    <row r="17" ht="20.35" customHeight="1">
      <c r="A17" t="s" s="17">
        <v>1886</v>
      </c>
      <c r="B17" s="29"/>
      <c r="C17" s="26"/>
      <c r="D17" t="s" s="23">
        <v>1887</v>
      </c>
      <c r="E17" s="26"/>
      <c r="F17" s="26"/>
      <c r="G17" s="26"/>
    </row>
    <row r="18" ht="20.35" customHeight="1">
      <c r="A18" s="28"/>
      <c r="B18" s="29"/>
      <c r="C18" s="26"/>
      <c r="D18" s="26">
        <v>1700000</v>
      </c>
      <c r="E18" s="26"/>
      <c r="F18" s="26"/>
      <c r="G18" s="26"/>
    </row>
    <row r="19" ht="20.35" customHeight="1">
      <c r="A19" s="28"/>
      <c r="B19" s="29"/>
      <c r="C19" s="26"/>
      <c r="D19" s="26"/>
      <c r="E19" s="26"/>
      <c r="F19" s="26"/>
      <c r="G19" s="26"/>
    </row>
    <row r="20" ht="20.35" customHeight="1">
      <c r="A20" s="28"/>
      <c r="B20" s="29"/>
      <c r="C20" s="26"/>
      <c r="D20" s="26"/>
      <c r="E20" s="26"/>
      <c r="F20" s="26"/>
      <c r="G20" s="26"/>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8.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5" width="16.3516" style="1100" customWidth="1"/>
    <col min="6" max="16384" width="16.3516" style="1100" customWidth="1"/>
  </cols>
  <sheetData>
    <row r="1" ht="28" customHeight="1">
      <c r="A1" t="s" s="90">
        <v>61</v>
      </c>
      <c r="B1" s="90"/>
      <c r="C1" s="90"/>
      <c r="D1" s="90"/>
      <c r="E1" s="90"/>
    </row>
    <row r="2" ht="20.55" customHeight="1">
      <c r="A2" s="7"/>
      <c r="B2" s="7"/>
      <c r="C2" s="7"/>
      <c r="D2" s="7"/>
      <c r="E2" s="7"/>
    </row>
    <row r="3" ht="20.55" customHeight="1">
      <c r="A3" t="s" s="10">
        <v>1521</v>
      </c>
      <c r="B3" t="s" s="1041">
        <v>1889</v>
      </c>
      <c r="C3" s="82"/>
      <c r="D3" s="82"/>
      <c r="E3" s="82"/>
    </row>
    <row r="4" ht="20.35" customHeight="1">
      <c r="A4" s="28"/>
      <c r="B4" s="29"/>
      <c r="C4" s="32"/>
      <c r="D4" s="32"/>
      <c r="E4" s="32"/>
    </row>
    <row r="5" ht="20.35" customHeight="1">
      <c r="A5" s="28"/>
      <c r="B5" s="29"/>
      <c r="C5" s="32"/>
      <c r="D5" s="32"/>
      <c r="E5" s="32"/>
    </row>
    <row r="6" ht="20.35" customHeight="1">
      <c r="A6" s="28"/>
      <c r="B6" s="29"/>
      <c r="C6" s="32"/>
      <c r="D6" s="32"/>
      <c r="E6" s="32"/>
    </row>
    <row r="7" ht="20.35" customHeight="1">
      <c r="A7" s="28"/>
      <c r="B7" s="29"/>
      <c r="C7" s="32"/>
      <c r="D7" s="32"/>
      <c r="E7" s="32"/>
    </row>
    <row r="8" ht="20.35" customHeight="1">
      <c r="A8" s="28"/>
      <c r="B8" s="29"/>
      <c r="C8" s="32"/>
      <c r="D8" s="32"/>
      <c r="E8" s="32"/>
    </row>
    <row r="9" ht="20.35" customHeight="1">
      <c r="A9" s="28"/>
      <c r="B9" s="29"/>
      <c r="C9" s="32"/>
      <c r="D9" s="32"/>
      <c r="E9" s="32"/>
    </row>
    <row r="10" ht="20.35" customHeight="1">
      <c r="A10" s="28"/>
      <c r="B10" s="29"/>
      <c r="C10" s="32"/>
      <c r="D10" s="32"/>
      <c r="E10" s="32"/>
    </row>
    <row r="11" ht="20.35" customHeight="1">
      <c r="A11" s="28"/>
      <c r="B11" s="29"/>
      <c r="C11" s="32"/>
      <c r="D11" s="32"/>
      <c r="E11" s="32"/>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9.xml><?xml version="1.0" encoding="utf-8"?>
<worksheet xmlns:r="http://schemas.openxmlformats.org/officeDocument/2006/relationships" xmlns="http://schemas.openxmlformats.org/spreadsheetml/2006/main">
  <sheetPr>
    <pageSetUpPr fitToPage="1"/>
  </sheetPr>
  <dimension ref="A2:G11"/>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2" width="16.3516" style="1101" customWidth="1"/>
    <col min="3" max="3" width="3.32031" style="1101" customWidth="1"/>
    <col min="4" max="7" width="16.3516" style="1101" customWidth="1"/>
    <col min="8" max="16384" width="16.3516" style="1101" customWidth="1"/>
  </cols>
  <sheetData>
    <row r="1" ht="28" customHeight="1">
      <c r="A1" t="s" s="90">
        <v>61</v>
      </c>
      <c r="B1" s="90"/>
      <c r="C1" s="90"/>
      <c r="D1" s="90"/>
      <c r="E1" s="90"/>
      <c r="F1" s="90"/>
      <c r="G1" s="90"/>
    </row>
    <row r="2" ht="20.55" customHeight="1">
      <c r="A2" s="7"/>
      <c r="B2" t="s" s="8">
        <v>1891</v>
      </c>
      <c r="C2" s="7"/>
      <c r="D2" t="s" s="8">
        <v>1892</v>
      </c>
      <c r="E2" t="s" s="8">
        <v>150</v>
      </c>
      <c r="F2" t="s" s="8">
        <v>153</v>
      </c>
      <c r="G2" t="s" s="8">
        <v>1893</v>
      </c>
    </row>
    <row r="3" ht="20.55" customHeight="1">
      <c r="A3" s="224"/>
      <c r="B3" s="524"/>
      <c r="C3" s="82"/>
      <c r="D3" s="82"/>
      <c r="E3" s="82"/>
      <c r="F3" s="82"/>
      <c r="G3" s="82"/>
    </row>
    <row r="4" ht="20.35" customHeight="1">
      <c r="A4" s="28"/>
      <c r="B4" s="29"/>
      <c r="C4" s="32"/>
      <c r="D4" s="32"/>
      <c r="E4" s="32"/>
      <c r="F4" s="32"/>
      <c r="G4" s="32"/>
    </row>
    <row r="5" ht="20.35" customHeight="1">
      <c r="A5" s="28"/>
      <c r="B5" s="29"/>
      <c r="C5" s="32"/>
      <c r="D5" s="32"/>
      <c r="E5" s="32"/>
      <c r="F5" s="32"/>
      <c r="G5" s="32"/>
    </row>
    <row r="6" ht="20.35" customHeight="1">
      <c r="A6" s="28"/>
      <c r="B6" s="1102"/>
      <c r="C6" s="1103"/>
      <c r="D6" s="32"/>
      <c r="E6" s="32"/>
      <c r="F6" s="32"/>
      <c r="G6" s="32"/>
    </row>
    <row r="7" ht="20.35" customHeight="1">
      <c r="A7" s="28"/>
      <c r="B7" s="29"/>
      <c r="C7" s="32"/>
      <c r="D7" s="32"/>
      <c r="E7" s="32"/>
      <c r="F7" s="32"/>
      <c r="G7" s="32"/>
    </row>
    <row r="8" ht="20.35" customHeight="1">
      <c r="A8" s="28"/>
      <c r="B8" s="29"/>
      <c r="C8" s="32"/>
      <c r="D8" s="32"/>
      <c r="E8" s="32"/>
      <c r="F8" s="32"/>
      <c r="G8" s="32"/>
    </row>
    <row r="9" ht="20.35" customHeight="1">
      <c r="A9" s="28"/>
      <c r="B9" s="29"/>
      <c r="C9" s="32"/>
      <c r="D9" s="32"/>
      <c r="E9" s="32"/>
      <c r="F9" s="32"/>
      <c r="G9" s="32"/>
    </row>
    <row r="10" ht="20.55" customHeight="1">
      <c r="A10" s="84"/>
      <c r="B10" s="85"/>
      <c r="C10" s="73"/>
      <c r="D10" s="73"/>
      <c r="E10" s="73"/>
      <c r="F10" s="73"/>
      <c r="G10" s="73"/>
    </row>
    <row r="11" ht="20.55" customHeight="1">
      <c r="A11" s="46"/>
      <c r="B11" s="46"/>
      <c r="C11" s="46"/>
      <c r="D11" s="46"/>
      <c r="E11" s="46"/>
      <c r="F11" s="46"/>
      <c r="G11" s="46"/>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